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8_{337D35FE-00D6-44F6-89B1-E49A9C288BA5}" xr6:coauthVersionLast="47" xr6:coauthVersionMax="47" xr10:uidLastSave="{00000000-0000-0000-0000-000000000000}"/>
  <bookViews>
    <workbookView xWindow="-120" yWindow="-120" windowWidth="29040" windowHeight="15720" xr2:uid="{EE4EEEAB-A39E-4793-9971-E358DB8AAF6E}"/>
  </bookViews>
  <sheets>
    <sheet name="TowerStatsCalc" sheetId="1" r:id="rId1"/>
    <sheet name="Feuil1" sheetId="6" r:id="rId2"/>
    <sheet name="Enemies" sheetId="3" r:id="rId3"/>
    <sheet name="Tower" sheetId="4" r:id="rId4"/>
    <sheet name="Data" sheetId="2" r:id="rId5"/>
    <sheet name="Weak" sheetId="5" r:id="rId6"/>
  </sheets>
  <definedNames>
    <definedName name="CAT_ENEMIES">Data!$H$2:$H$4</definedName>
    <definedName name="CAT_TOWER">Tower!$C$3:$C$11</definedName>
    <definedName name="CODE_ENEMIES">Enemies!$A$3:$A$11</definedName>
    <definedName name="CODE_TOWER">Tower!$A$3:$A$11</definedName>
    <definedName name="ENEMIES">Enemies!$A$3:$F$11</definedName>
    <definedName name="ENEMY_TYP">Weak!$B$3:$F$5</definedName>
    <definedName name="FUN_ENEMIES">Data!$H$7:$H$9</definedName>
    <definedName name="SIGN">Data!$D$2:$D$6</definedName>
    <definedName name="STA_TOWER">Data!$F$2:$F$7</definedName>
    <definedName name="TOWER">Tower!$A$3:$H$5</definedName>
    <definedName name="TOWER_TYP">Weak!$C$2:$E$5</definedName>
    <definedName name="UPGRADE">Data!$B$7:$B$9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E20" i="1" s="1" a="1"/>
  <c r="E20" i="1" s="1"/>
  <c r="G20" i="1" s="1" a="1"/>
  <c r="G20" i="1" s="1"/>
  <c r="I20" i="1" s="1" a="1"/>
  <c r="I20" i="1" s="1"/>
  <c r="K20" i="1" s="1" a="1"/>
  <c r="K20" i="1" s="1"/>
  <c r="M20" i="1" s="1" a="1"/>
  <c r="M20" i="1" s="1"/>
  <c r="O20" i="1" s="1" a="1"/>
  <c r="O20" i="1" s="1"/>
  <c r="C19" i="1"/>
  <c r="E19" i="1" s="1" a="1"/>
  <c r="E19" i="1" s="1"/>
  <c r="G19" i="1" s="1" a="1"/>
  <c r="G19" i="1" s="1"/>
  <c r="I19" i="1" s="1" a="1"/>
  <c r="I19" i="1" s="1"/>
  <c r="K19" i="1" s="1" a="1"/>
  <c r="K19" i="1" s="1"/>
  <c r="M19" i="1" s="1" a="1"/>
  <c r="M19" i="1" s="1"/>
  <c r="O19" i="1" s="1" a="1"/>
  <c r="O19" i="1" s="1"/>
  <c r="C18" i="1"/>
  <c r="E18" i="1" s="1" a="1"/>
  <c r="E18" i="1" s="1"/>
  <c r="G18" i="1" s="1" a="1"/>
  <c r="G18" i="1" s="1"/>
  <c r="I18" i="1" s="1" a="1"/>
  <c r="I18" i="1" s="1"/>
  <c r="K18" i="1" s="1" a="1"/>
  <c r="K18" i="1" s="1"/>
  <c r="M18" i="1" s="1" a="1"/>
  <c r="M18" i="1" s="1"/>
  <c r="O18" i="1" s="1" a="1"/>
  <c r="O18" i="1" s="1"/>
  <c r="C28" i="1"/>
  <c r="E28" i="1" s="1" a="1"/>
  <c r="E28" i="1" s="1"/>
  <c r="G28" i="1" s="1" a="1"/>
  <c r="G28" i="1" s="1"/>
  <c r="I28" i="1" s="1" a="1"/>
  <c r="I28" i="1" s="1"/>
  <c r="K28" i="1" s="1" a="1"/>
  <c r="K28" i="1" s="1"/>
  <c r="M28" i="1" s="1" a="1"/>
  <c r="M28" i="1" s="1"/>
  <c r="O28" i="1" s="1" a="1"/>
  <c r="O28" i="1" s="1"/>
  <c r="C27" i="1"/>
  <c r="E27" i="1" s="1" a="1"/>
  <c r="E27" i="1" s="1"/>
  <c r="G27" i="1" s="1" a="1"/>
  <c r="G27" i="1" s="1"/>
  <c r="I27" i="1" s="1" a="1"/>
  <c r="I27" i="1" s="1"/>
  <c r="K27" i="1" s="1" a="1"/>
  <c r="K27" i="1" s="1"/>
  <c r="M27" i="1" s="1" a="1"/>
  <c r="M27" i="1" s="1"/>
  <c r="O27" i="1" s="1" a="1"/>
  <c r="O27" i="1" s="1"/>
  <c r="C26" i="1"/>
  <c r="E26" i="1" s="1" a="1"/>
  <c r="E26" i="1" s="1"/>
  <c r="G26" i="1" s="1" a="1"/>
  <c r="G26" i="1" s="1"/>
  <c r="I26" i="1" s="1" a="1"/>
  <c r="I26" i="1" s="1"/>
  <c r="K26" i="1" s="1" a="1"/>
  <c r="K26" i="1" s="1"/>
  <c r="M26" i="1" s="1" a="1"/>
  <c r="M26" i="1" s="1"/>
  <c r="O26" i="1" s="1" a="1"/>
  <c r="O26" i="1" s="1"/>
  <c r="C12" i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O12" i="1" s="1" a="1"/>
  <c r="O12" i="1" s="1"/>
  <c r="C11" i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O11" i="1" s="1" a="1"/>
  <c r="O11" i="1" s="1"/>
  <c r="C10" i="1"/>
  <c r="E10" i="1" s="1" a="1"/>
  <c r="E10" i="1" s="1"/>
  <c r="G10" i="1" s="1" a="1"/>
  <c r="G10" i="1" s="1"/>
  <c r="I10" i="1" s="1" a="1"/>
  <c r="I10" i="1" s="1"/>
  <c r="K10" i="1" s="1" a="1"/>
  <c r="K10" i="1" s="1"/>
  <c r="M10" i="1" s="1" a="1"/>
  <c r="M10" i="1" s="1"/>
  <c r="O10" i="1" s="1" a="1"/>
  <c r="O10" i="1" s="1"/>
  <c r="B2" i="6"/>
  <c r="E11" i="6"/>
  <c r="C2" i="6" s="1"/>
  <c r="B3" i="6"/>
  <c r="X4" i="1"/>
  <c r="A4" i="4"/>
  <c r="A5" i="4"/>
  <c r="A6" i="4"/>
  <c r="A7" i="4"/>
  <c r="A8" i="4"/>
  <c r="A9" i="4"/>
  <c r="A10" i="4"/>
  <c r="A11" i="4"/>
  <c r="A3" i="4"/>
  <c r="A4" i="3"/>
  <c r="A5" i="3"/>
  <c r="A6" i="3"/>
  <c r="A7" i="3"/>
  <c r="A8" i="3"/>
  <c r="A9" i="3"/>
  <c r="A10" i="3"/>
  <c r="A11" i="3"/>
  <c r="A3" i="3"/>
  <c r="D2" i="6" l="1"/>
  <c r="E2" i="6" s="1"/>
  <c r="F2" i="6" s="1"/>
  <c r="G2" i="6" s="1"/>
  <c r="H2" i="6" s="1"/>
  <c r="G4" i="5"/>
  <c r="T2" i="1"/>
  <c r="T19" i="1" s="1"/>
  <c r="U2" i="1"/>
  <c r="T4" i="1" l="1"/>
  <c r="U4" i="1"/>
  <c r="V4" i="1"/>
  <c r="W4" i="1"/>
  <c r="S20" i="1" l="1"/>
  <c r="U20" i="1" s="1" a="1"/>
  <c r="U20" i="1" s="1"/>
  <c r="S19" i="1"/>
  <c r="E31" i="1" l="1"/>
  <c r="I31" i="1"/>
  <c r="K31" i="1"/>
  <c r="O31" i="1"/>
  <c r="C4" i="1"/>
  <c r="C3" i="1"/>
  <c r="E3" i="1" s="1" a="1"/>
  <c r="E3" i="1" s="1"/>
  <c r="C2" i="1"/>
  <c r="E2" i="1" s="1" a="1"/>
  <c r="E2" i="1" s="1"/>
  <c r="E29" i="1" l="1"/>
  <c r="G31" i="1"/>
  <c r="M31" i="1"/>
  <c r="O23" i="1"/>
  <c r="E23" i="1"/>
  <c r="E21" i="1"/>
  <c r="E30" i="1"/>
  <c r="I23" i="1"/>
  <c r="E22" i="1"/>
  <c r="G23" i="1"/>
  <c r="O13" i="1"/>
  <c r="I13" i="1"/>
  <c r="M13" i="1"/>
  <c r="K13" i="1"/>
  <c r="E5" i="1"/>
  <c r="E32" i="1"/>
  <c r="C16" i="1"/>
  <c r="C32" i="1"/>
  <c r="C24" i="1"/>
  <c r="C8" i="1"/>
  <c r="E24" i="1"/>
  <c r="Q11" i="1" s="1" a="1"/>
  <c r="Q11" i="1" s="1"/>
  <c r="T16" i="1" l="1"/>
  <c r="S16" i="1"/>
  <c r="G24" i="1"/>
  <c r="U16" i="1" s="1"/>
  <c r="G30" i="1"/>
  <c r="G22" i="1"/>
  <c r="G29" i="1"/>
  <c r="G21" i="1"/>
  <c r="G32" i="1"/>
  <c r="V16" i="1" l="1"/>
  <c r="I24" i="1"/>
  <c r="W16" i="1" s="1"/>
  <c r="I29" i="1"/>
  <c r="I21" i="1"/>
  <c r="I22" i="1"/>
  <c r="I30" i="1"/>
  <c r="I32" i="1"/>
  <c r="X16" i="1" l="1"/>
  <c r="K29" i="1"/>
  <c r="K30" i="1"/>
  <c r="M29" i="1"/>
  <c r="K32" i="1"/>
  <c r="M32" i="1" l="1"/>
  <c r="O29" i="1"/>
  <c r="M30" i="1"/>
  <c r="O30" i="1" l="1"/>
  <c r="O32" i="1"/>
  <c r="K23" i="1" l="1"/>
  <c r="M23" i="1"/>
  <c r="K24" i="1"/>
  <c r="K21" i="1"/>
  <c r="K22" i="1"/>
  <c r="M21" i="1" l="1"/>
  <c r="M24" i="1"/>
  <c r="M22" i="1"/>
  <c r="O22" i="1" l="1"/>
  <c r="O24" i="1"/>
  <c r="O21" i="1"/>
  <c r="G2" i="1" a="1"/>
  <c r="G2" i="1" s="1"/>
  <c r="G5" i="1" l="1"/>
  <c r="I2" i="1" l="1" a="1"/>
  <c r="I2" i="1" s="1"/>
  <c r="I5" i="1" l="1"/>
  <c r="K2" i="1" a="1"/>
  <c r="K2" i="1" s="1"/>
  <c r="K5" i="1" l="1"/>
  <c r="M2" i="1" l="1" a="1"/>
  <c r="M2" i="1" s="1"/>
  <c r="M5" i="1" l="1"/>
  <c r="O2" i="1" a="1"/>
  <c r="O2" i="1" s="1"/>
  <c r="O5" i="1" l="1"/>
  <c r="E8" i="1" l="1"/>
  <c r="E6" i="1"/>
  <c r="G3" i="1" a="1"/>
  <c r="G3" i="1" s="1"/>
  <c r="G8" i="1" l="1"/>
  <c r="G6" i="1"/>
  <c r="T14" i="1" l="1"/>
  <c r="S14" i="1"/>
  <c r="I3" i="1" a="1"/>
  <c r="I3" i="1" s="1"/>
  <c r="I8" i="1" l="1"/>
  <c r="I6" i="1"/>
  <c r="K3" i="1" a="1"/>
  <c r="K3" i="1" s="1"/>
  <c r="K6" i="1" l="1"/>
  <c r="K8" i="1"/>
  <c r="U15" i="1" l="1"/>
  <c r="U14" i="1"/>
  <c r="V14" i="1"/>
  <c r="M3" i="1" a="1"/>
  <c r="M3" i="1" s="1"/>
  <c r="M8" i="1" l="1"/>
  <c r="M6" i="1"/>
  <c r="O3" i="1" a="1"/>
  <c r="O3" i="1" s="1"/>
  <c r="O8" i="1" l="1"/>
  <c r="O6" i="1"/>
  <c r="X14" i="1" l="1"/>
  <c r="W14" i="1"/>
  <c r="E4" i="1" a="1"/>
  <c r="E4" i="1" s="1"/>
  <c r="G4" i="1" s="1" a="1"/>
  <c r="G4" i="1" s="1"/>
  <c r="E7" i="1" l="1"/>
  <c r="G7" i="1" l="1"/>
  <c r="I4" i="1" a="1"/>
  <c r="I4" i="1" s="1"/>
  <c r="I7" i="1" s="1"/>
  <c r="K4" i="1" l="1" a="1"/>
  <c r="K4" i="1" s="1"/>
  <c r="K7" i="1" l="1"/>
  <c r="M4" i="1" a="1"/>
  <c r="M4" i="1" s="1"/>
  <c r="M7" i="1" l="1"/>
  <c r="O4" i="1" a="1"/>
  <c r="O4" i="1" s="1"/>
  <c r="O7" i="1" s="1"/>
  <c r="E13" i="1" l="1"/>
  <c r="G13" i="1"/>
  <c r="E16" i="1" l="1"/>
  <c r="E14" i="1"/>
  <c r="G16" i="1" l="1"/>
  <c r="G14" i="1"/>
  <c r="I14" i="1" l="1"/>
  <c r="I16" i="1"/>
  <c r="S15" i="1"/>
  <c r="T15" i="1"/>
  <c r="K16" i="1" l="1"/>
  <c r="V15" i="1" s="1"/>
  <c r="K14" i="1"/>
  <c r="M16" i="1" l="1"/>
  <c r="M14" i="1"/>
  <c r="O16" i="1" l="1"/>
  <c r="O14" i="1"/>
  <c r="W15" i="1" l="1"/>
  <c r="X15" i="1"/>
  <c r="O15" i="1"/>
  <c r="G15" i="1"/>
  <c r="E15" i="1"/>
  <c r="I15" i="1"/>
  <c r="M15" i="1"/>
  <c r="K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<sst xmlns="http://schemas.openxmlformats.org/spreadsheetml/2006/main" count="270" uniqueCount="96">
  <si>
    <t>Upgrade 1</t>
  </si>
  <si>
    <t>Upgrade 3</t>
  </si>
  <si>
    <t>Upgrade 2</t>
  </si>
  <si>
    <t>Upgrade 4</t>
  </si>
  <si>
    <t>Upgrade 5</t>
  </si>
  <si>
    <t>Stat Tourelle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</si>
  <si>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</si>
  <si>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</si>
  <si>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</si>
  <si>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</si>
  <si>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</si>
  <si>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</si>
  <si>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</si>
  <si>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</si>
  <si>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</si>
  <si>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Stat</t>
  </si>
  <si>
    <t>Upgrade 0</t>
  </si>
  <si>
    <t>=</t>
  </si>
  <si>
    <t>Damage per seconds</t>
  </si>
  <si>
    <t>+</t>
  </si>
  <si>
    <t>++</t>
  </si>
  <si>
    <t>-</t>
  </si>
  <si>
    <t>--</t>
  </si>
  <si>
    <t>Upgrade 6</t>
  </si>
  <si>
    <t>T1 : full attack</t>
  </si>
  <si>
    <t>T2 : full speed</t>
  </si>
  <si>
    <t>T3 : 3 attack + 3 speed</t>
  </si>
  <si>
    <t>Multiplicateur</t>
  </si>
  <si>
    <t>Firerate</t>
  </si>
  <si>
    <t>Number of hit (Upgrade2)</t>
  </si>
  <si>
    <t>arrondi</t>
  </si>
  <si>
    <t>arrondi &gt;</t>
  </si>
  <si>
    <t>Number of hit (Upgrade4)</t>
  </si>
  <si>
    <t>Number of hit (Upgrade6)</t>
  </si>
  <si>
    <t>T4 : hasard</t>
  </si>
  <si>
    <t>Sign</t>
  </si>
  <si>
    <t>CODE</t>
  </si>
  <si>
    <t>#</t>
  </si>
  <si>
    <t>TYPE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</si>
  <si>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</si>
  <si>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</si>
  <si>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</si>
  <si>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</si>
  <si>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</si>
  <si>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</si>
  <si>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</si>
  <si>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</si>
  <si>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</si>
  <si>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</si>
  <si>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FUN_ENEMIES</t>
  </si>
  <si>
    <t>Saboteur</t>
  </si>
  <si>
    <t>Intangible</t>
  </si>
  <si>
    <t>Normal</t>
  </si>
  <si>
    <t>Enemy ref</t>
  </si>
  <si>
    <t>Enemy HP</t>
  </si>
  <si>
    <t>T1</t>
  </si>
  <si>
    <t>T2</t>
  </si>
  <si>
    <t>T3</t>
  </si>
  <si>
    <t>Category</t>
  </si>
  <si>
    <t>Traps</t>
  </si>
  <si>
    <t>Enemy type</t>
  </si>
  <si>
    <t>Weak / Resist</t>
  </si>
  <si>
    <t>1_Inse_Norm</t>
  </si>
  <si>
    <t>Weak Mult</t>
  </si>
  <si>
    <t>Value</t>
  </si>
  <si>
    <t>1_Food_Atta</t>
  </si>
  <si>
    <t>Max Container</t>
  </si>
  <si>
    <t>Contain</t>
  </si>
  <si>
    <t>Tower</t>
  </si>
  <si>
    <t>DPS</t>
  </si>
  <si>
    <t>Upgrades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</si>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</sst>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16" applyNumberFormat="0" applyFill="0" applyAlignment="0" applyProtection="0"/>
  </cellStyleXfs>
  <cellXfs count="1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3" borderId="0" xfId="1" applyFont="1" applyFill="1" applyBorder="1" applyAlignment="1">
      <alignment horizontal="center" vertical="center"/>
    </xf>
    <xf numFmtId="9" fontId="0" fillId="4" borderId="0" xfId="1" applyFont="1" applyFill="1" applyBorder="1" applyAlignment="1">
      <alignment horizontal="center" vertical="center"/>
    </xf>
    <xf numFmtId="9" fontId="0" fillId="5" borderId="0" xfId="1" applyFont="1" applyFill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3" borderId="14" xfId="1" applyFont="1" applyFill="1" applyBorder="1" applyAlignment="1">
      <alignment horizontal="center" vertical="center"/>
    </xf>
    <xf numFmtId="9" fontId="0" fillId="4" borderId="14" xfId="1" applyFont="1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2" applyFont="1" applyBorder="1" applyAlignment="1">
      <alignment horizontal="center"/>
    </xf>
    <xf numFmtId="0" fontId="0" fillId="0" borderId="0" xfId="0" applyFont="1" applyBorder="1"/>
    <xf numFmtId="0" fontId="5" fillId="0" borderId="0" xfId="2" applyBorder="1"/>
    <xf numFmtId="0" fontId="5" fillId="0" borderId="0" xfId="2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5" fillId="0" borderId="0" xfId="2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9" fontId="0" fillId="0" borderId="14" xfId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2" xfId="1" applyNumberFormat="1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center" vertical="center" shrinkToFit="1"/>
    </xf>
    <xf numFmtId="0" fontId="0" fillId="4" borderId="10" xfId="0" applyFill="1" applyBorder="1" applyAlignment="1">
      <alignment horizontal="center" vertical="center" shrinkToFit="1"/>
    </xf>
    <xf numFmtId="0" fontId="0" fillId="5" borderId="11" xfId="0" applyFill="1" applyBorder="1" applyAlignment="1">
      <alignment horizontal="center" vertical="center" shrinkToFit="1"/>
    </xf>
    <xf numFmtId="0" fontId="0" fillId="5" borderId="10" xfId="0" applyFill="1" applyBorder="1" applyAlignment="1">
      <alignment horizontal="center" vertical="center" shrinkToFi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5" fillId="0" borderId="1" xfId="2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5" fillId="10" borderId="2" xfId="2" applyFont="1" applyFill="1" applyBorder="1" applyAlignment="1">
      <alignment horizontal="center"/>
    </xf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10" borderId="5" xfId="2" applyFill="1" applyBorder="1" applyAlignment="1">
      <alignment horizontal="center"/>
    </xf>
    <xf numFmtId="0" fontId="5" fillId="10" borderId="6" xfId="2" applyFill="1" applyBorder="1" applyAlignment="1">
      <alignment horizontal="center"/>
    </xf>
    <xf numFmtId="0" fontId="5" fillId="10" borderId="7" xfId="2" applyFill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11" borderId="0" xfId="0" applyFill="1"/>
    <xf numFmtId="0" fontId="0" fillId="5" borderId="1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9" fontId="0" fillId="5" borderId="8" xfId="1" applyFont="1" applyFill="1" applyBorder="1" applyAlignment="1">
      <alignment horizontal="center" vertical="center"/>
    </xf>
    <xf numFmtId="9" fontId="0" fillId="5" borderId="15" xfId="1" applyFont="1" applyFill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11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/>
    </xf>
    <xf numFmtId="0" fontId="1" fillId="0" borderId="13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47"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X42"/>
  <sheetViews>
    <sheetView tabSelected="1" workbookViewId="0">
      <selection activeCell="T6" sqref="T6"/>
    </sheetView>
  </sheetViews>
  <sheetFormatPr baseColWidth="10" defaultRowHeight="15" x14ac:dyDescent="0.25"/>
  <cols>
    <col min="1" max="1" width="11.42578125" style="22"/>
    <col min="2" max="2" width="22.42578125" style="2" customWidth="1"/>
    <col min="3" max="3" width="11.42578125" style="2"/>
    <col min="4" max="4" width="5.7109375" style="2" customWidth="1"/>
    <col min="5" max="5" width="11.42578125" style="2"/>
    <col min="6" max="6" width="5.7109375" style="2" customWidth="1"/>
    <col min="7" max="7" width="11.42578125" style="2"/>
    <col min="8" max="8" width="5.7109375" style="2" customWidth="1"/>
    <col min="9" max="9" width="11.42578125" style="2"/>
    <col min="10" max="10" width="5.7109375" style="2" customWidth="1"/>
    <col min="11" max="11" width="11.42578125" style="2"/>
    <col min="12" max="12" width="5.7109375" style="2" customWidth="1"/>
    <col min="13" max="13" width="11.42578125" style="2"/>
    <col min="14" max="14" width="5.7109375" style="2" customWidth="1"/>
    <col min="15" max="15" width="11.42578125" style="2"/>
    <col min="16" max="16" width="2.85546875" style="2" customWidth="1"/>
    <col min="17" max="17" width="14.28515625" style="1" customWidth="1"/>
    <col min="18" max="18" width="4.28515625" style="2" customWidth="1"/>
    <col min="19" max="19" width="12" style="1" customWidth="1"/>
    <col min="20" max="16384" width="11.42578125" style="2"/>
  </cols>
  <sheetData>
    <row r="1" spans="1:24" ht="30" customHeight="1" thickBot="1" x14ac:dyDescent="0.3">
      <c r="A1" s="20"/>
      <c r="B1" s="106" t="s">
        <v>15</v>
      </c>
      <c r="C1" s="111" t="s">
        <v>16</v>
      </c>
      <c r="D1" s="12"/>
      <c r="E1" s="113" t="s">
        <v>0</v>
      </c>
      <c r="F1" s="12"/>
      <c r="G1" s="33" t="s">
        <v>2</v>
      </c>
      <c r="H1" s="12"/>
      <c r="I1" s="113" t="s">
        <v>1</v>
      </c>
      <c r="J1" s="12"/>
      <c r="K1" s="37" t="s">
        <v>3</v>
      </c>
      <c r="L1" s="12"/>
      <c r="M1" s="113" t="s">
        <v>4</v>
      </c>
      <c r="N1" s="12"/>
      <c r="O1" s="157" t="s">
        <v>23</v>
      </c>
      <c r="P1" s="10"/>
      <c r="Q1" s="114" t="s">
        <v>27</v>
      </c>
      <c r="S1" s="107" t="s">
        <v>53</v>
      </c>
      <c r="T1" s="108" t="s">
        <v>60</v>
      </c>
      <c r="U1" s="109" t="s">
        <v>54</v>
      </c>
      <c r="V1" s="10"/>
      <c r="W1" s="10"/>
    </row>
    <row r="2" spans="1:24" ht="15.75" thickBot="1" x14ac:dyDescent="0.3">
      <c r="A2" s="123" t="s">
        <v>24</v>
      </c>
      <c r="B2" s="110" t="s">
        <v>6</v>
      </c>
      <c r="C2" s="19">
        <f>$U$4</f>
        <v>2</v>
      </c>
      <c r="D2" s="95" t="s">
        <v>19</v>
      </c>
      <c r="E2" s="96" cm="1">
        <f t="array" ref="E2">_xlfn.IFS(D2="+",ROUNDDOWN(C2*$Q$2,2),D2="=",C2)</f>
        <v>2.2000000000000002</v>
      </c>
      <c r="F2" s="95" t="s">
        <v>19</v>
      </c>
      <c r="G2" s="97" cm="1">
        <f t="array" ref="G2">_xlfn.IFS(F2="+",ROUNDDOWN(E2*$Q$2,2),F2="=",E2)</f>
        <v>2.42</v>
      </c>
      <c r="H2" s="95" t="s">
        <v>19</v>
      </c>
      <c r="I2" s="96" cm="1">
        <f t="array" ref="I2">_xlfn.IFS(H2="+",ROUNDDOWN(G2*$Q$2,2),H2="=",G2)</f>
        <v>2.66</v>
      </c>
      <c r="J2" s="95" t="s">
        <v>19</v>
      </c>
      <c r="K2" s="98" cm="1">
        <f t="array" ref="K2">_xlfn.IFS(J2="+",ROUNDDOWN(I2*$Q$2,2),J2="=",I2)</f>
        <v>2.92</v>
      </c>
      <c r="L2" s="95" t="s">
        <v>19</v>
      </c>
      <c r="M2" s="96" cm="1">
        <f t="array" ref="M2">_xlfn.IFS(L2="+",ROUNDDOWN(K2*$Q$2,2),L2="=",K2)</f>
        <v>3.21</v>
      </c>
      <c r="N2" s="95" t="s">
        <v>19</v>
      </c>
      <c r="O2" s="158" cm="1">
        <f t="array" ref="O2">_xlfn.IFS(N2="+",ROUNDDOWN(M2*$Q$2,2),N2="=",M2)</f>
        <v>3.53</v>
      </c>
      <c r="Q2" s="31">
        <v>1.1000000000000001</v>
      </c>
      <c r="S2" s="104" t="s">
        <v>62</v>
      </c>
      <c r="T2" s="15" t="str">
        <f>VLOOKUP($S$2,ENEMIES,3)</f>
        <v>Insect</v>
      </c>
      <c r="U2" s="16">
        <f>VLOOKUP($S$2,ENEMIES,5)</f>
        <v>5</v>
      </c>
      <c r="V2" s="10"/>
      <c r="W2" s="10"/>
    </row>
    <row r="3" spans="1:24" x14ac:dyDescent="0.25">
      <c r="A3" s="124"/>
      <c r="B3" s="110" t="s">
        <v>28</v>
      </c>
      <c r="C3" s="13">
        <f>$V$4</f>
        <v>1</v>
      </c>
      <c r="D3" s="52" t="s">
        <v>17</v>
      </c>
      <c r="E3" s="51" cm="1">
        <f t="array" ref="E3">_xlfn.IFS(D3="+",ROUNDDOWN(C3*$Q$3,2),D3="=",C3)</f>
        <v>1</v>
      </c>
      <c r="F3" s="52" t="s">
        <v>17</v>
      </c>
      <c r="G3" s="91" cm="1">
        <f t="array" ref="G3">_xlfn.IFS(F3="+",ROUNDDOWN(E3*$Q$3,2),F3="=",E3)</f>
        <v>1</v>
      </c>
      <c r="H3" s="52" t="s">
        <v>17</v>
      </c>
      <c r="I3" s="51" cm="1">
        <f t="array" ref="I3">_xlfn.IFS(H3="+",ROUNDDOWN(G3*$Q$3,2),H3="=",G3)</f>
        <v>1</v>
      </c>
      <c r="J3" s="52" t="s">
        <v>17</v>
      </c>
      <c r="K3" s="93" cm="1">
        <f t="array" ref="K3">_xlfn.IFS(J3="+",ROUNDDOWN(I3*$Q$3,2),J3="=",I3)</f>
        <v>1</v>
      </c>
      <c r="L3" s="52" t="s">
        <v>17</v>
      </c>
      <c r="M3" s="51" cm="1">
        <f t="array" ref="M3">_xlfn.IFS(L3="+",ROUNDDOWN(K3*$Q$3,2),L3="=",K3)</f>
        <v>1</v>
      </c>
      <c r="N3" s="52" t="s">
        <v>17</v>
      </c>
      <c r="O3" s="159" cm="1">
        <f t="array" ref="O3">_xlfn.IFS(N3="+",ROUNDDOWN(M3*$Q$3,2),N3="=",M3)</f>
        <v>1</v>
      </c>
      <c r="Q3" s="31">
        <v>0.9</v>
      </c>
      <c r="S3" s="111" t="s">
        <v>68</v>
      </c>
      <c r="T3" s="113" t="s">
        <v>58</v>
      </c>
      <c r="U3" s="113" t="s">
        <v>6</v>
      </c>
      <c r="V3" s="113" t="s">
        <v>28</v>
      </c>
      <c r="W3" s="113" t="s">
        <v>11</v>
      </c>
      <c r="X3" s="142" t="s">
        <v>67</v>
      </c>
    </row>
    <row r="4" spans="1:24" ht="15.75" thickBot="1" x14ac:dyDescent="0.3">
      <c r="A4" s="124"/>
      <c r="B4" s="110" t="s">
        <v>11</v>
      </c>
      <c r="C4" s="55">
        <f>$W$4</f>
        <v>3</v>
      </c>
      <c r="D4" s="54" t="s">
        <v>17</v>
      </c>
      <c r="E4" s="53" cm="1">
        <f t="array" ref="E4">_xlfn.IFS(D4="+",ROUNDDOWN(C4*$Q$4,2),D4="=",C4)</f>
        <v>3</v>
      </c>
      <c r="F4" s="54" t="s">
        <v>17</v>
      </c>
      <c r="G4" s="92" cm="1">
        <f t="array" ref="G4">_xlfn.IFS(F4="+",ROUNDDOWN(E4*$Q$4,2),F4="=",E4)</f>
        <v>3</v>
      </c>
      <c r="H4" s="54" t="s">
        <v>17</v>
      </c>
      <c r="I4" s="53" cm="1">
        <f t="array" ref="I4">_xlfn.IFS(H4="+",ROUNDDOWN(G4*$Q$4,2),H4="=",G4)</f>
        <v>3</v>
      </c>
      <c r="J4" s="54" t="s">
        <v>17</v>
      </c>
      <c r="K4" s="94" cm="1">
        <f t="array" ref="K4">_xlfn.IFS(J4="+",ROUNDDOWN(I4*$Q$4,2),J4="=",I4)</f>
        <v>3</v>
      </c>
      <c r="L4" s="54" t="s">
        <v>17</v>
      </c>
      <c r="M4" s="53" cm="1">
        <f t="array" ref="M4">_xlfn.IFS(L4="+",ROUNDDOWN(K4*$Q$4,2),L4="=",K4)</f>
        <v>3</v>
      </c>
      <c r="N4" s="54" t="s">
        <v>17</v>
      </c>
      <c r="O4" s="160" cm="1">
        <f t="array" ref="O4">_xlfn.IFS(N4="+",ROUNDDOWN(M4*$Q$4,2),N4="=",M4)</f>
        <v>3</v>
      </c>
      <c r="Q4" s="18">
        <v>1.25</v>
      </c>
      <c r="S4" s="104" t="s">
        <v>65</v>
      </c>
      <c r="T4" s="15" t="str">
        <f>VLOOKUP($S$4,TOWER,3)</f>
        <v>Food</v>
      </c>
      <c r="U4" s="15">
        <f>VLOOKUP($S$4,TOWER,5)</f>
        <v>2</v>
      </c>
      <c r="V4" s="15">
        <f>VLOOKUP($S$4,TOWER,6)</f>
        <v>1</v>
      </c>
      <c r="W4" s="15">
        <f>VLOOKUP($S$4,TOWER,7)</f>
        <v>3</v>
      </c>
      <c r="X4" s="16">
        <f>VLOOKUP($S$4,TOWER,8)</f>
        <v>15</v>
      </c>
    </row>
    <row r="5" spans="1:24" ht="15.75" thickBot="1" x14ac:dyDescent="0.3">
      <c r="A5" s="124"/>
      <c r="B5" s="110" t="s">
        <v>12</v>
      </c>
      <c r="C5" s="86"/>
      <c r="D5" s="27"/>
      <c r="E5" s="87">
        <f>ROUNDDOWN((E2-C2)/C2,2)</f>
        <v>0.1</v>
      </c>
      <c r="F5" s="27"/>
      <c r="G5" s="44">
        <f>ROUNDDOWN((G2-E2)/E2,2)</f>
        <v>0.09</v>
      </c>
      <c r="H5" s="27"/>
      <c r="I5" s="87">
        <f>ROUNDDOWN((I2-G2)/G2,2)</f>
        <v>0.09</v>
      </c>
      <c r="J5" s="27"/>
      <c r="K5" s="45">
        <f>ROUNDDOWN((K2-I2)/I2,2)</f>
        <v>0.09</v>
      </c>
      <c r="L5" s="27"/>
      <c r="M5" s="87">
        <f>ROUNDDOWN((M2-K2)/K2,2)</f>
        <v>0.09</v>
      </c>
      <c r="N5" s="27"/>
      <c r="O5" s="161">
        <f>ROUNDDOWN((O2-M2)/M2,2)</f>
        <v>0.09</v>
      </c>
      <c r="P5" s="9"/>
    </row>
    <row r="6" spans="1:24" x14ac:dyDescent="0.25">
      <c r="A6" s="124"/>
      <c r="B6" s="110" t="s">
        <v>13</v>
      </c>
      <c r="C6" s="86"/>
      <c r="D6" s="27"/>
      <c r="E6" s="87">
        <f t="shared" ref="E6:E7" si="0">ROUNDDOWN((E3-C3)/C3,2)</f>
        <v>0</v>
      </c>
      <c r="F6" s="27"/>
      <c r="G6" s="44">
        <f t="shared" ref="G6:G7" si="1">ROUNDDOWN((G3-E3)/E3,2)</f>
        <v>0</v>
      </c>
      <c r="H6" s="27"/>
      <c r="I6" s="87">
        <f t="shared" ref="I6:I7" si="2">ROUNDDOWN((I3-G3)/G3,2)</f>
        <v>0</v>
      </c>
      <c r="J6" s="27"/>
      <c r="K6" s="45">
        <f t="shared" ref="K6:K7" si="3">ROUNDDOWN((K3-I3)/I3,2)</f>
        <v>0</v>
      </c>
      <c r="L6" s="27"/>
      <c r="M6" s="87">
        <f>ROUNDDOWN((M3-K3)/K3,2)</f>
        <v>0</v>
      </c>
      <c r="N6" s="27"/>
      <c r="O6" s="161">
        <f t="shared" ref="O6:O7" si="4">ROUNDDOWN((O3-M3)/M3,2)</f>
        <v>0</v>
      </c>
      <c r="P6" s="9"/>
      <c r="Q6" s="114" t="s">
        <v>63</v>
      </c>
    </row>
    <row r="7" spans="1:24" ht="15.75" thickBot="1" x14ac:dyDescent="0.3">
      <c r="A7" s="125"/>
      <c r="B7" s="110" t="s">
        <v>14</v>
      </c>
      <c r="C7" s="88"/>
      <c r="D7" s="89"/>
      <c r="E7" s="90">
        <f t="shared" si="0"/>
        <v>0</v>
      </c>
      <c r="F7" s="89"/>
      <c r="G7" s="48">
        <f t="shared" si="1"/>
        <v>0</v>
      </c>
      <c r="H7" s="89"/>
      <c r="I7" s="90">
        <f t="shared" si="2"/>
        <v>0</v>
      </c>
      <c r="J7" s="89"/>
      <c r="K7" s="49">
        <f t="shared" si="3"/>
        <v>0</v>
      </c>
      <c r="L7" s="89"/>
      <c r="M7" s="90">
        <f>ROUNDDOWN((M4-K4)/K4,2)</f>
        <v>0</v>
      </c>
      <c r="N7" s="89"/>
      <c r="O7" s="162">
        <f t="shared" si="4"/>
        <v>0</v>
      </c>
      <c r="Q7" s="18">
        <v>0.1</v>
      </c>
    </row>
    <row r="8" spans="1:24" ht="15.75" thickBot="1" x14ac:dyDescent="0.3">
      <c r="A8" s="21"/>
      <c r="B8" s="106" t="s">
        <v>18</v>
      </c>
      <c r="C8" s="14">
        <f>ROUNDDOWN(C2/C3,2)</f>
        <v>2</v>
      </c>
      <c r="D8" s="15"/>
      <c r="E8" s="15">
        <f>ROUNDDOWN(E2/E3,2)</f>
        <v>2.2000000000000002</v>
      </c>
      <c r="F8" s="15"/>
      <c r="G8" s="34">
        <f>ROUNDDOWN(G2/G3,2)</f>
        <v>2.42</v>
      </c>
      <c r="H8" s="15"/>
      <c r="I8" s="15">
        <f>ROUNDDOWN(I2/I3,2)</f>
        <v>2.66</v>
      </c>
      <c r="J8" s="15"/>
      <c r="K8" s="38">
        <f>ROUNDDOWN(K2/K3,2)</f>
        <v>2.92</v>
      </c>
      <c r="L8" s="15"/>
      <c r="M8" s="15">
        <f>ROUNDDOWN(M2/M3,2)</f>
        <v>3.21</v>
      </c>
      <c r="N8" s="15"/>
      <c r="O8" s="42">
        <f>ROUNDDOWN(O2/O3,2)</f>
        <v>3.53</v>
      </c>
    </row>
    <row r="9" spans="1:24" ht="15.75" thickBot="1" x14ac:dyDescent="0.3">
      <c r="A9" s="21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14" t="s">
        <v>69</v>
      </c>
    </row>
    <row r="10" spans="1:24" x14ac:dyDescent="0.25">
      <c r="A10" s="123" t="s">
        <v>25</v>
      </c>
      <c r="B10" s="111" t="s">
        <v>6</v>
      </c>
      <c r="C10" s="19">
        <f>$U$4</f>
        <v>2</v>
      </c>
      <c r="D10" s="95" t="s">
        <v>17</v>
      </c>
      <c r="E10" s="96" cm="1">
        <f t="array" ref="E10">_xlfn.IFS(D10="+",ROUNDDOWN(C10*$Q$2,2),D10="=",C10)</f>
        <v>2</v>
      </c>
      <c r="F10" s="95" t="s">
        <v>17</v>
      </c>
      <c r="G10" s="97" cm="1">
        <f t="array" ref="G10">_xlfn.IFS(F10="+",ROUNDDOWN(E10*$Q$2,2),F10="=",E10)</f>
        <v>2</v>
      </c>
      <c r="H10" s="95" t="s">
        <v>17</v>
      </c>
      <c r="I10" s="96" cm="1">
        <f t="array" ref="I10">_xlfn.IFS(H10="+",ROUNDDOWN(G10*$Q$2,2),H10="=",G10)</f>
        <v>2</v>
      </c>
      <c r="J10" s="95" t="s">
        <v>17</v>
      </c>
      <c r="K10" s="98" cm="1">
        <f t="array" ref="K10">_xlfn.IFS(J10="+",ROUNDDOWN(I10*$Q$2,2),J10="=",I10)</f>
        <v>2</v>
      </c>
      <c r="L10" s="95" t="s">
        <v>17</v>
      </c>
      <c r="M10" s="96" cm="1">
        <f t="array" ref="M10">_xlfn.IFS(L10="+",ROUNDDOWN(K10*$Q$2,2),L10="=",K10)</f>
        <v>2</v>
      </c>
      <c r="N10" s="95" t="s">
        <v>17</v>
      </c>
      <c r="O10" s="158" cm="1">
        <f t="array" ref="O10">_xlfn.IFS(N10="+",ROUNDDOWN(M10*$Q$2,2),N10="=",M10)</f>
        <v>2</v>
      </c>
      <c r="Q10" s="17" t="s">
        <v>0</v>
      </c>
    </row>
    <row r="11" spans="1:24" ht="15.75" thickBot="1" x14ac:dyDescent="0.3">
      <c r="A11" s="124"/>
      <c r="B11" s="110" t="s">
        <v>28</v>
      </c>
      <c r="C11" s="13">
        <f>$V$4</f>
        <v>1</v>
      </c>
      <c r="D11" s="52" t="s">
        <v>19</v>
      </c>
      <c r="E11" s="51" cm="1">
        <f t="array" ref="E11">_xlfn.IFS(D11="+",ROUNDDOWN(C11*$Q$3,2),D11="=",C11)</f>
        <v>0.9</v>
      </c>
      <c r="F11" s="52" t="s">
        <v>19</v>
      </c>
      <c r="G11" s="91" cm="1">
        <f t="array" ref="G11">_xlfn.IFS(F11="+",ROUNDDOWN(E11*$Q$3,2),F11="=",E11)</f>
        <v>0.81</v>
      </c>
      <c r="H11" s="52" t="s">
        <v>19</v>
      </c>
      <c r="I11" s="51" cm="1">
        <f t="array" ref="I11">_xlfn.IFS(H11="+",ROUNDDOWN(G11*$Q$3,2),H11="=",G11)</f>
        <v>0.72</v>
      </c>
      <c r="J11" s="52" t="s">
        <v>19</v>
      </c>
      <c r="K11" s="93" cm="1">
        <f t="array" ref="K11">_xlfn.IFS(J11="+",ROUNDDOWN(I11*$Q$3,2),J11="=",I11)</f>
        <v>0.64</v>
      </c>
      <c r="L11" s="52" t="s">
        <v>19</v>
      </c>
      <c r="M11" s="51" cm="1">
        <f t="array" ref="M11">_xlfn.IFS(L11="+",ROUNDDOWN(K11*$Q$3,2),L11="=",K11)</f>
        <v>0.56999999999999995</v>
      </c>
      <c r="N11" s="52" t="s">
        <v>19</v>
      </c>
      <c r="O11" s="159" cm="1">
        <f t="array" ref="O11">_xlfn.IFS(N11="+",ROUNDDOWN(M11*$Q$3,2),N11="=",M11)</f>
        <v>0.51</v>
      </c>
      <c r="Q11" s="116" cm="1">
        <f t="array" ref="Q11">_xlfn.IFS(Q10="Upgrade 1",E24,Q10="Upgrade 2",G24,Q10="Upgrade 3",I24)</f>
        <v>2.44</v>
      </c>
    </row>
    <row r="12" spans="1:24" x14ac:dyDescent="0.25">
      <c r="A12" s="124"/>
      <c r="B12" s="110" t="s">
        <v>11</v>
      </c>
      <c r="C12" s="55">
        <f>$W$4</f>
        <v>3</v>
      </c>
      <c r="D12" s="54" t="s">
        <v>17</v>
      </c>
      <c r="E12" s="53" cm="1">
        <f t="array" ref="E12">_xlfn.IFS(D12="+",ROUNDDOWN(C12*$Q$4,2),D12="=",C12)</f>
        <v>3</v>
      </c>
      <c r="F12" s="54" t="s">
        <v>17</v>
      </c>
      <c r="G12" s="92" cm="1">
        <f t="array" ref="G12">_xlfn.IFS(F12="+",ROUNDDOWN(E12*$Q$4,2),F12="=",E12)</f>
        <v>3</v>
      </c>
      <c r="H12" s="54" t="s">
        <v>17</v>
      </c>
      <c r="I12" s="53" cm="1">
        <f t="array" ref="I12">_xlfn.IFS(H12="+",ROUNDDOWN(G12*$Q$4,2),H12="=",G12)</f>
        <v>3</v>
      </c>
      <c r="J12" s="54" t="s">
        <v>17</v>
      </c>
      <c r="K12" s="94" cm="1">
        <f t="array" ref="K12">_xlfn.IFS(J12="+",ROUNDDOWN(I12*$Q$4,2),J12="=",I12)</f>
        <v>3</v>
      </c>
      <c r="L12" s="54" t="s">
        <v>17</v>
      </c>
      <c r="M12" s="53" cm="1">
        <f t="array" ref="M12">_xlfn.IFS(L12="+",ROUNDDOWN(K12*$Q$4,2),L12="=",K12)</f>
        <v>3</v>
      </c>
      <c r="N12" s="54" t="s">
        <v>17</v>
      </c>
      <c r="O12" s="160" cm="1">
        <f t="array" ref="O12">_xlfn.IFS(N12="+",ROUNDDOWN(M12*$Q$4,2),N12="=",M12)</f>
        <v>3</v>
      </c>
      <c r="S12" s="117" t="s">
        <v>29</v>
      </c>
      <c r="T12" s="118"/>
      <c r="U12" s="119" t="s">
        <v>32</v>
      </c>
      <c r="V12" s="120"/>
      <c r="W12" s="121" t="s">
        <v>33</v>
      </c>
      <c r="X12" s="122"/>
    </row>
    <row r="13" spans="1:24" ht="15.75" thickBot="1" x14ac:dyDescent="0.3">
      <c r="A13" s="124"/>
      <c r="B13" s="110" t="s">
        <v>12</v>
      </c>
      <c r="C13" s="86"/>
      <c r="D13" s="27"/>
      <c r="E13" s="87">
        <f>ROUNDDOWN((E10-C10)/C10,2)</f>
        <v>0</v>
      </c>
      <c r="F13" s="27"/>
      <c r="G13" s="44">
        <f>ROUNDDOWN((G10-E10)/E10,2)</f>
        <v>0</v>
      </c>
      <c r="H13" s="27"/>
      <c r="I13" s="87">
        <f>ROUNDDOWN((I10-G10)/G10,2)</f>
        <v>0</v>
      </c>
      <c r="J13" s="27"/>
      <c r="K13" s="45">
        <f>ROUNDDOWN((K10-I10)/I10,2)</f>
        <v>0</v>
      </c>
      <c r="L13" s="27"/>
      <c r="M13" s="87">
        <f>ROUNDDOWN((M10-K10)/K10,2)</f>
        <v>0</v>
      </c>
      <c r="N13" s="27"/>
      <c r="O13" s="161">
        <f>ROUNDDOWN((O10-M10)/M10,2)</f>
        <v>0</v>
      </c>
      <c r="P13" s="9"/>
      <c r="S13" s="35" t="s">
        <v>30</v>
      </c>
      <c r="T13" s="115" t="s">
        <v>31</v>
      </c>
      <c r="U13" s="132" t="s">
        <v>30</v>
      </c>
      <c r="V13" s="133" t="s">
        <v>31</v>
      </c>
      <c r="W13" s="41" t="s">
        <v>30</v>
      </c>
      <c r="X13" s="42" t="s">
        <v>31</v>
      </c>
    </row>
    <row r="14" spans="1:24" x14ac:dyDescent="0.25">
      <c r="A14" s="124"/>
      <c r="B14" s="110" t="s">
        <v>13</v>
      </c>
      <c r="C14" s="86"/>
      <c r="D14" s="27"/>
      <c r="E14" s="87">
        <f t="shared" ref="E14" si="5">ROUNDDOWN((E11-C11)/C11,2)</f>
        <v>-0.1</v>
      </c>
      <c r="F14" s="27"/>
      <c r="G14" s="44">
        <f t="shared" ref="G14:G15" si="6">ROUNDDOWN((G11-E11)/E11,2)</f>
        <v>-0.1</v>
      </c>
      <c r="H14" s="27"/>
      <c r="I14" s="87">
        <f t="shared" ref="I14:I15" si="7">ROUNDDOWN((I11-G11)/G11,2)</f>
        <v>-0.11</v>
      </c>
      <c r="J14" s="27"/>
      <c r="K14" s="45">
        <f t="shared" ref="K14:K15" si="8">ROUNDDOWN((K11-I11)/I11,2)</f>
        <v>-0.11</v>
      </c>
      <c r="L14" s="27"/>
      <c r="M14" s="87">
        <f>ROUNDDOWN((M11-K11)/K11,2)</f>
        <v>-0.1</v>
      </c>
      <c r="N14" s="27"/>
      <c r="O14" s="161">
        <f t="shared" ref="O14:O15" si="9">ROUNDDOWN((O11-M11)/M11,2)</f>
        <v>-0.1</v>
      </c>
      <c r="P14" s="9"/>
      <c r="R14" s="19" t="s">
        <v>55</v>
      </c>
      <c r="S14" s="19">
        <f>ROUNDDOWN($U$2/(G8*$U$20),2)</f>
        <v>2.29</v>
      </c>
      <c r="T14" s="131">
        <f>ROUNDUP($U$2/(G8*$U$20),0)</f>
        <v>3</v>
      </c>
      <c r="U14" s="19">
        <f>ROUNDDOWN($U$2/(K8*$U$20),2)</f>
        <v>1.9</v>
      </c>
      <c r="V14" s="23">
        <f>ROUNDUP($U$2/(K8+$U$20),0)</f>
        <v>2</v>
      </c>
      <c r="W14" s="19">
        <f>ROUNDDOWN($U$2/(O8*$U$20),2)</f>
        <v>1.57</v>
      </c>
      <c r="X14" s="23">
        <f>ROUNDUP($U$2/(O8+$U$20),0)</f>
        <v>2</v>
      </c>
    </row>
    <row r="15" spans="1:24" ht="15.75" thickBot="1" x14ac:dyDescent="0.3">
      <c r="A15" s="125"/>
      <c r="B15" s="112" t="s">
        <v>14</v>
      </c>
      <c r="C15" s="88"/>
      <c r="D15" s="89"/>
      <c r="E15" s="90">
        <f t="shared" ref="E15" si="10">ROUNDDOWN((E12-C12)/C12,2)</f>
        <v>0</v>
      </c>
      <c r="F15" s="89"/>
      <c r="G15" s="48">
        <f t="shared" si="6"/>
        <v>0</v>
      </c>
      <c r="H15" s="89"/>
      <c r="I15" s="90">
        <f t="shared" si="7"/>
        <v>0</v>
      </c>
      <c r="J15" s="89"/>
      <c r="K15" s="49">
        <f t="shared" si="8"/>
        <v>0</v>
      </c>
      <c r="L15" s="89"/>
      <c r="M15" s="90">
        <f>ROUNDDOWN((M12-K12)/K12,2)</f>
        <v>0</v>
      </c>
      <c r="N15" s="89"/>
      <c r="O15" s="162">
        <f t="shared" si="9"/>
        <v>0</v>
      </c>
      <c r="P15" s="9"/>
      <c r="R15" s="13" t="s">
        <v>56</v>
      </c>
      <c r="S15" s="13">
        <f>ROUNDDOWN($U$2/(G16*$U$20),2)</f>
        <v>2.25</v>
      </c>
      <c r="T15" s="27">
        <f>ROUNDUP($U$2/(G16*$U$20),0)</f>
        <v>3</v>
      </c>
      <c r="U15" s="13">
        <f>ROUNDDOWN($U$2/(K8*$U$20),2)</f>
        <v>1.9</v>
      </c>
      <c r="V15" s="11">
        <f>ROUNDUP($U$2/(K16+$U$20),0)</f>
        <v>2</v>
      </c>
      <c r="W15" s="13">
        <f>ROUNDDOWN($U$2/(O16*$U$20),2)</f>
        <v>1.41</v>
      </c>
      <c r="X15" s="11">
        <f>ROUNDUP($U$2/(O16+$U$20),0)</f>
        <v>2</v>
      </c>
    </row>
    <row r="16" spans="1:24" ht="15.75" thickBot="1" x14ac:dyDescent="0.3">
      <c r="A16" s="21"/>
      <c r="B16" s="112" t="s">
        <v>18</v>
      </c>
      <c r="C16" s="14">
        <f>ROUNDDOWN(C10/C11,2)</f>
        <v>2</v>
      </c>
      <c r="D16" s="15"/>
      <c r="E16" s="15">
        <f>ROUNDDOWN(E10/E11,2)</f>
        <v>2.2200000000000002</v>
      </c>
      <c r="F16" s="15"/>
      <c r="G16" s="34">
        <f>ROUNDDOWN(G10/G11,2)</f>
        <v>2.46</v>
      </c>
      <c r="H16" s="15"/>
      <c r="I16" s="15">
        <f>ROUNDDOWN(I10/I11,2)</f>
        <v>2.77</v>
      </c>
      <c r="J16" s="15"/>
      <c r="K16" s="38">
        <f>ROUNDDOWN(K10/K11,2)</f>
        <v>3.12</v>
      </c>
      <c r="L16" s="15"/>
      <c r="M16" s="15">
        <f>ROUNDDOWN(M10/M11,2)</f>
        <v>3.5</v>
      </c>
      <c r="N16" s="15"/>
      <c r="O16" s="42">
        <f>ROUNDDOWN(O10/O11,2)</f>
        <v>3.92</v>
      </c>
      <c r="P16" s="9"/>
      <c r="R16" s="139" t="s">
        <v>57</v>
      </c>
      <c r="S16" s="28">
        <f>ROUNDDOWN($U$2/(E24*$U$20),2)</f>
        <v>2.27</v>
      </c>
      <c r="T16" s="140">
        <f>ROUNDUP($U$2/(E24*$U$20),0)</f>
        <v>3</v>
      </c>
      <c r="U16" s="28">
        <f>ROUNDDOWN($U$2/(G24*$U$20),2)</f>
        <v>1.86</v>
      </c>
      <c r="V16" s="7">
        <f>ROUNDUP($U$2/(G24+$U$20),0)</f>
        <v>2</v>
      </c>
      <c r="W16" s="28">
        <f>ROUNDDOWN($U$2/(I24*$U$20),2)</f>
        <v>1.5</v>
      </c>
      <c r="X16" s="7">
        <f>ROUNDUP($U$2/(I24+$U$20),0)</f>
        <v>2</v>
      </c>
    </row>
    <row r="17" spans="1:21" ht="15.75" thickBot="1" x14ac:dyDescent="0.3">
      <c r="A17" s="2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24"/>
    </row>
    <row r="18" spans="1:21" ht="15.75" thickBot="1" x14ac:dyDescent="0.3">
      <c r="A18" s="136" t="s">
        <v>26</v>
      </c>
      <c r="B18" s="111" t="s">
        <v>6</v>
      </c>
      <c r="C18" s="19">
        <f>$U$4</f>
        <v>2</v>
      </c>
      <c r="D18" s="12" t="s">
        <v>19</v>
      </c>
      <c r="E18" s="33" cm="1">
        <f t="array" ref="E18">_xlfn.IFS(D18="+",ROUNDDOWN(C18*$Q$2,2),D18="=",C18)</f>
        <v>2.2000000000000002</v>
      </c>
      <c r="F18" s="12" t="s">
        <v>19</v>
      </c>
      <c r="G18" s="37" cm="1">
        <f t="array" ref="G18">_xlfn.IFS(F18="+",ROUNDDOWN(E18*$Q$2,2),F18="=",E18)</f>
        <v>2.42</v>
      </c>
      <c r="H18" s="12" t="s">
        <v>19</v>
      </c>
      <c r="I18" s="40" cm="1">
        <f t="array" ref="I18">_xlfn.IFS(H18="+",ROUNDDOWN(G18*$Q$2,2),H18="=",G18)</f>
        <v>2.66</v>
      </c>
      <c r="J18" s="12" t="s">
        <v>19</v>
      </c>
      <c r="K18" s="12" cm="1">
        <f t="array" ref="K18">_xlfn.IFS(J18="+",ROUNDDOWN(I18*$Q$2,2),J18="=",I18)</f>
        <v>2.92</v>
      </c>
      <c r="L18" s="12" t="s">
        <v>19</v>
      </c>
      <c r="M18" s="12" cm="1">
        <f t="array" ref="M18">_xlfn.IFS(L18="+",ROUNDDOWN(K18*$Q$2,2),L18="=",K18)</f>
        <v>3.21</v>
      </c>
      <c r="N18" s="12" t="s">
        <v>19</v>
      </c>
      <c r="O18" s="29" cm="1">
        <f t="array" ref="O18">_xlfn.IFS(N18="+",ROUNDDOWN(M18*$Q$2,2),N18="=",M18)</f>
        <v>3.53</v>
      </c>
      <c r="P18" s="25"/>
      <c r="Q18" s="99"/>
      <c r="S18" s="127" t="s">
        <v>61</v>
      </c>
      <c r="T18" s="128"/>
      <c r="U18" s="129"/>
    </row>
    <row r="19" spans="1:21" ht="15.75" thickBot="1" x14ac:dyDescent="0.3">
      <c r="A19" s="137"/>
      <c r="B19" s="110" t="s">
        <v>28</v>
      </c>
      <c r="C19" s="13">
        <f>$V$4</f>
        <v>1</v>
      </c>
      <c r="D19" s="9" t="s">
        <v>19</v>
      </c>
      <c r="E19" s="170" cm="1">
        <f t="array" ref="E19">_xlfn.IFS(D19="+",ROUNDDOWN(C19*$Q$3,2),D19="=",C19)</f>
        <v>0.9</v>
      </c>
      <c r="F19" s="9" t="s">
        <v>19</v>
      </c>
      <c r="G19" s="171" cm="1">
        <f t="array" ref="G19">_xlfn.IFS(F19="+",ROUNDDOWN(E19*$Q$3,2),F19="=",E19)</f>
        <v>0.81</v>
      </c>
      <c r="H19" s="9" t="s">
        <v>19</v>
      </c>
      <c r="I19" s="172" cm="1">
        <f t="array" ref="I19">_xlfn.IFS(H19="+",ROUNDDOWN(G19*$Q$3,2),H19="=",G19)</f>
        <v>0.72</v>
      </c>
      <c r="J19" s="9" t="s">
        <v>19</v>
      </c>
      <c r="K19" s="9" cm="1">
        <f t="array" ref="K19">_xlfn.IFS(J19="+",ROUNDDOWN(I19*$Q$3,2),J19="=",I19)</f>
        <v>0.64</v>
      </c>
      <c r="L19" s="9" t="s">
        <v>19</v>
      </c>
      <c r="M19" s="9" cm="1">
        <f t="array" ref="M19">_xlfn.IFS(L19="+",ROUNDDOWN(K19*$Q$3,2),L19="=",K19)</f>
        <v>0.56999999999999995</v>
      </c>
      <c r="N19" s="9" t="s">
        <v>19</v>
      </c>
      <c r="O19" s="30" cm="1">
        <f t="array" ref="O19">_xlfn.IFS(N19="+",ROUNDDOWN(M19*$Q$3,2),N19="=",M19)</f>
        <v>0.51</v>
      </c>
      <c r="P19" s="26"/>
      <c r="Q19" s="99"/>
      <c r="S19" s="105" t="str">
        <f>T4</f>
        <v>Food</v>
      </c>
      <c r="T19" s="11" t="str">
        <f>T2</f>
        <v>Insect</v>
      </c>
      <c r="U19" s="8" t="s">
        <v>64</v>
      </c>
    </row>
    <row r="20" spans="1:21" x14ac:dyDescent="0.25">
      <c r="A20" s="137"/>
      <c r="B20" s="110" t="s">
        <v>11</v>
      </c>
      <c r="C20" s="55">
        <f>$W$4</f>
        <v>3</v>
      </c>
      <c r="D20" s="173" t="s">
        <v>19</v>
      </c>
      <c r="E20" s="174" cm="1">
        <f t="array" ref="E20">_xlfn.IFS(D20="+",ROUNDDOWN(C20*$Q$4,2),D20="=",C20)</f>
        <v>3.75</v>
      </c>
      <c r="F20" s="173" t="s">
        <v>19</v>
      </c>
      <c r="G20" s="175" cm="1">
        <f t="array" ref="G20">_xlfn.IFS(F20="+",ROUNDDOWN(E20*$Q$4,2),F20="=",E20)</f>
        <v>4.68</v>
      </c>
      <c r="H20" s="173" t="s">
        <v>19</v>
      </c>
      <c r="I20" s="176" cm="1">
        <f t="array" ref="I20">_xlfn.IFS(H20="+",ROUNDDOWN(G20*$Q$4,2),H20="=",G20)</f>
        <v>5.85</v>
      </c>
      <c r="J20" s="173" t="s">
        <v>19</v>
      </c>
      <c r="K20" s="173" cm="1">
        <f t="array" ref="K20">_xlfn.IFS(J20="+",ROUNDDOWN(I20*$Q$4,2),J20="=",I20)</f>
        <v>7.31</v>
      </c>
      <c r="L20" s="173" t="s">
        <v>19</v>
      </c>
      <c r="M20" s="173" cm="1">
        <f t="array" ref="M20">_xlfn.IFS(L20="+",ROUNDDOWN(K20*$Q$4,2),L20="=",K20)</f>
        <v>9.1300000000000008</v>
      </c>
      <c r="N20" s="173" t="s">
        <v>19</v>
      </c>
      <c r="O20" s="177" cm="1">
        <f t="array" ref="O20">_xlfn.IFS(N20="+",ROUNDDOWN(M20*$Q$4,2),N20="=",M20)</f>
        <v>11.41</v>
      </c>
      <c r="P20" s="26"/>
      <c r="Q20" s="99"/>
      <c r="S20" s="166" t="str">
        <f>HLOOKUP(T4,TOWER_TYP,VLOOKUP(T2,ENEMY_TYP,5,FALSE)+1,FALSE)</f>
        <v>-</v>
      </c>
      <c r="T20" s="167"/>
      <c r="U20" s="141" cm="1">
        <f t="array" ref="U20">_xlfn.IFS(S20="-", 1-Q7, S20="=",1,S20="+",1+Q7)</f>
        <v>0.9</v>
      </c>
    </row>
    <row r="21" spans="1:21" ht="15.75" thickBot="1" x14ac:dyDescent="0.3">
      <c r="A21" s="137"/>
      <c r="B21" s="110" t="s">
        <v>12</v>
      </c>
      <c r="C21" s="13"/>
      <c r="D21" s="9"/>
      <c r="E21" s="44">
        <f>ROUNDDOWN((E18-C18)/C18,2)</f>
        <v>0.1</v>
      </c>
      <c r="F21" s="9"/>
      <c r="G21" s="45">
        <f>ROUNDDOWN((G18-E18)/E18,2)</f>
        <v>0.09</v>
      </c>
      <c r="H21" s="9"/>
      <c r="I21" s="46">
        <f>ROUNDDOWN((I18-G18)/G18,2)</f>
        <v>0.09</v>
      </c>
      <c r="J21" s="9"/>
      <c r="K21" s="43">
        <f>ROUNDDOWN((K18-I18)/I18,2)</f>
        <v>0.09</v>
      </c>
      <c r="L21" s="9"/>
      <c r="M21" s="43">
        <f>ROUNDDOWN((M18-K18)/K18,2)</f>
        <v>0.09</v>
      </c>
      <c r="N21" s="9"/>
      <c r="O21" s="163">
        <f>ROUNDDOWN((O18-M18)/M18,2)</f>
        <v>0.09</v>
      </c>
      <c r="P21" s="27"/>
      <c r="Q21" s="99"/>
      <c r="S21" s="168"/>
      <c r="T21" s="169"/>
      <c r="U21" s="126"/>
    </row>
    <row r="22" spans="1:21" x14ac:dyDescent="0.25">
      <c r="A22" s="137"/>
      <c r="B22" s="110" t="s">
        <v>13</v>
      </c>
      <c r="C22" s="13"/>
      <c r="D22" s="9"/>
      <c r="E22" s="44">
        <f t="shared" ref="E22:E23" si="11">ROUNDDOWN((E19-C19)/C19,2)</f>
        <v>-0.1</v>
      </c>
      <c r="F22" s="9"/>
      <c r="G22" s="45">
        <f t="shared" ref="G22:G23" si="12">ROUNDDOWN((G19-E19)/E19,2)</f>
        <v>-0.1</v>
      </c>
      <c r="H22" s="9"/>
      <c r="I22" s="46">
        <f t="shared" ref="I22:I23" si="13">ROUNDDOWN((I19-G19)/G19,2)</f>
        <v>-0.11</v>
      </c>
      <c r="J22" s="9"/>
      <c r="K22" s="43">
        <f>ROUNDDOWN((K19-I19)/I19,2)</f>
        <v>-0.11</v>
      </c>
      <c r="L22" s="9"/>
      <c r="M22" s="43">
        <f>ROUNDDOWN((M19-K19)/K19,2)</f>
        <v>-0.1</v>
      </c>
      <c r="N22" s="9"/>
      <c r="O22" s="163">
        <f>ROUNDDOWN((O19-M19)/M19,2)</f>
        <v>-0.1</v>
      </c>
      <c r="P22" s="27"/>
      <c r="Q22" s="99"/>
      <c r="S22" s="99"/>
    </row>
    <row r="23" spans="1:21" ht="15.75" thickBot="1" x14ac:dyDescent="0.3">
      <c r="A23" s="138"/>
      <c r="B23" s="112" t="s">
        <v>14</v>
      </c>
      <c r="C23" s="14"/>
      <c r="D23" s="15"/>
      <c r="E23" s="48">
        <f t="shared" si="11"/>
        <v>0.25</v>
      </c>
      <c r="F23" s="15"/>
      <c r="G23" s="49">
        <f t="shared" si="12"/>
        <v>0.24</v>
      </c>
      <c r="H23" s="15"/>
      <c r="I23" s="50">
        <f t="shared" si="13"/>
        <v>0.25</v>
      </c>
      <c r="J23" s="15"/>
      <c r="K23" s="47">
        <f>ROUNDDOWN((K20-I20)/I20,2)</f>
        <v>0.24</v>
      </c>
      <c r="L23" s="15"/>
      <c r="M23" s="47">
        <f>ROUNDDOWN((M20-K20)/K20,2)</f>
        <v>0.24</v>
      </c>
      <c r="N23" s="15"/>
      <c r="O23" s="164">
        <f>ROUNDDOWN((O20-M20)/M20,2)</f>
        <v>0.24</v>
      </c>
      <c r="P23" s="27"/>
      <c r="Q23" s="99"/>
      <c r="S23" s="99"/>
    </row>
    <row r="24" spans="1:21" ht="15.75" thickBot="1" x14ac:dyDescent="0.3">
      <c r="A24" s="21"/>
      <c r="B24" s="112" t="s">
        <v>18</v>
      </c>
      <c r="C24" s="28">
        <f>ROUNDDOWN(C18/C19,2)</f>
        <v>2</v>
      </c>
      <c r="D24" s="6"/>
      <c r="E24" s="32">
        <f>ROUNDDOWN(E18/E19,2)</f>
        <v>2.44</v>
      </c>
      <c r="F24" s="6"/>
      <c r="G24" s="36">
        <f>ROUNDDOWN(G18/G19,2)</f>
        <v>2.98</v>
      </c>
      <c r="H24" s="6"/>
      <c r="I24" s="39">
        <f>ROUNDDOWN(I18/I19,2)</f>
        <v>3.69</v>
      </c>
      <c r="J24" s="6"/>
      <c r="K24" s="6">
        <f>ROUNDDOWN(K18/K19,2)</f>
        <v>4.5599999999999996</v>
      </c>
      <c r="L24" s="6"/>
      <c r="M24" s="6">
        <f>ROUNDDOWN(M18/M19,2)</f>
        <v>5.63</v>
      </c>
      <c r="N24" s="6"/>
      <c r="O24" s="7">
        <f>ROUNDDOWN(O18/O19,2)</f>
        <v>6.92</v>
      </c>
      <c r="P24" s="27"/>
      <c r="Q24" s="99"/>
      <c r="S24" s="99"/>
    </row>
    <row r="25" spans="1:21" ht="15.75" thickBot="1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4"/>
      <c r="Q25" s="99"/>
    </row>
    <row r="26" spans="1:21" x14ac:dyDescent="0.25">
      <c r="A26" s="123" t="s">
        <v>34</v>
      </c>
      <c r="B26" s="111" t="s">
        <v>6</v>
      </c>
      <c r="C26" s="19">
        <f>$U$4</f>
        <v>2</v>
      </c>
      <c r="D26" s="95" t="s">
        <v>19</v>
      </c>
      <c r="E26" s="96" cm="1">
        <f t="array" ref="E26">_xlfn.IFS(D26="+",ROUNDDOWN(C26*$Q$2,2),D26="=",C26)</f>
        <v>2.2000000000000002</v>
      </c>
      <c r="F26" s="95" t="s">
        <v>17</v>
      </c>
      <c r="G26" s="97" cm="1">
        <f t="array" ref="G26">_xlfn.IFS(F26="+",ROUNDDOWN(E26*$Q$2,2),F26="=",E26)</f>
        <v>2.2000000000000002</v>
      </c>
      <c r="H26" s="95" t="s">
        <v>19</v>
      </c>
      <c r="I26" s="96" cm="1">
        <f t="array" ref="I26">_xlfn.IFS(H26="+",ROUNDDOWN(G26*$Q$2,2),H26="=",G26)</f>
        <v>2.42</v>
      </c>
      <c r="J26" s="95" t="s">
        <v>17</v>
      </c>
      <c r="K26" s="98" cm="1">
        <f t="array" ref="K26">_xlfn.IFS(J26="+",ROUNDDOWN(I26*$Q$2,2),J26="=",I26)</f>
        <v>2.42</v>
      </c>
      <c r="L26" s="95" t="s">
        <v>17</v>
      </c>
      <c r="M26" s="96" cm="1">
        <f t="array" ref="M26">_xlfn.IFS(L26="+",ROUNDDOWN(K26*$Q$2,2),L26="=",K26)</f>
        <v>2.42</v>
      </c>
      <c r="N26" s="95" t="s">
        <v>17</v>
      </c>
      <c r="O26" s="158" cm="1">
        <f t="array" ref="O26">_xlfn.IFS(N26="+",ROUNDDOWN(M26*$Q$2,2),N26="=",M26)</f>
        <v>2.42</v>
      </c>
      <c r="P26" s="25"/>
      <c r="Q26" s="99"/>
    </row>
    <row r="27" spans="1:21" x14ac:dyDescent="0.25">
      <c r="A27" s="124"/>
      <c r="B27" s="110" t="s">
        <v>28</v>
      </c>
      <c r="C27" s="13">
        <f>$V$4</f>
        <v>1</v>
      </c>
      <c r="D27" s="52" t="s">
        <v>17</v>
      </c>
      <c r="E27" s="51" cm="1">
        <f t="array" ref="E27">_xlfn.IFS(D27="+",ROUNDDOWN(C27*$Q$3,2),D27="=",C27)</f>
        <v>1</v>
      </c>
      <c r="F27" s="52" t="s">
        <v>19</v>
      </c>
      <c r="G27" s="91" cm="1">
        <f t="array" ref="G27">_xlfn.IFS(F27="+",ROUNDDOWN(E27*$Q$3,2),F27="=",E27)</f>
        <v>0.9</v>
      </c>
      <c r="H27" s="52" t="s">
        <v>17</v>
      </c>
      <c r="I27" s="51" cm="1">
        <f t="array" ref="I27">_xlfn.IFS(H27="+",ROUNDDOWN(G27*$Q$3,2),H27="=",G27)</f>
        <v>0.9</v>
      </c>
      <c r="J27" s="52" t="s">
        <v>19</v>
      </c>
      <c r="K27" s="93" cm="1">
        <f t="array" ref="K27">_xlfn.IFS(J27="+",ROUNDDOWN(I27*$Q$3,2),J27="=",I27)</f>
        <v>0.81</v>
      </c>
      <c r="L27" s="52" t="s">
        <v>19</v>
      </c>
      <c r="M27" s="51" cm="1">
        <f t="array" ref="M27">_xlfn.IFS(L27="+",ROUNDDOWN(K27*$Q$3,2),L27="=",K27)</f>
        <v>0.72</v>
      </c>
      <c r="N27" s="52" t="s">
        <v>19</v>
      </c>
      <c r="O27" s="159" cm="1">
        <f t="array" ref="O27">_xlfn.IFS(N27="+",ROUNDDOWN(M27*$Q$3,2),N27="=",M27)</f>
        <v>0.64</v>
      </c>
      <c r="P27" s="26"/>
      <c r="Q27" s="99"/>
    </row>
    <row r="28" spans="1:21" x14ac:dyDescent="0.25">
      <c r="A28" s="124"/>
      <c r="B28" s="110" t="s">
        <v>11</v>
      </c>
      <c r="C28" s="55">
        <f>$W$4</f>
        <v>3</v>
      </c>
      <c r="D28" s="54" t="s">
        <v>17</v>
      </c>
      <c r="E28" s="53" cm="1">
        <f t="array" ref="E28">_xlfn.IFS(D28="+",ROUNDDOWN(C28*$Q$4,2),D28="=",C28)</f>
        <v>3</v>
      </c>
      <c r="F28" s="54" t="s">
        <v>17</v>
      </c>
      <c r="G28" s="92" cm="1">
        <f t="array" ref="G28">_xlfn.IFS(F28="+",ROUNDDOWN(E28*$Q$4,2),F28="=",E28)</f>
        <v>3</v>
      </c>
      <c r="H28" s="54" t="s">
        <v>17</v>
      </c>
      <c r="I28" s="53" cm="1">
        <f t="array" ref="I28">_xlfn.IFS(H28="+",ROUNDDOWN(G28*$Q$4,2),H28="=",G28)</f>
        <v>3</v>
      </c>
      <c r="J28" s="54" t="s">
        <v>17</v>
      </c>
      <c r="K28" s="94" cm="1">
        <f t="array" ref="K28">_xlfn.IFS(J28="+",ROUNDDOWN(I28*$Q$4,2),J28="=",I28)</f>
        <v>3</v>
      </c>
      <c r="L28" s="54" t="s">
        <v>17</v>
      </c>
      <c r="M28" s="53" cm="1">
        <f t="array" ref="M28">_xlfn.IFS(L28="+",ROUNDDOWN(K28*$Q$4,2),L28="=",K28)</f>
        <v>3</v>
      </c>
      <c r="N28" s="54" t="s">
        <v>17</v>
      </c>
      <c r="O28" s="160" cm="1">
        <f t="array" ref="O28">_xlfn.IFS(N28="+",ROUNDDOWN(M28*$Q$4,2),N28="=",M28)</f>
        <v>3</v>
      </c>
      <c r="P28" s="26"/>
      <c r="Q28" s="99"/>
    </row>
    <row r="29" spans="1:21" x14ac:dyDescent="0.25">
      <c r="A29" s="124"/>
      <c r="B29" s="110" t="s">
        <v>12</v>
      </c>
      <c r="C29" s="86"/>
      <c r="D29" s="27"/>
      <c r="E29" s="87">
        <f>ROUNDDOWN((E26-C26)/C26,2)</f>
        <v>0.1</v>
      </c>
      <c r="F29" s="27"/>
      <c r="G29" s="44">
        <f>ROUNDDOWN((G26-E26)/E26,2)</f>
        <v>0</v>
      </c>
      <c r="H29" s="27"/>
      <c r="I29" s="87">
        <f>ROUNDDOWN((I26-G26)/G26,2)</f>
        <v>0.09</v>
      </c>
      <c r="J29" s="27"/>
      <c r="K29" s="45">
        <f>ROUNDDOWN((K26-I26)/I26,2)</f>
        <v>0</v>
      </c>
      <c r="L29" s="27"/>
      <c r="M29" s="87">
        <f>ROUNDDOWN((M26-K26)/K26,2)</f>
        <v>0</v>
      </c>
      <c r="N29" s="27"/>
      <c r="O29" s="161">
        <f>ROUNDDOWN((O26-M26)/M26,2)</f>
        <v>0</v>
      </c>
      <c r="Q29" s="99"/>
    </row>
    <row r="30" spans="1:21" x14ac:dyDescent="0.25">
      <c r="A30" s="124"/>
      <c r="B30" s="110" t="s">
        <v>13</v>
      </c>
      <c r="C30" s="86"/>
      <c r="D30" s="27"/>
      <c r="E30" s="87">
        <f t="shared" ref="E30:E31" si="14">ROUNDDOWN((E27-C27)/C27,2)</f>
        <v>0</v>
      </c>
      <c r="F30" s="27"/>
      <c r="G30" s="44">
        <f t="shared" ref="G30:G31" si="15">ROUNDDOWN((G27-E27)/E27,2)</f>
        <v>-0.1</v>
      </c>
      <c r="H30" s="27"/>
      <c r="I30" s="87">
        <f t="shared" ref="I30:I31" si="16">ROUNDDOWN((I27-G27)/G27,2)</f>
        <v>0</v>
      </c>
      <c r="J30" s="27"/>
      <c r="K30" s="45">
        <f>ROUNDDOWN((K27-I27)/I27,2)</f>
        <v>-0.1</v>
      </c>
      <c r="L30" s="27"/>
      <c r="M30" s="87">
        <f>ROUNDDOWN((M27-K27)/K27,2)</f>
        <v>-0.11</v>
      </c>
      <c r="N30" s="27"/>
      <c r="O30" s="161">
        <f>ROUNDDOWN((O27-M27)/M27,2)</f>
        <v>-0.11</v>
      </c>
      <c r="Q30" s="99"/>
    </row>
    <row r="31" spans="1:21" ht="15.75" thickBot="1" x14ac:dyDescent="0.3">
      <c r="A31" s="125"/>
      <c r="B31" s="112" t="s">
        <v>14</v>
      </c>
      <c r="C31" s="88"/>
      <c r="D31" s="89"/>
      <c r="E31" s="90">
        <f t="shared" si="14"/>
        <v>0</v>
      </c>
      <c r="F31" s="89"/>
      <c r="G31" s="48">
        <f t="shared" si="15"/>
        <v>0</v>
      </c>
      <c r="H31" s="89"/>
      <c r="I31" s="90">
        <f t="shared" si="16"/>
        <v>0</v>
      </c>
      <c r="J31" s="89"/>
      <c r="K31" s="49">
        <f>ROUNDDOWN((K28-I28)/I28,2)</f>
        <v>0</v>
      </c>
      <c r="L31" s="89"/>
      <c r="M31" s="90">
        <f>ROUNDDOWN((M28-K28)/K28,2)</f>
        <v>0</v>
      </c>
      <c r="N31" s="89"/>
      <c r="O31" s="162">
        <f>ROUNDDOWN((O28-M28)/M28,2)</f>
        <v>0</v>
      </c>
      <c r="Q31" s="99"/>
    </row>
    <row r="32" spans="1:21" ht="15.75" thickBot="1" x14ac:dyDescent="0.3">
      <c r="A32" s="21"/>
      <c r="B32" s="112" t="s">
        <v>18</v>
      </c>
      <c r="C32" s="28">
        <f>ROUNDDOWN(C26/C27,2)</f>
        <v>2</v>
      </c>
      <c r="D32" s="6"/>
      <c r="E32" s="6">
        <f>ROUNDDOWN(E26/E27,2)</f>
        <v>2.2000000000000002</v>
      </c>
      <c r="F32" s="6"/>
      <c r="G32" s="32">
        <f>ROUNDDOWN(G26/G27,2)</f>
        <v>2.44</v>
      </c>
      <c r="H32" s="6"/>
      <c r="I32" s="6">
        <f>ROUNDDOWN(I26/I27,2)</f>
        <v>2.68</v>
      </c>
      <c r="J32" s="6"/>
      <c r="K32" s="36">
        <f>ROUNDDOWN(K26/K27,2)</f>
        <v>2.98</v>
      </c>
      <c r="L32" s="6"/>
      <c r="M32" s="6">
        <f>ROUNDDOWN(M26/M27,2)</f>
        <v>3.36</v>
      </c>
      <c r="N32" s="6"/>
      <c r="O32" s="165">
        <f>ROUNDDOWN(O26/O27,2)</f>
        <v>3.78</v>
      </c>
      <c r="Q32" s="99"/>
    </row>
    <row r="33" spans="17:17" x14ac:dyDescent="0.25">
      <c r="Q33" s="99"/>
    </row>
    <row r="34" spans="17:17" x14ac:dyDescent="0.25">
      <c r="Q34" s="99"/>
    </row>
    <row r="35" spans="17:17" x14ac:dyDescent="0.25">
      <c r="Q35" s="99"/>
    </row>
    <row r="36" spans="17:17" x14ac:dyDescent="0.25">
      <c r="Q36" s="99"/>
    </row>
    <row r="37" spans="17:17" x14ac:dyDescent="0.25">
      <c r="Q37" s="99"/>
    </row>
    <row r="38" spans="17:17" x14ac:dyDescent="0.25">
      <c r="Q38" s="99"/>
    </row>
    <row r="39" spans="17:17" x14ac:dyDescent="0.25">
      <c r="Q39" s="99"/>
    </row>
    <row r="40" spans="17:17" x14ac:dyDescent="0.25">
      <c r="Q40" s="99"/>
    </row>
    <row r="41" spans="17:17" x14ac:dyDescent="0.25">
      <c r="Q41" s="99"/>
    </row>
    <row r="42" spans="17:17" x14ac:dyDescent="0.25">
      <c r="Q42" s="99"/>
    </row>
  </sheetData>
  <mergeCells count="10">
    <mergeCell ref="U20:U21"/>
    <mergeCell ref="S12:T12"/>
    <mergeCell ref="U12:V12"/>
    <mergeCell ref="W12:X12"/>
    <mergeCell ref="A26:A31"/>
    <mergeCell ref="A2:A7"/>
    <mergeCell ref="A10:A15"/>
    <mergeCell ref="A18:A23"/>
    <mergeCell ref="S18:U18"/>
    <mergeCell ref="S20:T21"/>
  </mergeCells>
  <phoneticPr fontId="2" type="noConversion"/>
  <conditionalFormatting sqref="S14:S16">
    <cfRule type="colorScale" priority="121">
      <colorScale>
        <cfvo type="min"/>
        <cfvo type="max"/>
        <color rgb="FF63BE7B"/>
        <color rgb="FFFFEF9C"/>
      </colorScale>
    </cfRule>
  </conditionalFormatting>
  <conditionalFormatting sqref="U14:U16">
    <cfRule type="colorScale" priority="120">
      <colorScale>
        <cfvo type="min"/>
        <cfvo type="max"/>
        <color rgb="FF63BE7B"/>
        <color rgb="FFFFEF9C"/>
      </colorScale>
    </cfRule>
  </conditionalFormatting>
  <conditionalFormatting sqref="V14:V16">
    <cfRule type="colorScale" priority="112">
      <colorScale>
        <cfvo type="num" val="1"/>
        <cfvo type="percentile" val="50"/>
        <cfvo type="num" val="10"/>
        <color theme="9"/>
        <color rgb="FFFFEB84"/>
        <color rgb="FFFF3B3B"/>
      </colorScale>
    </cfRule>
  </conditionalFormatting>
  <conditionalFormatting sqref="S14:S16 U14:U16 W14:W16">
    <cfRule type="colorScale" priority="122">
      <colorScale>
        <cfvo type="min"/>
        <cfvo type="max"/>
        <color rgb="FF63BE7B"/>
        <color rgb="FFFFEF9C"/>
      </colorScale>
    </cfRule>
  </conditionalFormatting>
  <conditionalFormatting sqref="T14:T16">
    <cfRule type="colorScale" priority="113">
      <colorScale>
        <cfvo type="num" val="1"/>
        <cfvo type="percent" val="50"/>
        <cfvo type="num" val="10"/>
        <color theme="9"/>
        <color rgb="FFFFEB84"/>
        <color rgb="FFFF0000"/>
      </colorScale>
    </cfRule>
  </conditionalFormatting>
  <conditionalFormatting sqref="W14:W16">
    <cfRule type="colorScale" priority="35">
      <colorScale>
        <cfvo type="min"/>
        <cfvo type="max"/>
        <color rgb="FF63BE7B"/>
        <color rgb="FFFFEF9C"/>
      </colorScale>
    </cfRule>
  </conditionalFormatting>
  <conditionalFormatting sqref="X14:X16">
    <cfRule type="colorScale" priority="34">
      <colorScale>
        <cfvo type="num" val="1"/>
        <cfvo type="percentile" val="50"/>
        <cfvo type="num" val="10"/>
        <color theme="9"/>
        <color rgb="FFFFEB84"/>
        <color rgb="FFFF3B3B"/>
      </colorScale>
    </cfRule>
  </conditionalFormatting>
  <dataValidations count="5">
    <dataValidation type="list" allowBlank="1" showInputMessage="1" showErrorMessage="1" sqref="B2:B7 B10:B15 B18:B23 B26:B31" xr:uid="{B79DFF3F-F3F2-4D26-BF72-10F2B485B797}">
      <formula1>TowerStat</formula1>
    </dataValidation>
    <dataValidation type="list" allowBlank="1" showInputMessage="1" showErrorMessage="1" sqref="L2:L7 N2:N7 D2:D7 F2:F7 H2:H7 J2:J7 L10:L15 L18:L23 J18:J23 D18:D23 F18:F23 H18:H23 J26:J31 N10:N15 J10:J15 H10:H15 F10:F15 D26:D31 F26:F31 H26:H31 L26:L31 N26:N31 D10:D15 N18:N23" xr:uid="{44475DCD-E93B-4817-AA4F-5E6FBC088EBF}">
      <formula1>SIGN</formula1>
    </dataValidation>
    <dataValidation type="list" allowBlank="1" showInputMessage="1" showErrorMessage="1" sqref="S2" xr:uid="{AFB5BA6A-BBB2-47F1-A8F2-92AD1BD90543}">
      <formula1>CODE_ENEMIES</formula1>
    </dataValidation>
    <dataValidation type="list" allowBlank="1" showInputMessage="1" showErrorMessage="1" sqref="S4" xr:uid="{AD1B0E1A-9992-4005-A59C-05195FE02FED}">
      <formula1>CODE_TOWER</formula1>
    </dataValidation>
    <dataValidation type="list" allowBlank="1" showInputMessage="1" showErrorMessage="1" sqref="Q10" xr:uid="{D777C75E-5123-4061-A4DA-FA2F950126E5}">
      <formula1>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9" operator="containsText" id="{74138143-82D2-4CE5-AD69-CF59FE61399E}">
            <xm:f>NOT(ISERROR(SEARCH("+",S20)))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10" operator="containsText" id="{9D76D12F-6BEE-4489-A295-4E922A0FBBC4}">
            <xm:f>NOT(ISERROR(SEARCH("=",S20)))</xm:f>
            <xm:f>"="</xm:f>
            <x14:dxf>
              <fill>
                <patternFill>
                  <bgColor theme="7"/>
                </patternFill>
              </fill>
            </x14:dxf>
          </x14:cfRule>
          <x14:cfRule type="containsText" priority="111" operator="containsText" id="{E9F72C4A-16C6-4621-92C2-89CA7529C324}">
            <xm:f>NOT(ISERROR(SEARCH("-",S20)))</xm:f>
            <xm:f>"-"</xm:f>
            <x14:dxf>
              <fill>
                <patternFill>
                  <bgColor rgb="FFFF0000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type="containsText" priority="108" operator="containsText" id="{2AD1BC60-E30F-428A-9D6A-F33807D1DEA2}">
            <xm:f>NOT(ISERROR(SEARCH("+",D2)))</xm:f>
            <xm:f>"+"</xm:f>
            <x14:dxf>
              <fill>
                <patternFill>
                  <bgColor theme="9"/>
                </patternFill>
              </fill>
            </x14:dxf>
          </x14:cfRule>
          <xm:sqref>D2:D4</xm:sqref>
        </x14:conditionalFormatting>
        <x14:conditionalFormatting xmlns:xm="http://schemas.microsoft.com/office/excel/2006/main">
          <x14:cfRule type="containsText" priority="106" operator="containsText" id="{51515DF7-973E-479D-80CF-E74AED33E69B}">
            <xm:f>NOT(ISERROR(SEARCH("+",D2)))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07" operator="containsText" id="{7A4301DD-B1C1-4563-81C0-9F06CB1F2863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D2:D4 F2:F4</xm:sqref>
        </x14:conditionalFormatting>
        <x14:conditionalFormatting xmlns:xm="http://schemas.microsoft.com/office/excel/2006/main">
          <x14:cfRule type="containsText" priority="104" operator="containsText" id="{2FAACCD8-AD4E-43F4-8DF0-94AE9C40D5D7}">
            <xm:f>NOT(ISERROR(SEARCH("+",H2)))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05" operator="containsText" id="{9A946C8C-EFA6-4E78-8B8C-9D997725073B}">
            <xm:f>NOT(ISERROR(SEARCH("=",H2)))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H2:H4</xm:sqref>
        </x14:conditionalFormatting>
        <x14:conditionalFormatting xmlns:xm="http://schemas.microsoft.com/office/excel/2006/main">
          <x14:cfRule type="containsText" priority="102" operator="containsText" id="{827BFD7B-76E9-4E90-8DC2-3FF9E715C874}">
            <xm:f>NOT(ISERROR(SEARCH("+",J2)))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03" operator="containsText" id="{93F606DB-A697-4731-A8DA-00E2BD165B98}">
            <xm:f>NOT(ISERROR(SEARCH("=",J2)))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J2:J4</xm:sqref>
        </x14:conditionalFormatting>
        <x14:conditionalFormatting xmlns:xm="http://schemas.microsoft.com/office/excel/2006/main">
          <x14:cfRule type="containsText" priority="100" operator="containsText" id="{02F09476-D5CB-4A72-A26F-29867485A200}">
            <xm:f>NOT(ISERROR(SEARCH("+",L2)))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01" operator="containsText" id="{ED4C9090-F340-4360-99F5-83B0FF226B3B}">
            <xm:f>NOT(ISERROR(SEARCH("=",L2)))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L2:L4</xm:sqref>
        </x14:conditionalFormatting>
        <x14:conditionalFormatting xmlns:xm="http://schemas.microsoft.com/office/excel/2006/main">
          <x14:cfRule type="containsText" priority="98" operator="containsText" id="{F9A38554-60B2-4119-B5E3-915FBD61FF4A}">
            <xm:f>NOT(ISERROR(SEARCH("+",N2)))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99" operator="containsText" id="{AE7901D3-9F12-4810-B86F-C0052020916E}">
            <xm:f>NOT(ISERROR(SEARCH("=",N2)))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N2:N4</xm:sqref>
        </x14:conditionalFormatting>
        <x14:conditionalFormatting xmlns:xm="http://schemas.microsoft.com/office/excel/2006/main">
          <x14:cfRule type="containsText" priority="33" operator="containsText" id="{9022E428-2B99-4547-B016-5F648A0EE6C8}">
            <xm:f>NOT(ISERROR(SEARCH("+",D10)))</xm:f>
            <xm:f>"+"</xm:f>
            <x14:dxf>
              <fill>
                <patternFill>
                  <bgColor theme="9"/>
                </patternFill>
              </fill>
            </x14:dxf>
          </x14:cfRule>
          <xm:sqref>D10:D12</xm:sqref>
        </x14:conditionalFormatting>
        <x14:conditionalFormatting xmlns:xm="http://schemas.microsoft.com/office/excel/2006/main">
          <x14:cfRule type="containsText" priority="31" operator="containsText" id="{3613872B-8E26-4E32-B728-FE868128B3CC}">
            <xm:f>NOT(ISERROR(SEARCH("+",D10)))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32" operator="containsText" id="{0295EE13-F3E4-42A7-B03A-C9E89BF0898D}">
            <xm:f>NOT(ISERROR(SEARCH("=",D10)))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D10:D12 F10:F12</xm:sqref>
        </x14:conditionalFormatting>
        <x14:conditionalFormatting xmlns:xm="http://schemas.microsoft.com/office/excel/2006/main">
          <x14:cfRule type="containsText" priority="29" operator="containsText" id="{9A725895-1B12-463F-B468-A41E583A5D36}">
            <xm:f>NOT(ISERROR(SEARCH("+",H10)))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30" operator="containsText" id="{6C2C1EB8-B593-489F-883C-FC3753134B38}">
            <xm:f>NOT(ISERROR(SEARCH("=",H10)))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H10:H12</xm:sqref>
        </x14:conditionalFormatting>
        <x14:conditionalFormatting xmlns:xm="http://schemas.microsoft.com/office/excel/2006/main">
          <x14:cfRule type="containsText" priority="27" operator="containsText" id="{28C98CFA-9FFE-4EEA-8A0E-07053DDDD5D3}">
            <xm:f>NOT(ISERROR(SEARCH("+",J10)))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28" operator="containsText" id="{9A9E3456-04CE-4E97-84EC-C0F8DEF1CB41}">
            <xm:f>NOT(ISERROR(SEARCH("=",J10)))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J10:J12</xm:sqref>
        </x14:conditionalFormatting>
        <x14:conditionalFormatting xmlns:xm="http://schemas.microsoft.com/office/excel/2006/main">
          <x14:cfRule type="containsText" priority="25" operator="containsText" id="{3A919163-38DF-4017-A4FB-81E9C2598249}">
            <xm:f>NOT(ISERROR(SEARCH("+",L10)))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26" operator="containsText" id="{E4443240-01C2-4E5A-827E-63A4CB1F7D1B}">
            <xm:f>NOT(ISERROR(SEARCH("=",L10)))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L10:L12</xm:sqref>
        </x14:conditionalFormatting>
        <x14:conditionalFormatting xmlns:xm="http://schemas.microsoft.com/office/excel/2006/main">
          <x14:cfRule type="containsText" priority="23" operator="containsText" id="{63D89BCB-F68D-4D95-960D-1FC02FA11E50}">
            <xm:f>NOT(ISERROR(SEARCH("+",N10)))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24" operator="containsText" id="{5C6AE51D-6073-4DC1-ABB7-AFB79463E6A3}">
            <xm:f>NOT(ISERROR(SEARCH("=",N10)))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N10:N12</xm:sqref>
        </x14:conditionalFormatting>
        <x14:conditionalFormatting xmlns:xm="http://schemas.microsoft.com/office/excel/2006/main">
          <x14:cfRule type="containsText" priority="22" operator="containsText" id="{6CBC564A-36E0-4EE2-B680-9E7EEFB7E999}">
            <xm:f>NOT(ISERROR(SEARCH("+",D26)))</xm:f>
            <xm:f>"+"</xm:f>
            <x14:dxf>
              <fill>
                <patternFill>
                  <bgColor theme="9"/>
                </patternFill>
              </fill>
            </x14:dxf>
          </x14:cfRule>
          <xm:sqref>D26:D28</xm:sqref>
        </x14:conditionalFormatting>
        <x14:conditionalFormatting xmlns:xm="http://schemas.microsoft.com/office/excel/2006/main">
          <x14:cfRule type="containsText" priority="20" operator="containsText" id="{6CB0A892-B025-4ACE-BB7F-047CD62326BF}">
            <xm:f>NOT(ISERROR(SEARCH("+",D26)))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21" operator="containsText" id="{7CF9D375-E318-4BC5-9124-BEFBBD4E022D}">
            <xm:f>NOT(ISERROR(SEARCH("=",D26)))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D26:D28 F26:F28</xm:sqref>
        </x14:conditionalFormatting>
        <x14:conditionalFormatting xmlns:xm="http://schemas.microsoft.com/office/excel/2006/main">
          <x14:cfRule type="containsText" priority="18" operator="containsText" id="{0C11FF9A-837E-4D1C-BEF3-21F706066FFC}">
            <xm:f>NOT(ISERROR(SEARCH("+",H26)))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9" operator="containsText" id="{0811E072-65E7-494F-80FB-8615CE9E673D}">
            <xm:f>NOT(ISERROR(SEARCH("=",H26)))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H26:H28</xm:sqref>
        </x14:conditionalFormatting>
        <x14:conditionalFormatting xmlns:xm="http://schemas.microsoft.com/office/excel/2006/main">
          <x14:cfRule type="containsText" priority="16" operator="containsText" id="{3193C08D-B6C5-42B1-999B-5BBE9D117BEC}">
            <xm:f>NOT(ISERROR(SEARCH("+",J26)))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7" operator="containsText" id="{CC38B4F7-B593-44CF-A012-706746012D38}">
            <xm:f>NOT(ISERROR(SEARCH("=",J26)))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J26:J28</xm:sqref>
        </x14:conditionalFormatting>
        <x14:conditionalFormatting xmlns:xm="http://schemas.microsoft.com/office/excel/2006/main">
          <x14:cfRule type="containsText" priority="14" operator="containsText" id="{ECE784F1-BB29-4FA8-BEBB-A91FD5CD1E38}">
            <xm:f>NOT(ISERROR(SEARCH("+",L26)))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5" operator="containsText" id="{380D97BB-1CB9-483B-AD88-FB6003C68F2D}">
            <xm:f>NOT(ISERROR(SEARCH("=",L26)))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L26:L28</xm:sqref>
        </x14:conditionalFormatting>
        <x14:conditionalFormatting xmlns:xm="http://schemas.microsoft.com/office/excel/2006/main">
          <x14:cfRule type="containsText" priority="12" operator="containsText" id="{C5C067A8-605E-4A1A-9D8C-BD0C1D06EDEC}">
            <xm:f>NOT(ISERROR(SEARCH("+",N26)))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3" operator="containsText" id="{6F21BADB-44DD-4FEF-B4D3-E9319AD2DE7C}">
            <xm:f>NOT(ISERROR(SEARCH("=",N26)))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N26:N28</xm:sqref>
        </x14:conditionalFormatting>
        <x14:conditionalFormatting xmlns:xm="http://schemas.microsoft.com/office/excel/2006/main">
          <x14:cfRule type="containsText" priority="11" operator="containsText" id="{4795E197-7472-4585-B426-68A65B72EAF2}">
            <xm:f>NOT(ISERROR(SEARCH("+",D18)))</xm:f>
            <xm:f>"+"</xm:f>
            <x14:dxf>
              <fill>
                <patternFill>
                  <bgColor theme="9"/>
                </patternFill>
              </fill>
            </x14:dxf>
          </x14:cfRule>
          <xm:sqref>D18:D20</xm:sqref>
        </x14:conditionalFormatting>
        <x14:conditionalFormatting xmlns:xm="http://schemas.microsoft.com/office/excel/2006/main">
          <x14:cfRule type="containsText" priority="9" operator="containsText" id="{6D2B5C69-3CDA-43EB-AA19-340DB3E100DB}">
            <xm:f>NOT(ISERROR(SEARCH("+",D18)))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10" operator="containsText" id="{F194721A-26B3-4BF8-8B6F-617BEC316A7B}">
            <xm:f>NOT(ISERROR(SEARCH("=",D18)))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D18:D20 F18:F20</xm:sqref>
        </x14:conditionalFormatting>
        <x14:conditionalFormatting xmlns:xm="http://schemas.microsoft.com/office/excel/2006/main">
          <x14:cfRule type="containsText" priority="7" operator="containsText" id="{E2813ADB-01FE-47EA-92D6-865E84A34D6E}">
            <xm:f>NOT(ISERROR(SEARCH("+",H18)))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8" operator="containsText" id="{5536F0DC-9AFA-4904-BD5D-536F87B90077}">
            <xm:f>NOT(ISERROR(SEARCH("=",H18)))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H18:H20</xm:sqref>
        </x14:conditionalFormatting>
        <x14:conditionalFormatting xmlns:xm="http://schemas.microsoft.com/office/excel/2006/main">
          <x14:cfRule type="containsText" priority="5" operator="containsText" id="{C7530994-AB34-476E-9F81-96587D9AB1DD}">
            <xm:f>NOT(ISERROR(SEARCH("+",J18)))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6" operator="containsText" id="{9CB31A14-AD47-45CD-BAD3-4528763694C2}">
            <xm:f>NOT(ISERROR(SEARCH("=",J18)))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J18:J20</xm:sqref>
        </x14:conditionalFormatting>
        <x14:conditionalFormatting xmlns:xm="http://schemas.microsoft.com/office/excel/2006/main">
          <x14:cfRule type="containsText" priority="3" operator="containsText" id="{45AC044F-0312-4DEB-BA39-301B6E140078}">
            <xm:f>NOT(ISERROR(SEARCH("+",L18)))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4" operator="containsText" id="{23B823D8-64D7-4D8B-8886-E0493EF45CE5}">
            <xm:f>NOT(ISERROR(SEARCH("=",L18)))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L18:L20</xm:sqref>
        </x14:conditionalFormatting>
        <x14:conditionalFormatting xmlns:xm="http://schemas.microsoft.com/office/excel/2006/main">
          <x14:cfRule type="containsText" priority="1" operator="containsText" id="{97B24114-97F1-4D2E-BF3C-82E24D799419}">
            <xm:f>NOT(ISERROR(SEARCH("+",N18)))</xm:f>
            <xm:f>"+"</xm:f>
            <x14:dxf>
              <fill>
                <patternFill>
                  <bgColor theme="9"/>
                </patternFill>
              </fill>
            </x14:dxf>
          </x14:cfRule>
          <x14:cfRule type="containsText" priority="2" operator="containsText" id="{138902FA-B262-45F5-80A2-4A99FCAD1B53}">
            <xm:f>NOT(ISERROR(SEARCH("=",N18)))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N18:N20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154"/>
      <c r="B1" s="154" t="s">
        <v>95</v>
      </c>
      <c r="C1" s="154" t="s">
        <v>72</v>
      </c>
      <c r="D1" s="154" t="s">
        <v>79</v>
      </c>
      <c r="E1" s="154" t="s">
        <v>80</v>
      </c>
      <c r="F1" s="154" t="s">
        <v>81</v>
      </c>
      <c r="G1" s="154" t="s">
        <v>82</v>
      </c>
      <c r="H1" s="154" t="s">
        <v>83</v>
      </c>
      <c r="I1" s="154" t="s">
        <v>84</v>
      </c>
      <c r="J1" s="154" t="s">
        <v>85</v>
      </c>
      <c r="K1" s="154" t="s">
        <v>86</v>
      </c>
      <c r="L1" s="154" t="s">
        <v>87</v>
      </c>
      <c r="M1" s="154" t="s">
        <v>88</v>
      </c>
      <c r="N1" s="154" t="s">
        <v>89</v>
      </c>
      <c r="O1" s="154" t="s">
        <v>90</v>
      </c>
      <c r="P1" s="154" t="s">
        <v>91</v>
      </c>
      <c r="Q1" s="154" t="s">
        <v>92</v>
      </c>
      <c r="R1" s="154" t="s">
        <v>93</v>
      </c>
      <c r="S1" s="154" t="s">
        <v>94</v>
      </c>
    </row>
    <row r="2" spans="1:19" x14ac:dyDescent="0.25">
      <c r="A2" s="154" t="s">
        <v>74</v>
      </c>
      <c r="B2" s="154">
        <f>B14</f>
        <v>1</v>
      </c>
      <c r="C2" s="154">
        <f>B2+$E$11</f>
        <v>3.6666666666666665</v>
      </c>
      <c r="D2" s="154">
        <f t="shared" ref="D2:H2" si="0">C2+$E$11</f>
        <v>6.333333333333333</v>
      </c>
      <c r="E2" s="154">
        <f t="shared" si="0"/>
        <v>9</v>
      </c>
      <c r="F2" s="154">
        <f t="shared" si="0"/>
        <v>11.666666666666666</v>
      </c>
      <c r="G2" s="154">
        <f t="shared" si="0"/>
        <v>14.333333333333332</v>
      </c>
      <c r="H2" s="154">
        <f t="shared" si="0"/>
        <v>17</v>
      </c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x14ac:dyDescent="0.25">
      <c r="A3" s="154" t="s">
        <v>75</v>
      </c>
      <c r="B3" s="154">
        <f>B15</f>
        <v>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10" spans="1:19" x14ac:dyDescent="0.25">
      <c r="A10" s="156"/>
      <c r="B10" s="156"/>
      <c r="C10" s="156"/>
    </row>
    <row r="11" spans="1:19" x14ac:dyDescent="0.25">
      <c r="A11" s="154" t="s">
        <v>71</v>
      </c>
      <c r="B11" s="155">
        <v>6</v>
      </c>
      <c r="C11" s="156"/>
      <c r="D11" t="s">
        <v>77</v>
      </c>
      <c r="E11">
        <f>(B18-B14)/$B$11</f>
        <v>2.6666666666666665</v>
      </c>
    </row>
    <row r="12" spans="1:19" x14ac:dyDescent="0.25">
      <c r="A12" s="156"/>
      <c r="B12" s="156"/>
      <c r="C12" s="156"/>
      <c r="D12" t="s">
        <v>78</v>
      </c>
    </row>
    <row r="13" spans="1:19" x14ac:dyDescent="0.25">
      <c r="A13" s="154" t="s">
        <v>76</v>
      </c>
      <c r="B13" s="154"/>
      <c r="C13" s="156"/>
    </row>
    <row r="14" spans="1:19" x14ac:dyDescent="0.25">
      <c r="A14" s="154" t="s">
        <v>74</v>
      </c>
      <c r="B14" s="155">
        <v>1</v>
      </c>
      <c r="C14" s="156"/>
    </row>
    <row r="15" spans="1:19" x14ac:dyDescent="0.25">
      <c r="A15" s="154" t="s">
        <v>75</v>
      </c>
      <c r="B15" s="155">
        <v>3</v>
      </c>
      <c r="C15" s="156"/>
    </row>
    <row r="16" spans="1:19" x14ac:dyDescent="0.25">
      <c r="A16" s="156"/>
      <c r="B16" s="156"/>
      <c r="C16" s="156"/>
    </row>
    <row r="17" spans="1:3" x14ac:dyDescent="0.25">
      <c r="A17" s="154" t="s">
        <v>73</v>
      </c>
      <c r="B17" s="154"/>
      <c r="C17" s="156"/>
    </row>
    <row r="18" spans="1:3" x14ac:dyDescent="0.25">
      <c r="A18" s="154" t="s">
        <v>74</v>
      </c>
      <c r="B18" s="155">
        <v>17</v>
      </c>
      <c r="C18" s="156"/>
    </row>
    <row r="19" spans="1:3" x14ac:dyDescent="0.25">
      <c r="A19" s="154" t="s">
        <v>75</v>
      </c>
      <c r="B19" s="155">
        <v>27</v>
      </c>
      <c r="C19" s="156"/>
    </row>
    <row r="20" spans="1:3" x14ac:dyDescent="0.25">
      <c r="A20" s="156"/>
      <c r="B20" s="156"/>
      <c r="C20" s="15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P11"/>
  <sheetViews>
    <sheetView workbookViewId="0">
      <selection activeCell="F11" sqref="F11"/>
    </sheetView>
  </sheetViews>
  <sheetFormatPr baseColWidth="10" defaultRowHeight="15" x14ac:dyDescent="0.25"/>
  <cols>
    <col min="1" max="1" width="13.5703125" customWidth="1"/>
    <col min="2" max="2" width="5.7109375" customWidth="1"/>
  </cols>
  <sheetData>
    <row r="1" spans="1:16" x14ac:dyDescent="0.25">
      <c r="A1" s="63">
        <v>1</v>
      </c>
      <c r="B1" s="63">
        <v>2</v>
      </c>
      <c r="C1" s="63">
        <v>3</v>
      </c>
      <c r="D1" s="63">
        <v>4</v>
      </c>
      <c r="E1" s="83">
        <v>5</v>
      </c>
      <c r="F1" s="64"/>
      <c r="G1" s="64"/>
      <c r="H1" s="64"/>
      <c r="I1" s="64"/>
      <c r="J1" s="64"/>
      <c r="K1" s="64"/>
      <c r="L1" s="63"/>
      <c r="M1" s="63"/>
      <c r="N1" s="63"/>
      <c r="O1" s="63"/>
    </row>
    <row r="2" spans="1:16" ht="15.75" thickBot="1" x14ac:dyDescent="0.3">
      <c r="A2" s="67" t="s">
        <v>36</v>
      </c>
      <c r="B2" s="68" t="s">
        <v>37</v>
      </c>
      <c r="C2" s="68" t="s">
        <v>39</v>
      </c>
      <c r="D2" s="68" t="s">
        <v>48</v>
      </c>
      <c r="E2" s="78" t="s">
        <v>47</v>
      </c>
      <c r="F2" s="65" t="s">
        <v>46</v>
      </c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1:16" x14ac:dyDescent="0.25">
      <c r="A3" s="3" t="str">
        <f>_xlfn.CONCAT(B3,"_",LEFT(C3,4),"_",LEFT(D3,4))</f>
        <v>1_Inse_Norm</v>
      </c>
      <c r="B3" s="75">
        <v>1</v>
      </c>
      <c r="C3" s="69" t="s">
        <v>42</v>
      </c>
      <c r="D3" s="80" t="s">
        <v>52</v>
      </c>
      <c r="E3" s="84">
        <v>5</v>
      </c>
      <c r="F3" s="134">
        <v>3</v>
      </c>
      <c r="G3" s="66"/>
      <c r="H3" s="66"/>
      <c r="I3" s="66"/>
      <c r="J3" s="66"/>
      <c r="K3" s="66"/>
      <c r="L3" s="66"/>
      <c r="M3" s="66"/>
      <c r="N3" s="66"/>
      <c r="O3" s="66"/>
      <c r="P3" s="66"/>
    </row>
    <row r="4" spans="1:16" x14ac:dyDescent="0.25">
      <c r="A4" s="4" t="str">
        <f t="shared" ref="A4:A11" si="0">_xlfn.CONCAT(B4,"_",LEFT(C4,4),"_",LEFT(D4,4))</f>
        <v>2_Inse_Inta</v>
      </c>
      <c r="B4" s="76">
        <v>2</v>
      </c>
      <c r="C4" s="70" t="s">
        <v>42</v>
      </c>
      <c r="D4" s="81" t="s">
        <v>51</v>
      </c>
      <c r="E4" s="79">
        <v>4</v>
      </c>
      <c r="F4" s="135">
        <v>5</v>
      </c>
      <c r="G4" s="66"/>
      <c r="H4" s="66"/>
      <c r="I4" s="66"/>
      <c r="J4" s="66"/>
      <c r="K4" s="66"/>
      <c r="L4" s="66"/>
      <c r="M4" s="66"/>
      <c r="N4" s="66"/>
      <c r="O4" s="66"/>
      <c r="P4" s="66"/>
    </row>
    <row r="5" spans="1:16" x14ac:dyDescent="0.25">
      <c r="A5" s="4" t="str">
        <f t="shared" si="0"/>
        <v>3_Inse_Sabo</v>
      </c>
      <c r="B5" s="76">
        <v>3</v>
      </c>
      <c r="C5" s="70" t="s">
        <v>42</v>
      </c>
      <c r="D5" s="81" t="s">
        <v>50</v>
      </c>
      <c r="E5" s="79">
        <v>10</v>
      </c>
      <c r="F5" s="73">
        <v>2</v>
      </c>
    </row>
    <row r="6" spans="1:16" x14ac:dyDescent="0.25">
      <c r="A6" s="4" t="str">
        <f t="shared" si="0"/>
        <v>4_Ghos_Norm</v>
      </c>
      <c r="B6" s="76">
        <v>4</v>
      </c>
      <c r="C6" s="70" t="s">
        <v>43</v>
      </c>
      <c r="D6" s="81" t="s">
        <v>52</v>
      </c>
      <c r="E6" s="79">
        <v>5</v>
      </c>
      <c r="F6" s="73">
        <v>3</v>
      </c>
    </row>
    <row r="7" spans="1:16" x14ac:dyDescent="0.25">
      <c r="A7" s="4" t="str">
        <f t="shared" si="0"/>
        <v>5_Ghos_Inta</v>
      </c>
      <c r="B7" s="76">
        <v>5</v>
      </c>
      <c r="C7" s="70" t="s">
        <v>43</v>
      </c>
      <c r="D7" s="81" t="s">
        <v>51</v>
      </c>
      <c r="E7" s="79">
        <v>4</v>
      </c>
      <c r="F7" s="73">
        <v>5</v>
      </c>
    </row>
    <row r="8" spans="1:16" x14ac:dyDescent="0.25">
      <c r="A8" s="4" t="str">
        <f t="shared" si="0"/>
        <v>6_Ghos_Sabo</v>
      </c>
      <c r="B8" s="76">
        <v>6</v>
      </c>
      <c r="C8" s="70" t="s">
        <v>43</v>
      </c>
      <c r="D8" s="81" t="s">
        <v>50</v>
      </c>
      <c r="E8" s="79">
        <v>10</v>
      </c>
      <c r="F8" s="73">
        <v>2</v>
      </c>
    </row>
    <row r="9" spans="1:16" x14ac:dyDescent="0.25">
      <c r="A9" s="4" t="str">
        <f t="shared" si="0"/>
        <v>7_Vege_Norm</v>
      </c>
      <c r="B9" s="76">
        <v>7</v>
      </c>
      <c r="C9" s="70" t="s">
        <v>44</v>
      </c>
      <c r="D9" s="81" t="s">
        <v>52</v>
      </c>
      <c r="E9" s="79">
        <v>5</v>
      </c>
      <c r="F9" s="73">
        <v>3</v>
      </c>
    </row>
    <row r="10" spans="1:16" x14ac:dyDescent="0.25">
      <c r="A10" s="4" t="str">
        <f t="shared" si="0"/>
        <v>8_Vege_Inta</v>
      </c>
      <c r="B10" s="76">
        <v>8</v>
      </c>
      <c r="C10" s="70" t="s">
        <v>44</v>
      </c>
      <c r="D10" s="81" t="s">
        <v>51</v>
      </c>
      <c r="E10" s="79">
        <v>4</v>
      </c>
      <c r="F10" s="73">
        <v>5</v>
      </c>
    </row>
    <row r="11" spans="1:16" ht="15.75" thickBot="1" x14ac:dyDescent="0.3">
      <c r="A11" s="5" t="str">
        <f t="shared" si="0"/>
        <v>9_Vege_Sabo</v>
      </c>
      <c r="B11" s="77">
        <v>9</v>
      </c>
      <c r="C11" s="71" t="s">
        <v>44</v>
      </c>
      <c r="D11" s="82" t="s">
        <v>50</v>
      </c>
      <c r="E11" s="85">
        <v>10</v>
      </c>
      <c r="F11" s="74">
        <v>2</v>
      </c>
    </row>
  </sheetData>
  <dataValidations count="2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FUN_ENEMIES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H11"/>
  <sheetViews>
    <sheetView workbookViewId="0">
      <selection activeCell="F2" sqref="F2"/>
    </sheetView>
  </sheetViews>
  <sheetFormatPr baseColWidth="10" defaultRowHeight="15" x14ac:dyDescent="0.25"/>
  <cols>
    <col min="1" max="1" width="13.85546875" customWidth="1"/>
    <col min="2" max="2" width="5.7109375" customWidth="1"/>
    <col min="3" max="3" width="14.28515625" customWidth="1"/>
    <col min="8" max="8" width="14.28515625" customWidth="1"/>
  </cols>
  <sheetData>
    <row r="1" spans="1:8" x14ac:dyDescent="0.25">
      <c r="A1" s="63">
        <v>1</v>
      </c>
      <c r="B1" s="63">
        <v>2</v>
      </c>
      <c r="C1" s="63">
        <v>3</v>
      </c>
      <c r="D1" s="63">
        <v>4</v>
      </c>
      <c r="E1" s="83">
        <v>5</v>
      </c>
      <c r="F1" s="63">
        <v>6</v>
      </c>
      <c r="G1" s="63">
        <v>7</v>
      </c>
      <c r="H1" s="63">
        <v>8</v>
      </c>
    </row>
    <row r="2" spans="1:8" ht="15.75" thickBot="1" x14ac:dyDescent="0.3">
      <c r="A2" s="67" t="s">
        <v>36</v>
      </c>
      <c r="B2" s="68" t="s">
        <v>37</v>
      </c>
      <c r="C2" s="68" t="s">
        <v>39</v>
      </c>
      <c r="D2" s="68" t="s">
        <v>38</v>
      </c>
      <c r="E2" s="78" t="s">
        <v>6</v>
      </c>
      <c r="F2" s="78" t="s">
        <v>28</v>
      </c>
      <c r="G2" s="78" t="s">
        <v>40</v>
      </c>
      <c r="H2" s="78" t="s">
        <v>66</v>
      </c>
    </row>
    <row r="3" spans="1:8" x14ac:dyDescent="0.25">
      <c r="A3" s="3" t="str">
        <f>_xlfn.CONCAT(B3,"_",LEFT(C3,4),"_",LEFT(D3,4),)</f>
        <v>1_Food_Atta</v>
      </c>
      <c r="B3" s="75">
        <v>1</v>
      </c>
      <c r="C3" s="80" t="s">
        <v>8</v>
      </c>
      <c r="D3" s="80" t="s">
        <v>6</v>
      </c>
      <c r="E3" s="80">
        <v>2</v>
      </c>
      <c r="F3" s="84">
        <v>1</v>
      </c>
      <c r="G3" s="84">
        <v>3</v>
      </c>
      <c r="H3" s="72">
        <v>15</v>
      </c>
    </row>
    <row r="4" spans="1:8" x14ac:dyDescent="0.25">
      <c r="A4" s="4" t="str">
        <f t="shared" ref="A4:A11" si="0">_xlfn.CONCAT(B4,"_",LEFT(C4,4),"_",LEFT(D4,4),)</f>
        <v>2_Trap_Fire</v>
      </c>
      <c r="B4" s="76">
        <v>2</v>
      </c>
      <c r="C4" s="81" t="s">
        <v>59</v>
      </c>
      <c r="D4" s="81" t="s">
        <v>28</v>
      </c>
      <c r="E4" s="81">
        <v>1</v>
      </c>
      <c r="F4" s="79">
        <v>0.5</v>
      </c>
      <c r="G4" s="79">
        <v>3</v>
      </c>
      <c r="H4" s="73">
        <v>15</v>
      </c>
    </row>
    <row r="5" spans="1:8" x14ac:dyDescent="0.25">
      <c r="A5" s="4" t="str">
        <f t="shared" si="0"/>
        <v>3_Ener_Reac</v>
      </c>
      <c r="B5" s="76">
        <v>3</v>
      </c>
      <c r="C5" s="81" t="s">
        <v>9</v>
      </c>
      <c r="D5" s="81" t="s">
        <v>11</v>
      </c>
      <c r="E5" s="81">
        <v>1</v>
      </c>
      <c r="F5" s="79">
        <v>1</v>
      </c>
      <c r="G5" s="79">
        <v>5</v>
      </c>
      <c r="H5" s="73">
        <v>15</v>
      </c>
    </row>
    <row r="6" spans="1:8" x14ac:dyDescent="0.25">
      <c r="A6" s="4" t="str">
        <f t="shared" si="0"/>
        <v>4_Food_Atta</v>
      </c>
      <c r="B6" s="76">
        <v>4</v>
      </c>
      <c r="C6" s="81" t="s">
        <v>8</v>
      </c>
      <c r="D6" s="81" t="s">
        <v>6</v>
      </c>
      <c r="E6" s="81">
        <v>2</v>
      </c>
      <c r="F6" s="79">
        <v>1</v>
      </c>
      <c r="G6" s="79">
        <v>3</v>
      </c>
      <c r="H6" s="73">
        <v>15</v>
      </c>
    </row>
    <row r="7" spans="1:8" x14ac:dyDescent="0.25">
      <c r="A7" s="4" t="str">
        <f t="shared" si="0"/>
        <v>5_Trap_Fire</v>
      </c>
      <c r="B7" s="76">
        <v>5</v>
      </c>
      <c r="C7" s="81" t="s">
        <v>59</v>
      </c>
      <c r="D7" s="81" t="s">
        <v>28</v>
      </c>
      <c r="E7" s="81">
        <v>1</v>
      </c>
      <c r="F7" s="79">
        <v>0.5</v>
      </c>
      <c r="G7" s="79">
        <v>3</v>
      </c>
      <c r="H7" s="73">
        <v>15</v>
      </c>
    </row>
    <row r="8" spans="1:8" x14ac:dyDescent="0.25">
      <c r="A8" s="4" t="str">
        <f t="shared" si="0"/>
        <v>6_Ener_Reac</v>
      </c>
      <c r="B8" s="76">
        <v>6</v>
      </c>
      <c r="C8" s="81" t="s">
        <v>9</v>
      </c>
      <c r="D8" s="81" t="s">
        <v>11</v>
      </c>
      <c r="E8" s="81">
        <v>1</v>
      </c>
      <c r="F8" s="79">
        <v>1</v>
      </c>
      <c r="G8" s="79">
        <v>5</v>
      </c>
      <c r="H8" s="73">
        <v>15</v>
      </c>
    </row>
    <row r="9" spans="1:8" x14ac:dyDescent="0.25">
      <c r="A9" s="4" t="str">
        <f t="shared" si="0"/>
        <v>7_Food_Atta</v>
      </c>
      <c r="B9" s="76">
        <v>7</v>
      </c>
      <c r="C9" s="81" t="s">
        <v>8</v>
      </c>
      <c r="D9" s="81" t="s">
        <v>6</v>
      </c>
      <c r="E9" s="81">
        <v>2</v>
      </c>
      <c r="F9" s="79">
        <v>1</v>
      </c>
      <c r="G9" s="79">
        <v>3</v>
      </c>
      <c r="H9" s="73">
        <v>15</v>
      </c>
    </row>
    <row r="10" spans="1:8" x14ac:dyDescent="0.25">
      <c r="A10" s="4" t="str">
        <f t="shared" si="0"/>
        <v>8_Trap_Fire</v>
      </c>
      <c r="B10" s="76">
        <v>8</v>
      </c>
      <c r="C10" s="81" t="s">
        <v>59</v>
      </c>
      <c r="D10" s="81" t="s">
        <v>28</v>
      </c>
      <c r="E10" s="81">
        <v>1</v>
      </c>
      <c r="F10" s="79">
        <v>0.5</v>
      </c>
      <c r="G10" s="79">
        <v>3</v>
      </c>
      <c r="H10" s="73">
        <v>15</v>
      </c>
    </row>
    <row r="11" spans="1:8" ht="15.75" thickBot="1" x14ac:dyDescent="0.3">
      <c r="A11" s="5" t="str">
        <f t="shared" si="0"/>
        <v>9_Ener_Reac</v>
      </c>
      <c r="B11" s="77">
        <v>9</v>
      </c>
      <c r="C11" s="82" t="s">
        <v>9</v>
      </c>
      <c r="D11" s="82" t="s">
        <v>11</v>
      </c>
      <c r="E11" s="82">
        <v>1</v>
      </c>
      <c r="F11" s="85">
        <v>1</v>
      </c>
      <c r="G11" s="85">
        <v>5</v>
      </c>
      <c r="H11" s="74">
        <v>15</v>
      </c>
    </row>
  </sheetData>
  <dataValidations count="2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73D61FB5-2803-49E3-AC90-E14781E2A050}">
      <formula1>STA_TOWER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J9"/>
  <sheetViews>
    <sheetView workbookViewId="0">
      <selection activeCell="B7" sqref="B7"/>
    </sheetView>
  </sheetViews>
  <sheetFormatPr baseColWidth="10" defaultRowHeight="15" x14ac:dyDescent="0.25"/>
  <cols>
    <col min="1" max="1" width="2.85546875" customWidth="1"/>
    <col min="2" max="2" width="14.28515625" customWidth="1"/>
    <col min="3" max="3" width="2.85546875" customWidth="1"/>
    <col min="5" max="5" width="2.85546875" customWidth="1"/>
    <col min="6" max="6" width="12.85546875" customWidth="1"/>
    <col min="7" max="7" width="2.85546875" customWidth="1"/>
    <col min="8" max="8" width="14.28515625" customWidth="1"/>
    <col min="9" max="9" width="2.85546875" customWidth="1"/>
    <col min="11" max="11" width="2.85546875" customWidth="1"/>
  </cols>
  <sheetData>
    <row r="1" spans="2:10" ht="15.75" thickBot="1" x14ac:dyDescent="0.3">
      <c r="B1" s="143" t="s">
        <v>10</v>
      </c>
      <c r="D1" s="143" t="s">
        <v>35</v>
      </c>
      <c r="F1" s="143" t="s">
        <v>5</v>
      </c>
      <c r="H1" s="143" t="s">
        <v>45</v>
      </c>
      <c r="J1" s="143" t="s">
        <v>41</v>
      </c>
    </row>
    <row r="2" spans="2:10" x14ac:dyDescent="0.25">
      <c r="B2" s="59" t="s">
        <v>7</v>
      </c>
      <c r="C2" s="60"/>
      <c r="D2" s="56" t="s">
        <v>20</v>
      </c>
      <c r="E2" s="60"/>
      <c r="F2" s="61" t="s">
        <v>6</v>
      </c>
      <c r="H2" s="4" t="s">
        <v>42</v>
      </c>
      <c r="J2" s="4" t="s">
        <v>8</v>
      </c>
    </row>
    <row r="3" spans="2:10" x14ac:dyDescent="0.25">
      <c r="B3" s="59" t="s">
        <v>8</v>
      </c>
      <c r="C3" s="60"/>
      <c r="D3" s="57" t="s">
        <v>19</v>
      </c>
      <c r="E3" s="60"/>
      <c r="F3" s="59" t="s">
        <v>28</v>
      </c>
      <c r="H3" s="4" t="s">
        <v>43</v>
      </c>
      <c r="J3" s="4" t="s">
        <v>7</v>
      </c>
    </row>
    <row r="4" spans="2:10" ht="15.75" thickBot="1" x14ac:dyDescent="0.3">
      <c r="B4" s="62" t="s">
        <v>9</v>
      </c>
      <c r="C4" s="60"/>
      <c r="D4" s="57" t="s">
        <v>17</v>
      </c>
      <c r="E4" s="60"/>
      <c r="F4" s="59" t="s">
        <v>11</v>
      </c>
      <c r="H4" s="5" t="s">
        <v>44</v>
      </c>
      <c r="J4" s="5" t="s">
        <v>9</v>
      </c>
    </row>
    <row r="5" spans="2:10" ht="15.75" thickBot="1" x14ac:dyDescent="0.3">
      <c r="B5" s="60"/>
      <c r="C5" s="60"/>
      <c r="D5" s="57" t="s">
        <v>21</v>
      </c>
      <c r="E5" s="60"/>
      <c r="F5" s="59" t="s">
        <v>12</v>
      </c>
      <c r="H5" s="78"/>
    </row>
    <row r="6" spans="2:10" ht="15.75" thickBot="1" x14ac:dyDescent="0.3">
      <c r="B6" s="143" t="s">
        <v>70</v>
      </c>
      <c r="C6" s="60"/>
      <c r="D6" s="58" t="s">
        <v>22</v>
      </c>
      <c r="E6" s="60"/>
      <c r="F6" s="59" t="s">
        <v>13</v>
      </c>
      <c r="H6" s="143" t="s">
        <v>49</v>
      </c>
    </row>
    <row r="7" spans="2:10" ht="15.75" thickBot="1" x14ac:dyDescent="0.3">
      <c r="B7" s="59" t="s">
        <v>0</v>
      </c>
      <c r="C7" s="60"/>
      <c r="D7" s="60"/>
      <c r="E7" s="60"/>
      <c r="F7" s="62" t="s">
        <v>14</v>
      </c>
      <c r="H7" s="4" t="s">
        <v>52</v>
      </c>
    </row>
    <row r="8" spans="2:10" x14ac:dyDescent="0.25">
      <c r="B8" s="59" t="s">
        <v>2</v>
      </c>
      <c r="H8" s="4" t="s">
        <v>51</v>
      </c>
    </row>
    <row r="9" spans="2:10" ht="15.75" thickBot="1" x14ac:dyDescent="0.3">
      <c r="B9" s="62" t="s">
        <v>1</v>
      </c>
      <c r="H9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1:H5"/>
  <sheetViews>
    <sheetView workbookViewId="0">
      <selection activeCell="C20" sqref="C20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C2" s="151" t="s">
        <v>8</v>
      </c>
      <c r="D2" s="152" t="s">
        <v>9</v>
      </c>
      <c r="E2" s="153" t="s">
        <v>59</v>
      </c>
    </row>
    <row r="3" spans="2:8" x14ac:dyDescent="0.25">
      <c r="B3" s="146" t="s">
        <v>44</v>
      </c>
      <c r="C3" s="102" t="s">
        <v>19</v>
      </c>
      <c r="D3" s="149" t="s">
        <v>21</v>
      </c>
      <c r="E3" s="150" t="s">
        <v>17</v>
      </c>
      <c r="F3">
        <v>1</v>
      </c>
      <c r="G3" t="s">
        <v>59</v>
      </c>
      <c r="H3" t="s">
        <v>42</v>
      </c>
    </row>
    <row r="4" spans="2:8" ht="15.75" customHeight="1" x14ac:dyDescent="0.25">
      <c r="B4" s="147" t="s">
        <v>43</v>
      </c>
      <c r="C4" s="144" t="s">
        <v>17</v>
      </c>
      <c r="D4" s="102" t="s">
        <v>19</v>
      </c>
      <c r="E4" s="100" t="s">
        <v>21</v>
      </c>
      <c r="F4">
        <v>2</v>
      </c>
      <c r="G4" s="130" t="str">
        <f>HLOOKUP(G3,C2:E5,VLOOKUP(H3,B3:F5,5,FALSE)+1,FALSE)</f>
        <v>+</v>
      </c>
      <c r="H4" s="130"/>
    </row>
    <row r="5" spans="2:8" ht="15.75" thickBot="1" x14ac:dyDescent="0.3">
      <c r="B5" s="148" t="s">
        <v>42</v>
      </c>
      <c r="C5" s="145" t="s">
        <v>21</v>
      </c>
      <c r="D5" s="101" t="s">
        <v>17</v>
      </c>
      <c r="E5" s="103" t="s">
        <v>19</v>
      </c>
      <c r="F5">
        <v>3</v>
      </c>
      <c r="G5" s="130"/>
      <c r="H5" s="130"/>
    </row>
  </sheetData>
  <mergeCells count="1">
    <mergeCell ref="G4:H5"/>
  </mergeCells>
  <dataValidations count="2">
    <dataValidation type="list" allowBlank="1" showInputMessage="1" showErrorMessage="1" sqref="G3" xr:uid="{8A2B3C0A-1B84-4160-829F-96DB22A7AAAE}">
      <formula1>TOWER_TYP</formula1>
    </dataValidation>
    <dataValidation type="list" allowBlank="1" showInputMessage="1" showErrorMessage="1" sqref="H3" xr:uid="{9A1B5EA6-293C-4A39-82B9-2C20CB41C823}">
      <formula1>ENEMY_TYP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12</vt:i4>
      </vt:variant>
    </vt:vector>
  </HeadingPairs>
  <TitlesOfParts>
    <vt:vector size="18" baseType="lpstr">
      <vt:lpstr>TowerStatsCalc</vt:lpstr>
      <vt:lpstr>Feuil1</vt:lpstr>
      <vt:lpstr>Enemies</vt:lpstr>
      <vt:lpstr>Tower</vt:lpstr>
      <vt:lpstr>Data</vt:lpstr>
      <vt:lpstr>Weak</vt:lpstr>
      <vt:lpstr>CAT_ENEMIES</vt:lpstr>
      <vt:lpstr>CAT_TOWER</vt:lpstr>
      <vt:lpstr>CODE_ENEMIES</vt:lpstr>
      <vt:lpstr>CODE_TOWER</vt:lpstr>
      <vt:lpstr>ENEMIES</vt:lpstr>
      <vt:lpstr>ENEMY_TYP</vt:lpstr>
      <vt:lpstr>FUN_ENEMIES</vt:lpstr>
      <vt:lpstr>SIGN</vt:lpstr>
      <vt:lpstr>STA_TOWER</vt:lpstr>
      <vt:lpstr>TOWER</vt:lpstr>
      <vt:lpstr>TOWER_TYP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2022-11-23T12:37:54Z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