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199FA701-AC1A-471B-BBEA-D989010DB06F}" xr6:coauthVersionLast="47" xr6:coauthVersionMax="47" xr10:uidLastSave="{00000000-0000-0000-0000-000000000000}"/>
  <bookViews>
    <workbookView xWindow="-15" yWindow="840" windowWidth="21600" windowHeight="11295" tabRatio="754" firstSheet="3" activeTab="5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4" l="1"/>
  <c r="Z8" i="4"/>
  <c r="V8" i="4"/>
  <c r="X7" i="4"/>
  <c r="Z7" i="4"/>
  <c r="V7" i="4"/>
  <c r="J6" i="8"/>
  <c r="G4" i="8"/>
  <c r="G5" i="8"/>
  <c r="M7" i="4"/>
  <c r="O7" i="4" s="1"/>
  <c r="Q7" i="4" s="1"/>
  <c r="S7" i="4" s="1"/>
  <c r="I6" i="4"/>
  <c r="I8" i="4"/>
  <c r="I10" i="4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P15" i="11"/>
  <c r="G15" i="11"/>
  <c r="D15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M14" i="10"/>
  <c r="J14" i="10"/>
  <c r="S14" i="10"/>
  <c r="P15" i="10"/>
  <c r="S15" i="10"/>
  <c r="A26" i="10"/>
  <c r="A27" i="10"/>
  <c r="A28" i="10"/>
  <c r="A29" i="10"/>
  <c r="A30" i="10"/>
  <c r="A31" i="10"/>
  <c r="A32" i="10"/>
  <c r="A33" i="10"/>
  <c r="A25" i="10"/>
  <c r="C4" i="10"/>
  <c r="C5" i="10"/>
  <c r="D18" i="10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J5" i="8"/>
  <c r="J4" i="8"/>
  <c r="J3" i="8"/>
  <c r="J12" i="8" s="1"/>
  <c r="D10" i="8"/>
  <c r="C10" i="8"/>
  <c r="E4" i="8"/>
  <c r="F4" i="8"/>
  <c r="E5" i="8"/>
  <c r="F5" i="8"/>
  <c r="D5" i="8"/>
  <c r="D4" i="8"/>
  <c r="A4" i="8"/>
  <c r="A5" i="8"/>
  <c r="B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7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M15" i="10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P14" i="11" l="1"/>
  <c r="G14" i="10"/>
  <c r="S14" i="11"/>
  <c r="P14" i="10"/>
  <c r="D14" i="10"/>
  <c r="D16" i="10" s="1"/>
  <c r="G13" i="10" s="1"/>
  <c r="M14" i="11"/>
  <c r="J15" i="10"/>
  <c r="S15" i="11"/>
  <c r="J15" i="11"/>
  <c r="M15" i="11"/>
  <c r="D15" i="10"/>
  <c r="N9" i="8"/>
  <c r="C39" i="11"/>
  <c r="G21" i="1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I7" i="4"/>
  <c r="AK19" i="11" s="1"/>
  <c r="AH19" i="11"/>
  <c r="M19" i="10"/>
  <c r="Y19" i="11"/>
  <c r="AE19" i="11"/>
  <c r="AB19" i="11"/>
  <c r="D19" i="11"/>
  <c r="J20" i="11"/>
  <c r="AB20" i="11"/>
  <c r="Y20" i="11"/>
  <c r="G19" i="11"/>
  <c r="G20" i="11"/>
  <c r="AH20" i="11"/>
  <c r="V20" i="11"/>
  <c r="AK20" i="11"/>
  <c r="S19" i="10"/>
  <c r="M19" i="11"/>
  <c r="D19" i="10"/>
  <c r="P19" i="10"/>
  <c r="J19" i="10"/>
  <c r="D20" i="11"/>
  <c r="V19" i="11"/>
  <c r="P20" i="11"/>
  <c r="J19" i="11"/>
  <c r="S19" i="11"/>
  <c r="P19" i="11"/>
  <c r="AE20" i="11"/>
  <c r="S20" i="11"/>
  <c r="C37" i="11"/>
  <c r="P33" i="1"/>
  <c r="T18" i="1" s="1"/>
  <c r="P9" i="8"/>
  <c r="T33" i="1"/>
  <c r="C17" i="1" s="1"/>
  <c r="I22" i="1" s="1" a="1"/>
  <c r="I22" i="1" s="1"/>
  <c r="R33" i="1"/>
  <c r="V33" i="1"/>
  <c r="C18" i="1" s="1"/>
  <c r="I18" i="1" s="1" a="1"/>
  <c r="I18" i="1" s="1"/>
  <c r="B38" i="11"/>
  <c r="C38" i="11" s="1"/>
  <c r="J9" i="8"/>
  <c r="L9" i="8"/>
  <c r="G16" i="11"/>
  <c r="J13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17" i="5"/>
  <c r="Q12" i="4"/>
  <c r="M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S6" i="4" s="1" a="1"/>
  <c r="S6" i="4" s="1"/>
  <c r="U12" i="4"/>
  <c r="M5" i="4" s="1"/>
  <c r="O5" i="4" s="1" a="1"/>
  <c r="O5" i="4" s="1"/>
  <c r="Q5" i="4" s="1" a="1"/>
  <c r="Q5" i="4" s="1"/>
  <c r="S5" i="4" s="1" a="1"/>
  <c r="S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O3" i="4" l="1" a="1"/>
  <c r="O3" i="4" s="1"/>
  <c r="L16" i="4"/>
  <c r="J16" i="11"/>
  <c r="M13" i="11" s="1"/>
  <c r="M16" i="11" s="1"/>
  <c r="P13" i="11" s="1"/>
  <c r="P16" i="11" s="1"/>
  <c r="S13" i="11" s="1"/>
  <c r="S16" i="11" s="1"/>
  <c r="C16" i="1"/>
  <c r="E16" i="1" s="1" a="1"/>
  <c r="E16" i="1" s="1"/>
  <c r="G16" i="1" s="1" a="1"/>
  <c r="G16" i="1" s="1"/>
  <c r="D21" i="10"/>
  <c r="G18" i="10" s="1"/>
  <c r="D22" i="11"/>
  <c r="G18" i="11" s="1"/>
  <c r="G22" i="11" s="1"/>
  <c r="J18" i="11" s="1"/>
  <c r="J22" i="11" s="1"/>
  <c r="E17" i="1" a="1"/>
  <c r="E17" i="1" s="1"/>
  <c r="G17" i="1" a="1"/>
  <c r="G17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Q3" i="4" l="1" a="1"/>
  <c r="Q3" i="4" s="1"/>
  <c r="M16" i="4"/>
  <c r="Q4" i="4" a="1"/>
  <c r="Q4" i="4" s="1"/>
  <c r="S4" i="4" s="1" a="1"/>
  <c r="S4" i="4" s="1"/>
  <c r="S9" i="4" s="1"/>
  <c r="I16" i="1" a="1"/>
  <c r="I16" i="1" s="1"/>
  <c r="M18" i="11"/>
  <c r="M22" i="11" s="1"/>
  <c r="Q10" i="1" a="1"/>
  <c r="Q10" i="1" s="1"/>
  <c r="M14" i="1" a="1"/>
  <c r="M14" i="1" s="1"/>
  <c r="M20" i="1" s="1" a="1"/>
  <c r="M20" i="1" s="1"/>
  <c r="H29" i="1" s="1"/>
  <c r="O9" i="4"/>
  <c r="O8" i="4" s="1"/>
  <c r="S3" i="4" l="1" a="1"/>
  <c r="S3" i="4" s="1"/>
  <c r="O16" i="4" s="1"/>
  <c r="N16" i="4"/>
  <c r="Q9" i="4"/>
  <c r="Q8" i="4" s="1"/>
  <c r="P18" i="1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8" i="4" l="1"/>
  <c r="S18" i="1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L12" i="8"/>
  <c r="K12" i="8"/>
  <c r="M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<sst xmlns="http://schemas.openxmlformats.org/spreadsheetml/2006/main" count="777" uniqueCount="222">
  <si>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</si>
  <si>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</si>
  <si>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</si>
  <si>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</si>
  <si>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</si>
  <si>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</si>
  <si>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</si>
  <si>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</si>
  <si>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</si>
  <si>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</si>
  <si>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</si>
  <si>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</si>
  <si>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</si>
  <si>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</si>
  <si>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</si>
  <si>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</si>
  <si>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</si>
  <si>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</si>
  <si>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</si>
  <si>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</si>
  <si>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</si>
  <si>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</si>
  <si>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</si>
  <si>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</si>
  <si>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</si>
  <si>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</si>
  <si>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</si>
  <si>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</si>
  <si>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</si>
  <si>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</si>
  <si>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</si>
  <si>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</si>
  <si>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</si>
  <si>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</si>
  <si>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</si>
  <si>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</si>
  <si>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</si>
  <si>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</si>
  <si>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</si>
  <si>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</si>
  <si>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</si>
  <si>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</si>
  <si>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</si>
  <si>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</si>
  <si>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</si>
  <si>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</si>
  <si>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</si>
  <si>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</si>
  <si>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</si>
  <si>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</si>
  <si>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</si>
  <si>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</si>
  <si>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</si>
  <si>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</si>
  <si>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</si>
  <si>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</si>
  <si>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</si>
  <si>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</si>
  <si>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</si>
  <si>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</si>
  <si>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</si>
  <si>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</si>
  <si>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</si>
  <si>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</si>
  <si>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</si>
  <si>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</si>
  <si>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</si>
  <si>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</si>
  <si>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</si>
  <si>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</si>
  <si>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</si>
  <si>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</si>
  <si>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</si>
  <si>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</si>
  <si>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</si>
  <si>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</si>
  <si>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</si>
  <si>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</si>
  <si>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</si>
  <si>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</si>
  <si>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</si>
  <si>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</si>
  <si>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</si>
  <si>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</si>
  <si>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</si>
  <si>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</si>
  <si>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</si>
  <si>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</si>
  <si>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</si>
  <si>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</si>
  <si>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</si>
  <si>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</si>
  <si>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</si>
  <si>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</si>
  <si>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</si>
  <si>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</si>
  <si>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</si>
  <si>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</si>
  <si>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</si>
  <si>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</si>
  <si>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</si>
  <si>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</si>
  <si>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</si>
  <si>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</si>
  <si>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</si>
  <si>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</si>
  <si>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</si>
  <si>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</si>
  <si>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</si>
  <si>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</si>
  <si>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</si>
  <si>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</si>
  <si>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</si>
  <si>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</si>
  <si>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</si>
  <si>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</si>
  <si>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</si>
  <si>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</si>
  <si>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</si>
  <si>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</si>
  <si>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</si>
  <si>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</si>
  <si>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</si>
  <si>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</si>
  <si>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</si>
  <si>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</si>
  <si>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</si>
  <si>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</si>
  <si>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</si>
  <si>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</si>
  <si>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</si>
  <si>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</si>
  <si>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</si>
  <si>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</si>
  <si>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</si>
  <si>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</si>
  <si>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</si>
  <si>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</si>
  <si>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</si>
  <si>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</si>
  <si>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</si>
  <si>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</si>
  <si>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</si>
  <si>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</si>
  <si>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</si>
  <si>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</si>
  <si>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</si>
  <si>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</si>
  <si>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</si>
  <si>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</si>
  <si>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</si>
  <si>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</si>
  <si>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</si>
  <si>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</si>
  <si>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</si>
  <si>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</si>
  <si>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</si>
  <si>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</si>
  <si>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</si>
  <si>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</si>
  <si>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</si>
  <si>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</si>
  <si>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</si>
  <si>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</si>
  <si>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</si>
  <si>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</si>
  <si>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</si>
  <si>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</si>
  <si>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</si>
  <si>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</si>
  <si>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</si>
  <si>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</si>
  <si>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</si>
  <si>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</si>
  <si>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</si>
  <si>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</si>
  <si>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</si>
  <si>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</si>
  <si>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</si>
  <si>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</si>
  <si>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</si>
  <si>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</si>
  <si>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</si>
  <si>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</si>
  <si>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</si>
  <si>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</si>
  <si>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</si>
  <si>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</si>
  <si>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</si>
  <si>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</si>
  <si>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</si>
  <si>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</si>
  <si>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</si>
  <si>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</si>
  <si>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</si>
  <si>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</si>
  <si>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</si>
  <si>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</si>
  <si>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</si>
  <si>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</si>
  <si>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</si>
  <si>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</si>
  <si>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</si>
  <si>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</si>
  <si>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</si>
  <si>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</si>
  <si>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</si>
  <si>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</si>
  <si>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</si>
  <si>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</si>
  <si>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</si>
  <si>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</si>
  <si>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Initial price</t>
  </si>
  <si>
    <t>Initial Price</t>
  </si>
  <si>
    <t>Power</t>
  </si>
  <si>
    <t>Survivability</t>
  </si>
  <si>
    <t>Multiplicateur Tower Lv1</t>
  </si>
  <si>
    <t>Multiplicateur Tower Lv2</t>
  </si>
  <si>
    <t>Multiplicateur Tower Lv3</t>
  </si>
  <si>
    <t>Survavibility</t>
  </si>
  <si>
    <t>Total</t>
  </si>
  <si>
    <t>Total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</si>
</sst>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93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2" fillId="11" borderId="0" xfId="1" applyNumberFormat="1" applyFont="1" applyFill="1" applyBorder="1" applyAlignment="1">
      <alignment horizontal="center" vertical="center"/>
    </xf>
    <xf numFmtId="0" fontId="0" fillId="14" borderId="0" xfId="0" applyFill="1" applyAlignment="1">
      <alignment horizontal="right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9" fontId="0" fillId="14" borderId="0" xfId="0" applyNumberFormat="1" applyFill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36"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 Strength /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Factory!$I$6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(Factory!$J$6,Factory!$L$6,Factory!$N$6,Factory!$P$6)</c:f>
              <c:numCache>
                <c:formatCode>General</c:formatCode>
                <c:ptCount val="4"/>
                <c:pt idx="0">
                  <c:v>40</c:v>
                </c:pt>
                <c:pt idx="1">
                  <c:v>55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A-484F-AEAB-2DD330768CEF}"/>
            </c:ext>
          </c:extLst>
        </c:ser>
        <c:ser>
          <c:idx val="0"/>
          <c:order val="1"/>
          <c:tx>
            <c:strRef>
              <c:f>Factory!$I$12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Factory!$J$12:$M$12</c:f>
              <c:numCache>
                <c:formatCode>General</c:formatCode>
                <c:ptCount val="4"/>
                <c:pt idx="0">
                  <c:v>100</c:v>
                </c:pt>
                <c:pt idx="1">
                  <c:v>145.33333333333331</c:v>
                </c:pt>
                <c:pt idx="2">
                  <c:v>179</c:v>
                </c:pt>
                <c:pt idx="3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A-484F-AEAB-2DD330768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360847"/>
        <c:axId val="1508357951"/>
      </c:lineChart>
      <c:catAx>
        <c:axId val="1691360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8357951"/>
        <c:crosses val="autoZero"/>
        <c:auto val="1"/>
        <c:lblAlgn val="ctr"/>
        <c:lblOffset val="100"/>
        <c:noMultiLvlLbl val="0"/>
      </c:catAx>
      <c:valAx>
        <c:axId val="150835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36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</a:t>
            </a:r>
            <a:r>
              <a:rPr lang="fr-FR" baseline="0"/>
              <a:t> Power /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Tower!$K$16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Tower!$L$16:$O$16</c:f>
              <c:numCache>
                <c:formatCode>General</c:formatCode>
                <c:ptCount val="4"/>
                <c:pt idx="0">
                  <c:v>108</c:v>
                </c:pt>
                <c:pt idx="1">
                  <c:v>126.6</c:v>
                </c:pt>
                <c:pt idx="2">
                  <c:v>152.75142857142856</c:v>
                </c:pt>
                <c:pt idx="3">
                  <c:v>182.26181818181817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4-4C58-8D47-5108C49E0186}"/>
            </c:ext>
          </c:extLst>
        </c:ser>
        <c:ser>
          <c:idx val="1"/>
          <c:order val="1"/>
          <c:tx>
            <c:strRef>
              <c:f>Tower!$L$7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(Tower!$M$7,Tower!$O$7,Tower!$Q$7,Tower!$S$7)</c:f>
              <c:numCache>
                <c:formatCode>General</c:formatCode>
                <c:ptCount val="4"/>
                <c:pt idx="0">
                  <c:v>50</c:v>
                </c:pt>
                <c:pt idx="1">
                  <c:v>75</c:v>
                </c:pt>
                <c:pt idx="2">
                  <c:v>115</c:v>
                </c:pt>
                <c:pt idx="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4-4C58-8D47-5108C49E0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970575"/>
        <c:axId val="1772970991"/>
      </c:lineChart>
      <c:catAx>
        <c:axId val="177297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991"/>
        <c:crosses val="autoZero"/>
        <c:auto val="1"/>
        <c:lblAlgn val="ctr"/>
        <c:lblOffset val="100"/>
        <c:noMultiLvlLbl val="0"/>
      </c:catAx>
      <c:valAx>
        <c:axId val="177297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14</xdr:row>
      <xdr:rowOff>109537</xdr:rowOff>
    </xdr:from>
    <xdr:to>
      <xdr:col>17</xdr:col>
      <xdr:colOff>9524</xdr:colOff>
      <xdr:row>28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35385B-586E-614F-2E21-445704152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17</xdr:row>
      <xdr:rowOff>52387</xdr:rowOff>
    </xdr:from>
    <xdr:to>
      <xdr:col>17</xdr:col>
      <xdr:colOff>142875</xdr:colOff>
      <xdr:row>31</xdr:row>
      <xdr:rowOff>128587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C8DE814-8931-FD8F-1ACE-1B999AB01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0" t="s">
        <v>172</v>
      </c>
      <c r="C1" s="160" t="s">
        <v>55</v>
      </c>
      <c r="D1" s="142" t="s">
        <v>173</v>
      </c>
      <c r="E1" s="143"/>
      <c r="F1" s="144"/>
      <c r="G1" s="142" t="s">
        <v>174</v>
      </c>
      <c r="H1" s="143"/>
      <c r="I1" s="144"/>
      <c r="J1" s="142" t="s">
        <v>175</v>
      </c>
      <c r="K1" s="143"/>
      <c r="L1" s="144"/>
      <c r="M1" s="142" t="s">
        <v>176</v>
      </c>
      <c r="N1" s="143"/>
      <c r="O1" s="144"/>
      <c r="P1" s="142" t="s">
        <v>177</v>
      </c>
      <c r="Q1" s="143"/>
      <c r="R1" s="144"/>
      <c r="S1" s="142" t="s">
        <v>178</v>
      </c>
      <c r="T1" s="143"/>
      <c r="U1" s="144"/>
      <c r="V1" s="142" t="s">
        <v>206</v>
      </c>
      <c r="W1" s="143"/>
      <c r="X1" s="144"/>
      <c r="Y1" s="142" t="s">
        <v>207</v>
      </c>
      <c r="Z1" s="143"/>
      <c r="AA1" s="144"/>
      <c r="AB1" s="142" t="s">
        <v>208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1"/>
      <c r="C2" s="161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91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189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190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191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192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201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193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170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194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48"/>
      <c r="E12" s="149"/>
      <c r="F12" s="150"/>
    </row>
    <row r="13" spans="1:48" x14ac:dyDescent="0.25">
      <c r="B13" s="82" t="s">
        <v>181</v>
      </c>
      <c r="D13" s="151">
        <v>100</v>
      </c>
      <c r="E13" s="152"/>
      <c r="F13" s="153"/>
      <c r="G13" s="145">
        <f>D16</f>
        <v>100</v>
      </c>
      <c r="H13" s="146"/>
      <c r="I13" s="147"/>
      <c r="J13" s="145">
        <f>G16</f>
        <v>99</v>
      </c>
      <c r="K13" s="146"/>
      <c r="L13" s="147"/>
      <c r="M13" s="145">
        <f>J16</f>
        <v>95</v>
      </c>
      <c r="N13" s="146"/>
      <c r="O13" s="147"/>
      <c r="P13" s="145">
        <f>M16</f>
        <v>94</v>
      </c>
      <c r="Q13" s="146"/>
      <c r="R13" s="147"/>
      <c r="S13" s="145">
        <f>P16</f>
        <v>91</v>
      </c>
      <c r="T13" s="146"/>
      <c r="U13" s="147"/>
      <c r="V13" s="145"/>
      <c r="W13" s="146"/>
      <c r="X13" s="147"/>
      <c r="Y13" s="145"/>
      <c r="Z13" s="146"/>
      <c r="AA13" s="147"/>
      <c r="AB13" s="145"/>
      <c r="AC13" s="146"/>
      <c r="AD13" s="147"/>
      <c r="AE13" s="145"/>
      <c r="AF13" s="146"/>
      <c r="AG13" s="147"/>
      <c r="AH13" s="145"/>
      <c r="AI13" s="146"/>
      <c r="AJ13" s="147"/>
      <c r="AK13" s="145"/>
      <c r="AL13" s="146"/>
      <c r="AM13" s="147"/>
    </row>
    <row r="14" spans="1:48" x14ac:dyDescent="0.25">
      <c r="B14" s="86" t="s">
        <v>182</v>
      </c>
      <c r="D14" s="148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9"/>
      <c r="F14" s="150"/>
      <c r="G14" s="148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54</v>
      </c>
      <c r="H14" s="149"/>
      <c r="I14" s="150"/>
      <c r="J14" s="148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150</v>
      </c>
      <c r="K14" s="149"/>
      <c r="L14" s="150"/>
      <c r="M14" s="148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18</v>
      </c>
      <c r="N14" s="149"/>
      <c r="O14" s="150"/>
      <c r="P14" s="148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720</v>
      </c>
      <c r="Q14" s="149"/>
      <c r="R14" s="150"/>
      <c r="S14" s="148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3450</v>
      </c>
      <c r="T14" s="149"/>
      <c r="U14" s="150"/>
      <c r="V14" s="148"/>
      <c r="W14" s="149"/>
      <c r="X14" s="150"/>
      <c r="Y14" s="148"/>
      <c r="Z14" s="149"/>
      <c r="AA14" s="150"/>
      <c r="AB14" s="148"/>
      <c r="AC14" s="149"/>
      <c r="AD14" s="150"/>
      <c r="AE14" s="148"/>
      <c r="AF14" s="149"/>
      <c r="AG14" s="150"/>
      <c r="AH14" s="148"/>
      <c r="AI14" s="149"/>
      <c r="AJ14" s="150"/>
      <c r="AK14" s="148"/>
      <c r="AL14" s="149"/>
      <c r="AM14" s="150"/>
    </row>
    <row r="15" spans="1:48" x14ac:dyDescent="0.25">
      <c r="B15" s="86" t="s">
        <v>205</v>
      </c>
      <c r="D15" s="148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3</v>
      </c>
      <c r="E15" s="149"/>
      <c r="F15" s="150"/>
      <c r="G15" s="148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42</v>
      </c>
      <c r="H15" s="149"/>
      <c r="I15" s="150"/>
      <c r="J15" s="148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42</v>
      </c>
      <c r="K15" s="149"/>
      <c r="L15" s="150"/>
      <c r="M15" s="148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23.5</v>
      </c>
      <c r="N15" s="149"/>
      <c r="O15" s="150"/>
      <c r="P15" s="148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261</v>
      </c>
      <c r="Q15" s="149"/>
      <c r="R15" s="150"/>
      <c r="S15" s="148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1368.5</v>
      </c>
      <c r="T15" s="149"/>
      <c r="U15" s="150"/>
      <c r="V15" s="148"/>
      <c r="W15" s="149"/>
      <c r="X15" s="150"/>
      <c r="Y15" s="148"/>
      <c r="Z15" s="149"/>
      <c r="AA15" s="150"/>
      <c r="AB15" s="148"/>
      <c r="AC15" s="149"/>
      <c r="AD15" s="150"/>
      <c r="AE15" s="148"/>
      <c r="AF15" s="149"/>
      <c r="AG15" s="150"/>
      <c r="AH15" s="148"/>
      <c r="AI15" s="149"/>
      <c r="AJ15" s="150"/>
      <c r="AK15" s="148"/>
      <c r="AL15" s="149"/>
      <c r="AM15" s="150"/>
    </row>
    <row r="16" spans="1:48" x14ac:dyDescent="0.25">
      <c r="B16" s="86" t="s">
        <v>183</v>
      </c>
      <c r="D16" s="145">
        <f>D13-D14</f>
        <v>100</v>
      </c>
      <c r="E16" s="146"/>
      <c r="F16" s="147"/>
      <c r="G16" s="145">
        <f>ROUND(G13-(G14/G15),0)</f>
        <v>99</v>
      </c>
      <c r="H16" s="146"/>
      <c r="I16" s="147"/>
      <c r="J16" s="145">
        <f t="shared" ref="J16" si="1">ROUND(J13-(J14/J15),0)</f>
        <v>95</v>
      </c>
      <c r="K16" s="146"/>
      <c r="L16" s="147"/>
      <c r="M16" s="145">
        <f t="shared" ref="M16" si="2">ROUND(M13-(M14/M15),0)</f>
        <v>94</v>
      </c>
      <c r="N16" s="146"/>
      <c r="O16" s="147"/>
      <c r="P16" s="145">
        <f t="shared" ref="P16" si="3">ROUND(P13-(P14/P15),0)</f>
        <v>91</v>
      </c>
      <c r="Q16" s="146"/>
      <c r="R16" s="147"/>
      <c r="S16" s="145">
        <f t="shared" ref="S16" si="4">ROUND(S13-(S14/S15),0)</f>
        <v>88</v>
      </c>
      <c r="T16" s="146"/>
      <c r="U16" s="147"/>
      <c r="V16" s="145"/>
      <c r="W16" s="146"/>
      <c r="X16" s="147"/>
      <c r="Y16" s="145"/>
      <c r="Z16" s="146"/>
      <c r="AA16" s="147"/>
      <c r="AB16" s="145"/>
      <c r="AC16" s="146"/>
      <c r="AD16" s="147"/>
      <c r="AE16" s="145"/>
      <c r="AF16" s="146"/>
      <c r="AG16" s="147"/>
      <c r="AH16" s="145"/>
      <c r="AI16" s="146"/>
      <c r="AJ16" s="147"/>
      <c r="AK16" s="145"/>
      <c r="AL16" s="146"/>
      <c r="AM16" s="147"/>
    </row>
    <row r="17" spans="1:39" x14ac:dyDescent="0.25">
      <c r="C17" s="31"/>
      <c r="D17" s="148"/>
      <c r="E17" s="149"/>
      <c r="F17" s="150"/>
      <c r="G17" s="148"/>
      <c r="H17" s="149"/>
      <c r="I17" s="150"/>
      <c r="J17" s="148"/>
      <c r="K17" s="149"/>
      <c r="L17" s="150"/>
      <c r="M17" s="148"/>
      <c r="N17" s="149"/>
      <c r="O17" s="150"/>
      <c r="P17" s="148"/>
      <c r="Q17" s="149"/>
      <c r="R17" s="150"/>
      <c r="S17" s="148"/>
      <c r="T17" s="149"/>
      <c r="U17" s="150"/>
      <c r="V17" s="148"/>
      <c r="W17" s="149"/>
      <c r="X17" s="150"/>
      <c r="Y17" s="148"/>
      <c r="Z17" s="149"/>
      <c r="AA17" s="150"/>
      <c r="AB17" s="148"/>
      <c r="AC17" s="149"/>
      <c r="AD17" s="150"/>
      <c r="AE17" s="148"/>
      <c r="AF17" s="149"/>
      <c r="AG17" s="150"/>
      <c r="AH17" s="148"/>
      <c r="AI17" s="149"/>
      <c r="AJ17" s="150"/>
      <c r="AK17" s="148"/>
      <c r="AL17" s="149"/>
      <c r="AM17" s="150"/>
    </row>
    <row r="18" spans="1:39" x14ac:dyDescent="0.25">
      <c r="B18" s="82" t="s">
        <v>184</v>
      </c>
      <c r="D18" s="154">
        <f>Tower!I3*2+Tower!I3/2</f>
        <v>225</v>
      </c>
      <c r="E18" s="155"/>
      <c r="F18" s="156"/>
      <c r="G18" s="154">
        <f>D21</f>
        <v>25</v>
      </c>
      <c r="H18" s="155"/>
      <c r="I18" s="156"/>
      <c r="J18" s="154">
        <f t="shared" ref="J18" si="5">G21</f>
        <v>-181</v>
      </c>
      <c r="K18" s="155"/>
      <c r="L18" s="156"/>
      <c r="M18" s="154">
        <f t="shared" ref="M18" si="6">J21</f>
        <v>809</v>
      </c>
      <c r="N18" s="155"/>
      <c r="O18" s="156"/>
      <c r="P18" s="154">
        <f t="shared" ref="P18" si="7">M21</f>
        <v>779</v>
      </c>
      <c r="Q18" s="155"/>
      <c r="R18" s="156"/>
      <c r="S18" s="154">
        <f t="shared" ref="S18" si="8">P21</f>
        <v>3719</v>
      </c>
      <c r="T18" s="155"/>
      <c r="U18" s="156"/>
      <c r="V18" s="154"/>
      <c r="W18" s="155"/>
      <c r="X18" s="156"/>
      <c r="Y18" s="154"/>
      <c r="Z18" s="155"/>
      <c r="AA18" s="156"/>
      <c r="AB18" s="154"/>
      <c r="AC18" s="155"/>
      <c r="AD18" s="156"/>
      <c r="AE18" s="154"/>
      <c r="AF18" s="155"/>
      <c r="AG18" s="156"/>
      <c r="AH18" s="154"/>
      <c r="AI18" s="155"/>
      <c r="AJ18" s="156"/>
      <c r="AK18" s="154"/>
      <c r="AL18" s="155"/>
      <c r="AM18" s="156"/>
    </row>
    <row r="19" spans="1:39" x14ac:dyDescent="0.25">
      <c r="B19" s="86" t="s">
        <v>185</v>
      </c>
      <c r="D19" s="157">
        <f>D25*VLOOKUP($B$25,TOWER,9)+D26*VLOOKUP($B$26,TOWER,9)+D27*VLOOKUP($B$27,TOWER,9)+D28*VLOOKUP($B$28,TOWER,9)+D29*VLOOKUP($B$29,TOWER,9)+D30*VLOOKUP($B$30,TOWER,9)+D31*VLOOKUP($B$31,TOWER,9)+D32*VLOOKUP($B$32,TOWER,9)+D33*VLOOKUP($B$33,TOWER,9)</f>
        <v>200</v>
      </c>
      <c r="E19" s="158"/>
      <c r="F19" s="159"/>
      <c r="G19" s="157">
        <f>G25*VLOOKUP($B$25,TOWER,9)+G26*VLOOKUP($B$26,TOWER,9)+G27*VLOOKUP($B$27,TOWER,9)+G28*VLOOKUP($B$28,TOWER,9)+G29*VLOOKUP($B$29,TOWER,9)+G30*VLOOKUP($B$30,TOWER,9)+G31*VLOOKUP($B$31,TOWER,9)+G32*VLOOKUP($B$32,TOWER,9)+G33*VLOOKUP($B$33,TOWER,9)</f>
        <v>710</v>
      </c>
      <c r="H19" s="158"/>
      <c r="I19" s="159"/>
      <c r="J19" s="157">
        <f>J25*VLOOKUP($B$25,TOWER,9)+J26*VLOOKUP($B$26,TOWER,9)+J27*VLOOKUP($B$27,TOWER,9)+J28*VLOOKUP($B$28,TOWER,9)+J29*VLOOKUP($B$29,TOWER,9)+J30*VLOOKUP($B$30,TOWER,9)+J31*VLOOKUP($B$31,TOWER,9)+J32*VLOOKUP($B$32,TOWER,9)+J33*VLOOKUP($B$33,TOWER,9)</f>
        <v>710</v>
      </c>
      <c r="K19" s="158"/>
      <c r="L19" s="159"/>
      <c r="M19" s="157">
        <f>M25*VLOOKUP($B$25,TOWER,9)+M26*VLOOKUP($B$26,TOWER,9)+M27*VLOOKUP($B$27,TOWER,9)+M28*VLOOKUP($B$28,TOWER,9)+M29*VLOOKUP($B$29,TOWER,9)+M30*VLOOKUP($B$30,TOWER,9)+M31*VLOOKUP($B$31,TOWER,9)+M32*VLOOKUP($B$32,TOWER,9)+M33*VLOOKUP($B$33,TOWER,9)</f>
        <v>360</v>
      </c>
      <c r="N19" s="158"/>
      <c r="O19" s="159"/>
      <c r="P19" s="157">
        <f>P25*VLOOKUP($B$25,TOWER,9)+P26*VLOOKUP($B$26,TOWER,9)+P27*VLOOKUP($B$27,TOWER,9)+P28*VLOOKUP($B$28,TOWER,9)+P29*VLOOKUP($B$29,TOWER,9)+P30*VLOOKUP($B$30,TOWER,9)+P31*VLOOKUP($B$31,TOWER,9)+P32*VLOOKUP($B$32,TOWER,9)+P33*VLOOKUP($B$33,TOWER,9)</f>
        <v>4860</v>
      </c>
      <c r="Q19" s="158"/>
      <c r="R19" s="159"/>
      <c r="S19" s="157">
        <f>S25*VLOOKUP($B$25,TOWER,9)+S26*VLOOKUP($B$26,TOWER,9)+S27*VLOOKUP($B$27,TOWER,9)+S28*VLOOKUP($B$28,TOWER,9)+S29*VLOOKUP($B$29,TOWER,9)+S30*VLOOKUP($B$30,TOWER,9)+S31*VLOOKUP($B$31,TOWER,9)+S32*VLOOKUP($B$32,TOWER,9)+S33*VLOOKUP($B$33,TOWER,9)</f>
        <v>25560</v>
      </c>
      <c r="T19" s="158"/>
      <c r="U19" s="159"/>
      <c r="V19" s="157"/>
      <c r="W19" s="158"/>
      <c r="X19" s="159"/>
      <c r="Y19" s="157"/>
      <c r="Z19" s="158"/>
      <c r="AA19" s="159"/>
      <c r="AB19" s="157"/>
      <c r="AC19" s="158"/>
      <c r="AD19" s="159"/>
      <c r="AE19" s="157"/>
      <c r="AF19" s="158"/>
      <c r="AG19" s="159"/>
      <c r="AH19" s="157"/>
      <c r="AI19" s="158"/>
      <c r="AJ19" s="159"/>
      <c r="AK19" s="157"/>
      <c r="AL19" s="158"/>
      <c r="AM19" s="159"/>
    </row>
    <row r="20" spans="1:39" x14ac:dyDescent="0.25">
      <c r="B20" s="86" t="s">
        <v>186</v>
      </c>
      <c r="D20" s="154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55"/>
      <c r="F20" s="156"/>
      <c r="G20" s="154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504</v>
      </c>
      <c r="H20" s="155"/>
      <c r="I20" s="156"/>
      <c r="J20" s="154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1700</v>
      </c>
      <c r="K20" s="155"/>
      <c r="L20" s="156"/>
      <c r="M20" s="154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330</v>
      </c>
      <c r="N20" s="155"/>
      <c r="O20" s="156"/>
      <c r="P20" s="154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7800</v>
      </c>
      <c r="Q20" s="155"/>
      <c r="R20" s="156"/>
      <c r="S20" s="154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39400</v>
      </c>
      <c r="T20" s="155"/>
      <c r="U20" s="156"/>
      <c r="V20" s="154"/>
      <c r="W20" s="155"/>
      <c r="X20" s="156"/>
      <c r="Y20" s="154"/>
      <c r="Z20" s="155"/>
      <c r="AA20" s="156"/>
      <c r="AB20" s="154"/>
      <c r="AC20" s="155"/>
      <c r="AD20" s="156"/>
      <c r="AE20" s="154"/>
      <c r="AF20" s="155"/>
      <c r="AG20" s="156"/>
      <c r="AH20" s="154"/>
      <c r="AI20" s="155"/>
      <c r="AJ20" s="156"/>
      <c r="AK20" s="154"/>
      <c r="AL20" s="155"/>
      <c r="AM20" s="156"/>
    </row>
    <row r="21" spans="1:39" x14ac:dyDescent="0.25">
      <c r="B21" s="86" t="s">
        <v>187</v>
      </c>
      <c r="D21" s="157">
        <f>D18-D19+D20</f>
        <v>25</v>
      </c>
      <c r="E21" s="158"/>
      <c r="F21" s="159"/>
      <c r="G21" s="157">
        <f>G18-G19+G20</f>
        <v>-181</v>
      </c>
      <c r="H21" s="158"/>
      <c r="I21" s="159"/>
      <c r="J21" s="157">
        <f t="shared" ref="J21" si="9">J18-J19+J20</f>
        <v>809</v>
      </c>
      <c r="K21" s="158"/>
      <c r="L21" s="159"/>
      <c r="M21" s="157">
        <f t="shared" ref="M21" si="10">M18-M19+M20</f>
        <v>779</v>
      </c>
      <c r="N21" s="158"/>
      <c r="O21" s="159"/>
      <c r="P21" s="157">
        <f t="shared" ref="P21" si="11">P18-P19+P20</f>
        <v>3719</v>
      </c>
      <c r="Q21" s="158"/>
      <c r="R21" s="159"/>
      <c r="S21" s="157">
        <f t="shared" ref="S21" si="12">S18-S19+S20</f>
        <v>17559</v>
      </c>
      <c r="T21" s="158"/>
      <c r="U21" s="159"/>
      <c r="V21" s="157"/>
      <c r="W21" s="158"/>
      <c r="X21" s="159"/>
      <c r="Y21" s="157"/>
      <c r="Z21" s="158"/>
      <c r="AA21" s="159"/>
      <c r="AB21" s="157"/>
      <c r="AC21" s="158"/>
      <c r="AD21" s="159"/>
      <c r="AE21" s="157"/>
      <c r="AF21" s="158"/>
      <c r="AG21" s="159"/>
      <c r="AH21" s="157"/>
      <c r="AI21" s="158"/>
      <c r="AJ21" s="159"/>
      <c r="AK21" s="157"/>
      <c r="AL21" s="158"/>
      <c r="AM21" s="159"/>
    </row>
    <row r="24" spans="1:39" x14ac:dyDescent="0.25">
      <c r="B24" s="105" t="s">
        <v>188</v>
      </c>
      <c r="C24" s="106" t="s">
        <v>203</v>
      </c>
    </row>
    <row r="25" spans="1:39" x14ac:dyDescent="0.25">
      <c r="A25" s="109">
        <f>SUM(D25:AA25)</f>
        <v>40</v>
      </c>
      <c r="B25" s="99" t="s">
        <v>140</v>
      </c>
      <c r="C25" s="100" t="str">
        <f t="shared" ref="C25:C33" si="13">VLOOKUP(B3,ENEMY,4)</f>
        <v>Normal</v>
      </c>
      <c r="D25" s="154"/>
      <c r="E25" s="155"/>
      <c r="F25" s="156"/>
      <c r="G25" s="154">
        <v>1</v>
      </c>
      <c r="H25" s="155"/>
      <c r="I25" s="156"/>
      <c r="J25" s="154">
        <v>1</v>
      </c>
      <c r="K25" s="155"/>
      <c r="L25" s="156"/>
      <c r="M25" s="154">
        <v>1</v>
      </c>
      <c r="N25" s="155"/>
      <c r="O25" s="156"/>
      <c r="P25" s="154">
        <v>6</v>
      </c>
      <c r="Q25" s="155"/>
      <c r="R25" s="156"/>
      <c r="S25" s="154">
        <v>31</v>
      </c>
      <c r="T25" s="155"/>
      <c r="U25" s="156"/>
      <c r="V25" s="154"/>
      <c r="W25" s="155"/>
      <c r="X25" s="156"/>
      <c r="Y25" s="154"/>
      <c r="Z25" s="155"/>
      <c r="AA25" s="156"/>
      <c r="AB25" s="154"/>
      <c r="AC25" s="155"/>
      <c r="AD25" s="156"/>
      <c r="AE25" s="154"/>
      <c r="AF25" s="155"/>
      <c r="AG25" s="156"/>
      <c r="AH25" s="154"/>
      <c r="AI25" s="155"/>
      <c r="AJ25" s="156"/>
      <c r="AK25" s="154"/>
      <c r="AL25" s="155"/>
      <c r="AM25" s="156"/>
    </row>
    <row r="26" spans="1:39" x14ac:dyDescent="0.25">
      <c r="A26" s="109">
        <f t="shared" ref="A26:A33" si="14">SUM(D26:AA26)</f>
        <v>40</v>
      </c>
      <c r="B26" s="107" t="s">
        <v>195</v>
      </c>
      <c r="C26" s="100" t="str">
        <f t="shared" si="13"/>
        <v>Intangible</v>
      </c>
      <c r="D26" s="157"/>
      <c r="E26" s="158"/>
      <c r="F26" s="159"/>
      <c r="G26" s="157">
        <v>1</v>
      </c>
      <c r="H26" s="158"/>
      <c r="I26" s="159"/>
      <c r="J26" s="157">
        <v>1</v>
      </c>
      <c r="K26" s="158"/>
      <c r="L26" s="159"/>
      <c r="M26" s="157">
        <v>1</v>
      </c>
      <c r="N26" s="158"/>
      <c r="O26" s="159"/>
      <c r="P26" s="157">
        <v>6</v>
      </c>
      <c r="Q26" s="158"/>
      <c r="R26" s="159"/>
      <c r="S26" s="157">
        <v>31</v>
      </c>
      <c r="T26" s="158"/>
      <c r="U26" s="159"/>
      <c r="V26" s="157"/>
      <c r="W26" s="158"/>
      <c r="X26" s="159"/>
      <c r="Y26" s="157"/>
      <c r="Z26" s="158"/>
      <c r="AA26" s="159"/>
      <c r="AB26" s="157"/>
      <c r="AC26" s="158"/>
      <c r="AD26" s="159"/>
      <c r="AE26" s="157"/>
      <c r="AF26" s="158"/>
      <c r="AG26" s="159"/>
      <c r="AH26" s="157"/>
      <c r="AI26" s="158"/>
      <c r="AJ26" s="159"/>
      <c r="AK26" s="157"/>
      <c r="AL26" s="158"/>
      <c r="AM26" s="159"/>
    </row>
    <row r="27" spans="1:39" x14ac:dyDescent="0.25">
      <c r="A27" s="109">
        <f t="shared" si="14"/>
        <v>40</v>
      </c>
      <c r="B27" s="107" t="s">
        <v>196</v>
      </c>
      <c r="C27" s="100" t="str">
        <f t="shared" si="13"/>
        <v>Saboteur</v>
      </c>
      <c r="D27" s="154">
        <v>1</v>
      </c>
      <c r="E27" s="155"/>
      <c r="F27" s="156"/>
      <c r="G27" s="154"/>
      <c r="H27" s="155"/>
      <c r="I27" s="156"/>
      <c r="J27" s="154">
        <v>1</v>
      </c>
      <c r="K27" s="155"/>
      <c r="L27" s="156"/>
      <c r="M27" s="154">
        <v>1</v>
      </c>
      <c r="N27" s="155"/>
      <c r="O27" s="156"/>
      <c r="P27" s="154">
        <v>6</v>
      </c>
      <c r="Q27" s="155"/>
      <c r="R27" s="156"/>
      <c r="S27" s="154">
        <v>31</v>
      </c>
      <c r="T27" s="155"/>
      <c r="U27" s="156"/>
      <c r="V27" s="154"/>
      <c r="W27" s="155"/>
      <c r="X27" s="156"/>
      <c r="Y27" s="154"/>
      <c r="Z27" s="155"/>
      <c r="AA27" s="156"/>
      <c r="AB27" s="154"/>
      <c r="AC27" s="155"/>
      <c r="AD27" s="156"/>
      <c r="AE27" s="154"/>
      <c r="AF27" s="155"/>
      <c r="AG27" s="156"/>
      <c r="AH27" s="154"/>
      <c r="AI27" s="155"/>
      <c r="AJ27" s="156"/>
      <c r="AK27" s="154"/>
      <c r="AL27" s="155"/>
      <c r="AM27" s="156"/>
    </row>
    <row r="28" spans="1:39" x14ac:dyDescent="0.25">
      <c r="A28" s="109">
        <f t="shared" si="14"/>
        <v>40</v>
      </c>
      <c r="B28" s="99" t="s">
        <v>197</v>
      </c>
      <c r="C28" s="100" t="str">
        <f t="shared" si="13"/>
        <v>Normal</v>
      </c>
      <c r="D28" s="157"/>
      <c r="E28" s="158"/>
      <c r="F28" s="159"/>
      <c r="G28" s="157">
        <v>1</v>
      </c>
      <c r="H28" s="158"/>
      <c r="I28" s="159"/>
      <c r="J28" s="157">
        <v>1</v>
      </c>
      <c r="K28" s="158"/>
      <c r="L28" s="159"/>
      <c r="M28" s="157">
        <v>1</v>
      </c>
      <c r="N28" s="158"/>
      <c r="O28" s="159"/>
      <c r="P28" s="157">
        <v>6</v>
      </c>
      <c r="Q28" s="158"/>
      <c r="R28" s="159"/>
      <c r="S28" s="157">
        <v>31</v>
      </c>
      <c r="T28" s="158"/>
      <c r="U28" s="159"/>
      <c r="V28" s="157"/>
      <c r="W28" s="158"/>
      <c r="X28" s="159"/>
      <c r="Y28" s="157"/>
      <c r="Z28" s="158"/>
      <c r="AA28" s="159"/>
      <c r="AB28" s="157"/>
      <c r="AC28" s="158"/>
      <c r="AD28" s="159"/>
      <c r="AE28" s="157"/>
      <c r="AF28" s="158"/>
      <c r="AG28" s="159"/>
      <c r="AH28" s="157"/>
      <c r="AI28" s="158"/>
      <c r="AJ28" s="159"/>
      <c r="AK28" s="157"/>
      <c r="AL28" s="158"/>
      <c r="AM28" s="159"/>
    </row>
    <row r="29" spans="1:39" x14ac:dyDescent="0.25">
      <c r="A29" s="109">
        <f t="shared" si="14"/>
        <v>40</v>
      </c>
      <c r="B29" s="107" t="s">
        <v>198</v>
      </c>
      <c r="C29" s="100" t="str">
        <f t="shared" si="13"/>
        <v>Intangible</v>
      </c>
      <c r="D29" s="154"/>
      <c r="E29" s="155"/>
      <c r="F29" s="156"/>
      <c r="G29" s="154">
        <v>1</v>
      </c>
      <c r="H29" s="155"/>
      <c r="I29" s="156"/>
      <c r="J29" s="154">
        <v>1</v>
      </c>
      <c r="K29" s="155"/>
      <c r="L29" s="156"/>
      <c r="M29" s="154"/>
      <c r="N29" s="155"/>
      <c r="O29" s="156"/>
      <c r="P29" s="154">
        <v>6</v>
      </c>
      <c r="Q29" s="155"/>
      <c r="R29" s="156"/>
      <c r="S29" s="154">
        <v>32</v>
      </c>
      <c r="T29" s="155"/>
      <c r="U29" s="156"/>
      <c r="V29" s="154"/>
      <c r="W29" s="155"/>
      <c r="X29" s="156"/>
      <c r="Y29" s="154"/>
      <c r="Z29" s="155"/>
      <c r="AA29" s="156"/>
      <c r="AB29" s="154"/>
      <c r="AC29" s="155"/>
      <c r="AD29" s="156"/>
      <c r="AE29" s="154"/>
      <c r="AF29" s="155"/>
      <c r="AG29" s="156"/>
      <c r="AH29" s="154"/>
      <c r="AI29" s="155"/>
      <c r="AJ29" s="156"/>
      <c r="AK29" s="154"/>
      <c r="AL29" s="155"/>
      <c r="AM29" s="156"/>
    </row>
    <row r="30" spans="1:39" x14ac:dyDescent="0.25">
      <c r="A30" s="109">
        <f t="shared" si="14"/>
        <v>40</v>
      </c>
      <c r="B30" s="107" t="s">
        <v>199</v>
      </c>
      <c r="C30" s="100" t="str">
        <f t="shared" si="13"/>
        <v>Saboteur</v>
      </c>
      <c r="D30" s="157">
        <v>1</v>
      </c>
      <c r="E30" s="158"/>
      <c r="F30" s="159"/>
      <c r="G30" s="157">
        <v>1</v>
      </c>
      <c r="H30" s="158"/>
      <c r="I30" s="159"/>
      <c r="J30" s="157"/>
      <c r="K30" s="158"/>
      <c r="L30" s="159"/>
      <c r="M30" s="157"/>
      <c r="N30" s="158"/>
      <c r="O30" s="159"/>
      <c r="P30" s="157">
        <v>6</v>
      </c>
      <c r="Q30" s="158"/>
      <c r="R30" s="159"/>
      <c r="S30" s="157">
        <v>32</v>
      </c>
      <c r="T30" s="158"/>
      <c r="U30" s="159"/>
      <c r="V30" s="157"/>
      <c r="W30" s="158"/>
      <c r="X30" s="159"/>
      <c r="Y30" s="157"/>
      <c r="Z30" s="158"/>
      <c r="AA30" s="159"/>
      <c r="AB30" s="157"/>
      <c r="AC30" s="158"/>
      <c r="AD30" s="159"/>
      <c r="AE30" s="157"/>
      <c r="AF30" s="158"/>
      <c r="AG30" s="159"/>
      <c r="AH30" s="157"/>
      <c r="AI30" s="158"/>
      <c r="AJ30" s="159"/>
      <c r="AK30" s="157"/>
      <c r="AL30" s="158"/>
      <c r="AM30" s="159"/>
    </row>
    <row r="31" spans="1:39" x14ac:dyDescent="0.25">
      <c r="A31" s="109">
        <f t="shared" si="14"/>
        <v>40</v>
      </c>
      <c r="B31" s="99" t="s">
        <v>164</v>
      </c>
      <c r="C31" s="100" t="str">
        <f t="shared" si="13"/>
        <v>Normal</v>
      </c>
      <c r="D31" s="154"/>
      <c r="E31" s="155"/>
      <c r="F31" s="156"/>
      <c r="G31" s="154">
        <v>1</v>
      </c>
      <c r="H31" s="155"/>
      <c r="I31" s="156"/>
      <c r="J31" s="154">
        <v>1</v>
      </c>
      <c r="K31" s="155"/>
      <c r="L31" s="156"/>
      <c r="M31" s="154"/>
      <c r="N31" s="155"/>
      <c r="O31" s="156"/>
      <c r="P31" s="154">
        <v>6</v>
      </c>
      <c r="Q31" s="155"/>
      <c r="R31" s="156"/>
      <c r="S31" s="154">
        <v>32</v>
      </c>
      <c r="T31" s="155"/>
      <c r="U31" s="156"/>
      <c r="V31" s="154"/>
      <c r="W31" s="155"/>
      <c r="X31" s="156"/>
      <c r="Y31" s="154"/>
      <c r="Z31" s="155"/>
      <c r="AA31" s="156"/>
      <c r="AB31" s="154"/>
      <c r="AC31" s="155"/>
      <c r="AD31" s="156"/>
      <c r="AE31" s="154"/>
      <c r="AF31" s="155"/>
      <c r="AG31" s="156"/>
      <c r="AH31" s="154"/>
      <c r="AI31" s="155"/>
      <c r="AJ31" s="156"/>
      <c r="AK31" s="154"/>
      <c r="AL31" s="155"/>
      <c r="AM31" s="156"/>
    </row>
    <row r="32" spans="1:39" x14ac:dyDescent="0.25">
      <c r="A32" s="109">
        <f t="shared" si="14"/>
        <v>40</v>
      </c>
      <c r="B32" s="107" t="s">
        <v>202</v>
      </c>
      <c r="C32" s="100" t="str">
        <f t="shared" si="13"/>
        <v>Intangible</v>
      </c>
      <c r="D32" s="157"/>
      <c r="E32" s="158"/>
      <c r="F32" s="159"/>
      <c r="G32" s="157">
        <v>1</v>
      </c>
      <c r="H32" s="158"/>
      <c r="I32" s="159"/>
      <c r="J32" s="157">
        <v>1</v>
      </c>
      <c r="K32" s="158"/>
      <c r="L32" s="159"/>
      <c r="M32" s="157"/>
      <c r="N32" s="158"/>
      <c r="O32" s="159"/>
      <c r="P32" s="157">
        <v>6</v>
      </c>
      <c r="Q32" s="158"/>
      <c r="R32" s="159"/>
      <c r="S32" s="157">
        <v>32</v>
      </c>
      <c r="T32" s="158"/>
      <c r="U32" s="159"/>
      <c r="V32" s="157"/>
      <c r="W32" s="158"/>
      <c r="X32" s="159"/>
      <c r="Y32" s="157"/>
      <c r="Z32" s="158"/>
      <c r="AA32" s="159"/>
      <c r="AB32" s="157"/>
      <c r="AC32" s="158"/>
      <c r="AD32" s="159"/>
      <c r="AE32" s="157"/>
      <c r="AF32" s="158"/>
      <c r="AG32" s="159"/>
      <c r="AH32" s="157"/>
      <c r="AI32" s="158"/>
      <c r="AJ32" s="159"/>
      <c r="AK32" s="157"/>
      <c r="AL32" s="158"/>
      <c r="AM32" s="159"/>
    </row>
    <row r="33" spans="1:39" x14ac:dyDescent="0.25">
      <c r="A33" s="109">
        <f t="shared" si="14"/>
        <v>40</v>
      </c>
      <c r="B33" s="107" t="s">
        <v>200</v>
      </c>
      <c r="C33" s="100" t="str">
        <f t="shared" si="13"/>
        <v>Saboteur</v>
      </c>
      <c r="D33" s="154"/>
      <c r="E33" s="155"/>
      <c r="F33" s="156"/>
      <c r="G33" s="154">
        <v>1</v>
      </c>
      <c r="H33" s="155"/>
      <c r="I33" s="156"/>
      <c r="J33" s="154">
        <v>1</v>
      </c>
      <c r="K33" s="155"/>
      <c r="L33" s="156"/>
      <c r="M33" s="154"/>
      <c r="N33" s="155"/>
      <c r="O33" s="156"/>
      <c r="P33" s="154">
        <v>6</v>
      </c>
      <c r="Q33" s="155"/>
      <c r="R33" s="156"/>
      <c r="S33" s="154">
        <v>32</v>
      </c>
      <c r="T33" s="155"/>
      <c r="U33" s="156"/>
      <c r="V33" s="154"/>
      <c r="W33" s="155"/>
      <c r="X33" s="156"/>
      <c r="Y33" s="154"/>
      <c r="Z33" s="155"/>
      <c r="AA33" s="156"/>
      <c r="AB33" s="154"/>
      <c r="AC33" s="155"/>
      <c r="AD33" s="156"/>
      <c r="AE33" s="154"/>
      <c r="AF33" s="155"/>
      <c r="AG33" s="156"/>
      <c r="AH33" s="154"/>
      <c r="AI33" s="155"/>
      <c r="AJ33" s="156"/>
      <c r="AK33" s="154"/>
      <c r="AL33" s="155"/>
      <c r="AM33" s="156"/>
    </row>
    <row r="34" spans="1:39" x14ac:dyDescent="0.25">
      <c r="B34" s="101"/>
      <c r="C34" s="102"/>
      <c r="D34" s="148"/>
      <c r="E34" s="149"/>
      <c r="F34" s="150"/>
      <c r="G34" s="148"/>
      <c r="H34" s="149"/>
      <c r="I34" s="150"/>
      <c r="J34" s="148"/>
      <c r="K34" s="149"/>
      <c r="L34" s="150"/>
      <c r="M34" s="148"/>
      <c r="N34" s="149"/>
      <c r="O34" s="150"/>
      <c r="P34" s="148"/>
      <c r="Q34" s="149"/>
      <c r="R34" s="150"/>
      <c r="S34" s="148"/>
      <c r="T34" s="149"/>
      <c r="U34" s="150"/>
      <c r="V34" s="148"/>
      <c r="W34" s="149"/>
      <c r="X34" s="150"/>
      <c r="Y34" s="148"/>
      <c r="Z34" s="149"/>
      <c r="AA34" s="150"/>
      <c r="AB34" s="148"/>
      <c r="AC34" s="149"/>
      <c r="AD34" s="150"/>
      <c r="AE34" s="148"/>
      <c r="AF34" s="149"/>
      <c r="AG34" s="150"/>
      <c r="AH34" s="148"/>
      <c r="AI34" s="149"/>
      <c r="AJ34" s="150"/>
      <c r="AK34" s="148"/>
      <c r="AL34" s="149"/>
      <c r="AM34" s="150"/>
    </row>
    <row r="35" spans="1:39" x14ac:dyDescent="0.25">
      <c r="B35" s="103"/>
      <c r="C35" s="102"/>
      <c r="D35" s="148"/>
      <c r="E35" s="149"/>
      <c r="F35" s="150"/>
      <c r="G35" s="148"/>
      <c r="H35" s="149"/>
      <c r="I35" s="150"/>
      <c r="J35" s="148"/>
      <c r="K35" s="149"/>
      <c r="L35" s="150"/>
      <c r="M35" s="148"/>
      <c r="N35" s="149"/>
      <c r="O35" s="150"/>
      <c r="P35" s="148"/>
      <c r="Q35" s="149"/>
      <c r="R35" s="150"/>
      <c r="S35" s="148"/>
      <c r="T35" s="149"/>
      <c r="U35" s="150"/>
      <c r="V35" s="148"/>
      <c r="W35" s="149"/>
      <c r="X35" s="150"/>
      <c r="Y35" s="148"/>
      <c r="Z35" s="149"/>
      <c r="AA35" s="150"/>
      <c r="AB35" s="148"/>
      <c r="AC35" s="149"/>
      <c r="AD35" s="150"/>
      <c r="AE35" s="148"/>
      <c r="AF35" s="149"/>
      <c r="AG35" s="150"/>
      <c r="AH35" s="148"/>
      <c r="AI35" s="149"/>
      <c r="AJ35" s="150"/>
      <c r="AK35" s="148"/>
      <c r="AL35" s="149"/>
      <c r="AM35" s="150"/>
    </row>
    <row r="36" spans="1:39" x14ac:dyDescent="0.25">
      <c r="B36" s="103"/>
      <c r="C36" s="102"/>
      <c r="D36" s="148"/>
      <c r="E36" s="149"/>
      <c r="F36" s="150"/>
      <c r="G36" s="148"/>
      <c r="H36" s="149"/>
      <c r="I36" s="150"/>
      <c r="J36" s="148"/>
      <c r="K36" s="149"/>
      <c r="L36" s="150"/>
      <c r="M36" s="148"/>
      <c r="N36" s="149"/>
      <c r="O36" s="150"/>
      <c r="P36" s="148"/>
      <c r="Q36" s="149"/>
      <c r="R36" s="150"/>
      <c r="S36" s="148"/>
      <c r="T36" s="149"/>
      <c r="U36" s="150"/>
      <c r="V36" s="148"/>
      <c r="W36" s="149"/>
      <c r="X36" s="150"/>
      <c r="Y36" s="148"/>
      <c r="Z36" s="149"/>
      <c r="AA36" s="150"/>
      <c r="AB36" s="148"/>
      <c r="AC36" s="149"/>
      <c r="AD36" s="150"/>
      <c r="AE36" s="148"/>
      <c r="AF36" s="149"/>
      <c r="AG36" s="150"/>
      <c r="AH36" s="148"/>
      <c r="AI36" s="149"/>
      <c r="AJ36" s="150"/>
      <c r="AK36" s="148"/>
      <c r="AL36" s="149"/>
      <c r="AM36" s="150"/>
    </row>
  </sheetData>
  <mergeCells count="267"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S20:U20"/>
    <mergeCell ref="D20:F20"/>
    <mergeCell ref="G20:I20"/>
    <mergeCell ref="J20:L20"/>
    <mergeCell ref="M20:O20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V17:X17"/>
    <mergeCell ref="Y17:AA17"/>
    <mergeCell ref="J17:L17"/>
    <mergeCell ref="M17:O17"/>
    <mergeCell ref="P17:R17"/>
    <mergeCell ref="S17:U17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D12:F12"/>
    <mergeCell ref="AK13:AM13"/>
    <mergeCell ref="V13:X13"/>
    <mergeCell ref="Y13:AA13"/>
    <mergeCell ref="AB13:AD13"/>
    <mergeCell ref="AE13:AG13"/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5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N31" sqref="N31:O31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64" t="s">
        <v>56</v>
      </c>
      <c r="B1" s="164"/>
      <c r="C1" s="70" t="s">
        <v>11</v>
      </c>
      <c r="D1" s="10"/>
      <c r="E1" s="70" t="s">
        <v>0</v>
      </c>
      <c r="F1" s="10"/>
      <c r="G1" s="70" t="s">
        <v>2</v>
      </c>
      <c r="I1" s="171" t="s">
        <v>65</v>
      </c>
      <c r="J1" s="171"/>
      <c r="K1" s="152" t="s">
        <v>38</v>
      </c>
      <c r="L1" s="152"/>
      <c r="M1" s="171" t="s">
        <v>76</v>
      </c>
      <c r="N1" s="171"/>
      <c r="O1" s="152" t="s">
        <v>59</v>
      </c>
      <c r="P1" s="152"/>
      <c r="Q1" s="171" t="s">
        <v>169</v>
      </c>
      <c r="R1" s="171"/>
      <c r="S1" s="171" t="s">
        <v>153</v>
      </c>
      <c r="T1" s="171"/>
      <c r="U1" s="16"/>
      <c r="V1" s="16"/>
      <c r="W1" s="152" t="s">
        <v>163</v>
      </c>
      <c r="X1" s="152"/>
    </row>
    <row r="2" spans="1:24" ht="15.75" customHeight="1" x14ac:dyDescent="0.25">
      <c r="A2" s="166" t="s">
        <v>45</v>
      </c>
      <c r="B2" s="71" t="s">
        <v>5</v>
      </c>
      <c r="C2" s="8">
        <f>$T$29</f>
        <v>6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6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6</v>
      </c>
      <c r="I2" s="170">
        <v>0.3</v>
      </c>
      <c r="J2" s="170"/>
      <c r="K2" s="170">
        <v>0.2</v>
      </c>
      <c r="L2" s="170"/>
      <c r="M2" s="170">
        <v>0.5</v>
      </c>
      <c r="N2" s="170"/>
      <c r="O2" s="155">
        <v>2</v>
      </c>
      <c r="P2" s="155"/>
      <c r="Q2" s="170">
        <v>0.25</v>
      </c>
      <c r="R2" s="170"/>
      <c r="S2" s="170">
        <v>0.3</v>
      </c>
      <c r="T2" s="170"/>
      <c r="U2" s="16"/>
      <c r="V2" s="16"/>
      <c r="W2" s="165" t="s">
        <v>48</v>
      </c>
      <c r="X2" s="165"/>
    </row>
    <row r="3" spans="1:24" x14ac:dyDescent="0.25">
      <c r="A3" s="166"/>
      <c r="B3" s="72" t="s">
        <v>15</v>
      </c>
      <c r="C3" s="9">
        <f>$V$29</f>
        <v>1.5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1.5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1.5</v>
      </c>
      <c r="I3" s="172">
        <v>0.1</v>
      </c>
      <c r="J3" s="172"/>
      <c r="M3" s="172">
        <v>0.3</v>
      </c>
      <c r="N3" s="172"/>
      <c r="Q3" s="172">
        <v>0.3</v>
      </c>
      <c r="R3" s="172"/>
      <c r="S3" s="172">
        <v>0.3</v>
      </c>
      <c r="T3" s="172"/>
      <c r="U3" s="16"/>
      <c r="V3" s="16"/>
      <c r="W3" s="165"/>
      <c r="X3" s="165"/>
    </row>
    <row r="4" spans="1:24" x14ac:dyDescent="0.25">
      <c r="A4" s="166"/>
      <c r="B4" s="71" t="s">
        <v>10</v>
      </c>
      <c r="C4" s="75">
        <f>$X$29</f>
        <v>15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15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15</v>
      </c>
      <c r="I4" s="170">
        <v>0.2</v>
      </c>
      <c r="J4" s="170"/>
      <c r="M4" s="170">
        <v>0.2</v>
      </c>
      <c r="N4" s="170"/>
      <c r="Q4" s="170">
        <v>0.25</v>
      </c>
      <c r="R4" s="170"/>
      <c r="S4" s="170">
        <v>0.1</v>
      </c>
      <c r="T4" s="170"/>
      <c r="U4" s="16"/>
      <c r="V4" s="16"/>
      <c r="W4" s="16"/>
    </row>
    <row r="5" spans="1:24" x14ac:dyDescent="0.25">
      <c r="A5" s="166"/>
      <c r="B5" s="72" t="s">
        <v>40</v>
      </c>
      <c r="C5" s="25">
        <f>$X$33</f>
        <v>90</v>
      </c>
      <c r="D5" s="75" t="s">
        <v>13</v>
      </c>
      <c r="E5" s="25" cm="1">
        <f t="array" ref="E5">_xlfn.IFS(D5="+",ROUNDDOWN(C5*(1+$I$5),0),D5="=",C5)</f>
        <v>108</v>
      </c>
      <c r="F5" s="75" t="s">
        <v>13</v>
      </c>
      <c r="G5" s="25" cm="1">
        <f t="array" ref="G5">_xlfn.IFS(F5="+",ROUNDDOWN(E5*(1+$I$5),0),F5="=",E5)</f>
        <v>129</v>
      </c>
      <c r="I5" s="172">
        <v>0.2</v>
      </c>
      <c r="J5" s="172"/>
      <c r="M5" s="172">
        <v>0.5</v>
      </c>
      <c r="N5" s="172"/>
      <c r="Q5" s="172">
        <v>0.5</v>
      </c>
      <c r="R5" s="172"/>
      <c r="S5" s="172">
        <v>0.2</v>
      </c>
      <c r="T5" s="172"/>
      <c r="U5" s="16"/>
      <c r="V5" s="16"/>
      <c r="W5" s="16"/>
    </row>
    <row r="6" spans="1:24" x14ac:dyDescent="0.25">
      <c r="A6" s="166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70">
        <v>2.5</v>
      </c>
      <c r="J6" s="170"/>
      <c r="T6" s="16"/>
      <c r="U6" s="16"/>
      <c r="V6" s="16"/>
      <c r="W6" s="16"/>
    </row>
    <row r="7" spans="1:24" x14ac:dyDescent="0.25">
      <c r="A7" s="164" t="s">
        <v>60</v>
      </c>
      <c r="B7" s="164"/>
      <c r="C7" s="48">
        <f>ROUNDDOWN(C2/C3,2)</f>
        <v>4</v>
      </c>
      <c r="D7" s="48"/>
      <c r="E7" s="74">
        <f>ROUNDDOWN(E2/E3,2)</f>
        <v>4</v>
      </c>
      <c r="F7" s="48"/>
      <c r="G7" s="74">
        <f>ROUNDDOWN(G2/G3,2)</f>
        <v>4</v>
      </c>
      <c r="N7" s="15"/>
      <c r="T7" s="16"/>
      <c r="U7" s="16"/>
      <c r="V7" s="16"/>
      <c r="W7" s="16"/>
    </row>
    <row r="8" spans="1:24" x14ac:dyDescent="0.25">
      <c r="A8" s="173" t="s">
        <v>46</v>
      </c>
      <c r="B8" s="173"/>
      <c r="C8" s="50">
        <f>ROUND(1/C3,2)</f>
        <v>0.67</v>
      </c>
      <c r="D8" s="50"/>
      <c r="E8" s="50">
        <f>ROUND(1/E3,2)</f>
        <v>0.67</v>
      </c>
      <c r="F8" s="50"/>
      <c r="G8" s="50">
        <f>ROUND(1/G3,2)</f>
        <v>0.67</v>
      </c>
      <c r="N8" s="15"/>
      <c r="T8" s="16"/>
      <c r="U8" s="16"/>
      <c r="V8" s="16"/>
      <c r="W8" s="16"/>
    </row>
    <row r="9" spans="1:24" x14ac:dyDescent="0.25">
      <c r="A9" s="16"/>
      <c r="C9" s="141" t="s">
        <v>66</v>
      </c>
      <c r="D9" s="78"/>
      <c r="E9" s="141" t="s">
        <v>67</v>
      </c>
      <c r="F9" s="78"/>
      <c r="G9" s="141" t="s">
        <v>68</v>
      </c>
      <c r="H9" s="78"/>
      <c r="I9" s="141" t="s">
        <v>69</v>
      </c>
      <c r="J9" s="78"/>
      <c r="K9" s="141" t="s">
        <v>70</v>
      </c>
      <c r="L9" s="78"/>
      <c r="M9" s="141" t="s">
        <v>71</v>
      </c>
      <c r="O9" s="163" t="s">
        <v>96</v>
      </c>
      <c r="P9" s="163"/>
      <c r="Q9" s="163" t="s">
        <v>72</v>
      </c>
      <c r="R9" s="163"/>
      <c r="S9" s="163" t="s">
        <v>101</v>
      </c>
      <c r="T9" s="163"/>
      <c r="U9" s="163" t="s">
        <v>102</v>
      </c>
      <c r="V9" s="163"/>
      <c r="W9" s="16"/>
    </row>
    <row r="10" spans="1:24" ht="15" customHeight="1" x14ac:dyDescent="0.25">
      <c r="C10" s="141"/>
      <c r="D10" s="78"/>
      <c r="E10" s="141"/>
      <c r="F10" s="78"/>
      <c r="G10" s="141"/>
      <c r="H10" s="10"/>
      <c r="I10" s="141"/>
      <c r="J10" s="10"/>
      <c r="K10" s="141"/>
      <c r="L10" s="10"/>
      <c r="M10" s="141"/>
      <c r="O10" s="165">
        <v>0</v>
      </c>
      <c r="P10" s="165"/>
      <c r="Q10" s="175" t="str" cm="1">
        <f t="array" ref="Q10">_xlfn.IFS(O10=0, "=", O10&lt;&gt;0,HLOOKUP(Q9,UPGRADE_STAT,VLOOKUP(M22,UPGRADE_LVL,5,FALSE)+1,FALSE))</f>
        <v>=</v>
      </c>
      <c r="R10" s="175"/>
      <c r="S10" s="175" t="str" cm="1">
        <f t="array" ref="S10">_xlfn.IFS(O10=0, "=", Q10&lt;&gt;0,HLOOKUP(S9,UPGRADE_STAT,VLOOKUP(M22,UPGRADE_LVL,5,FALSE)+1,FALSE))</f>
        <v>=</v>
      </c>
      <c r="T10" s="175"/>
      <c r="U10" s="175" t="str" cm="1">
        <f t="array" ref="U10">_xlfn.IFS(O10=0, "=", S10&lt;&gt;0,HLOOKUP(U9,UPGRADE_STAT,VLOOKUP(M22,UPGRADE_LVL,5,FALSE)+1,FALSE))</f>
        <v>=</v>
      </c>
      <c r="V10" s="175"/>
      <c r="W10" s="16"/>
    </row>
    <row r="11" spans="1:24" ht="15" customHeight="1" x14ac:dyDescent="0.25">
      <c r="A11" s="166" t="s">
        <v>166</v>
      </c>
      <c r="B11" s="76" t="s">
        <v>28</v>
      </c>
      <c r="C11" s="20">
        <f>T27</f>
        <v>6</v>
      </c>
      <c r="D11" s="75" t="s">
        <v>13</v>
      </c>
      <c r="E11" s="20" cm="1">
        <f t="array" ref="E11">_xlfn.IFS(D11="+",ROUNDDOWN(C11*(1+$M$2),2),D11="=",C11)</f>
        <v>9</v>
      </c>
      <c r="F11" s="75" t="s">
        <v>13</v>
      </c>
      <c r="G11" s="20" cm="1">
        <f t="array" ref="G11">_xlfn.IFS(F11="+",ROUNDDOWN(E11*(1+$M$2),2),F11="=",E11)</f>
        <v>13.5</v>
      </c>
      <c r="H11" s="75" t="s">
        <v>13</v>
      </c>
      <c r="I11" s="20" cm="1">
        <f t="array" ref="I11">_xlfn.IFS(H11="+",ROUNDDOWN(G11*(1+$M$2),2),H11="=",G11)</f>
        <v>20.25</v>
      </c>
      <c r="J11" s="75" t="s">
        <v>13</v>
      </c>
      <c r="K11" s="20" cm="1">
        <f t="array" ref="K11">_xlfn.IFS(J11="+",ROUNDDOWN(I11*(1+$M$2),2),J11="=",I11)</f>
        <v>30.37</v>
      </c>
      <c r="L11" s="75" t="s">
        <v>13</v>
      </c>
      <c r="M11" s="20" cm="1">
        <f t="array" ref="M11">_xlfn.IFS(L11="+",ROUNDDOWN(K11*(1+$M$2),2),L11="=",K11)</f>
        <v>45.55</v>
      </c>
      <c r="O11" s="158"/>
      <c r="P11" s="158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66"/>
      <c r="B12" s="77" t="s">
        <v>44</v>
      </c>
      <c r="C12" s="21">
        <f>V27</f>
        <v>6</v>
      </c>
      <c r="D12" s="75" t="s">
        <v>13</v>
      </c>
      <c r="E12" s="21" cm="1">
        <f t="array" ref="E12">_xlfn.IFS(D12="+",ROUNDDOWN(C12*(1+$M$3),2),D12="=",C12)</f>
        <v>7.8</v>
      </c>
      <c r="F12" s="75" t="s">
        <v>13</v>
      </c>
      <c r="G12" s="21" cm="1">
        <f t="array" ref="G12">_xlfn.IFS(F12="+",ROUNDDOWN(E12*(1+$M$3),2),F12="=",E12)</f>
        <v>10.14</v>
      </c>
      <c r="H12" s="75" t="s">
        <v>13</v>
      </c>
      <c r="I12" s="21" cm="1">
        <f t="array" ref="I12">_xlfn.IFS(H12="+",ROUNDDOWN(G12*(1+$M$3),2),H12="=",G12)</f>
        <v>13.18</v>
      </c>
      <c r="J12" s="75" t="s">
        <v>13</v>
      </c>
      <c r="K12" s="21" cm="1">
        <f t="array" ref="K12">_xlfn.IFS(J12="+",ROUNDDOWN(I12*(1+$M$3),2),J12="=",I12)</f>
        <v>17.13</v>
      </c>
      <c r="L12" s="75" t="s">
        <v>13</v>
      </c>
      <c r="M12" s="21" cm="1">
        <f t="array" ref="M12">_xlfn.IFS(L12="+",ROUNDDOWN(K12*(1+$M$3),2),L12="=",K12)</f>
        <v>22.26</v>
      </c>
      <c r="T12" s="16"/>
      <c r="U12" s="16"/>
      <c r="V12" s="16"/>
      <c r="W12" s="16"/>
    </row>
    <row r="13" spans="1:24" ht="15" customHeight="1" x14ac:dyDescent="0.25">
      <c r="A13" s="166"/>
      <c r="B13" s="76" t="s">
        <v>72</v>
      </c>
      <c r="C13" s="20">
        <f>X27</f>
        <v>1</v>
      </c>
      <c r="D13" s="75" t="s">
        <v>13</v>
      </c>
      <c r="E13" s="20" cm="1">
        <f t="array" ref="E13">_xlfn.IFS(D13="+",ROUNDUP(C13*(1+$M$4),0),D13="=",C13)</f>
        <v>2</v>
      </c>
      <c r="F13" s="75" t="s">
        <v>13</v>
      </c>
      <c r="G13" s="20" cm="1">
        <f t="array" ref="G13">_xlfn.IFS(F13="+",ROUNDUP(E13*(1+$M$4),0),F13="=",E13)</f>
        <v>3</v>
      </c>
      <c r="H13" s="75" t="s">
        <v>13</v>
      </c>
      <c r="I13" s="20" cm="1">
        <f t="array" ref="I13">_xlfn.IFS(H13="+",ROUNDUP(G13*(1+$M$4),0),H13="=",G13)</f>
        <v>4</v>
      </c>
      <c r="J13" s="75" t="s">
        <v>13</v>
      </c>
      <c r="K13" s="20" cm="1">
        <f t="array" ref="K13">_xlfn.IFS(J13="+",ROUNDUP(I13*(1+$M$4),0),J13="=",I13)</f>
        <v>5</v>
      </c>
      <c r="L13" s="75" t="s">
        <v>13</v>
      </c>
      <c r="M13" s="20" cm="1">
        <f t="array" ref="M13">_xlfn.IFS(L13="+",ROUNDUP(K13*(1+$M$4),0),L13="=",K13)</f>
        <v>6</v>
      </c>
      <c r="T13" s="16"/>
      <c r="U13" s="16"/>
      <c r="V13" s="16"/>
      <c r="W13" s="16"/>
    </row>
    <row r="14" spans="1:24" x14ac:dyDescent="0.25">
      <c r="A14" s="166"/>
      <c r="B14" s="77" t="s">
        <v>75</v>
      </c>
      <c r="C14" s="48">
        <f>X31</f>
        <v>10</v>
      </c>
      <c r="D14" s="75" t="s">
        <v>13</v>
      </c>
      <c r="E14" s="21" cm="1">
        <f t="array" ref="E14">_xlfn.IFS(D14="+",ROUNDUP(C14*(1+$M$5),0),D14="=",C14)</f>
        <v>15</v>
      </c>
      <c r="F14" s="75" t="s">
        <v>13</v>
      </c>
      <c r="G14" s="21" cm="1">
        <f t="array" ref="G14">_xlfn.IFS(F14="+",ROUNDUP(E14*(1+$M$5),0),F14="=",E14)</f>
        <v>23</v>
      </c>
      <c r="H14" s="75" t="s">
        <v>13</v>
      </c>
      <c r="I14" s="21" cm="1">
        <f t="array" ref="I14">_xlfn.IFS(H14="+",ROUNDUP(G14*(1+$M$5),0),H14="=",G14)</f>
        <v>35</v>
      </c>
      <c r="J14" s="75" t="s">
        <v>13</v>
      </c>
      <c r="K14" s="21" cm="1">
        <f t="array" ref="K14">_xlfn.IFS(J14="+",ROUNDUP(I14*(1+$M$5),0),J14="=",I14)</f>
        <v>53</v>
      </c>
      <c r="L14" s="75" t="s">
        <v>13</v>
      </c>
      <c r="M14" s="21" cm="1">
        <f t="array" ref="M14">_xlfn.IFS(L14="+",ROUNDUP(K14*(1+$M$5),0),L14="=",K14)</f>
        <v>80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66" t="s">
        <v>167</v>
      </c>
      <c r="B16" s="90" t="s">
        <v>150</v>
      </c>
      <c r="C16" s="79">
        <f>R33</f>
        <v>10</v>
      </c>
      <c r="D16" s="75" t="s">
        <v>13</v>
      </c>
      <c r="E16" s="79" cm="1">
        <f t="array" ref="E16">_xlfn.IFS(D16="+",ROUNDUP($C$16 * (1 +Q2) ^ 1,0),D16="=",C16)</f>
        <v>13</v>
      </c>
      <c r="F16" s="75" t="s">
        <v>12</v>
      </c>
      <c r="G16" s="79" cm="1">
        <f t="array" ref="G16">_xlfn.IFS(F16="+",ROUNDUP($C$16 * (1 +S2) ^ 2,0),F16="=",E16)</f>
        <v>13</v>
      </c>
      <c r="H16" s="75" t="s">
        <v>13</v>
      </c>
      <c r="I16" s="79" cm="1">
        <f t="array" ref="I16">_xlfn.IFS(H16="+",ROUNDUP($C$16 * (1 +Q2) ^ 2,0),H16="=",G16)</f>
        <v>16</v>
      </c>
      <c r="K16" s="70" t="s">
        <v>42</v>
      </c>
      <c r="M16" s="70" t="s">
        <v>34</v>
      </c>
      <c r="O16" s="141" t="s">
        <v>37</v>
      </c>
      <c r="P16" s="141"/>
      <c r="Q16" s="141"/>
      <c r="R16" s="141"/>
      <c r="S16" s="141"/>
    </row>
    <row r="17" spans="1:25" ht="15" customHeight="1" x14ac:dyDescent="0.25">
      <c r="A17" s="166"/>
      <c r="B17" s="91" t="s">
        <v>151</v>
      </c>
      <c r="C17" s="79">
        <f>T33</f>
        <v>2</v>
      </c>
      <c r="D17" s="75" t="s">
        <v>12</v>
      </c>
      <c r="E17" s="79" cm="1">
        <f t="array" ref="E17">_xlfn.IFS(D17="+",ROUNDUP($C$17 * (1 +S3) ^ 1,0),D17="=",C17)</f>
        <v>2</v>
      </c>
      <c r="F17" s="75" t="s">
        <v>13</v>
      </c>
      <c r="G17" s="79" cm="1">
        <f t="array" ref="G17">_xlfn.IFS(F17="+",ROUNDUP($C$17 * (1 +S3) ^ 2,0),F17="=",E17)</f>
        <v>4</v>
      </c>
      <c r="H17" s="75" t="s">
        <v>13</v>
      </c>
      <c r="I17" s="79" cm="1">
        <f t="array" ref="I17">_xlfn.IFS(H17="+",ROUNDUP($C$17 * (1 +S3) ^ 2,0),H17="=",G17)</f>
        <v>4</v>
      </c>
      <c r="K17" s="49" t="s">
        <v>2</v>
      </c>
      <c r="M17" s="49" t="s">
        <v>71</v>
      </c>
      <c r="O17" s="141" t="s">
        <v>142</v>
      </c>
      <c r="P17" s="141"/>
      <c r="Q17" s="141"/>
      <c r="R17" s="167" t="str">
        <f>HLOOKUP(P29,WEAK_TOWER,VLOOKUP(P27,WEAK_ENEMY,5,FALSE)+1,FALSE)</f>
        <v>=</v>
      </c>
      <c r="S17" s="167"/>
      <c r="T17" s="141" t="s">
        <v>159</v>
      </c>
      <c r="U17" s="141"/>
      <c r="V17" s="141"/>
      <c r="W17" s="167" t="str" cm="1">
        <f t="array" ref="W17">_xlfn.IFS(P31=P33, "+",P31&lt;&gt;P33,"-")</f>
        <v>-</v>
      </c>
      <c r="X17" s="167"/>
    </row>
    <row r="18" spans="1:25" ht="15" customHeight="1" x14ac:dyDescent="0.25">
      <c r="A18" s="166"/>
      <c r="B18" s="90" t="s">
        <v>152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4</v>
      </c>
      <c r="M18" s="48" cm="1">
        <f t="array" ref="M18">_xlfn.IFS(M17="LVL 0",C11,M17="LVL 1",E11,M17="LVL 2",G11,M17="LVL 3",I11,M17="LVL 4",K11,M17="LVL 5",M11)</f>
        <v>45.55</v>
      </c>
      <c r="O18" s="169" t="str">
        <f>_xlfn.CONCAT(P29," ",R29," lvl ",O10)</f>
        <v>Energy Snipe lvl 0</v>
      </c>
      <c r="P18" s="169"/>
      <c r="Q18" s="169"/>
      <c r="R18" s="167"/>
      <c r="S18" s="167"/>
      <c r="T18" s="168" t="str">
        <f>_xlfn.CONCAT(P33," Factory")</f>
        <v>Stars Factory</v>
      </c>
      <c r="U18" s="168"/>
      <c r="V18" s="168"/>
      <c r="W18" s="167"/>
      <c r="X18" s="167"/>
    </row>
    <row r="19" spans="1:25" ht="15" customHeight="1" x14ac:dyDescent="0.25">
      <c r="A19" s="166"/>
      <c r="B19" s="91" t="s">
        <v>78</v>
      </c>
      <c r="C19" s="79">
        <f>X33</f>
        <v>90</v>
      </c>
      <c r="D19" s="75" t="s">
        <v>13</v>
      </c>
      <c r="E19" s="79" cm="1">
        <f t="array" ref="E19">_xlfn.IFS(D19="+",ROUNDUP($C$19 * (1 +Q5) ^ 1,0),D19="=",C19)</f>
        <v>135</v>
      </c>
      <c r="F19" s="75" t="s">
        <v>13</v>
      </c>
      <c r="G19" s="79" cm="1">
        <f t="array" ref="G19">_xlfn.IFS(F19="+",ROUNDUP($C$19 * (1 +S5) ^ 2,0),F19="=",E19)</f>
        <v>130</v>
      </c>
      <c r="H19" s="75" t="s">
        <v>111</v>
      </c>
      <c r="I19" s="79" cm="1">
        <f t="array" ref="I19">_xlfn.IFS(H19="+",ROUNDDOWN(G19*(1+$Q$5),0),H19="=",G19,H19="++",ROUNDDOWN(G19*(1+$Q$5)*1.5,0),H19="-",ROUNDDOWN(G19*(1+$Q$5)*0.75,0))</f>
        <v>292</v>
      </c>
      <c r="K19" s="73" t="s">
        <v>40</v>
      </c>
      <c r="M19" s="73" t="s">
        <v>80</v>
      </c>
      <c r="O19" s="169"/>
      <c r="P19" s="169"/>
      <c r="Q19" s="169"/>
      <c r="R19" s="167"/>
      <c r="S19" s="167"/>
      <c r="T19" s="168"/>
      <c r="U19" s="168"/>
      <c r="V19" s="168"/>
      <c r="W19" s="167"/>
      <c r="X19" s="167"/>
    </row>
    <row r="20" spans="1:25" ht="15" customHeight="1" x14ac:dyDescent="0.25">
      <c r="B20" s="16"/>
      <c r="K20" s="74" cm="1">
        <f t="array" ref="K20">_xlfn.IFS(K17="Upgrade 0",C5,K17="Upgrade 1",E5,K17="Upgrade 2",G5)</f>
        <v>129</v>
      </c>
      <c r="M20" s="74" cm="1">
        <f t="array" ref="M20">_xlfn.IFS(M17="LVL 0",C14,M17="LVL 1",E14,M17="LVL 2",G14,M17="LVL 3",I14,M17="LVL 4",K14,M17="LVL 5",M14)</f>
        <v>80</v>
      </c>
      <c r="O20" s="141" t="s">
        <v>142</v>
      </c>
      <c r="P20" s="141"/>
      <c r="Q20" s="141"/>
      <c r="R20" s="167"/>
      <c r="S20" s="167"/>
      <c r="T20" s="141" t="s">
        <v>160</v>
      </c>
      <c r="U20" s="141"/>
      <c r="V20" s="141"/>
      <c r="W20" s="167"/>
      <c r="X20" s="167"/>
    </row>
    <row r="21" spans="1:25" ht="15" customHeight="1" x14ac:dyDescent="0.25">
      <c r="A21" s="166" t="s">
        <v>168</v>
      </c>
      <c r="B21" s="90" t="s">
        <v>150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141</v>
      </c>
      <c r="O21" s="169" t="str">
        <f>_xlfn.CONCAT(P27," ",R27," lvl ",_xlfn.CONCAT(RIGHT(M17,1)))</f>
        <v>Insect Intangible lvl 5</v>
      </c>
      <c r="P21" s="169"/>
      <c r="Q21" s="169"/>
      <c r="R21" s="167"/>
      <c r="S21" s="167"/>
      <c r="T21" s="168" t="str">
        <f>_xlfn.CONCAT(P31," Car")</f>
        <v>Pizza Car</v>
      </c>
      <c r="U21" s="168"/>
      <c r="V21" s="168"/>
      <c r="W21" s="167"/>
      <c r="X21" s="167"/>
    </row>
    <row r="22" spans="1:25" ht="15" customHeight="1" x14ac:dyDescent="0.25">
      <c r="A22" s="166"/>
      <c r="B22" s="91" t="s">
        <v>151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2</v>
      </c>
      <c r="K22" s="74" cm="1">
        <f t="array" ref="K22">_xlfn.IFS(K17="Upgrade 0",C3,K17="Upgrade 1",E3,K17="Upgrade 2",G3)</f>
        <v>1.5</v>
      </c>
      <c r="M22" s="74" t="str">
        <f>_xlfn.CONCAT(P29," ",O10)</f>
        <v>Energy 0</v>
      </c>
      <c r="O22" s="169"/>
      <c r="P22" s="169"/>
      <c r="Q22" s="169"/>
      <c r="R22" s="167"/>
      <c r="S22" s="167"/>
      <c r="T22" s="168"/>
      <c r="U22" s="168"/>
      <c r="V22" s="168"/>
      <c r="W22" s="167"/>
      <c r="X22" s="167"/>
    </row>
    <row r="23" spans="1:25" ht="15" customHeight="1" x14ac:dyDescent="0.25">
      <c r="A23" s="166"/>
      <c r="B23" s="90" t="s">
        <v>152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81</v>
      </c>
      <c r="N23" s="15"/>
      <c r="O23" s="141" t="s">
        <v>162</v>
      </c>
      <c r="P23" s="141"/>
      <c r="Q23" s="141"/>
      <c r="R23" s="141"/>
      <c r="S23" s="141"/>
    </row>
    <row r="24" spans="1:25" ht="15" customHeight="1" x14ac:dyDescent="0.25">
      <c r="A24" s="166"/>
      <c r="B24" s="91" t="s">
        <v>78</v>
      </c>
      <c r="C24" s="79">
        <f>X31</f>
        <v>10</v>
      </c>
      <c r="D24" s="75" t="s">
        <v>13</v>
      </c>
      <c r="E24" s="79" cm="1">
        <f t="array" ref="E24">_xlfn.IFS(D24="+",ROUNDUP($C$24 * (1 +S5) ^ 1,0),D24="=",C24)</f>
        <v>12</v>
      </c>
      <c r="F24" s="75" t="s">
        <v>13</v>
      </c>
      <c r="G24" s="79" cm="1">
        <f t="array" ref="G24">_xlfn.IFS(F24="+",ROUNDUP($C$19 * (1 +S5) ^ 2,0),F24="=",E24)</f>
        <v>130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156</v>
      </c>
      <c r="K24" s="74" cm="1">
        <f t="array" ref="K24">_xlfn.IFS(K17="Upgrade 0",C6,K17="Upgrade 1",E6,K17="Upgrade 2",G6,K17="Upgrade 3",#REF!,K17="Upgrade 4",K6,K17="Upgrade 5",M6)</f>
        <v>123</v>
      </c>
      <c r="O24" s="158" cm="1">
        <f t="array" ref="O24">_xlfn.IFS(R17="-", 1-K2, R17="=",1,R17="+",1+K2)</f>
        <v>1</v>
      </c>
      <c r="P24" s="158"/>
      <c r="Q24" s="158"/>
      <c r="R24" s="158"/>
      <c r="S24" s="158"/>
    </row>
    <row r="26" spans="1:25" ht="15" customHeight="1" x14ac:dyDescent="0.25">
      <c r="C26" s="174" t="s">
        <v>74</v>
      </c>
      <c r="D26" s="174"/>
      <c r="E26" s="174"/>
      <c r="F26" s="174"/>
      <c r="G26" s="141" t="s">
        <v>79</v>
      </c>
      <c r="H26" s="141"/>
      <c r="I26" s="141"/>
      <c r="N26" s="162" t="s">
        <v>33</v>
      </c>
      <c r="O26" s="162"/>
      <c r="P26" s="162" t="s">
        <v>35</v>
      </c>
      <c r="Q26" s="162"/>
      <c r="R26" s="162" t="s">
        <v>55</v>
      </c>
      <c r="S26" s="162"/>
      <c r="T26" s="162" t="s">
        <v>34</v>
      </c>
      <c r="U26" s="162"/>
      <c r="V26" s="162" t="s">
        <v>63</v>
      </c>
      <c r="W26" s="162"/>
      <c r="X26" s="162" t="s">
        <v>64</v>
      </c>
      <c r="Y26" s="162"/>
    </row>
    <row r="27" spans="1:25" ht="15" customHeight="1" x14ac:dyDescent="0.25">
      <c r="C27" s="141" t="s">
        <v>47</v>
      </c>
      <c r="D27" s="141"/>
      <c r="E27" s="141" t="s">
        <v>16</v>
      </c>
      <c r="F27" s="141"/>
      <c r="G27" s="158" t="str">
        <f>_xlfn.CONCAT(K20*K22," s")</f>
        <v>193,5 s</v>
      </c>
      <c r="H27" s="158"/>
      <c r="I27" s="158"/>
      <c r="N27" s="165" t="s">
        <v>189</v>
      </c>
      <c r="O27" s="165"/>
      <c r="P27" s="155" t="str">
        <f>VLOOKUP($N$27,ENEMY,3)</f>
        <v>Insect</v>
      </c>
      <c r="Q27" s="155"/>
      <c r="R27" s="155" t="str">
        <f>VLOOKUP($N$27,ENEMY,4)</f>
        <v>Intangible</v>
      </c>
      <c r="S27" s="155"/>
      <c r="T27" s="155">
        <f>VLOOKUP($N$27,ENEMY,5)</f>
        <v>6</v>
      </c>
      <c r="U27" s="155"/>
      <c r="V27" s="155">
        <f>VLOOKUP($N$27,ENEMY,6)</f>
        <v>6</v>
      </c>
      <c r="W27" s="155"/>
      <c r="X27" s="155">
        <f>VLOOKUP($N$27,ENEMY,7)</f>
        <v>1</v>
      </c>
      <c r="Y27" s="155"/>
    </row>
    <row r="28" spans="1:25" x14ac:dyDescent="0.25">
      <c r="B28" s="73" t="str">
        <f>_xlfn.CONCAT(K17," ",K16)</f>
        <v>Upgrade 2 DPS</v>
      </c>
      <c r="C28" s="177">
        <f>ROUNDDOWN($M$18/B32,2)</f>
        <v>5.69</v>
      </c>
      <c r="D28" s="177"/>
      <c r="E28" s="176">
        <f>ROUNDUP($M$18/B32,0)</f>
        <v>6</v>
      </c>
      <c r="F28" s="176"/>
      <c r="G28" s="73" t="s">
        <v>127</v>
      </c>
      <c r="H28" s="141" t="s">
        <v>82</v>
      </c>
      <c r="I28" s="141"/>
      <c r="N28" s="162" t="s">
        <v>41</v>
      </c>
      <c r="O28" s="162"/>
      <c r="P28" s="162" t="s">
        <v>35</v>
      </c>
      <c r="Q28" s="162"/>
      <c r="R28" s="162" t="s">
        <v>55</v>
      </c>
      <c r="S28" s="162"/>
      <c r="T28" s="162" t="s">
        <v>5</v>
      </c>
      <c r="U28" s="162"/>
      <c r="V28" s="162" t="s">
        <v>15</v>
      </c>
      <c r="W28" s="162"/>
      <c r="X28" s="162" t="s">
        <v>10</v>
      </c>
      <c r="Y28" s="162"/>
    </row>
    <row r="29" spans="1:25" x14ac:dyDescent="0.25">
      <c r="B29" s="73"/>
      <c r="C29" s="158" t="str">
        <f>_xlfn.CONCAT(E28*K22," s")</f>
        <v>9 s</v>
      </c>
      <c r="D29" s="158"/>
      <c r="E29" s="158"/>
      <c r="F29" s="158"/>
      <c r="G29" s="74">
        <f>E6+G6</f>
        <v>158</v>
      </c>
      <c r="H29" s="158">
        <f>ROUNDUP(K24/M20,0)</f>
        <v>2</v>
      </c>
      <c r="I29" s="158"/>
      <c r="N29" s="165" t="s">
        <v>164</v>
      </c>
      <c r="O29" s="165"/>
      <c r="P29" s="155" t="str">
        <f>VLOOKUP($N$29,TOWER,3)</f>
        <v>Energy</v>
      </c>
      <c r="Q29" s="155"/>
      <c r="R29" s="155" t="str">
        <f>VLOOKUP($N$29,TOWER,4)</f>
        <v>Snipe</v>
      </c>
      <c r="S29" s="155"/>
      <c r="T29" s="155">
        <f>VLOOKUP($N$29,TOWER,5)</f>
        <v>6</v>
      </c>
      <c r="U29" s="155"/>
      <c r="V29" s="155">
        <f>VLOOKUP($N$29,TOWER,6)</f>
        <v>1.5</v>
      </c>
      <c r="W29" s="155"/>
      <c r="X29" s="155">
        <f>VLOOKUP($N$29,TOWER,7)</f>
        <v>15</v>
      </c>
      <c r="Y29" s="155"/>
    </row>
    <row r="30" spans="1:25" x14ac:dyDescent="0.25">
      <c r="N30" s="162" t="s">
        <v>161</v>
      </c>
      <c r="O30" s="162"/>
      <c r="P30" s="162" t="s">
        <v>35</v>
      </c>
      <c r="Q30" s="162"/>
      <c r="R30" s="162" t="s">
        <v>150</v>
      </c>
      <c r="S30" s="162"/>
      <c r="T30" s="162" t="s">
        <v>44</v>
      </c>
      <c r="U30" s="162"/>
      <c r="V30" s="162" t="s">
        <v>157</v>
      </c>
      <c r="W30" s="162"/>
      <c r="X30" s="162" t="s">
        <v>75</v>
      </c>
      <c r="Y30" s="162"/>
    </row>
    <row r="31" spans="1:25" x14ac:dyDescent="0.25">
      <c r="B31" s="141" t="s">
        <v>61</v>
      </c>
      <c r="C31" s="141"/>
      <c r="N31" s="165" t="s">
        <v>155</v>
      </c>
      <c r="O31" s="165"/>
      <c r="P31" s="155" t="str">
        <f>VLOOKUP($N$31,TRAIN,3)</f>
        <v>Pizza</v>
      </c>
      <c r="Q31" s="155"/>
      <c r="R31" s="155">
        <f>VLOOKUP($N$31,TRAIN,4)</f>
        <v>50</v>
      </c>
      <c r="S31" s="155"/>
      <c r="T31" s="155">
        <f>VLOOKUP($N$31,TRAIN,5)</f>
        <v>2</v>
      </c>
      <c r="U31" s="155"/>
      <c r="V31" s="155">
        <f>VLOOKUP($N$31,TRAIN,6)</f>
        <v>5</v>
      </c>
      <c r="W31" s="155"/>
      <c r="X31" s="155">
        <f>VLOOKUP($N$27,ENEMY,8)</f>
        <v>10</v>
      </c>
      <c r="Y31" s="155"/>
    </row>
    <row r="32" spans="1:25" x14ac:dyDescent="0.25">
      <c r="B32" s="155">
        <f>ROUND(O2*K18*O24,2)</f>
        <v>8</v>
      </c>
      <c r="C32" s="155"/>
      <c r="N32" s="162" t="s">
        <v>159</v>
      </c>
      <c r="O32" s="162"/>
      <c r="P32" s="162" t="s">
        <v>35</v>
      </c>
      <c r="Q32" s="162"/>
      <c r="R32" s="162" t="s">
        <v>150</v>
      </c>
      <c r="S32" s="162"/>
      <c r="T32" s="162" t="s">
        <v>156</v>
      </c>
      <c r="U32" s="162"/>
      <c r="V32" s="162" t="s">
        <v>157</v>
      </c>
      <c r="W32" s="162"/>
      <c r="X32" s="162" t="s">
        <v>40</v>
      </c>
      <c r="Y32" s="162"/>
    </row>
    <row r="33" spans="1:25" x14ac:dyDescent="0.25">
      <c r="N33" s="165" t="s">
        <v>171</v>
      </c>
      <c r="O33" s="165"/>
      <c r="P33" s="155" t="str">
        <f>VLOOKUP($N$33,FACTORY,3)</f>
        <v>Stars</v>
      </c>
      <c r="Q33" s="155"/>
      <c r="R33" s="155">
        <f>VLOOKUP($N$33,FACTORY,4)</f>
        <v>10</v>
      </c>
      <c r="S33" s="155"/>
      <c r="T33" s="155">
        <f>VLOOKUP($N$33,FACTORY,5)</f>
        <v>2</v>
      </c>
      <c r="U33" s="155"/>
      <c r="V33" s="155">
        <f>VLOOKUP($N$33,FACTORY,6)</f>
        <v>10</v>
      </c>
      <c r="W33" s="155"/>
      <c r="X33" s="155">
        <f>VLOOKUP($N$29,TOWER,9)</f>
        <v>90</v>
      </c>
      <c r="Y33" s="155"/>
    </row>
    <row r="36" spans="1:25" x14ac:dyDescent="0.25">
      <c r="A36" s="13" t="s">
        <v>77</v>
      </c>
    </row>
  </sheetData>
  <mergeCells count="122"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27</v>
      </c>
      <c r="F2" s="73" t="s">
        <v>148</v>
      </c>
      <c r="G2" s="93" t="s">
        <v>165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120</v>
      </c>
      <c r="D3" s="23">
        <v>50</v>
      </c>
      <c r="E3" s="23">
        <v>2</v>
      </c>
      <c r="F3" s="23">
        <v>5</v>
      </c>
      <c r="G3" s="23">
        <v>10</v>
      </c>
      <c r="I3" s="90" t="s">
        <v>150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143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151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144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152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41" t="s">
        <v>87</v>
      </c>
      <c r="D7" s="141"/>
    </row>
    <row r="8" spans="1:20" ht="15" customHeight="1" x14ac:dyDescent="0.25">
      <c r="C8" s="178" t="s">
        <v>149</v>
      </c>
      <c r="D8" s="178"/>
      <c r="I8" s="88" t="s">
        <v>33</v>
      </c>
      <c r="J8" s="88" t="s">
        <v>35</v>
      </c>
      <c r="K8" s="88"/>
      <c r="L8" s="88" t="s">
        <v>150</v>
      </c>
      <c r="M8" s="88"/>
      <c r="N8" s="88" t="s">
        <v>44</v>
      </c>
      <c r="O8" s="88"/>
      <c r="P8" s="88" t="s">
        <v>157</v>
      </c>
      <c r="Q8" s="85"/>
    </row>
    <row r="9" spans="1:20" x14ac:dyDescent="0.25">
      <c r="C9" s="178"/>
      <c r="D9" s="178"/>
      <c r="I9" s="83" t="s">
        <v>155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79">
        <f>D3/F3</f>
        <v>10</v>
      </c>
      <c r="D10" s="179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T12"/>
  <sheetViews>
    <sheetView topLeftCell="F1" workbookViewId="0">
      <selection activeCell="I11" sqref="I11:M12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12.85546875" style="30" customWidth="1"/>
    <col min="8" max="8" width="7.28515625" style="30" customWidth="1"/>
    <col min="9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</row>
    <row r="2" spans="1:20" ht="7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146</v>
      </c>
      <c r="F2" s="73" t="s">
        <v>148</v>
      </c>
      <c r="G2" s="133" t="s">
        <v>213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  <c r="T2" s="133" t="s">
        <v>215</v>
      </c>
    </row>
    <row r="3" spans="1:20" x14ac:dyDescent="0.25">
      <c r="A3" s="56" t="str">
        <f>_xlfn.CONCAT(B3,"_",LEFT(C3,3))</f>
        <v>1_Piz</v>
      </c>
      <c r="B3" s="19">
        <v>1</v>
      </c>
      <c r="C3" s="20" t="s">
        <v>120</v>
      </c>
      <c r="D3" s="23">
        <v>10</v>
      </c>
      <c r="E3" s="23">
        <v>2</v>
      </c>
      <c r="F3" s="23">
        <v>10</v>
      </c>
      <c r="G3" s="23">
        <v>75</v>
      </c>
      <c r="I3" s="90" t="s">
        <v>150</v>
      </c>
      <c r="J3" s="20">
        <f>D3</f>
        <v>10</v>
      </c>
      <c r="K3" s="52" t="s">
        <v>13</v>
      </c>
      <c r="L3" s="20">
        <v>20</v>
      </c>
      <c r="M3" s="52" t="s">
        <v>13</v>
      </c>
      <c r="N3" s="20">
        <v>25</v>
      </c>
      <c r="O3" s="52" t="s">
        <v>13</v>
      </c>
      <c r="P3" s="138">
        <v>30</v>
      </c>
      <c r="R3" s="56">
        <v>0.3</v>
      </c>
      <c r="T3" s="138">
        <v>4</v>
      </c>
    </row>
    <row r="4" spans="1:20" x14ac:dyDescent="0.25">
      <c r="A4" s="62" t="str">
        <f t="shared" ref="A4:A5" si="0">_xlfn.CONCAT(B4,"_",LEFT(C4,3))</f>
        <v>2_Bub</v>
      </c>
      <c r="B4" s="19">
        <v>2</v>
      </c>
      <c r="C4" s="62" t="s">
        <v>143</v>
      </c>
      <c r="D4" s="21">
        <f>D3</f>
        <v>10</v>
      </c>
      <c r="E4" s="21">
        <f t="shared" ref="E4:F4" si="1">E3</f>
        <v>2</v>
      </c>
      <c r="F4" s="21">
        <f t="shared" si="1"/>
        <v>10</v>
      </c>
      <c r="G4" s="21">
        <f t="shared" ref="G4" si="2">G3</f>
        <v>75</v>
      </c>
      <c r="I4" s="91" t="s">
        <v>151</v>
      </c>
      <c r="J4" s="21">
        <f>E3</f>
        <v>2</v>
      </c>
      <c r="K4" s="53" t="s">
        <v>13</v>
      </c>
      <c r="L4" s="21">
        <v>1.5</v>
      </c>
      <c r="M4" s="53" t="s">
        <v>13</v>
      </c>
      <c r="N4" s="21">
        <v>1.25</v>
      </c>
      <c r="O4" s="53" t="s">
        <v>13</v>
      </c>
      <c r="P4" s="21">
        <v>1</v>
      </c>
      <c r="R4" s="62">
        <v>0.3</v>
      </c>
      <c r="T4" s="21">
        <v>8</v>
      </c>
    </row>
    <row r="5" spans="1:20" x14ac:dyDescent="0.25">
      <c r="A5" s="56" t="str">
        <f t="shared" si="0"/>
        <v>3_Sta</v>
      </c>
      <c r="B5" s="19">
        <v>3</v>
      </c>
      <c r="C5" s="20" t="s">
        <v>144</v>
      </c>
      <c r="D5" s="20">
        <f>D3</f>
        <v>10</v>
      </c>
      <c r="E5" s="20">
        <f t="shared" ref="E5:F5" si="3">E3</f>
        <v>2</v>
      </c>
      <c r="F5" s="20">
        <f t="shared" si="3"/>
        <v>10</v>
      </c>
      <c r="G5" s="137">
        <f t="shared" ref="G5" si="4">G3</f>
        <v>75</v>
      </c>
      <c r="I5" s="90" t="s">
        <v>152</v>
      </c>
      <c r="J5" s="20">
        <f>F3</f>
        <v>10</v>
      </c>
      <c r="K5" s="52" t="s">
        <v>13</v>
      </c>
      <c r="L5" s="20">
        <v>6</v>
      </c>
      <c r="M5" s="52" t="s">
        <v>13</v>
      </c>
      <c r="N5" s="20">
        <v>7.5</v>
      </c>
      <c r="O5" s="52" t="s">
        <v>13</v>
      </c>
      <c r="P5" s="20">
        <v>8</v>
      </c>
      <c r="R5" s="56">
        <v>0.1</v>
      </c>
      <c r="T5" s="137">
        <v>2</v>
      </c>
    </row>
    <row r="6" spans="1:20" x14ac:dyDescent="0.25">
      <c r="I6" s="91" t="s">
        <v>78</v>
      </c>
      <c r="J6" s="21">
        <f>MROUND(VLOOKUP(I9,A3:G5,7,FALSE)/2,5)</f>
        <v>40</v>
      </c>
      <c r="K6" s="52" t="s">
        <v>13</v>
      </c>
      <c r="L6" s="21">
        <v>55</v>
      </c>
      <c r="M6" s="52" t="s">
        <v>13</v>
      </c>
      <c r="N6" s="21">
        <v>75</v>
      </c>
      <c r="O6" s="52" t="s">
        <v>13</v>
      </c>
      <c r="P6" s="21">
        <v>90</v>
      </c>
      <c r="R6" s="62">
        <v>0.2</v>
      </c>
      <c r="T6" s="21"/>
    </row>
    <row r="7" spans="1:20" x14ac:dyDescent="0.25">
      <c r="C7" s="141" t="s">
        <v>87</v>
      </c>
      <c r="D7" s="141"/>
    </row>
    <row r="8" spans="1:20" x14ac:dyDescent="0.25">
      <c r="C8" s="178" t="s">
        <v>147</v>
      </c>
      <c r="D8" s="178" t="s">
        <v>149</v>
      </c>
      <c r="I8" s="88" t="s">
        <v>33</v>
      </c>
      <c r="J8" s="88" t="s">
        <v>35</v>
      </c>
      <c r="K8" s="88"/>
      <c r="L8" s="88" t="s">
        <v>150</v>
      </c>
      <c r="M8" s="88"/>
      <c r="N8" s="88" t="s">
        <v>156</v>
      </c>
      <c r="O8" s="88"/>
      <c r="P8" s="88" t="s">
        <v>157</v>
      </c>
      <c r="Q8" s="88"/>
    </row>
    <row r="9" spans="1:20" x14ac:dyDescent="0.25">
      <c r="C9" s="178"/>
      <c r="D9" s="178"/>
      <c r="I9" s="83" t="s">
        <v>154</v>
      </c>
      <c r="J9" s="75" t="str">
        <f>VLOOKUP($I$9,FACTORY,3)</f>
        <v>Pizza</v>
      </c>
      <c r="K9" s="75"/>
      <c r="L9" s="75">
        <f>VLOOKUP($I$9,FACTORY,4)</f>
        <v>10</v>
      </c>
      <c r="M9" s="75"/>
      <c r="N9" s="75">
        <f>VLOOKUP($I$9,FACTORY,5)</f>
        <v>2</v>
      </c>
      <c r="O9" s="75"/>
      <c r="P9" s="75">
        <f>VLOOKUP($I$9,FACTORY,6)</f>
        <v>10</v>
      </c>
      <c r="Q9" s="75"/>
    </row>
    <row r="10" spans="1:20" x14ac:dyDescent="0.25">
      <c r="C10" s="20">
        <f>ROUND(D3/E3,0)</f>
        <v>5</v>
      </c>
      <c r="D10" s="20">
        <f>D3/F3</f>
        <v>1</v>
      </c>
    </row>
    <row r="11" spans="1:20" x14ac:dyDescent="0.25">
      <c r="J11" s="133" t="s">
        <v>66</v>
      </c>
      <c r="K11" s="133" t="s">
        <v>67</v>
      </c>
      <c r="L11" s="133" t="s">
        <v>68</v>
      </c>
      <c r="M11" s="133" t="s">
        <v>69</v>
      </c>
    </row>
    <row r="12" spans="1:20" x14ac:dyDescent="0.25">
      <c r="I12" s="133" t="s">
        <v>214</v>
      </c>
      <c r="J12" s="136">
        <f>(J3*$T3)+(1/J4*10*$T4)+(J5*$T5)</f>
        <v>100</v>
      </c>
      <c r="K12" s="136">
        <f>(L3*$T3)+(1/L4*10*$T4)+(L5*$T5)</f>
        <v>145.33333333333331</v>
      </c>
      <c r="L12" s="136">
        <f>(N3*$T3)+(1/N4*10*$T4)+(N5*$T5)</f>
        <v>179</v>
      </c>
      <c r="M12" s="136">
        <f>(P3*$T3)+(1/P4*10*$T4)+(P5*$T5)</f>
        <v>216</v>
      </c>
    </row>
  </sheetData>
  <mergeCells count="3">
    <mergeCell ref="C7:D7"/>
    <mergeCell ref="C8:C9"/>
    <mergeCell ref="D8:D9"/>
  </mergeCells>
  <dataValidations disablePrompts="1"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K3:K6 M3:M6 O3:O6 Q3:Q6" xr:uid="{521F7D0B-1CF3-43FC-9A6E-F52C923543F8}">
      <formula1>SIGN</formula1>
    </dataValidation>
    <dataValidation type="list" allowBlank="1" showInputMessage="1" showErrorMessage="1" sqref="I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AA18"/>
  <sheetViews>
    <sheetView topLeftCell="H1" workbookViewId="0">
      <selection activeCell="S7" sqref="S7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14.140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27" width="11.42578125" style="30"/>
    <col min="28" max="28" width="4.5703125" style="30" customWidth="1"/>
    <col min="29" max="16384" width="11.42578125" style="30"/>
  </cols>
  <sheetData>
    <row r="1" spans="1:2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7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212</v>
      </c>
      <c r="K2" s="164" t="s">
        <v>56</v>
      </c>
      <c r="L2" s="164"/>
      <c r="M2" s="73" t="s">
        <v>11</v>
      </c>
      <c r="N2" s="89"/>
      <c r="O2" s="73" t="s">
        <v>0</v>
      </c>
      <c r="P2" s="89"/>
      <c r="Q2" s="73" t="s">
        <v>2</v>
      </c>
      <c r="R2" s="89"/>
      <c r="S2" s="133" t="s">
        <v>1</v>
      </c>
      <c r="T2" s="89" t="s">
        <v>219</v>
      </c>
      <c r="V2" s="171" t="s">
        <v>216</v>
      </c>
      <c r="W2" s="171"/>
      <c r="X2" s="171" t="s">
        <v>217</v>
      </c>
      <c r="Y2" s="171"/>
      <c r="Z2" s="171" t="s">
        <v>218</v>
      </c>
      <c r="AA2" s="171"/>
    </row>
    <row r="3" spans="1:27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120</v>
      </c>
      <c r="D3" s="12" t="s">
        <v>50</v>
      </c>
      <c r="E3" s="23">
        <v>6</v>
      </c>
      <c r="F3" s="23">
        <v>1.5</v>
      </c>
      <c r="G3" s="23">
        <v>15</v>
      </c>
      <c r="H3" s="23">
        <v>10</v>
      </c>
      <c r="I3" s="23">
        <v>90</v>
      </c>
      <c r="K3" s="166" t="s">
        <v>45</v>
      </c>
      <c r="L3" s="90" t="s">
        <v>5</v>
      </c>
      <c r="M3" s="51">
        <f>$Q$12</f>
        <v>2</v>
      </c>
      <c r="N3" s="28" t="s">
        <v>13</v>
      </c>
      <c r="O3" s="28" cm="1">
        <f t="array" ref="O3">_xlfn.IFS(N3="+",ROUNDDOWN(M3*(1+$V$3),2),N3="=",M3)</f>
        <v>3</v>
      </c>
      <c r="P3" s="28" t="s">
        <v>13</v>
      </c>
      <c r="Q3" s="28" cm="1">
        <f t="array" ref="Q3">_xlfn.IFS(P3="+",ROUNDDOWN(O3*(1+$X$3),2),P3="=",O3)</f>
        <v>3</v>
      </c>
      <c r="R3" s="28" t="s">
        <v>13</v>
      </c>
      <c r="S3" s="134" cm="1">
        <f t="array" ref="S3">_xlfn.IFS(R3="+",ROUNDDOWN(Q3*(1+$Z$3),2),R3="=",Q3)</f>
        <v>3.9</v>
      </c>
      <c r="T3" s="30">
        <v>5</v>
      </c>
      <c r="V3" s="170">
        <v>0.5</v>
      </c>
      <c r="W3" s="170"/>
      <c r="X3" s="170">
        <v>0</v>
      </c>
      <c r="Y3" s="170"/>
      <c r="Z3" s="170">
        <v>0.3</v>
      </c>
      <c r="AA3" s="170"/>
    </row>
    <row r="4" spans="1:27" x14ac:dyDescent="0.25">
      <c r="A4" s="11" t="str">
        <f t="shared" si="0"/>
        <v>2_Pizz_Mort</v>
      </c>
      <c r="B4" s="19">
        <v>2</v>
      </c>
      <c r="C4" s="11" t="s">
        <v>120</v>
      </c>
      <c r="D4" s="11" t="s">
        <v>52</v>
      </c>
      <c r="E4" s="23">
        <v>4</v>
      </c>
      <c r="F4" s="23">
        <v>1</v>
      </c>
      <c r="G4" s="23">
        <v>12</v>
      </c>
      <c r="H4" s="23">
        <v>15</v>
      </c>
      <c r="I4" s="21">
        <v>80</v>
      </c>
      <c r="K4" s="166"/>
      <c r="L4" s="91" t="s">
        <v>15</v>
      </c>
      <c r="M4" s="29">
        <f>$S$12</f>
        <v>0.75</v>
      </c>
      <c r="N4" s="29" t="s">
        <v>13</v>
      </c>
      <c r="O4" s="29" cm="1">
        <f t="array" ref="O4">_xlfn.IFS(N4="+",ROUNDDOWN(M4*(1-$V$4),2),N4="=",M4)</f>
        <v>0.75</v>
      </c>
      <c r="P4" s="29" t="s">
        <v>13</v>
      </c>
      <c r="Q4" s="29" cm="1">
        <f t="array" ref="Q4">_xlfn.IFS(P4="+",ROUNDDOWN(O4*(1-$X$4),2),P4="=",O4)</f>
        <v>0.56000000000000005</v>
      </c>
      <c r="R4" s="29" t="s">
        <v>13</v>
      </c>
      <c r="S4" s="135" cm="1">
        <f t="array" ref="S4">_xlfn.IFS(R4="+",ROUNDDOWN(Q4*(1-$Z$4),2),R4="=",Q4)</f>
        <v>0.44</v>
      </c>
      <c r="T4" s="30">
        <v>3</v>
      </c>
      <c r="V4" s="172">
        <v>0</v>
      </c>
      <c r="W4" s="172"/>
      <c r="X4" s="172">
        <v>0.25</v>
      </c>
      <c r="Y4" s="172"/>
      <c r="Z4" s="172">
        <v>0.2</v>
      </c>
      <c r="AA4" s="172"/>
    </row>
    <row r="5" spans="1:27" x14ac:dyDescent="0.25">
      <c r="A5" s="12" t="str">
        <f t="shared" si="0"/>
        <v>3_Pizz_Cano</v>
      </c>
      <c r="B5" s="19">
        <v>3</v>
      </c>
      <c r="C5" s="12" t="s">
        <v>120</v>
      </c>
      <c r="D5" s="12" t="s">
        <v>51</v>
      </c>
      <c r="E5" s="23">
        <v>2</v>
      </c>
      <c r="F5" s="23">
        <v>0.75</v>
      </c>
      <c r="G5" s="23">
        <v>9</v>
      </c>
      <c r="H5" s="23">
        <v>20</v>
      </c>
      <c r="I5" s="20">
        <v>100</v>
      </c>
      <c r="K5" s="166"/>
      <c r="L5" s="90" t="s">
        <v>10</v>
      </c>
      <c r="M5" s="28">
        <f>$U$12</f>
        <v>9</v>
      </c>
      <c r="N5" s="28" t="s">
        <v>13</v>
      </c>
      <c r="O5" s="28" cm="1">
        <f t="array" ref="O5">_xlfn.IFS(N5="+",ROUNDDOWN(M5*(1+$V$5),2),N5="=",M5)</f>
        <v>10.8</v>
      </c>
      <c r="P5" s="28" t="s">
        <v>13</v>
      </c>
      <c r="Q5" s="28" cm="1">
        <f t="array" ref="Q5">_xlfn.IFS(P5="+",ROUNDDOWN(O5*(1+$X$5),2),P5="=",O5)</f>
        <v>12.09</v>
      </c>
      <c r="R5" s="28" t="s">
        <v>13</v>
      </c>
      <c r="S5" s="134" cm="1">
        <f t="array" ref="S5">_xlfn.IFS(R5="+",ROUNDDOWN(Q5*(1+$Z$5),2),R5="=",Q5)</f>
        <v>13.29</v>
      </c>
      <c r="T5" s="30">
        <v>2</v>
      </c>
      <c r="V5" s="170">
        <v>0.2</v>
      </c>
      <c r="W5" s="170"/>
      <c r="X5" s="170">
        <v>0.12</v>
      </c>
      <c r="Y5" s="170"/>
      <c r="Z5" s="170">
        <v>0.1</v>
      </c>
      <c r="AA5" s="170"/>
    </row>
    <row r="6" spans="1:27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1.5</v>
      </c>
      <c r="G6" s="21">
        <f>G3</f>
        <v>15</v>
      </c>
      <c r="H6" s="21">
        <f>H3</f>
        <v>10</v>
      </c>
      <c r="I6" s="21">
        <f>I3</f>
        <v>90</v>
      </c>
      <c r="K6" s="166"/>
      <c r="L6" s="91" t="s">
        <v>40</v>
      </c>
      <c r="M6" s="29">
        <f>$W$12</f>
        <v>20</v>
      </c>
      <c r="N6" s="29" t="s">
        <v>13</v>
      </c>
      <c r="O6" s="29" cm="1">
        <f t="array" ref="O6">_xlfn.IFS(N6="+",ROUNDDOWN(M6*(1+$V$6),0),N6="=",M6)</f>
        <v>25</v>
      </c>
      <c r="P6" s="29" t="s">
        <v>13</v>
      </c>
      <c r="Q6" s="29" cm="1">
        <f t="array" ref="Q6">_xlfn.IFS(P6="+",ROUNDDOWN(O6*(1+$X$6),0),P6="=",O6)</f>
        <v>30</v>
      </c>
      <c r="R6" s="29" t="s">
        <v>13</v>
      </c>
      <c r="S6" s="135" cm="1">
        <f t="array" ref="S6">_xlfn.IFS(R6="+",ROUNDDOWN(Q6*(1+$Z$6),0),R6="=",Q6)</f>
        <v>34</v>
      </c>
      <c r="T6" s="30">
        <v>2</v>
      </c>
      <c r="V6" s="172">
        <v>0.25</v>
      </c>
      <c r="W6" s="172"/>
      <c r="X6" s="172">
        <v>0.2</v>
      </c>
      <c r="Y6" s="172"/>
      <c r="Z6" s="172">
        <v>0.15</v>
      </c>
      <c r="AA6" s="172"/>
    </row>
    <row r="7" spans="1:27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1</v>
      </c>
      <c r="G7" s="20">
        <f t="shared" si="1"/>
        <v>12</v>
      </c>
      <c r="H7" s="20">
        <f t="shared" si="1"/>
        <v>15</v>
      </c>
      <c r="I7" s="20">
        <f>I4</f>
        <v>80</v>
      </c>
      <c r="K7" s="166"/>
      <c r="L7" s="90" t="s">
        <v>78</v>
      </c>
      <c r="M7" s="28">
        <f>ROUNDUP(VLOOKUP(K12,TOWER,9,FALSE)/2,0)</f>
        <v>50</v>
      </c>
      <c r="N7" s="28" t="s">
        <v>13</v>
      </c>
      <c r="O7" s="28">
        <f>MROUND(M7+ROUNDUP(M7/2,0),5)</f>
        <v>75</v>
      </c>
      <c r="P7" s="96" t="s">
        <v>13</v>
      </c>
      <c r="Q7" s="94">
        <f>MROUND(O7+ROUNDUP(O7/2,0),5)</f>
        <v>115</v>
      </c>
      <c r="R7" s="28" t="s">
        <v>13</v>
      </c>
      <c r="S7" s="134">
        <f>MROUND(Q7+ROUNDUP(Q7/2,0),5)</f>
        <v>175</v>
      </c>
      <c r="U7" s="139" t="s">
        <v>220</v>
      </c>
      <c r="V7" s="170">
        <f>SUM(V3:W6)</f>
        <v>0.95</v>
      </c>
      <c r="W7" s="170"/>
      <c r="X7" s="170">
        <f t="shared" ref="X7" si="2">SUM(X3:Y6)</f>
        <v>0.57000000000000006</v>
      </c>
      <c r="Y7" s="170"/>
      <c r="Z7" s="170">
        <f t="shared" ref="Z7" si="3">SUM(Z3:AA6)</f>
        <v>0.75</v>
      </c>
      <c r="AA7" s="170"/>
    </row>
    <row r="8" spans="1:27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2</v>
      </c>
      <c r="F8" s="21">
        <f t="shared" si="1"/>
        <v>0.75</v>
      </c>
      <c r="G8" s="21">
        <f t="shared" si="1"/>
        <v>9</v>
      </c>
      <c r="H8" s="21">
        <f t="shared" si="1"/>
        <v>20</v>
      </c>
      <c r="I8" s="21">
        <f>I5</f>
        <v>100</v>
      </c>
      <c r="K8" s="182" t="s">
        <v>60</v>
      </c>
      <c r="L8" s="182"/>
      <c r="M8" s="28">
        <f>ROUNDDOWN(M3*M9,2)</f>
        <v>2.66</v>
      </c>
      <c r="N8" s="28"/>
      <c r="O8" s="28">
        <f>ROUNDDOWN(O3*O9,2)</f>
        <v>3.99</v>
      </c>
      <c r="P8" s="28"/>
      <c r="Q8" s="28">
        <f>ROUNDDOWN(Q3*Q9,2)</f>
        <v>5.37</v>
      </c>
      <c r="R8" s="28"/>
      <c r="S8" s="134">
        <f>ROUNDDOWN(S3*S9,2)</f>
        <v>8.85</v>
      </c>
      <c r="U8" s="139" t="s">
        <v>221</v>
      </c>
      <c r="V8" s="180">
        <f>(V3+$T3)+V4*$T4+V5*$T5+V6*$T6</f>
        <v>6.4</v>
      </c>
      <c r="W8" s="180"/>
      <c r="X8" s="180">
        <f t="shared" ref="X8" si="4">(X3+$T3)+X4*$T4+X5*$T5+X6*$T6</f>
        <v>6.3900000000000006</v>
      </c>
      <c r="Y8" s="180"/>
      <c r="Z8" s="180">
        <f t="shared" ref="Z8" si="5">(Z3+$T3)+Z4*$T4+Z5*$T5+Z6*$T6</f>
        <v>6.4</v>
      </c>
      <c r="AA8" s="180"/>
    </row>
    <row r="9" spans="1:27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1.5</v>
      </c>
      <c r="G9" s="20">
        <f>G3</f>
        <v>15</v>
      </c>
      <c r="H9" s="20">
        <f>H3</f>
        <v>10</v>
      </c>
      <c r="I9" s="20">
        <f>I3</f>
        <v>90</v>
      </c>
      <c r="K9" s="183" t="s">
        <v>46</v>
      </c>
      <c r="L9" s="183"/>
      <c r="M9" s="29">
        <f>ROUNDDOWN(1/M4,2)</f>
        <v>1.33</v>
      </c>
      <c r="N9" s="29"/>
      <c r="O9" s="29">
        <f>ROUND(1/O4,2)</f>
        <v>1.33</v>
      </c>
      <c r="P9" s="29"/>
      <c r="Q9" s="29">
        <f>ROUND(1/Q4,2)</f>
        <v>1.79</v>
      </c>
      <c r="R9" s="29"/>
      <c r="S9" s="135">
        <f>ROUND(1/S4,2)</f>
        <v>2.27</v>
      </c>
    </row>
    <row r="10" spans="1:27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6">E4</f>
        <v>4</v>
      </c>
      <c r="F10" s="21">
        <f t="shared" si="6"/>
        <v>1</v>
      </c>
      <c r="G10" s="21">
        <f t="shared" si="6"/>
        <v>12</v>
      </c>
      <c r="H10" s="21">
        <f t="shared" si="6"/>
        <v>15</v>
      </c>
      <c r="I10" s="21">
        <f>I4</f>
        <v>80</v>
      </c>
    </row>
    <row r="11" spans="1:27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6"/>
        <v>2</v>
      </c>
      <c r="F11" s="20">
        <f t="shared" si="6"/>
        <v>0.75</v>
      </c>
      <c r="G11" s="20">
        <f t="shared" si="6"/>
        <v>9</v>
      </c>
      <c r="H11" s="20">
        <f t="shared" si="6"/>
        <v>20</v>
      </c>
      <c r="I11" s="20">
        <f>I5</f>
        <v>100</v>
      </c>
      <c r="K11" s="162" t="s">
        <v>41</v>
      </c>
      <c r="L11" s="162"/>
      <c r="M11" s="162" t="s">
        <v>35</v>
      </c>
      <c r="N11" s="162"/>
      <c r="O11" s="162" t="s">
        <v>55</v>
      </c>
      <c r="P11" s="162"/>
      <c r="Q11" s="162" t="s">
        <v>5</v>
      </c>
      <c r="R11" s="162"/>
      <c r="S11" s="162" t="s">
        <v>15</v>
      </c>
      <c r="T11" s="162"/>
      <c r="U11" s="162" t="s">
        <v>10</v>
      </c>
      <c r="V11" s="162"/>
      <c r="W11" s="162" t="s">
        <v>40</v>
      </c>
      <c r="X11" s="162"/>
      <c r="Y11" s="162" t="s">
        <v>93</v>
      </c>
      <c r="Z11" s="162"/>
    </row>
    <row r="12" spans="1:27" x14ac:dyDescent="0.25">
      <c r="K12" s="165" t="s">
        <v>196</v>
      </c>
      <c r="L12" s="165"/>
      <c r="M12" s="155" t="str">
        <f>VLOOKUP($K$12,TOWER,3)</f>
        <v>Pizza</v>
      </c>
      <c r="N12" s="155"/>
      <c r="O12" s="155" t="str">
        <f>VLOOKUP($K$12,TOWER,4)</f>
        <v>Canon</v>
      </c>
      <c r="P12" s="155"/>
      <c r="Q12" s="155">
        <f>VLOOKUP($K$12,TOWER,5)</f>
        <v>2</v>
      </c>
      <c r="R12" s="155"/>
      <c r="S12" s="155">
        <f>VLOOKUP($K$12,TOWER,6)</f>
        <v>0.75</v>
      </c>
      <c r="T12" s="155"/>
      <c r="U12" s="155">
        <f>VLOOKUP($K$12,TOWER,7)</f>
        <v>9</v>
      </c>
      <c r="V12" s="155"/>
      <c r="W12" s="155">
        <f>VLOOKUP($K$12,TOWER,8)</f>
        <v>20</v>
      </c>
      <c r="X12" s="155"/>
      <c r="Y12" s="155">
        <f>VLOOKUP($K$12,TOWER,9)</f>
        <v>100</v>
      </c>
      <c r="Z12" s="155"/>
    </row>
    <row r="13" spans="1:27" x14ac:dyDescent="0.25">
      <c r="C13" s="181" t="s">
        <v>87</v>
      </c>
      <c r="D13" s="181"/>
    </row>
    <row r="14" spans="1:27" x14ac:dyDescent="0.25">
      <c r="C14" s="178" t="s">
        <v>89</v>
      </c>
      <c r="D14" s="178" t="s">
        <v>88</v>
      </c>
    </row>
    <row r="15" spans="1:27" x14ac:dyDescent="0.25">
      <c r="C15" s="178"/>
      <c r="D15" s="178"/>
      <c r="L15" s="133" t="s">
        <v>66</v>
      </c>
      <c r="M15" s="133" t="s">
        <v>67</v>
      </c>
      <c r="N15" s="133" t="s">
        <v>68</v>
      </c>
      <c r="O15" s="133" t="s">
        <v>69</v>
      </c>
    </row>
    <row r="16" spans="1:27" x14ac:dyDescent="0.25">
      <c r="C16" s="20">
        <f>E3/F3</f>
        <v>4</v>
      </c>
      <c r="D16" s="20">
        <f>H3*F3</f>
        <v>15</v>
      </c>
      <c r="K16" s="133" t="s">
        <v>214</v>
      </c>
      <c r="L16" s="136">
        <f>(M3*$T3)+(1/M4*10*$T4)+(M5*$T5)+(M6*$T6)</f>
        <v>108</v>
      </c>
      <c r="M16" s="136">
        <f>(O3*$T3)+(1/O4*10*$T4)+(O5*$T5)+(O6*$T6)</f>
        <v>126.6</v>
      </c>
      <c r="N16" s="136">
        <f>(Q3*$T3)+(1/Q4*10*$T4)+(Q5*$T5)+(Q6*$T6)</f>
        <v>152.75142857142856</v>
      </c>
      <c r="O16" s="136">
        <f>(S3*$T3)+(1/S4*10*$T4)+(S5*$T5)+(S6*$T6)</f>
        <v>182.26181818181817</v>
      </c>
    </row>
    <row r="17" spans="3:4" x14ac:dyDescent="0.25">
      <c r="C17" s="21">
        <f>E4/F4</f>
        <v>4</v>
      </c>
      <c r="D17" s="21">
        <f>H4*F4</f>
        <v>15</v>
      </c>
    </row>
    <row r="18" spans="3:4" x14ac:dyDescent="0.25">
      <c r="C18" s="20">
        <f>E5/F5</f>
        <v>2.6666666666666665</v>
      </c>
      <c r="D18" s="20">
        <f>H5*F5</f>
        <v>15</v>
      </c>
    </row>
  </sheetData>
  <mergeCells count="44"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  <mergeCell ref="O12:P12"/>
    <mergeCell ref="C13:D13"/>
    <mergeCell ref="C14:C15"/>
    <mergeCell ref="D14:D15"/>
    <mergeCell ref="K2:L2"/>
    <mergeCell ref="K8:L8"/>
    <mergeCell ref="K9:L9"/>
    <mergeCell ref="V2:W2"/>
    <mergeCell ref="V3:W3"/>
    <mergeCell ref="V4:W4"/>
    <mergeCell ref="V5:W5"/>
    <mergeCell ref="V6:W6"/>
    <mergeCell ref="X4:Y4"/>
    <mergeCell ref="Z4:AA4"/>
    <mergeCell ref="X5:Y5"/>
    <mergeCell ref="Z5:AA5"/>
    <mergeCell ref="X2:Y2"/>
    <mergeCell ref="Z2:AA2"/>
    <mergeCell ref="X3:Y3"/>
    <mergeCell ref="Z3:AA3"/>
    <mergeCell ref="V8:W8"/>
    <mergeCell ref="X8:Y8"/>
    <mergeCell ref="Z8:AA8"/>
    <mergeCell ref="X6:Y6"/>
    <mergeCell ref="Z6:AA6"/>
    <mergeCell ref="X7:Y7"/>
    <mergeCell ref="Z7:AA7"/>
    <mergeCell ref="V7:W7"/>
  </mergeCells>
  <phoneticPr fontId="1" type="noConversion"/>
  <conditionalFormatting sqref="V3:AA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8:T10 V9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3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tabSelected="1" zoomScaleNormal="100" workbookViewId="0">
      <selection activeCell="H3" sqref="H3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86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9</v>
      </c>
      <c r="F3" s="23">
        <v>4</v>
      </c>
      <c r="G3" s="23">
        <v>1</v>
      </c>
      <c r="H3" s="23">
        <v>10</v>
      </c>
      <c r="I3" s="47"/>
      <c r="J3" s="76" t="s">
        <v>28</v>
      </c>
      <c r="K3" s="20">
        <f>O9</f>
        <v>9</v>
      </c>
      <c r="L3" s="27" t="s">
        <v>13</v>
      </c>
      <c r="M3" s="20" cm="1">
        <f t="array" ref="M3">_xlfn.IFS(L3="+",ROUNDDOWN($K$3 * (1 + W3) ^ 1,2),L3="=",K3)</f>
        <v>13.5</v>
      </c>
      <c r="N3" s="27" t="s">
        <v>13</v>
      </c>
      <c r="O3" s="20" cm="1">
        <f t="array" ref="O3">_xlfn.IFS(N3="+",ROUNDDOWN($K$3 * (1 + W3) ^ 2,2),N3="=",K3)</f>
        <v>20.25</v>
      </c>
      <c r="P3" s="27" t="s">
        <v>13</v>
      </c>
      <c r="Q3" s="20" cm="1">
        <f t="array" ref="Q3">_xlfn.IFS(P3="+",ROUNDDOWN($K$3 * (1 + W3) ^ 3,2),P3="=",K3)</f>
        <v>30.37</v>
      </c>
      <c r="R3" s="27" t="s">
        <v>13</v>
      </c>
      <c r="S3" s="20" cm="1">
        <f t="array" ref="S3">_xlfn.IFS(R3="+",ROUNDDOWN($K$3 * (1 + W3) ^ 4,2),R3="=",K3)</f>
        <v>45.56</v>
      </c>
      <c r="T3" s="27" t="s">
        <v>13</v>
      </c>
      <c r="U3" s="20" cm="1">
        <f t="array" ref="U3">_xlfn.IFS(R3="+",ROUNDDOWN($K$3 * (1 + W3) ^ 5,2),R3="=",K3)</f>
        <v>68.34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>
        <v>6</v>
      </c>
      <c r="F4" s="23">
        <v>6</v>
      </c>
      <c r="G4" s="23">
        <v>1</v>
      </c>
      <c r="H4" s="23">
        <v>10</v>
      </c>
      <c r="I4" s="47"/>
      <c r="J4" s="77" t="s">
        <v>44</v>
      </c>
      <c r="K4" s="21">
        <f>Q9</f>
        <v>4</v>
      </c>
      <c r="L4" s="26" t="s">
        <v>13</v>
      </c>
      <c r="M4" s="21" cm="1">
        <f t="array" ref="M4">_xlfn.IFS(L4="+",ROUNDDOWN($K$4 * (1 + W4) ^ 1,2),L4="=",K4)</f>
        <v>5.2</v>
      </c>
      <c r="N4" s="26" t="s">
        <v>13</v>
      </c>
      <c r="O4" s="21" cm="1">
        <f t="array" ref="O4">_xlfn.IFS(N4="+",ROUNDDOWN($K$4 * (1 + W4) ^ 1,2),N4="=",M4)</f>
        <v>5.2</v>
      </c>
      <c r="P4" s="26" t="s">
        <v>13</v>
      </c>
      <c r="Q4" s="21" cm="1">
        <f t="array" ref="Q4">_xlfn.IFS(P4="+",ROUNDDOWN($K$4 * (1 + W4) ^ 1,2),P4="=",O4)</f>
        <v>5.2</v>
      </c>
      <c r="R4" s="26" t="s">
        <v>13</v>
      </c>
      <c r="S4" s="21" cm="1">
        <f t="array" ref="S4">_xlfn.IFS(R4="+",ROUNDDOWN($K$4 * (1 + W4) ^ 1,2),R4="=",Q4)</f>
        <v>5.2</v>
      </c>
      <c r="T4" s="26" t="s">
        <v>13</v>
      </c>
      <c r="U4" s="21" cm="1">
        <f t="array" ref="U4">_xlfn.IFS(T4="+",ROUNDDOWN($K$4 * (1 + W4) ^ 1,2),T4="=",S4)</f>
        <v>5.2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15</v>
      </c>
      <c r="F5" s="23">
        <v>3</v>
      </c>
      <c r="G5" s="23">
        <v>1</v>
      </c>
      <c r="H5" s="23">
        <v>19</v>
      </c>
      <c r="J5" s="76" t="s">
        <v>72</v>
      </c>
      <c r="K5" s="20">
        <f>S9</f>
        <v>1</v>
      </c>
      <c r="L5" s="27" t="s">
        <v>13</v>
      </c>
      <c r="M5" s="20" cm="1">
        <f t="array" ref="M5">_xlfn.IFS(L5="+",ROUNDDOWN($K$5 * (1 + W5) ^ 1,2),L5="=",K5)</f>
        <v>1.2</v>
      </c>
      <c r="N5" s="27" t="s">
        <v>13</v>
      </c>
      <c r="O5" s="20" cm="1">
        <f t="array" ref="O5">_xlfn.IFS(N5="+",ROUNDDOWN($K$5 * (1 + W5) ^ 2,2),N5="=",K5)</f>
        <v>1.44</v>
      </c>
      <c r="P5" s="27" t="s">
        <v>13</v>
      </c>
      <c r="Q5" s="20" cm="1">
        <f t="array" ref="Q5">_xlfn.IFS(P5="+",ROUNDDOWN($K$5 * (1 + W5) ^ 3,2),P5="=",O5)</f>
        <v>1.72</v>
      </c>
      <c r="R5" s="27" t="s">
        <v>13</v>
      </c>
      <c r="S5" s="20" cm="1">
        <f t="array" ref="S5">_xlfn.IFS(R5="+",ROUNDDOWN($K$5 * (1 + W5) ^ 4,2),R5="=",Q5)</f>
        <v>2.0699999999999998</v>
      </c>
      <c r="T5" s="27" t="s">
        <v>13</v>
      </c>
      <c r="U5" s="20" cm="1">
        <f t="array" ref="U5">_xlfn.IFS(T5="+",ROUNDDOWN($K$5 * (1 + W5) ^ 5,2),T5="=",S5)</f>
        <v>2.48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v>12</v>
      </c>
      <c r="F6" s="21">
        <v>2</v>
      </c>
      <c r="G6" s="23">
        <v>1</v>
      </c>
      <c r="H6" s="21">
        <v>9</v>
      </c>
      <c r="J6" s="77" t="s">
        <v>75</v>
      </c>
      <c r="K6" s="21">
        <f>U9</f>
        <v>10</v>
      </c>
      <c r="L6" s="26" t="s">
        <v>13</v>
      </c>
      <c r="M6" s="21" cm="1">
        <f t="array" ref="M6">_xlfn.IFS(L6="+",ROUNDDOWN($K$6 * (1 + W6) ^ 1,2),L6="=",K6)</f>
        <v>15</v>
      </c>
      <c r="N6" s="26" t="s">
        <v>13</v>
      </c>
      <c r="O6" s="21" cm="1">
        <f t="array" ref="O6">_xlfn.IFS(L6="+",ROUNDDOWN($K$6 * (1 + W6) ^ 2,2),L6="=",K6)</f>
        <v>22.5</v>
      </c>
      <c r="P6" s="26" t="s">
        <v>13</v>
      </c>
      <c r="Q6" s="21" cm="1">
        <f t="array" ref="Q6">_xlfn.IFS(L6="+",ROUNDDOWN($K$6 * (1 + W6) ^ 3,2),L6="=",K6)</f>
        <v>33.75</v>
      </c>
      <c r="R6" s="26" t="s">
        <v>13</v>
      </c>
      <c r="S6" s="21" cm="1">
        <f t="array" ref="S6">_xlfn.IFS(L6="+",ROUNDDOWN($K$6 * (1 + W6) ^ 4,2),L6="=",K6)</f>
        <v>50.62</v>
      </c>
      <c r="T6" s="26" t="s">
        <v>13</v>
      </c>
      <c r="U6" s="21" cm="1">
        <f t="array" ref="U6">_xlfn.IFS(L6="+",ROUNDDOWN($K$6 * (1 + W6) ^ 5,2),L6="=",K6)</f>
        <v>75.930000000000007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0">
        <v>8</v>
      </c>
      <c r="F7" s="20">
        <v>4</v>
      </c>
      <c r="G7" s="23">
        <v>1</v>
      </c>
      <c r="H7" s="20">
        <v>12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1">
        <v>18</v>
      </c>
      <c r="F8" s="21">
        <v>1</v>
      </c>
      <c r="G8" s="23">
        <v>1</v>
      </c>
      <c r="H8" s="21">
        <v>18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v>15</v>
      </c>
      <c r="F9" s="20">
        <v>3</v>
      </c>
      <c r="G9" s="23">
        <v>1</v>
      </c>
      <c r="H9" s="20">
        <v>9</v>
      </c>
      <c r="J9" s="83" t="s">
        <v>91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9</v>
      </c>
      <c r="P9" s="75"/>
      <c r="Q9" s="75">
        <f>VLOOKUP($J$9,ENEMY,6)</f>
        <v>4</v>
      </c>
      <c r="R9" s="75"/>
      <c r="S9" s="75">
        <f>VLOOKUP($J$9,ENEMY,7)</f>
        <v>1</v>
      </c>
      <c r="T9" s="75"/>
      <c r="U9" s="75">
        <f>VLOOKUP($J$9,ENEMY,8)</f>
        <v>10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1">
        <v>10</v>
      </c>
      <c r="F10" s="21">
        <v>5</v>
      </c>
      <c r="G10" s="23">
        <v>1</v>
      </c>
      <c r="H10" s="21">
        <v>12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0">
        <v>22.5</v>
      </c>
      <c r="F11" s="20">
        <v>2</v>
      </c>
      <c r="G11" s="23">
        <v>1</v>
      </c>
      <c r="H11" s="20">
        <v>18</v>
      </c>
    </row>
    <row r="12" spans="1:24" x14ac:dyDescent="0.25">
      <c r="B12" s="45"/>
    </row>
    <row r="13" spans="1:24" x14ac:dyDescent="0.25">
      <c r="C13" s="141" t="s">
        <v>87</v>
      </c>
      <c r="D13" s="141"/>
    </row>
    <row r="14" spans="1:24" x14ac:dyDescent="0.25">
      <c r="C14" s="178" t="s">
        <v>90</v>
      </c>
      <c r="D14" s="178" t="s">
        <v>92</v>
      </c>
    </row>
    <row r="15" spans="1:24" x14ac:dyDescent="0.25">
      <c r="C15" s="178"/>
      <c r="D15" s="178"/>
    </row>
    <row r="16" spans="1:24" x14ac:dyDescent="0.25">
      <c r="C16" s="20">
        <f>E3*F3</f>
        <v>36</v>
      </c>
      <c r="D16" s="20">
        <f>G3/E3</f>
        <v>0.1111111111111111</v>
      </c>
      <c r="J16" s="54"/>
    </row>
    <row r="17" spans="3:4" x14ac:dyDescent="0.25">
      <c r="C17" s="21">
        <f>E4*F4</f>
        <v>36</v>
      </c>
      <c r="D17" s="21">
        <f>G4/E4</f>
        <v>0.16666666666666666</v>
      </c>
    </row>
    <row r="18" spans="3:4" x14ac:dyDescent="0.25">
      <c r="C18" s="20">
        <f>E5*F5</f>
        <v>45</v>
      </c>
      <c r="D18" s="20">
        <f>G5/E5</f>
        <v>6.6666666666666666E-2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zoomScale="145" zoomScaleNormal="145" workbookViewId="0">
      <selection activeCell="G15" sqref="G15:H16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120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120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86" t="str">
        <f>HLOOKUP(G3,C2:E5,VLOOKUP(H3,B3:F5,5,FALSE)+1,FALSE)</f>
        <v>+</v>
      </c>
      <c r="H4" s="186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86"/>
      <c r="H5" s="186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86" t="str">
        <f>HLOOKUP(G8,C7:E10,VLOOKUP(H8,B8:F10,5,FALSE)+1,FALSE)</f>
        <v>=</v>
      </c>
      <c r="H9" s="186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86"/>
      <c r="H10" s="186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85" t="s">
        <v>99</v>
      </c>
      <c r="D12" s="185"/>
      <c r="E12" s="185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101</v>
      </c>
      <c r="E13" s="4" t="s">
        <v>102</v>
      </c>
      <c r="J13" s="7" t="s">
        <v>14</v>
      </c>
      <c r="K13" s="7" t="s">
        <v>12</v>
      </c>
      <c r="L13" s="7" t="s">
        <v>13</v>
      </c>
      <c r="M13" s="7" t="s">
        <v>111</v>
      </c>
      <c r="O13" s="185" t="s">
        <v>138</v>
      </c>
      <c r="P13" s="185"/>
    </row>
    <row r="14" spans="2:16" ht="15" customHeight="1" x14ac:dyDescent="0.25">
      <c r="B14" s="63" t="s">
        <v>128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133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84">
        <f>ROUND(AVERAGE(O14:O22),0)</f>
        <v>7</v>
      </c>
    </row>
    <row r="15" spans="2:16" ht="15" customHeight="1" x14ac:dyDescent="0.25">
      <c r="B15" s="64" t="s">
        <v>129</v>
      </c>
      <c r="C15" s="2" t="s">
        <v>14</v>
      </c>
      <c r="D15" s="1" t="s">
        <v>111</v>
      </c>
      <c r="E15" s="3" t="s">
        <v>12</v>
      </c>
      <c r="F15" s="30">
        <v>2</v>
      </c>
      <c r="G15" s="187" t="str">
        <f>HLOOKUP(G14,C13:E22,VLOOKUP(H14,B14:F22,5,FALSE)+1,FALSE)</f>
        <v>++</v>
      </c>
      <c r="H15" s="187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84"/>
    </row>
    <row r="16" spans="2:16" ht="15" customHeight="1" x14ac:dyDescent="0.25">
      <c r="B16" s="63" t="s">
        <v>130</v>
      </c>
      <c r="C16" s="3" t="s">
        <v>14</v>
      </c>
      <c r="D16" s="2" t="s">
        <v>12</v>
      </c>
      <c r="E16" s="1" t="s">
        <v>111</v>
      </c>
      <c r="F16" s="30">
        <v>3</v>
      </c>
      <c r="G16" s="187"/>
      <c r="H16" s="187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84"/>
    </row>
    <row r="17" spans="2:16" ht="15" customHeight="1" x14ac:dyDescent="0.25">
      <c r="B17" s="64" t="s">
        <v>131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84"/>
    </row>
    <row r="18" spans="2:16" ht="15" customHeight="1" x14ac:dyDescent="0.25">
      <c r="B18" s="63" t="s">
        <v>132</v>
      </c>
      <c r="C18" s="2" t="s">
        <v>14</v>
      </c>
      <c r="D18" s="1" t="s">
        <v>12</v>
      </c>
      <c r="E18" s="3" t="s">
        <v>111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84"/>
    </row>
    <row r="19" spans="2:16" ht="15" customHeight="1" x14ac:dyDescent="0.25">
      <c r="B19" s="64" t="s">
        <v>133</v>
      </c>
      <c r="C19" s="65" t="s">
        <v>111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84"/>
    </row>
    <row r="20" spans="2:16" ht="15" customHeight="1" x14ac:dyDescent="0.25">
      <c r="B20" s="63" t="s">
        <v>134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84"/>
    </row>
    <row r="21" spans="2:16" ht="15" customHeight="1" x14ac:dyDescent="0.25">
      <c r="B21" s="64" t="s">
        <v>135</v>
      </c>
      <c r="C21" s="2" t="s">
        <v>111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84"/>
    </row>
    <row r="22" spans="2:16" ht="15" customHeight="1" x14ac:dyDescent="0.25">
      <c r="B22" s="63" t="s">
        <v>136</v>
      </c>
      <c r="C22" s="3" t="s">
        <v>12</v>
      </c>
      <c r="D22" s="2" t="s">
        <v>111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84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111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84">
        <f>ROUND(AVERAGE(C29:E29),0)</f>
        <v>21</v>
      </c>
      <c r="D30" s="184"/>
      <c r="E30" s="184"/>
    </row>
    <row r="31" spans="2:16" ht="15" customHeight="1" x14ac:dyDescent="0.25">
      <c r="C31" s="185" t="s">
        <v>138</v>
      </c>
      <c r="D31" s="185"/>
      <c r="E31" s="185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92" t="s">
        <v>94</v>
      </c>
      <c r="B1" s="192" t="s">
        <v>19</v>
      </c>
      <c r="C1" s="192" t="s">
        <v>95</v>
      </c>
      <c r="D1" s="192" t="s">
        <v>96</v>
      </c>
      <c r="E1" s="192" t="s">
        <v>97</v>
      </c>
      <c r="F1" s="192" t="s">
        <v>98</v>
      </c>
      <c r="G1" s="188" t="s">
        <v>99</v>
      </c>
      <c r="H1" s="189"/>
      <c r="I1" s="190"/>
      <c r="J1" s="191" t="s">
        <v>100</v>
      </c>
      <c r="K1" s="191"/>
      <c r="L1" s="191"/>
    </row>
    <row r="2" spans="1:12" x14ac:dyDescent="0.25">
      <c r="A2" s="192"/>
      <c r="B2" s="192"/>
      <c r="C2" s="192"/>
      <c r="D2" s="192"/>
      <c r="E2" s="192"/>
      <c r="F2" s="192"/>
      <c r="G2" s="92" t="s">
        <v>72</v>
      </c>
      <c r="H2" s="92" t="s">
        <v>101</v>
      </c>
      <c r="I2" s="92" t="s">
        <v>102</v>
      </c>
      <c r="J2" s="92" t="s">
        <v>103</v>
      </c>
      <c r="K2" s="92" t="s">
        <v>104</v>
      </c>
      <c r="L2" s="92" t="s">
        <v>105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106</v>
      </c>
      <c r="F3" s="59" t="s">
        <v>107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108</v>
      </c>
      <c r="E4" s="20" t="s">
        <v>109</v>
      </c>
      <c r="F4" s="60" t="s">
        <v>110</v>
      </c>
      <c r="G4" s="58" t="s">
        <v>14</v>
      </c>
      <c r="H4" s="67" t="s">
        <v>111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112</v>
      </c>
      <c r="E5" s="21" t="s">
        <v>113</v>
      </c>
      <c r="F5" s="59" t="s">
        <v>114</v>
      </c>
      <c r="G5" s="57" t="s">
        <v>14</v>
      </c>
      <c r="H5" s="57" t="s">
        <v>12</v>
      </c>
      <c r="I5" s="68" t="s">
        <v>111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115</v>
      </c>
      <c r="F6" s="60" t="s">
        <v>107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108</v>
      </c>
      <c r="E7" s="21" t="s">
        <v>116</v>
      </c>
      <c r="F7" s="59" t="s">
        <v>117</v>
      </c>
      <c r="G7" s="57" t="s">
        <v>14</v>
      </c>
      <c r="H7" s="57" t="s">
        <v>12</v>
      </c>
      <c r="I7" s="68" t="s">
        <v>111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112</v>
      </c>
      <c r="E8" s="20" t="s">
        <v>118</v>
      </c>
      <c r="F8" s="60" t="s">
        <v>119</v>
      </c>
      <c r="G8" s="67" t="s">
        <v>111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120</v>
      </c>
      <c r="D9" s="21">
        <v>1</v>
      </c>
      <c r="E9" s="21" t="s">
        <v>120</v>
      </c>
      <c r="F9" s="59" t="s">
        <v>107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120</v>
      </c>
      <c r="D10" s="20" t="s">
        <v>108</v>
      </c>
      <c r="E10" s="20" t="s">
        <v>121</v>
      </c>
      <c r="F10" s="60" t="s">
        <v>122</v>
      </c>
      <c r="G10" s="58" t="s">
        <v>111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120</v>
      </c>
      <c r="D11" s="21" t="s">
        <v>112</v>
      </c>
      <c r="E11" s="21" t="s">
        <v>123</v>
      </c>
      <c r="F11" s="59" t="s">
        <v>124</v>
      </c>
      <c r="G11" s="57" t="s">
        <v>12</v>
      </c>
      <c r="H11" s="57" t="s">
        <v>111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101</v>
      </c>
      <c r="I13" s="55" t="s">
        <v>125</v>
      </c>
    </row>
    <row r="14" spans="1:12" x14ac:dyDescent="0.25">
      <c r="F14" s="165" t="s">
        <v>126</v>
      </c>
      <c r="G14" s="155" t="str">
        <f>VLOOKUP($F$14,TOWER_UPGRADE,7)</f>
        <v>-</v>
      </c>
      <c r="H14" s="155" t="str">
        <f>VLOOKUP($F$14,TOWER_UPGRADE,8)</f>
        <v>++</v>
      </c>
      <c r="I14" s="155" t="str">
        <f>VLOOKUP($F$14,TOWER_UPGRADE,9)</f>
        <v>=</v>
      </c>
    </row>
    <row r="15" spans="1:12" x14ac:dyDescent="0.25">
      <c r="F15" s="165"/>
      <c r="G15" s="155"/>
      <c r="H15" s="155"/>
      <c r="I15" s="155"/>
    </row>
  </sheetData>
  <mergeCells count="12">
    <mergeCell ref="J1:L1"/>
    <mergeCell ref="A1:A2"/>
    <mergeCell ref="B1:B2"/>
    <mergeCell ref="C1:C2"/>
    <mergeCell ref="D1:D2"/>
    <mergeCell ref="E1:E2"/>
    <mergeCell ref="F1:F2"/>
    <mergeCell ref="H14:H15"/>
    <mergeCell ref="G14:G15"/>
    <mergeCell ref="I14:I15"/>
    <mergeCell ref="F14:F15"/>
    <mergeCell ref="G1:I1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83</v>
      </c>
      <c r="H2" s="32" t="s">
        <v>58</v>
      </c>
      <c r="J2" s="32" t="s">
        <v>84</v>
      </c>
      <c r="L2" s="32" t="s">
        <v>158</v>
      </c>
    </row>
    <row r="3" spans="2:12" x14ac:dyDescent="0.25">
      <c r="B3" s="34" t="s">
        <v>6</v>
      </c>
      <c r="C3" s="35"/>
      <c r="D3" s="66" t="s">
        <v>111</v>
      </c>
      <c r="E3" s="35"/>
      <c r="F3" s="36" t="s">
        <v>5</v>
      </c>
      <c r="H3" s="37" t="s">
        <v>28</v>
      </c>
      <c r="J3" s="37" t="s">
        <v>44</v>
      </c>
      <c r="L3" s="37" t="s">
        <v>120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85</v>
      </c>
      <c r="L4" s="37" t="s">
        <v>143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144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120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137</v>
      </c>
    </row>
    <row r="24" spans="2:6" x14ac:dyDescent="0.25">
      <c r="B24" s="37" t="s">
        <v>72</v>
      </c>
    </row>
    <row r="25" spans="2:6" x14ac:dyDescent="0.25">
      <c r="B25" s="37" t="s">
        <v>101</v>
      </c>
    </row>
    <row r="26" spans="2:6" ht="15.75" thickBot="1" x14ac:dyDescent="0.3">
      <c r="B26" s="41" t="s">
        <v>102</v>
      </c>
    </row>
    <row r="27" spans="2:6" ht="15.75" thickBot="1" x14ac:dyDescent="0.3"/>
    <row r="28" spans="2:6" ht="15.75" thickBot="1" x14ac:dyDescent="0.3">
      <c r="B28" s="32" t="s">
        <v>139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108</v>
      </c>
    </row>
    <row r="32" spans="2:6" ht="15.75" thickBot="1" x14ac:dyDescent="0.3">
      <c r="B32" s="3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zoomScaleNormal="100" workbookViewId="0">
      <selection activeCell="S9" sqref="S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0" t="s">
        <v>172</v>
      </c>
      <c r="C1" s="160" t="s">
        <v>55</v>
      </c>
      <c r="D1" s="142" t="s">
        <v>173</v>
      </c>
      <c r="E1" s="143"/>
      <c r="F1" s="144"/>
      <c r="G1" s="142" t="s">
        <v>174</v>
      </c>
      <c r="H1" s="143"/>
      <c r="I1" s="144"/>
      <c r="J1" s="142" t="s">
        <v>175</v>
      </c>
      <c r="K1" s="143"/>
      <c r="L1" s="144"/>
      <c r="M1" s="142" t="s">
        <v>176</v>
      </c>
      <c r="N1" s="143"/>
      <c r="O1" s="144"/>
      <c r="P1" s="142" t="s">
        <v>177</v>
      </c>
      <c r="Q1" s="143"/>
      <c r="R1" s="144"/>
      <c r="S1" s="142" t="s">
        <v>178</v>
      </c>
      <c r="T1" s="143"/>
      <c r="U1" s="144"/>
      <c r="V1" s="142" t="s">
        <v>206</v>
      </c>
      <c r="W1" s="143"/>
      <c r="X1" s="144"/>
      <c r="Y1" s="142" t="s">
        <v>207</v>
      </c>
      <c r="Z1" s="143"/>
      <c r="AA1" s="144"/>
      <c r="AB1" s="142" t="s">
        <v>208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1"/>
      <c r="C2" s="161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 t="s">
        <v>179</v>
      </c>
      <c r="W2" s="125" t="s">
        <v>204</v>
      </c>
      <c r="X2" s="126" t="s">
        <v>180</v>
      </c>
      <c r="Y2" s="124" t="s">
        <v>179</v>
      </c>
      <c r="Z2" s="125" t="s">
        <v>204</v>
      </c>
      <c r="AA2" s="126" t="s">
        <v>180</v>
      </c>
      <c r="AB2" s="124" t="s">
        <v>179</v>
      </c>
      <c r="AC2" s="125" t="s">
        <v>204</v>
      </c>
      <c r="AD2" s="126" t="s">
        <v>180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28" t="s">
        <v>91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>
        <v>4</v>
      </c>
      <c r="K3" s="94">
        <v>3</v>
      </c>
      <c r="L3" s="117">
        <v>2</v>
      </c>
      <c r="M3" s="116">
        <v>5</v>
      </c>
      <c r="N3" s="94">
        <v>3</v>
      </c>
      <c r="O3" s="117">
        <v>3</v>
      </c>
      <c r="P3" s="116">
        <v>5</v>
      </c>
      <c r="Q3" s="94">
        <v>2</v>
      </c>
      <c r="R3" s="117">
        <v>2</v>
      </c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189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29" t="s">
        <v>190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191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192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201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28" t="s">
        <v>193</v>
      </c>
      <c r="C9" s="104" t="str">
        <f t="shared" si="0"/>
        <v>Normal</v>
      </c>
      <c r="D9" s="116"/>
      <c r="E9" s="94"/>
      <c r="F9" s="117"/>
      <c r="G9" s="116">
        <v>3</v>
      </c>
      <c r="H9" s="94">
        <v>4</v>
      </c>
      <c r="I9" s="117">
        <v>2</v>
      </c>
      <c r="J9" s="116">
        <v>4</v>
      </c>
      <c r="K9" s="94">
        <v>2</v>
      </c>
      <c r="L9" s="117">
        <v>2</v>
      </c>
      <c r="M9" s="116"/>
      <c r="N9" s="94"/>
      <c r="O9" s="117"/>
      <c r="P9" s="116">
        <v>5</v>
      </c>
      <c r="Q9" s="94">
        <v>1</v>
      </c>
      <c r="R9" s="117">
        <v>2</v>
      </c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170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29" t="s">
        <v>194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>
        <v>1</v>
      </c>
      <c r="T11" s="94">
        <v>1</v>
      </c>
      <c r="U11" s="117">
        <v>1</v>
      </c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48"/>
      <c r="E12" s="149"/>
      <c r="F12" s="150"/>
    </row>
    <row r="13" spans="1:48" x14ac:dyDescent="0.25">
      <c r="B13" s="95" t="s">
        <v>181</v>
      </c>
      <c r="D13" s="151">
        <v>100</v>
      </c>
      <c r="E13" s="152"/>
      <c r="F13" s="153"/>
      <c r="G13" s="145">
        <f>D16</f>
        <v>100</v>
      </c>
      <c r="H13" s="146"/>
      <c r="I13" s="147"/>
      <c r="J13" s="145" t="e">
        <f>G16</f>
        <v>#DIV/0!</v>
      </c>
      <c r="K13" s="146"/>
      <c r="L13" s="147"/>
      <c r="M13" s="145" t="e">
        <f>J16</f>
        <v>#DIV/0!</v>
      </c>
      <c r="N13" s="146"/>
      <c r="O13" s="147"/>
      <c r="P13" s="145" t="e">
        <f>M16</f>
        <v>#DIV/0!</v>
      </c>
      <c r="Q13" s="146"/>
      <c r="R13" s="147"/>
      <c r="S13" s="145" t="e">
        <f>P16</f>
        <v>#DIV/0!</v>
      </c>
      <c r="T13" s="146"/>
      <c r="U13" s="147"/>
      <c r="V13" s="145"/>
      <c r="W13" s="146"/>
      <c r="X13" s="147"/>
      <c r="Y13" s="145"/>
      <c r="Z13" s="146"/>
      <c r="AA13" s="147"/>
      <c r="AB13" s="145"/>
      <c r="AC13" s="146"/>
      <c r="AD13" s="147"/>
      <c r="AE13" s="145"/>
      <c r="AF13" s="146"/>
      <c r="AG13" s="147"/>
      <c r="AH13" s="145"/>
      <c r="AI13" s="146"/>
      <c r="AJ13" s="147"/>
      <c r="AK13" s="145"/>
      <c r="AL13" s="146"/>
      <c r="AM13" s="147"/>
    </row>
    <row r="14" spans="1:48" x14ac:dyDescent="0.25">
      <c r="B14" s="97" t="s">
        <v>182</v>
      </c>
      <c r="D14" s="148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9"/>
      <c r="F14" s="150"/>
      <c r="G14" s="148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12</v>
      </c>
      <c r="H14" s="149"/>
      <c r="I14" s="150"/>
      <c r="J14" s="148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20</v>
      </c>
      <c r="K14" s="149"/>
      <c r="L14" s="150"/>
      <c r="M14" s="148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15</v>
      </c>
      <c r="N14" s="149"/>
      <c r="O14" s="150"/>
      <c r="P14" s="148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15</v>
      </c>
      <c r="Q14" s="149"/>
      <c r="R14" s="150"/>
      <c r="S14" s="148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</v>
      </c>
      <c r="T14" s="149"/>
      <c r="U14" s="150"/>
      <c r="V14" s="148"/>
      <c r="W14" s="149"/>
      <c r="X14" s="150"/>
      <c r="Y14" s="148"/>
      <c r="Z14" s="149"/>
      <c r="AA14" s="150"/>
      <c r="AB14" s="148"/>
      <c r="AC14" s="149"/>
      <c r="AD14" s="150"/>
      <c r="AE14" s="148"/>
      <c r="AF14" s="149"/>
      <c r="AG14" s="150"/>
      <c r="AH14" s="148"/>
      <c r="AI14" s="149"/>
      <c r="AJ14" s="150"/>
      <c r="AK14" s="148"/>
      <c r="AL14" s="149"/>
      <c r="AM14" s="150"/>
    </row>
    <row r="15" spans="1:48" x14ac:dyDescent="0.25">
      <c r="B15" s="97" t="s">
        <v>205</v>
      </c>
      <c r="D15" s="148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1.5</v>
      </c>
      <c r="E15" s="149"/>
      <c r="F15" s="150"/>
      <c r="G15" s="148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49"/>
      <c r="I15" s="150"/>
      <c r="J15" s="148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5.5</v>
      </c>
      <c r="K15" s="149"/>
      <c r="L15" s="150"/>
      <c r="M15" s="148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4</v>
      </c>
      <c r="N15" s="149"/>
      <c r="O15" s="150"/>
      <c r="P15" s="148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1.5</v>
      </c>
      <c r="Q15" s="149"/>
      <c r="R15" s="150"/>
      <c r="S15" s="148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49"/>
      <c r="U15" s="150"/>
      <c r="V15" s="148"/>
      <c r="W15" s="149"/>
      <c r="X15" s="150"/>
      <c r="Y15" s="148"/>
      <c r="Z15" s="149"/>
      <c r="AA15" s="150"/>
      <c r="AB15" s="148"/>
      <c r="AC15" s="149"/>
      <c r="AD15" s="150"/>
      <c r="AE15" s="148"/>
      <c r="AF15" s="149"/>
      <c r="AG15" s="150"/>
      <c r="AH15" s="148"/>
      <c r="AI15" s="149"/>
      <c r="AJ15" s="150"/>
      <c r="AK15" s="148"/>
      <c r="AL15" s="149"/>
      <c r="AM15" s="150"/>
    </row>
    <row r="16" spans="1:48" x14ac:dyDescent="0.25">
      <c r="B16" s="97" t="s">
        <v>183</v>
      </c>
      <c r="D16" s="145">
        <f>D13-D14</f>
        <v>100</v>
      </c>
      <c r="E16" s="146"/>
      <c r="F16" s="147"/>
      <c r="G16" s="145" t="e">
        <f>ROUND(G13-(G14/G15),0)</f>
        <v>#DIV/0!</v>
      </c>
      <c r="H16" s="146"/>
      <c r="I16" s="147"/>
      <c r="J16" s="145" t="e">
        <f t="shared" ref="J16" si="1">ROUND(J13-(J14/J15),0)</f>
        <v>#DIV/0!</v>
      </c>
      <c r="K16" s="146"/>
      <c r="L16" s="147"/>
      <c r="M16" s="145" t="e">
        <f t="shared" ref="M16" si="2">ROUND(M13-(M14/M15),0)</f>
        <v>#DIV/0!</v>
      </c>
      <c r="N16" s="146"/>
      <c r="O16" s="147"/>
      <c r="P16" s="145" t="e">
        <f t="shared" ref="P16" si="3">ROUND(P13-(P14/P15),0)</f>
        <v>#DIV/0!</v>
      </c>
      <c r="Q16" s="146"/>
      <c r="R16" s="147"/>
      <c r="S16" s="145" t="e">
        <f t="shared" ref="S16" si="4">ROUND(S13-(S14/S15),0)</f>
        <v>#DIV/0!</v>
      </c>
      <c r="T16" s="146"/>
      <c r="U16" s="147"/>
      <c r="V16" s="145"/>
      <c r="W16" s="146"/>
      <c r="X16" s="147"/>
      <c r="Y16" s="145"/>
      <c r="Z16" s="146"/>
      <c r="AA16" s="147"/>
      <c r="AB16" s="145"/>
      <c r="AC16" s="146"/>
      <c r="AD16" s="147"/>
      <c r="AE16" s="145"/>
      <c r="AF16" s="146"/>
      <c r="AG16" s="147"/>
      <c r="AH16" s="145"/>
      <c r="AI16" s="146"/>
      <c r="AJ16" s="147"/>
      <c r="AK16" s="145"/>
      <c r="AL16" s="146"/>
      <c r="AM16" s="147"/>
    </row>
    <row r="17" spans="1:39" x14ac:dyDescent="0.25">
      <c r="C17" s="31"/>
      <c r="D17" s="148"/>
      <c r="E17" s="149"/>
      <c r="F17" s="150"/>
      <c r="G17" s="148"/>
      <c r="H17" s="149"/>
      <c r="I17" s="150"/>
      <c r="J17" s="148"/>
      <c r="K17" s="149"/>
      <c r="L17" s="150"/>
      <c r="M17" s="148"/>
      <c r="N17" s="149"/>
      <c r="O17" s="150"/>
      <c r="P17" s="148"/>
      <c r="Q17" s="149"/>
      <c r="R17" s="150"/>
      <c r="S17" s="148"/>
      <c r="T17" s="149"/>
      <c r="U17" s="150"/>
      <c r="V17" s="148"/>
      <c r="W17" s="149"/>
      <c r="X17" s="150"/>
      <c r="Y17" s="148"/>
      <c r="Z17" s="149"/>
      <c r="AA17" s="150"/>
      <c r="AB17" s="148"/>
      <c r="AC17" s="149"/>
      <c r="AD17" s="150"/>
      <c r="AE17" s="148"/>
      <c r="AF17" s="149"/>
      <c r="AG17" s="150"/>
      <c r="AH17" s="148"/>
      <c r="AI17" s="149"/>
      <c r="AJ17" s="150"/>
      <c r="AK17" s="148"/>
      <c r="AL17" s="149"/>
      <c r="AM17" s="150"/>
    </row>
    <row r="18" spans="1:39" x14ac:dyDescent="0.25">
      <c r="B18" s="95" t="s">
        <v>184</v>
      </c>
      <c r="D18" s="154">
        <f>Tower!I3*2+Tower!I3/2</f>
        <v>225</v>
      </c>
      <c r="E18" s="155"/>
      <c r="F18" s="156"/>
      <c r="G18" s="154">
        <f>D22</f>
        <v>35</v>
      </c>
      <c r="H18" s="155"/>
      <c r="I18" s="156"/>
      <c r="J18" s="154">
        <f t="shared" ref="J18" si="5">G22</f>
        <v>53</v>
      </c>
      <c r="K18" s="155"/>
      <c r="L18" s="156"/>
      <c r="M18" s="154">
        <f t="shared" ref="M18" si="6">J22</f>
        <v>65</v>
      </c>
      <c r="N18" s="155"/>
      <c r="O18" s="156"/>
      <c r="P18" s="154">
        <f t="shared" ref="P18" si="7">M22</f>
        <v>0</v>
      </c>
      <c r="Q18" s="155"/>
      <c r="R18" s="156"/>
      <c r="S18" s="154">
        <f t="shared" ref="S18" si="8">P22</f>
        <v>45</v>
      </c>
      <c r="T18" s="155"/>
      <c r="U18" s="156"/>
      <c r="V18" s="154">
        <f t="shared" ref="V18" si="9">S22</f>
        <v>63</v>
      </c>
      <c r="W18" s="155"/>
      <c r="X18" s="156"/>
      <c r="Y18" s="154">
        <f t="shared" ref="Y18" si="10">V22</f>
        <v>63</v>
      </c>
      <c r="Z18" s="155"/>
      <c r="AA18" s="156"/>
      <c r="AB18" s="154">
        <f t="shared" ref="AB18" si="11">Y22</f>
        <v>63</v>
      </c>
      <c r="AC18" s="155"/>
      <c r="AD18" s="156"/>
      <c r="AE18" s="154">
        <f t="shared" ref="AE18" si="12">AB22</f>
        <v>63</v>
      </c>
      <c r="AF18" s="155"/>
      <c r="AG18" s="156"/>
      <c r="AH18" s="154">
        <f t="shared" ref="AH18" si="13">AE22</f>
        <v>63</v>
      </c>
      <c r="AI18" s="155"/>
      <c r="AJ18" s="156"/>
      <c r="AK18" s="154">
        <f t="shared" ref="AK18" si="14">AH22</f>
        <v>63</v>
      </c>
      <c r="AL18" s="155"/>
      <c r="AM18" s="156"/>
    </row>
    <row r="19" spans="1:39" x14ac:dyDescent="0.25">
      <c r="B19" s="97" t="s">
        <v>185</v>
      </c>
      <c r="D19" s="157">
        <f>D26*VLOOKUP($B$26,TOWER,9)+D27*VLOOKUP($B$27,TOWER,9)+D28*VLOOKUP($B$28,TOWER,9)+D29*VLOOKUP($B$29,TOWER,9)+D30*VLOOKUP($B$30,TOWER,9)+D31*VLOOKUP($B$31,TOWER,9)+D32*VLOOKUP($B$32,TOWER,9)+D33*VLOOKUP($B$33,TOWER,9)+D34*VLOOKUP($B$34,TOWER,9)</f>
        <v>100</v>
      </c>
      <c r="E19" s="158"/>
      <c r="F19" s="159"/>
      <c r="G19" s="157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58"/>
      <c r="I19" s="159"/>
      <c r="J19" s="157">
        <f>J26*VLOOKUP($B$26,TOWER,9)+J27*VLOOKUP($B$27,TOWER,9)+J28*VLOOKUP($B$28,TOWER,9)+J29*VLOOKUP($B$29,TOWER,9)+J30*VLOOKUP($B$30,TOWER,9)+J31*VLOOKUP($B$31,TOWER,9)+J32*VLOOKUP($B$32,TOWER,9)+J33*VLOOKUP($B$33,TOWER,9)+J34*VLOOKUP($B$34,TOWER,9)</f>
        <v>180</v>
      </c>
      <c r="K19" s="158"/>
      <c r="L19" s="159"/>
      <c r="M19" s="157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58"/>
      <c r="O19" s="159"/>
      <c r="P19" s="157">
        <f>P26*VLOOKUP($B$26,TOWER,9)+P27*VLOOKUP($B$27,TOWER,9)+P28*VLOOKUP($B$28,TOWER,9)+P29*VLOOKUP($B$29,TOWER,9)+P30*VLOOKUP($B$30,TOWER,9)+P31*VLOOKUP($B$31,TOWER,9)+P32*VLOOKUP($B$32,TOWER,9)+P33*VLOOKUP($B$33,TOWER,9)+P34*VLOOKUP($B$34,TOWER,9)</f>
        <v>100</v>
      </c>
      <c r="Q19" s="158"/>
      <c r="R19" s="159"/>
      <c r="S19" s="157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58"/>
      <c r="U19" s="159"/>
      <c r="V19" s="157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58"/>
      <c r="X19" s="159"/>
      <c r="Y19" s="157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58"/>
      <c r="AA19" s="159"/>
      <c r="AB19" s="157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58"/>
      <c r="AD19" s="159"/>
      <c r="AE19" s="157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58"/>
      <c r="AG19" s="159"/>
      <c r="AH19" s="157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58"/>
      <c r="AJ19" s="159"/>
      <c r="AK19" s="157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58"/>
      <c r="AM19" s="159"/>
    </row>
    <row r="20" spans="1:39" x14ac:dyDescent="0.25">
      <c r="B20" s="97" t="s">
        <v>211</v>
      </c>
      <c r="D20" s="154">
        <f>SUM(HLOOKUP(E37,FSTATS,5,FALSE)*D37,HLOOKUP(E38,FSTATS,5,FALSE)*D38,HLOOKUP(E39,FSTATS,5,FALSE)*D39)</f>
        <v>90</v>
      </c>
      <c r="E20" s="155"/>
      <c r="F20" s="156"/>
      <c r="G20" s="154">
        <f>SUM(HLOOKUP(H37,FSTATS,5,FALSE)*G37,HLOOKUP(H38,FSTATS,5,FALSE)*G38,HLOOKUP(H39,FSTATS,5,FALSE)*G39)</f>
        <v>90</v>
      </c>
      <c r="H20" s="155"/>
      <c r="I20" s="156"/>
      <c r="J20" s="154">
        <f>SUM(HLOOKUP(K37,FSTATS,5,FALSE)*J37,HLOOKUP(K38,FSTATS,5,FALSE)*J38,HLOOKUP(K39,FSTATS,5,FALSE)*J39)</f>
        <v>0</v>
      </c>
      <c r="K20" s="155"/>
      <c r="L20" s="156"/>
      <c r="M20" s="154">
        <f>SUM(HLOOKUP(N37,FSTATS,5,FALSE)*M37,HLOOKUP(N38,FSTATS,5,FALSE)*M38,HLOOKUP(N39,FSTATS,5,FALSE)*M39)</f>
        <v>135</v>
      </c>
      <c r="N20" s="155"/>
      <c r="O20" s="156"/>
      <c r="P20" s="154">
        <f>SUM(HLOOKUP(Q37,FSTATS,5,FALSE)*P37,HLOOKUP(Q38,FSTATS,5,FALSE)*P38,HLOOKUP(Q39,FSTATS,5,FALSE)*P39)</f>
        <v>0</v>
      </c>
      <c r="Q20" s="155"/>
      <c r="R20" s="156"/>
      <c r="S20" s="154">
        <f>SUM(HLOOKUP(T37,FSTATS,5,FALSE)*S37,HLOOKUP(T38,FSTATS,5,FALSE)*S38,HLOOKUP(T39,FSTATS,5,FALSE)*S39)</f>
        <v>0</v>
      </c>
      <c r="T20" s="155"/>
      <c r="U20" s="156"/>
      <c r="V20" s="154">
        <f>SUM(HLOOKUP(W37,FSTATS,5,FALSE)*V37,HLOOKUP(W38,FSTATS,5,FALSE)*V38,HLOOKUP(W39,FSTATS,5,FALSE)*V39)</f>
        <v>0</v>
      </c>
      <c r="W20" s="155"/>
      <c r="X20" s="156"/>
      <c r="Y20" s="154">
        <f>SUM(HLOOKUP(Z37,FSTATS,5,FALSE)*Y37,HLOOKUP(Z38,FSTATS,5,FALSE)*Y38,HLOOKUP(Z39,FSTATS,5,FALSE)*Y39)</f>
        <v>0</v>
      </c>
      <c r="Z20" s="155"/>
      <c r="AA20" s="156"/>
      <c r="AB20" s="154">
        <f>SUM(HLOOKUP(AC37,FSTATS,5,FALSE)*AB37,HLOOKUP(AC38,FSTATS,5,FALSE)*AB38,HLOOKUP(AC39,FSTATS,5,FALSE)*AB39)</f>
        <v>0</v>
      </c>
      <c r="AC20" s="155"/>
      <c r="AD20" s="156"/>
      <c r="AE20" s="154">
        <f>SUM(HLOOKUP(AF37,FSTATS,5,FALSE)*AE37,HLOOKUP(AF38,FSTATS,5,FALSE)*AE38,HLOOKUP(AF39,FSTATS,5,FALSE)*AE39)</f>
        <v>0</v>
      </c>
      <c r="AF20" s="155"/>
      <c r="AG20" s="156"/>
      <c r="AH20" s="154">
        <f>SUM(HLOOKUP(AI37,FSTATS,5,FALSE)*AH37,HLOOKUP(AI38,FSTATS,5,FALSE)*AH38,HLOOKUP(AI39,FSTATS,5,FALSE)*AH39)</f>
        <v>0</v>
      </c>
      <c r="AI20" s="155"/>
      <c r="AJ20" s="156"/>
      <c r="AK20" s="154">
        <f>SUM(HLOOKUP(AL37,FSTATS,5,FALSE)*AK37,HLOOKUP(AL38,FSTATS,5,FALSE)*AK38,HLOOKUP(AL39,FSTATS,5,FALSE)*AK39)</f>
        <v>0</v>
      </c>
      <c r="AL20" s="155"/>
      <c r="AM20" s="156"/>
    </row>
    <row r="21" spans="1:39" x14ac:dyDescent="0.25">
      <c r="B21" s="97" t="s">
        <v>186</v>
      </c>
      <c r="D21" s="157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58"/>
      <c r="F21" s="159"/>
      <c r="G21" s="157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108</v>
      </c>
      <c r="H21" s="158"/>
      <c r="I21" s="159"/>
      <c r="J21" s="157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192</v>
      </c>
      <c r="K21" s="158"/>
      <c r="L21" s="159"/>
      <c r="M21" s="157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150</v>
      </c>
      <c r="N21" s="158"/>
      <c r="O21" s="159"/>
      <c r="P21" s="157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145</v>
      </c>
      <c r="Q21" s="158"/>
      <c r="R21" s="159"/>
      <c r="S21" s="157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18</v>
      </c>
      <c r="T21" s="158"/>
      <c r="U21" s="159"/>
      <c r="V21" s="157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58"/>
      <c r="X21" s="159"/>
      <c r="Y21" s="157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58"/>
      <c r="AA21" s="159"/>
      <c r="AB21" s="157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58"/>
      <c r="AD21" s="159"/>
      <c r="AE21" s="157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58"/>
      <c r="AG21" s="159"/>
      <c r="AH21" s="157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58"/>
      <c r="AJ21" s="159"/>
      <c r="AK21" s="157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58"/>
      <c r="AM21" s="159"/>
    </row>
    <row r="22" spans="1:39" x14ac:dyDescent="0.25">
      <c r="B22" s="97" t="s">
        <v>187</v>
      </c>
      <c r="D22" s="154">
        <f>D18-(D19+D20)+D21</f>
        <v>35</v>
      </c>
      <c r="E22" s="155"/>
      <c r="F22" s="156"/>
      <c r="G22" s="154">
        <f>G18-(G19+G20)+G21</f>
        <v>53</v>
      </c>
      <c r="H22" s="155"/>
      <c r="I22" s="156"/>
      <c r="J22" s="154">
        <f t="shared" ref="J22" si="15">J18-(J19+J20)+J21</f>
        <v>65</v>
      </c>
      <c r="K22" s="155"/>
      <c r="L22" s="156"/>
      <c r="M22" s="154">
        <f t="shared" ref="M22" si="16">M18-(M19+M20)+M21</f>
        <v>0</v>
      </c>
      <c r="N22" s="155"/>
      <c r="O22" s="156"/>
      <c r="P22" s="154">
        <f t="shared" ref="P22" si="17">P18-(P19+P20)+P21</f>
        <v>45</v>
      </c>
      <c r="Q22" s="155"/>
      <c r="R22" s="156"/>
      <c r="S22" s="154">
        <f t="shared" ref="S22" si="18">S18-(S19+S20)+S21</f>
        <v>63</v>
      </c>
      <c r="T22" s="155"/>
      <c r="U22" s="156"/>
      <c r="V22" s="154">
        <f t="shared" ref="V22" si="19">V18-(V19+V20)+V21</f>
        <v>63</v>
      </c>
      <c r="W22" s="155"/>
      <c r="X22" s="156"/>
      <c r="Y22" s="154">
        <f t="shared" ref="Y22" si="20">Y18-(Y19+Y20)+Y21</f>
        <v>63</v>
      </c>
      <c r="Z22" s="155"/>
      <c r="AA22" s="156"/>
      <c r="AB22" s="154">
        <f t="shared" ref="AB22" si="21">AB18-(AB19+AB20)+AB21</f>
        <v>63</v>
      </c>
      <c r="AC22" s="155"/>
      <c r="AD22" s="156"/>
      <c r="AE22" s="154">
        <f t="shared" ref="AE22" si="22">AE18-(AE19+AE20)+AE21</f>
        <v>63</v>
      </c>
      <c r="AF22" s="155"/>
      <c r="AG22" s="156"/>
      <c r="AH22" s="154">
        <f t="shared" ref="AH22" si="23">AH18-(AH19+AH20)+AH21</f>
        <v>63</v>
      </c>
      <c r="AI22" s="155"/>
      <c r="AJ22" s="156"/>
      <c r="AK22" s="154">
        <f t="shared" ref="AK22" si="24">AK18-(AK19+AK20)+AK21</f>
        <v>63</v>
      </c>
      <c r="AL22" s="155"/>
      <c r="AM22" s="156"/>
    </row>
    <row r="25" spans="1:39" x14ac:dyDescent="0.25">
      <c r="B25" s="105" t="s">
        <v>188</v>
      </c>
      <c r="C25" s="106" t="s">
        <v>203</v>
      </c>
    </row>
    <row r="26" spans="1:39" x14ac:dyDescent="0.25">
      <c r="A26" s="109">
        <f>SUM(D26:BA26)</f>
        <v>0</v>
      </c>
      <c r="B26" s="99" t="s">
        <v>140</v>
      </c>
      <c r="C26" s="100" t="str">
        <f t="shared" ref="C26:C34" si="25">VLOOKUP(B3,ENEMY,4)</f>
        <v>Normal</v>
      </c>
      <c r="D26" s="116"/>
      <c r="E26" s="155"/>
      <c r="F26" s="156"/>
      <c r="G26" s="132"/>
      <c r="H26" s="155"/>
      <c r="I26" s="156"/>
      <c r="J26" s="132"/>
      <c r="K26" s="155"/>
      <c r="L26" s="156"/>
      <c r="M26" s="132"/>
      <c r="N26" s="155"/>
      <c r="O26" s="156"/>
      <c r="P26" s="132"/>
      <c r="Q26" s="155"/>
      <c r="R26" s="156"/>
      <c r="S26" s="132"/>
      <c r="T26" s="155"/>
      <c r="U26" s="156"/>
      <c r="V26" s="132"/>
      <c r="W26" s="155"/>
      <c r="X26" s="156"/>
      <c r="Y26" s="132"/>
      <c r="Z26" s="155"/>
      <c r="AA26" s="156"/>
      <c r="AB26" s="132"/>
      <c r="AC26" s="155"/>
      <c r="AD26" s="156"/>
      <c r="AE26" s="132"/>
      <c r="AF26" s="155"/>
      <c r="AG26" s="156"/>
      <c r="AH26" s="132"/>
      <c r="AI26" s="155"/>
      <c r="AJ26" s="156"/>
      <c r="AK26" s="132"/>
      <c r="AL26" s="155"/>
      <c r="AM26" s="156"/>
    </row>
    <row r="27" spans="1:39" x14ac:dyDescent="0.25">
      <c r="A27" s="109">
        <f t="shared" ref="A27:A39" si="26">SUM(D27:BA27)</f>
        <v>0</v>
      </c>
      <c r="B27" s="107" t="s">
        <v>195</v>
      </c>
      <c r="C27" s="100" t="str">
        <f t="shared" si="25"/>
        <v>Intangible</v>
      </c>
      <c r="D27" s="118"/>
      <c r="E27" s="158"/>
      <c r="F27" s="159"/>
      <c r="G27" s="131"/>
      <c r="H27" s="158"/>
      <c r="I27" s="159"/>
      <c r="J27" s="131"/>
      <c r="K27" s="158"/>
      <c r="L27" s="159"/>
      <c r="M27" s="131"/>
      <c r="N27" s="158"/>
      <c r="O27" s="159"/>
      <c r="P27" s="131"/>
      <c r="Q27" s="158"/>
      <c r="R27" s="159"/>
      <c r="S27" s="131"/>
      <c r="T27" s="158"/>
      <c r="U27" s="159"/>
      <c r="V27" s="131"/>
      <c r="W27" s="158"/>
      <c r="X27" s="159"/>
      <c r="Y27" s="131"/>
      <c r="Z27" s="158"/>
      <c r="AA27" s="159"/>
      <c r="AB27" s="131"/>
      <c r="AC27" s="158"/>
      <c r="AD27" s="159"/>
      <c r="AE27" s="131"/>
      <c r="AF27" s="158"/>
      <c r="AG27" s="159"/>
      <c r="AH27" s="131"/>
      <c r="AI27" s="158"/>
      <c r="AJ27" s="159"/>
      <c r="AK27" s="131"/>
      <c r="AL27" s="158"/>
      <c r="AM27" s="159"/>
    </row>
    <row r="28" spans="1:39" x14ac:dyDescent="0.25">
      <c r="A28" s="109">
        <f t="shared" si="26"/>
        <v>3</v>
      </c>
      <c r="B28" s="107" t="s">
        <v>196</v>
      </c>
      <c r="C28" s="100" t="str">
        <f t="shared" si="25"/>
        <v>Saboteur</v>
      </c>
      <c r="D28" s="116">
        <v>1</v>
      </c>
      <c r="E28" s="155" t="s">
        <v>66</v>
      </c>
      <c r="F28" s="156"/>
      <c r="G28" s="132"/>
      <c r="H28" s="155"/>
      <c r="I28" s="156"/>
      <c r="J28" s="132">
        <v>1</v>
      </c>
      <c r="K28" s="155" t="s">
        <v>67</v>
      </c>
      <c r="L28" s="156"/>
      <c r="M28" s="132"/>
      <c r="N28" s="155"/>
      <c r="O28" s="156"/>
      <c r="P28" s="132">
        <v>1</v>
      </c>
      <c r="Q28" s="155"/>
      <c r="R28" s="156"/>
      <c r="S28" s="132"/>
      <c r="T28" s="155"/>
      <c r="U28" s="156"/>
      <c r="V28" s="132"/>
      <c r="W28" s="155"/>
      <c r="X28" s="156"/>
      <c r="Y28" s="132"/>
      <c r="Z28" s="155"/>
      <c r="AA28" s="156"/>
      <c r="AB28" s="132"/>
      <c r="AC28" s="155"/>
      <c r="AD28" s="156"/>
      <c r="AE28" s="132"/>
      <c r="AF28" s="155"/>
      <c r="AG28" s="156"/>
      <c r="AH28" s="132"/>
      <c r="AI28" s="155"/>
      <c r="AJ28" s="156"/>
      <c r="AK28" s="132"/>
      <c r="AL28" s="155"/>
      <c r="AM28" s="156"/>
    </row>
    <row r="29" spans="1:39" x14ac:dyDescent="0.25">
      <c r="A29" s="109">
        <f t="shared" si="26"/>
        <v>0</v>
      </c>
      <c r="B29" s="99" t="s">
        <v>197</v>
      </c>
      <c r="C29" s="100" t="str">
        <f t="shared" si="25"/>
        <v>Normal</v>
      </c>
      <c r="D29" s="118"/>
      <c r="E29" s="158"/>
      <c r="F29" s="159"/>
      <c r="G29" s="131"/>
      <c r="H29" s="158"/>
      <c r="I29" s="159"/>
      <c r="J29" s="131"/>
      <c r="K29" s="158"/>
      <c r="L29" s="159"/>
      <c r="M29" s="131"/>
      <c r="N29" s="158"/>
      <c r="O29" s="159"/>
      <c r="P29" s="131"/>
      <c r="Q29" s="158"/>
      <c r="R29" s="159"/>
      <c r="S29" s="131"/>
      <c r="T29" s="158"/>
      <c r="U29" s="159"/>
      <c r="V29" s="131"/>
      <c r="W29" s="158"/>
      <c r="X29" s="159"/>
      <c r="Y29" s="131"/>
      <c r="Z29" s="158"/>
      <c r="AA29" s="159"/>
      <c r="AB29" s="131"/>
      <c r="AC29" s="158"/>
      <c r="AD29" s="159"/>
      <c r="AE29" s="131"/>
      <c r="AF29" s="158"/>
      <c r="AG29" s="159"/>
      <c r="AH29" s="131"/>
      <c r="AI29" s="158"/>
      <c r="AJ29" s="159"/>
      <c r="AK29" s="131"/>
      <c r="AL29" s="158"/>
      <c r="AM29" s="159"/>
    </row>
    <row r="30" spans="1:39" x14ac:dyDescent="0.25">
      <c r="A30" s="109">
        <f t="shared" si="26"/>
        <v>2</v>
      </c>
      <c r="B30" s="107" t="s">
        <v>198</v>
      </c>
      <c r="C30" s="100" t="str">
        <f t="shared" si="25"/>
        <v>Intangible</v>
      </c>
      <c r="D30" s="116"/>
      <c r="E30" s="155"/>
      <c r="F30" s="156"/>
      <c r="G30" s="132"/>
      <c r="H30" s="155"/>
      <c r="I30" s="156"/>
      <c r="J30" s="132">
        <v>1</v>
      </c>
      <c r="K30" s="155" t="s">
        <v>66</v>
      </c>
      <c r="L30" s="156"/>
      <c r="M30" s="132">
        <v>1</v>
      </c>
      <c r="N30" s="155" t="s">
        <v>67</v>
      </c>
      <c r="O30" s="156"/>
      <c r="P30" s="132"/>
      <c r="Q30" s="155"/>
      <c r="R30" s="156"/>
      <c r="S30" s="132"/>
      <c r="T30" s="155"/>
      <c r="U30" s="156"/>
      <c r="V30" s="132"/>
      <c r="W30" s="155"/>
      <c r="X30" s="156"/>
      <c r="Y30" s="132"/>
      <c r="Z30" s="155"/>
      <c r="AA30" s="156"/>
      <c r="AB30" s="132"/>
      <c r="AC30" s="155"/>
      <c r="AD30" s="156"/>
      <c r="AE30" s="132"/>
      <c r="AF30" s="155"/>
      <c r="AG30" s="156"/>
      <c r="AH30" s="132"/>
      <c r="AI30" s="155"/>
      <c r="AJ30" s="156"/>
      <c r="AK30" s="132"/>
      <c r="AL30" s="155"/>
      <c r="AM30" s="156"/>
    </row>
    <row r="31" spans="1:39" x14ac:dyDescent="0.25">
      <c r="A31" s="109">
        <f t="shared" si="26"/>
        <v>0</v>
      </c>
      <c r="B31" s="107" t="s">
        <v>199</v>
      </c>
      <c r="C31" s="100" t="str">
        <f t="shared" si="25"/>
        <v>Saboteur</v>
      </c>
      <c r="D31" s="118"/>
      <c r="E31" s="158"/>
      <c r="F31" s="159"/>
      <c r="G31" s="131"/>
      <c r="H31" s="158"/>
      <c r="I31" s="159"/>
      <c r="J31" s="131"/>
      <c r="K31" s="158"/>
      <c r="L31" s="159"/>
      <c r="M31" s="131"/>
      <c r="N31" s="158"/>
      <c r="O31" s="159"/>
      <c r="P31" s="131"/>
      <c r="Q31" s="158"/>
      <c r="R31" s="159"/>
      <c r="S31" s="131"/>
      <c r="T31" s="158"/>
      <c r="U31" s="159"/>
      <c r="V31" s="131"/>
      <c r="W31" s="158"/>
      <c r="X31" s="159"/>
      <c r="Y31" s="131"/>
      <c r="Z31" s="158"/>
      <c r="AA31" s="159"/>
      <c r="AB31" s="131"/>
      <c r="AC31" s="158"/>
      <c r="AD31" s="159"/>
      <c r="AE31" s="131"/>
      <c r="AF31" s="158"/>
      <c r="AG31" s="159"/>
      <c r="AH31" s="131"/>
      <c r="AI31" s="158"/>
      <c r="AJ31" s="159"/>
      <c r="AK31" s="131"/>
      <c r="AL31" s="158"/>
      <c r="AM31" s="159"/>
    </row>
    <row r="32" spans="1:39" x14ac:dyDescent="0.25">
      <c r="A32" s="109">
        <f t="shared" si="26"/>
        <v>0</v>
      </c>
      <c r="B32" s="99" t="s">
        <v>164</v>
      </c>
      <c r="C32" s="100" t="str">
        <f t="shared" si="25"/>
        <v>Normal</v>
      </c>
      <c r="D32" s="116"/>
      <c r="E32" s="155"/>
      <c r="F32" s="156"/>
      <c r="G32" s="132"/>
      <c r="H32" s="155"/>
      <c r="I32" s="156"/>
      <c r="J32" s="132"/>
      <c r="K32" s="155"/>
      <c r="L32" s="156"/>
      <c r="M32" s="132"/>
      <c r="N32" s="155"/>
      <c r="O32" s="156"/>
      <c r="P32" s="132"/>
      <c r="Q32" s="155"/>
      <c r="R32" s="156"/>
      <c r="S32" s="132"/>
      <c r="T32" s="155"/>
      <c r="U32" s="156"/>
      <c r="V32" s="132"/>
      <c r="W32" s="155"/>
      <c r="X32" s="156"/>
      <c r="Y32" s="132"/>
      <c r="Z32" s="155"/>
      <c r="AA32" s="156"/>
      <c r="AB32" s="132"/>
      <c r="AC32" s="155"/>
      <c r="AD32" s="156"/>
      <c r="AE32" s="132"/>
      <c r="AF32" s="155"/>
      <c r="AG32" s="156"/>
      <c r="AH32" s="132"/>
      <c r="AI32" s="155"/>
      <c r="AJ32" s="156"/>
      <c r="AK32" s="132"/>
      <c r="AL32" s="155"/>
      <c r="AM32" s="156"/>
    </row>
    <row r="33" spans="1:39" x14ac:dyDescent="0.25">
      <c r="A33" s="109">
        <f t="shared" si="26"/>
        <v>0</v>
      </c>
      <c r="B33" s="107" t="s">
        <v>202</v>
      </c>
      <c r="C33" s="100" t="str">
        <f t="shared" si="25"/>
        <v>Intangible</v>
      </c>
      <c r="D33" s="118"/>
      <c r="E33" s="158"/>
      <c r="F33" s="159"/>
      <c r="G33" s="131"/>
      <c r="H33" s="158"/>
      <c r="I33" s="159"/>
      <c r="J33" s="131"/>
      <c r="K33" s="158"/>
      <c r="L33" s="159"/>
      <c r="M33" s="131"/>
      <c r="N33" s="158"/>
      <c r="O33" s="159"/>
      <c r="P33" s="131"/>
      <c r="Q33" s="158"/>
      <c r="R33" s="159"/>
      <c r="S33" s="131"/>
      <c r="T33" s="158"/>
      <c r="U33" s="159"/>
      <c r="V33" s="131"/>
      <c r="W33" s="158"/>
      <c r="X33" s="159"/>
      <c r="Y33" s="131"/>
      <c r="Z33" s="158"/>
      <c r="AA33" s="159"/>
      <c r="AB33" s="131"/>
      <c r="AC33" s="158"/>
      <c r="AD33" s="159"/>
      <c r="AE33" s="131"/>
      <c r="AF33" s="158"/>
      <c r="AG33" s="159"/>
      <c r="AH33" s="131"/>
      <c r="AI33" s="158"/>
      <c r="AJ33" s="159"/>
      <c r="AK33" s="131"/>
      <c r="AL33" s="158"/>
      <c r="AM33" s="159"/>
    </row>
    <row r="34" spans="1:39" x14ac:dyDescent="0.25">
      <c r="A34" s="109">
        <f t="shared" si="26"/>
        <v>0</v>
      </c>
      <c r="B34" s="107" t="s">
        <v>200</v>
      </c>
      <c r="C34" s="100" t="str">
        <f t="shared" si="25"/>
        <v>Saboteur</v>
      </c>
      <c r="D34" s="116"/>
      <c r="E34" s="155"/>
      <c r="F34" s="156"/>
      <c r="G34" s="132"/>
      <c r="H34" s="155"/>
      <c r="I34" s="156"/>
      <c r="J34" s="132"/>
      <c r="K34" s="155"/>
      <c r="L34" s="156"/>
      <c r="M34" s="132"/>
      <c r="N34" s="155"/>
      <c r="O34" s="156"/>
      <c r="P34" s="132"/>
      <c r="Q34" s="155"/>
      <c r="R34" s="156"/>
      <c r="S34" s="132"/>
      <c r="T34" s="155"/>
      <c r="U34" s="156"/>
      <c r="V34" s="132"/>
      <c r="W34" s="155"/>
      <c r="X34" s="156"/>
      <c r="Y34" s="132"/>
      <c r="Z34" s="155"/>
      <c r="AA34" s="156"/>
      <c r="AB34" s="132"/>
      <c r="AC34" s="155"/>
      <c r="AD34" s="156"/>
      <c r="AE34" s="132"/>
      <c r="AF34" s="155"/>
      <c r="AG34" s="156"/>
      <c r="AH34" s="132"/>
      <c r="AI34" s="155"/>
      <c r="AJ34" s="156"/>
      <c r="AK34" s="132"/>
      <c r="AL34" s="155"/>
      <c r="AM34" s="156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209</v>
      </c>
      <c r="C36" s="105" t="s">
        <v>210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30" t="str">
        <f>Factory!A3</f>
        <v>1_Piz</v>
      </c>
      <c r="C37" s="100" t="str">
        <f>VLOOKUP(B37,FACTORY,3,FALSE)</f>
        <v>Pizza</v>
      </c>
      <c r="D37" s="118">
        <v>1</v>
      </c>
      <c r="E37" s="158" t="s">
        <v>66</v>
      </c>
      <c r="F37" s="159"/>
      <c r="G37" s="131"/>
      <c r="H37" s="158" t="s">
        <v>66</v>
      </c>
      <c r="I37" s="159"/>
      <c r="J37" s="131"/>
      <c r="K37" s="158" t="s">
        <v>66</v>
      </c>
      <c r="L37" s="159"/>
      <c r="M37" s="131"/>
      <c r="N37" s="158" t="s">
        <v>66</v>
      </c>
      <c r="O37" s="159"/>
      <c r="P37" s="131"/>
      <c r="Q37" s="158" t="s">
        <v>66</v>
      </c>
      <c r="R37" s="159"/>
      <c r="S37" s="131"/>
      <c r="T37" s="158" t="s">
        <v>66</v>
      </c>
      <c r="U37" s="159"/>
      <c r="V37" s="131"/>
      <c r="W37" s="158" t="s">
        <v>66</v>
      </c>
      <c r="X37" s="159"/>
      <c r="Y37" s="131"/>
      <c r="Z37" s="158" t="s">
        <v>66</v>
      </c>
      <c r="AA37" s="159"/>
      <c r="AB37" s="131"/>
      <c r="AC37" s="158" t="s">
        <v>66</v>
      </c>
      <c r="AD37" s="159"/>
      <c r="AE37" s="131"/>
      <c r="AF37" s="158" t="s">
        <v>66</v>
      </c>
      <c r="AG37" s="159"/>
      <c r="AH37" s="131"/>
      <c r="AI37" s="158" t="s">
        <v>66</v>
      </c>
      <c r="AJ37" s="159"/>
      <c r="AK37" s="131"/>
      <c r="AL37" s="158" t="s">
        <v>66</v>
      </c>
      <c r="AM37" s="159"/>
    </row>
    <row r="38" spans="1:39" x14ac:dyDescent="0.25">
      <c r="A38" s="109">
        <f>SUM(D38:BA38)</f>
        <v>2</v>
      </c>
      <c r="B38" s="130" t="str">
        <f>Factory!A4</f>
        <v>2_Bub</v>
      </c>
      <c r="C38" s="100" t="str">
        <f>VLOOKUP(B38,FACTORY,3,FALSE)</f>
        <v>Bubblegum</v>
      </c>
      <c r="D38" s="116"/>
      <c r="E38" s="155" t="s">
        <v>66</v>
      </c>
      <c r="F38" s="156"/>
      <c r="G38" s="132">
        <v>1</v>
      </c>
      <c r="H38" s="155" t="s">
        <v>66</v>
      </c>
      <c r="I38" s="156"/>
      <c r="J38" s="132"/>
      <c r="K38" s="155" t="s">
        <v>66</v>
      </c>
      <c r="L38" s="156"/>
      <c r="M38" s="132">
        <v>1</v>
      </c>
      <c r="N38" s="155" t="s">
        <v>67</v>
      </c>
      <c r="O38" s="156"/>
      <c r="P38" s="132"/>
      <c r="Q38" s="155" t="s">
        <v>66</v>
      </c>
      <c r="R38" s="156"/>
      <c r="S38" s="132"/>
      <c r="T38" s="155" t="s">
        <v>66</v>
      </c>
      <c r="U38" s="156"/>
      <c r="V38" s="132"/>
      <c r="W38" s="155" t="s">
        <v>66</v>
      </c>
      <c r="X38" s="156"/>
      <c r="Y38" s="132"/>
      <c r="Z38" s="155" t="s">
        <v>66</v>
      </c>
      <c r="AA38" s="156"/>
      <c r="AB38" s="132"/>
      <c r="AC38" s="155" t="s">
        <v>66</v>
      </c>
      <c r="AD38" s="156"/>
      <c r="AE38" s="132"/>
      <c r="AF38" s="155" t="s">
        <v>66</v>
      </c>
      <c r="AG38" s="156"/>
      <c r="AH38" s="132"/>
      <c r="AI38" s="155" t="s">
        <v>66</v>
      </c>
      <c r="AJ38" s="156"/>
      <c r="AK38" s="132"/>
      <c r="AL38" s="155" t="s">
        <v>66</v>
      </c>
      <c r="AM38" s="156"/>
    </row>
    <row r="39" spans="1:39" x14ac:dyDescent="0.25">
      <c r="A39" s="109">
        <f t="shared" si="26"/>
        <v>0</v>
      </c>
      <c r="B39" s="130" t="str">
        <f>Factory!A5</f>
        <v>3_Sta</v>
      </c>
      <c r="C39" s="100" t="str">
        <f>VLOOKUP(B39,FACTORY,3,FALSE)</f>
        <v>Stars</v>
      </c>
      <c r="D39" s="118"/>
      <c r="E39" s="158" t="s">
        <v>66</v>
      </c>
      <c r="F39" s="159"/>
      <c r="G39" s="131"/>
      <c r="H39" s="158" t="s">
        <v>66</v>
      </c>
      <c r="I39" s="159"/>
      <c r="J39" s="131"/>
      <c r="K39" s="158" t="s">
        <v>66</v>
      </c>
      <c r="L39" s="159"/>
      <c r="M39" s="131"/>
      <c r="N39" s="158" t="s">
        <v>66</v>
      </c>
      <c r="O39" s="159"/>
      <c r="P39" s="131"/>
      <c r="Q39" s="158" t="s">
        <v>66</v>
      </c>
      <c r="R39" s="159"/>
      <c r="S39" s="131"/>
      <c r="T39" s="158" t="s">
        <v>66</v>
      </c>
      <c r="U39" s="159"/>
      <c r="V39" s="131"/>
      <c r="W39" s="158" t="s">
        <v>66</v>
      </c>
      <c r="X39" s="159"/>
      <c r="Y39" s="131"/>
      <c r="Z39" s="158" t="s">
        <v>66</v>
      </c>
      <c r="AA39" s="159"/>
      <c r="AB39" s="131"/>
      <c r="AC39" s="158" t="s">
        <v>66</v>
      </c>
      <c r="AD39" s="159"/>
      <c r="AE39" s="131"/>
      <c r="AF39" s="158" t="s">
        <v>66</v>
      </c>
      <c r="AG39" s="159"/>
      <c r="AH39" s="131"/>
      <c r="AI39" s="158" t="s">
        <v>66</v>
      </c>
      <c r="AJ39" s="159"/>
      <c r="AK39" s="131"/>
      <c r="AL39" s="158" t="s">
        <v>66</v>
      </c>
      <c r="AM39" s="159"/>
    </row>
  </sheetData>
  <mergeCells count="279">
    <mergeCell ref="AH1:AJ1"/>
    <mergeCell ref="AK1:AM1"/>
    <mergeCell ref="D12:F12"/>
    <mergeCell ref="Y1:AA1"/>
    <mergeCell ref="AB1:AD1"/>
    <mergeCell ref="AE1:AG1"/>
    <mergeCell ref="P1:R1"/>
    <mergeCell ref="S1:U1"/>
    <mergeCell ref="V1:X1"/>
    <mergeCell ref="B1:B2"/>
    <mergeCell ref="C1:C2"/>
    <mergeCell ref="D1:F1"/>
    <mergeCell ref="G1:I1"/>
    <mergeCell ref="J1:L1"/>
    <mergeCell ref="M1:O1"/>
    <mergeCell ref="Y13:AA13"/>
    <mergeCell ref="AB13:AD13"/>
    <mergeCell ref="AE13:AG13"/>
    <mergeCell ref="AH13:AJ13"/>
    <mergeCell ref="AK13:AM13"/>
    <mergeCell ref="D14:F14"/>
    <mergeCell ref="G14:I14"/>
    <mergeCell ref="J14:L14"/>
    <mergeCell ref="M14:O14"/>
    <mergeCell ref="P14:R14"/>
    <mergeCell ref="AK14:AM14"/>
    <mergeCell ref="S14:U14"/>
    <mergeCell ref="V14:X14"/>
    <mergeCell ref="Y14:AA14"/>
    <mergeCell ref="AB14:AD14"/>
    <mergeCell ref="AE14:AG14"/>
    <mergeCell ref="AH14:AJ14"/>
    <mergeCell ref="D13:F13"/>
    <mergeCell ref="G13:I13"/>
    <mergeCell ref="J13:L13"/>
    <mergeCell ref="M13:O13"/>
    <mergeCell ref="P13:R13"/>
    <mergeCell ref="S13:U13"/>
    <mergeCell ref="V13:X13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D17:F17"/>
    <mergeCell ref="G17:I17"/>
    <mergeCell ref="J17:L17"/>
    <mergeCell ref="M17:O17"/>
    <mergeCell ref="P17:R17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AE19:AG19"/>
    <mergeCell ref="AH19:AJ19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0:AG20"/>
    <mergeCell ref="AH20:AJ20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I27:AJ27"/>
    <mergeCell ref="AE22:AG22"/>
    <mergeCell ref="AH22:AJ22"/>
    <mergeCell ref="AK22:AM22"/>
    <mergeCell ref="AK21:AM21"/>
    <mergeCell ref="AL26:AM26"/>
    <mergeCell ref="H27:I27"/>
    <mergeCell ref="AC26:AD26"/>
    <mergeCell ref="AF26:AG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C39:AD39"/>
    <mergeCell ref="AF39:AG39"/>
    <mergeCell ref="AI26:AJ26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AL28:AM28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AL32:AM32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33:AJ33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1" priority="2" operator="lessThan">
      <formula>0</formula>
    </cfRule>
  </conditionalFormatting>
  <conditionalFormatting sqref="D22:AM22">
    <cfRule type="cellIs" dxfId="0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2022-12-04T22:19:55Z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