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 DIJOUX\Documents\Unity\Workshop_TowerDefense\STD_Workshop\Documents\GameDesign\"/>
    </mc:Choice>
  </mc:AlternateContent>
  <xr:revisionPtr revIDLastSave="0" documentId="13_ncr:1_{48A98E60-262D-4350-BE83-37815DA60677}" xr6:coauthVersionLast="47" xr6:coauthVersionMax="47" xr10:uidLastSave="{00000000-0000-0000-0000-000000000000}"/>
  <bookViews>
    <workbookView xWindow="-120" yWindow="-120" windowWidth="29040" windowHeight="15720" activeTab="3" xr2:uid="{EE4EEEAB-A39E-4793-9971-E358DB8AAF6E}"/>
  </bookViews>
  <sheets>
    <sheet name="Feuil1" sheetId="6" r:id="rId1"/>
    <sheet name="TowerStatsCalc" sheetId="1" r:id="rId2"/>
    <sheet name="Enemies" sheetId="3" r:id="rId3"/>
    <sheet name="Tower" sheetId="4" r:id="rId4"/>
    <sheet name="Weak" sheetId="5" r:id="rId5"/>
    <sheet name="Data" sheetId="2" r:id="rId6"/>
  </sheets>
  <definedNames>
    <definedName name="CAT_ENEMIES">Data!$H$8:$H$10</definedName>
    <definedName name="CAT_TOWER">Data!$F$9:$F$11</definedName>
    <definedName name="CODE_ENEMIES">Enemies!$A$3:$A$11</definedName>
    <definedName name="CODE_TOWER">Tower!$A$3:$A$11</definedName>
    <definedName name="ENEMY">Enemies!$A$3:$H$11</definedName>
    <definedName name="LEVEL_ENEMY">Data!$B$15:$B$20</definedName>
    <definedName name="SIGN">Data!$D$2:$D$4</definedName>
    <definedName name="STAT_ENEMY">Data!$H$2:$H$5</definedName>
    <definedName name="STAT_TOWER">Data!$F$2:$F$6</definedName>
    <definedName name="STAT_TRAIN">Data!$J$2:$J$4</definedName>
    <definedName name="TOWER">Tower!$A$3:$I$11</definedName>
    <definedName name="TYP_ENEMIES">Data!$H$13:$H$15</definedName>
    <definedName name="TYP_TOWER">Data!$F$14:$F$16</definedName>
    <definedName name="UPGRADE">Data!$B$7:$B$12</definedName>
    <definedName name="WEAK_ENEMY">Weak!$B$3:$F$5</definedName>
    <definedName name="WEAK_TOWER">Weak!$C$2:$E$5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4" i="4" l="1" a="1"/>
  <c r="W4" i="4" s="1"/>
  <c r="C2" i="1"/>
  <c r="E2" i="1" a="1"/>
  <c r="E2" i="1" s="1"/>
  <c r="C3" i="1"/>
  <c r="E3" i="1" a="1"/>
  <c r="E3" i="1" s="1"/>
  <c r="C4" i="1"/>
  <c r="E4" i="1" a="1"/>
  <c r="E4" i="1" s="1"/>
  <c r="C5" i="1"/>
  <c r="E5" i="1" a="1"/>
  <c r="E5" i="1" s="1"/>
  <c r="G5" i="1" s="1" a="1"/>
  <c r="G5" i="1" s="1"/>
  <c r="I5" i="1" s="1" a="1"/>
  <c r="I5" i="1" s="1"/>
  <c r="K5" i="1" s="1" a="1"/>
  <c r="K5" i="1" s="1"/>
  <c r="M5" i="1" s="1" a="1"/>
  <c r="M5" i="1" s="1"/>
  <c r="E6" i="1" a="1"/>
  <c r="E6" i="1" s="1"/>
  <c r="G6" i="1" s="1" a="1"/>
  <c r="G6" i="1" s="1"/>
  <c r="I6" i="1" s="1" a="1"/>
  <c r="I6" i="1" s="1"/>
  <c r="K6" i="1" s="1" a="1"/>
  <c r="K6" i="1" s="1"/>
  <c r="M6" i="1" s="1" a="1"/>
  <c r="M6" i="1" s="1"/>
  <c r="K33" i="1" s="1" a="1"/>
  <c r="K33" i="1" s="1"/>
  <c r="C11" i="1"/>
  <c r="C10" i="1" s="1"/>
  <c r="W7" i="4" a="1"/>
  <c r="W7" i="4" s="1"/>
  <c r="U7" i="4" a="1"/>
  <c r="U7" i="4"/>
  <c r="S7" i="4" a="1"/>
  <c r="S7" i="4"/>
  <c r="Q7" i="4" a="1"/>
  <c r="Q7" i="4" s="1"/>
  <c r="O7" i="4" a="1"/>
  <c r="O7" i="4" s="1"/>
  <c r="Y12" i="4"/>
  <c r="M12" i="4"/>
  <c r="O12" i="4"/>
  <c r="Q12" i="4"/>
  <c r="M3" i="4" s="1"/>
  <c r="O3" i="4" s="1" a="1"/>
  <c r="O3" i="4" s="1"/>
  <c r="Q3" i="4" s="1" a="1"/>
  <c r="Q3" i="4" s="1"/>
  <c r="S3" i="4" s="1" a="1"/>
  <c r="S3" i="4" s="1"/>
  <c r="U3" i="4" s="1" a="1"/>
  <c r="U3" i="4" s="1"/>
  <c r="W3" i="4" s="1" a="1"/>
  <c r="W3" i="4" s="1"/>
  <c r="S12" i="4"/>
  <c r="M4" i="4" s="1"/>
  <c r="O4" i="4" s="1" a="1"/>
  <c r="O4" i="4" s="1"/>
  <c r="Q4" i="4" s="1" a="1"/>
  <c r="Q4" i="4" s="1"/>
  <c r="S4" i="4" s="1" a="1"/>
  <c r="S4" i="4" s="1"/>
  <c r="U4" i="4" s="1" a="1"/>
  <c r="U4" i="4" s="1"/>
  <c r="U12" i="4"/>
  <c r="M5" i="4" s="1"/>
  <c r="O5" i="4" s="1" a="1"/>
  <c r="O5" i="4" s="1"/>
  <c r="Q5" i="4" s="1" a="1"/>
  <c r="Q5" i="4" s="1"/>
  <c r="S5" i="4" s="1" a="1"/>
  <c r="S5" i="4" s="1"/>
  <c r="U5" i="4" s="1" a="1"/>
  <c r="U5" i="4" s="1"/>
  <c r="W5" i="4" s="1" a="1"/>
  <c r="W5" i="4" s="1"/>
  <c r="W12" i="4"/>
  <c r="M6" i="4" s="1"/>
  <c r="O6" i="4" s="1" a="1"/>
  <c r="O6" i="4" s="1"/>
  <c r="Q6" i="4" s="1" a="1"/>
  <c r="Q6" i="4" s="1"/>
  <c r="U9" i="3"/>
  <c r="K6" i="3" s="1"/>
  <c r="M6" i="3" s="1" a="1"/>
  <c r="M6" i="3" s="1"/>
  <c r="S9" i="3"/>
  <c r="K5" i="3" s="1"/>
  <c r="M5" i="3" s="1" a="1"/>
  <c r="M5" i="3" s="1"/>
  <c r="Q9" i="3"/>
  <c r="K4" i="3" s="1"/>
  <c r="Q4" i="3" s="1" a="1"/>
  <c r="Q4" i="3" s="1"/>
  <c r="O9" i="3"/>
  <c r="K3" i="3" s="1"/>
  <c r="M9" i="3"/>
  <c r="K9" i="3"/>
  <c r="D17" i="3"/>
  <c r="D18" i="3"/>
  <c r="D16" i="3"/>
  <c r="C17" i="3"/>
  <c r="C18" i="3"/>
  <c r="C16" i="3"/>
  <c r="C17" i="4"/>
  <c r="C18" i="4"/>
  <c r="C16" i="4"/>
  <c r="D17" i="4"/>
  <c r="D18" i="4"/>
  <c r="D16" i="4"/>
  <c r="H6" i="4"/>
  <c r="H7" i="4"/>
  <c r="H8" i="4"/>
  <c r="H9" i="4"/>
  <c r="H10" i="4"/>
  <c r="H11" i="4"/>
  <c r="I4" i="4"/>
  <c r="I5" i="4"/>
  <c r="I6" i="4"/>
  <c r="I7" i="4"/>
  <c r="I8" i="4"/>
  <c r="I9" i="4"/>
  <c r="I10" i="4"/>
  <c r="I11" i="4"/>
  <c r="F6" i="4"/>
  <c r="G6" i="4"/>
  <c r="F7" i="4"/>
  <c r="G7" i="4"/>
  <c r="F8" i="4"/>
  <c r="G8" i="4"/>
  <c r="F9" i="4"/>
  <c r="G9" i="4"/>
  <c r="F10" i="4"/>
  <c r="G10" i="4"/>
  <c r="F11" i="4"/>
  <c r="G11" i="4"/>
  <c r="E10" i="4"/>
  <c r="E9" i="4"/>
  <c r="E11" i="4"/>
  <c r="E8" i="4"/>
  <c r="E7" i="4"/>
  <c r="E6" i="4"/>
  <c r="F6" i="3"/>
  <c r="F9" i="3" s="1"/>
  <c r="G6" i="3"/>
  <c r="G9" i="3" s="1"/>
  <c r="H6" i="3"/>
  <c r="H9" i="3" s="1"/>
  <c r="F7" i="3"/>
  <c r="F10" i="3" s="1"/>
  <c r="G7" i="3"/>
  <c r="G10" i="3" s="1"/>
  <c r="H7" i="3"/>
  <c r="H10" i="3" s="1"/>
  <c r="F8" i="3"/>
  <c r="F11" i="3" s="1"/>
  <c r="G8" i="3"/>
  <c r="G11" i="3" s="1"/>
  <c r="H8" i="3"/>
  <c r="H11" i="3" s="1"/>
  <c r="E8" i="3"/>
  <c r="E11" i="3" s="1"/>
  <c r="E7" i="3"/>
  <c r="E10" i="3" s="1"/>
  <c r="E6" i="3"/>
  <c r="E9" i="3" s="1"/>
  <c r="B31" i="1"/>
  <c r="A4" i="4"/>
  <c r="A5" i="4"/>
  <c r="A6" i="4"/>
  <c r="A7" i="4"/>
  <c r="A8" i="4"/>
  <c r="A9" i="4"/>
  <c r="A10" i="4"/>
  <c r="A11" i="4"/>
  <c r="A3" i="4"/>
  <c r="G9" i="5"/>
  <c r="G4" i="5"/>
  <c r="B2" i="6"/>
  <c r="E11" i="6"/>
  <c r="C2" i="6" s="1"/>
  <c r="B3" i="6"/>
  <c r="A4" i="3"/>
  <c r="A5" i="3"/>
  <c r="A6" i="3"/>
  <c r="A7" i="3"/>
  <c r="A8" i="3"/>
  <c r="A9" i="3"/>
  <c r="A10" i="3"/>
  <c r="A11" i="3"/>
  <c r="A3" i="3"/>
  <c r="E9" i="1" l="1"/>
  <c r="G4" i="1" a="1"/>
  <c r="G4" i="1" s="1"/>
  <c r="E7" i="1"/>
  <c r="G2" i="1" a="1"/>
  <c r="G2" i="1" s="1"/>
  <c r="E11" i="1"/>
  <c r="E10" i="1" s="1"/>
  <c r="G3" i="1" a="1"/>
  <c r="G3" i="1" s="1"/>
  <c r="E8" i="1"/>
  <c r="S6" i="4" a="1"/>
  <c r="S6" i="4" s="1"/>
  <c r="U6" i="4" s="1" a="1"/>
  <c r="U6" i="4" s="1"/>
  <c r="W6" i="4" s="1" a="1"/>
  <c r="W6" i="4" s="1"/>
  <c r="M9" i="4"/>
  <c r="M8" i="4" s="1"/>
  <c r="Q5" i="3" a="1"/>
  <c r="Q5" i="3" s="1"/>
  <c r="S4" i="3" a="1"/>
  <c r="S4" i="3" s="1"/>
  <c r="O5" i="3" a="1"/>
  <c r="O5" i="3" s="1"/>
  <c r="U5" i="3" a="1"/>
  <c r="U5" i="3" s="1"/>
  <c r="U4" i="3" a="1"/>
  <c r="U4" i="3" s="1"/>
  <c r="S5" i="3" a="1"/>
  <c r="S5" i="3" s="1"/>
  <c r="O6" i="3" a="1"/>
  <c r="O6" i="3" s="1"/>
  <c r="U6" i="3" a="1"/>
  <c r="U6" i="3" s="1"/>
  <c r="M4" i="3" a="1"/>
  <c r="M4" i="3" s="1"/>
  <c r="O4" i="3" a="1"/>
  <c r="O4" i="3" s="1"/>
  <c r="Q6" i="3" a="1"/>
  <c r="Q6" i="3" s="1"/>
  <c r="S6" i="3" a="1"/>
  <c r="S6" i="3" s="1"/>
  <c r="G32" i="1"/>
  <c r="M20" i="1"/>
  <c r="G20" i="1"/>
  <c r="C14" i="1" s="1"/>
  <c r="E14" i="1" s="1" a="1"/>
  <c r="E14" i="1" s="1"/>
  <c r="G14" i="1" s="1" a="1"/>
  <c r="G14" i="1" s="1"/>
  <c r="I14" i="1" s="1" a="1"/>
  <c r="I14" i="1" s="1"/>
  <c r="K14" i="1" s="1" a="1"/>
  <c r="K14" i="1" s="1"/>
  <c r="M14" i="1" s="1" a="1"/>
  <c r="M14" i="1" s="1"/>
  <c r="C20" i="1"/>
  <c r="G25" i="1" s="1"/>
  <c r="E20" i="1"/>
  <c r="I20" i="1"/>
  <c r="C15" i="1" s="1"/>
  <c r="E15" i="1" s="1" a="1"/>
  <c r="E15" i="1" s="1"/>
  <c r="G15" i="1" s="1" a="1"/>
  <c r="G15" i="1" s="1"/>
  <c r="I15" i="1" s="1" a="1"/>
  <c r="I15" i="1" s="1"/>
  <c r="K15" i="1" s="1" a="1"/>
  <c r="K15" i="1" s="1"/>
  <c r="M15" i="1" s="1" a="1"/>
  <c r="M15" i="1" s="1"/>
  <c r="K20" i="1"/>
  <c r="C16" i="1" s="1"/>
  <c r="E16" i="1" s="1" a="1"/>
  <c r="E16" i="1" s="1"/>
  <c r="G16" i="1" s="1" a="1"/>
  <c r="G16" i="1" s="1"/>
  <c r="I16" i="1" s="1" a="1"/>
  <c r="I16" i="1" s="1"/>
  <c r="K16" i="1" s="1" a="1"/>
  <c r="K16" i="1" s="1"/>
  <c r="M16" i="1" s="1" a="1"/>
  <c r="M16" i="1" s="1"/>
  <c r="C22" i="1"/>
  <c r="I22" i="1"/>
  <c r="K22" i="1"/>
  <c r="E22" i="1"/>
  <c r="G22" i="1"/>
  <c r="M22" i="1"/>
  <c r="D2" i="6"/>
  <c r="E2" i="6" s="1"/>
  <c r="F2" i="6" s="1"/>
  <c r="G2" i="6" s="1"/>
  <c r="H2" i="6" s="1"/>
  <c r="C17" i="1" l="1"/>
  <c r="E17" i="1" s="1" a="1"/>
  <c r="E17" i="1" s="1"/>
  <c r="G17" i="1" s="1" a="1"/>
  <c r="G17" i="1" s="1"/>
  <c r="I17" i="1" s="1" a="1"/>
  <c r="I17" i="1" s="1"/>
  <c r="K17" i="1" s="1" a="1"/>
  <c r="K17" i="1" s="1"/>
  <c r="M17" i="1" s="1" a="1"/>
  <c r="M17" i="1" s="1"/>
  <c r="M29" i="1" s="1" a="1"/>
  <c r="M29" i="1" s="1"/>
  <c r="H32" i="1" s="1"/>
  <c r="G9" i="1"/>
  <c r="I4" i="1" a="1"/>
  <c r="I4" i="1" s="1"/>
  <c r="G8" i="1"/>
  <c r="I3" i="1" a="1"/>
  <c r="I3" i="1" s="1"/>
  <c r="G11" i="1"/>
  <c r="I2" i="1" a="1"/>
  <c r="I2" i="1" s="1"/>
  <c r="G10" i="1"/>
  <c r="G7" i="1"/>
  <c r="O9" i="4"/>
  <c r="O8" i="4" s="1"/>
  <c r="K29" i="1" a="1"/>
  <c r="K29" i="1" s="1"/>
  <c r="M26" i="1" a="1"/>
  <c r="M26" i="1" s="1"/>
  <c r="E25" i="1"/>
  <c r="K2" i="1" l="1" a="1"/>
  <c r="K2" i="1" s="1"/>
  <c r="I7" i="1"/>
  <c r="I9" i="1"/>
  <c r="K4" i="1" a="1"/>
  <c r="K4" i="1" s="1"/>
  <c r="I8" i="1"/>
  <c r="I11" i="1"/>
  <c r="I10" i="1" s="1"/>
  <c r="K3" i="1" a="1"/>
  <c r="K3" i="1" s="1"/>
  <c r="Q9" i="4"/>
  <c r="Q8" i="4" s="1"/>
  <c r="E26" i="1"/>
  <c r="I26" i="1" s="1" a="1"/>
  <c r="I26" i="1" s="1"/>
  <c r="K9" i="1" l="1"/>
  <c r="M4" i="1" a="1"/>
  <c r="M4" i="1" s="1"/>
  <c r="M9" i="1" s="1"/>
  <c r="M3" i="1" a="1"/>
  <c r="M3" i="1" s="1"/>
  <c r="K8" i="1"/>
  <c r="K11" i="1"/>
  <c r="M2" i="1" a="1"/>
  <c r="M2" i="1" s="1"/>
  <c r="K10" i="1"/>
  <c r="K7" i="1"/>
  <c r="S9" i="4"/>
  <c r="S8" i="4" s="1"/>
  <c r="M7" i="1" l="1"/>
  <c r="M11" i="1"/>
  <c r="M10" i="1" s="1"/>
  <c r="M8" i="1"/>
  <c r="K31" i="1" a="1"/>
  <c r="K31" i="1" s="1"/>
  <c r="H30" i="1" s="1"/>
  <c r="U9" i="4"/>
  <c r="U8" i="4" s="1"/>
  <c r="W9" i="4" l="1"/>
  <c r="W8" i="4" s="1"/>
  <c r="K26" i="1" l="1" a="1"/>
  <c r="K26" i="1" s="1"/>
  <c r="B25" i="1" l="1"/>
  <c r="C31" i="1" s="1"/>
  <c r="E31" i="1" l="1"/>
  <c r="C32" i="1" s="1"/>
  <c r="O3" i="3" a="1"/>
  <c r="O3" i="3" s="1"/>
  <c r="U3" i="3" a="1"/>
  <c r="U3" i="3" s="1"/>
  <c r="S3" i="3" a="1"/>
  <c r="S3" i="3" s="1"/>
  <c r="M3" i="3" a="1"/>
  <c r="M3" i="3" s="1"/>
  <c r="Q3" i="3" a="1"/>
  <c r="Q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<sst xmlns="http://schemas.openxmlformats.org/spreadsheetml/2006/main" count="377" uniqueCount="128">
  <si>
    <t>Upgrade 1</t>
  </si>
  <si>
    <t>Upgrade 3</t>
  </si>
  <si>
    <t>Upgrade 2</t>
  </si>
  <si>
    <t>Upgrade 4</t>
  </si>
  <si>
    <t>Upgrade 5</t>
  </si>
  <si>
    <t>Attack</t>
  </si>
  <si>
    <t>Trap</t>
  </si>
  <si>
    <t>Food</t>
  </si>
  <si>
    <t>Energy</t>
  </si>
  <si>
    <t>Type of tower</t>
  </si>
  <si>
    <t>Reach</t>
  </si>
  <si>
    <t>Attack %</t>
  </si>
  <si>
    <t>FireRate %</t>
  </si>
  <si>
    <t>Reach %</t>
  </si>
  <si>
    <t>Upgrade 0</t>
  </si>
  <si>
    <t>=</t>
  </si>
  <si>
    <t>+</t>
  </si>
  <si>
    <t>-</t>
  </si>
  <si>
    <t>Firerate</t>
  </si>
  <si>
    <t>arrondi &gt;</t>
  </si>
  <si>
    <t>Sign</t>
  </si>
  <si>
    <t>CODE</t>
  </si>
  <si>
    <t>#</t>
  </si>
  <si>
    <t>CATEGORY</t>
  </si>
  <si>
    <t>Range</t>
  </si>
  <si>
    <t>CAT_TOWER</t>
  </si>
  <si>
    <t>Insect</t>
  </si>
  <si>
    <t>Ghost</t>
  </si>
  <si>
    <t>Vegetable</t>
  </si>
  <si>
    <t>CAT_ENEMIES</t>
  </si>
  <si>
    <t>SPEED</t>
  </si>
  <si>
    <t>HP</t>
  </si>
  <si>
    <t>FUNCTION</t>
  </si>
  <si>
    <t>Saboteur</t>
  </si>
  <si>
    <t>Intangible</t>
  </si>
  <si>
    <t>Normal</t>
  </si>
  <si>
    <t>Enemy ref</t>
  </si>
  <si>
    <t>Enemy HP</t>
  </si>
  <si>
    <t>Category</t>
  </si>
  <si>
    <t>Traps</t>
  </si>
  <si>
    <t>Weak / Resist</t>
  </si>
  <si>
    <t>Weak Mult</t>
  </si>
  <si>
    <t>Value</t>
  </si>
  <si>
    <t>Max Container</t>
  </si>
  <si>
    <t>Contain</t>
  </si>
  <si>
    <t>Tower</t>
  </si>
  <si>
    <t>DPS</t>
  </si>
  <si>
    <t xml:space="preserve">Upgrade Max </t>
  </si>
  <si>
    <t>Lv1</t>
  </si>
  <si>
    <t>End Values</t>
  </si>
  <si>
    <t>Atk</t>
  </si>
  <si>
    <t>Spd</t>
  </si>
  <si>
    <t>Start Values</t>
  </si>
  <si>
    <t>Atk Lv Multiplier</t>
  </si>
  <si>
    <t>Spd Lv Multiplier</t>
  </si>
  <si>
    <t>Lv2</t>
  </si>
  <si>
    <t>Lv3</t>
  </si>
  <si>
    <t>Lv4</t>
  </si>
  <si>
    <t>Lv5</t>
  </si>
  <si>
    <t>Lv6</t>
  </si>
  <si>
    <t>Lv7</t>
  </si>
  <si>
    <t>Lv8</t>
  </si>
  <si>
    <t>Lv9</t>
  </si>
  <si>
    <t>Lv10</t>
  </si>
  <si>
    <t>Lv11</t>
  </si>
  <si>
    <t>Lv12</t>
  </si>
  <si>
    <t>Lv13</t>
  </si>
  <si>
    <t>Lv14</t>
  </si>
  <si>
    <t>Lv15</t>
  </si>
  <si>
    <t>Lv16</t>
  </si>
  <si>
    <t>Lv17</t>
  </si>
  <si>
    <t>Lv0</t>
  </si>
  <si>
    <t>Resistance</t>
  </si>
  <si>
    <t>Speed</t>
  </si>
  <si>
    <t>Tower Stat</t>
  </si>
  <si>
    <t>Projectil per seconds</t>
  </si>
  <si>
    <t>arrondi #,##</t>
  </si>
  <si>
    <t>List</t>
  </si>
  <si>
    <t>Valeur Ref</t>
  </si>
  <si>
    <t>TYPE</t>
  </si>
  <si>
    <t>Snipe</t>
  </si>
  <si>
    <t>Canon</t>
  </si>
  <si>
    <t>Mortar</t>
  </si>
  <si>
    <t>TYP_ENEMIES</t>
  </si>
  <si>
    <t>TYP_TOWER</t>
  </si>
  <si>
    <t>Type</t>
  </si>
  <si>
    <t>Stats</t>
  </si>
  <si>
    <t>UPGRADE</t>
  </si>
  <si>
    <t>STAT_ENEMY</t>
  </si>
  <si>
    <t>Proj Damage</t>
  </si>
  <si>
    <t>bonus Damage per seconds</t>
  </si>
  <si>
    <t>Total Damage per seconds</t>
  </si>
  <si>
    <t>DAMAGE</t>
  </si>
  <si>
    <t>Enemy Speed</t>
  </si>
  <si>
    <t>Enemy Damage</t>
  </si>
  <si>
    <t>Multiplicateur Tower</t>
  </si>
  <si>
    <t>LVL 0</t>
  </si>
  <si>
    <t>LVL 1</t>
  </si>
  <si>
    <t>LVL 2</t>
  </si>
  <si>
    <t>LVL 3</t>
  </si>
  <si>
    <t>LVL 4</t>
  </si>
  <si>
    <t>LVL 5</t>
  </si>
  <si>
    <t>Damage</t>
  </si>
  <si>
    <t>LEVEL_ENEMY</t>
  </si>
  <si>
    <t>Number Of Hit</t>
  </si>
  <si>
    <t>Money Drop</t>
  </si>
  <si>
    <t>Multiplicateur Enemy</t>
  </si>
  <si>
    <t>S</t>
  </si>
  <si>
    <t>UpgradeCost</t>
  </si>
  <si>
    <t>Full to Empty</t>
  </si>
  <si>
    <t>Upgarde Cost</t>
  </si>
  <si>
    <t>$ Drop</t>
  </si>
  <si>
    <t>Up cost</t>
  </si>
  <si>
    <t>Nb mob to up</t>
  </si>
  <si>
    <t>Up lvl 0 to 5</t>
  </si>
  <si>
    <t>STAT_TOWER</t>
  </si>
  <si>
    <t>STAT_TRAIN</t>
  </si>
  <si>
    <t>Wagon</t>
  </si>
  <si>
    <t>MONEY</t>
  </si>
  <si>
    <t>5_Trap_Mort</t>
  </si>
  <si>
    <t>BALANCING</t>
  </si>
  <si>
    <t>Firerate / Contain</t>
  </si>
  <si>
    <t>Atk / firerate</t>
  </si>
  <si>
    <t>Speed / HP</t>
  </si>
  <si>
    <t>1_Inse_Norm</t>
  </si>
  <si>
    <t>HP / Damage</t>
  </si>
  <si>
    <t>Upgrade Cost</t>
  </si>
  <si>
    <t>1_Food_Snip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</si>
</sst>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2"/>
      <color theme="1"/>
      <name val="Arial"/>
      <family val="2"/>
    </font>
    <font>
      <b/>
      <sz val="20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D1B2E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5" applyNumberFormat="0" applyFill="0" applyAlignment="0" applyProtection="0"/>
  </cellStyleXfs>
  <cellXfs count="98">
    <xf numFmtId="0" fontId="0" fillId="0" borderId="0" xfId="0"/>
    <xf numFmtId="0" fontId="0" fillId="2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9" borderId="0" xfId="0" applyFill="1"/>
    <xf numFmtId="0" fontId="0" fillId="3" borderId="0" xfId="0" applyFill="1" applyBorder="1" applyAlignment="1">
      <alignment horizontal="center" vertical="center"/>
    </xf>
    <xf numFmtId="0" fontId="4" fillId="11" borderId="0" xfId="2" applyFill="1" applyBorder="1" applyAlignment="1">
      <alignment horizontal="center"/>
    </xf>
    <xf numFmtId="0" fontId="4" fillId="7" borderId="0" xfId="2" applyFill="1" applyBorder="1" applyAlignment="1">
      <alignment horizontal="center"/>
    </xf>
    <xf numFmtId="0" fontId="4" fillId="7" borderId="0" xfId="2" applyFont="1" applyFill="1" applyBorder="1" applyAlignment="1">
      <alignment horizontal="center"/>
    </xf>
    <xf numFmtId="0" fontId="4" fillId="11" borderId="0" xfId="2" applyFont="1" applyFill="1" applyBorder="1" applyAlignment="1">
      <alignment horizontal="center"/>
    </xf>
    <xf numFmtId="0" fontId="0" fillId="11" borderId="0" xfId="0" applyFill="1"/>
    <xf numFmtId="0" fontId="0" fillId="7" borderId="0" xfId="0" applyFill="1"/>
    <xf numFmtId="0" fontId="0" fillId="10" borderId="0" xfId="0" applyFill="1" applyBorder="1" applyAlignment="1">
      <alignment vertical="center"/>
    </xf>
    <xf numFmtId="0" fontId="0" fillId="12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9" fontId="0" fillId="13" borderId="0" xfId="1" applyFont="1" applyFill="1" applyBorder="1" applyAlignment="1">
      <alignment horizontal="center" vertical="center"/>
    </xf>
    <xf numFmtId="9" fontId="0" fillId="12" borderId="0" xfId="1" applyFont="1" applyFill="1" applyBorder="1" applyAlignment="1">
      <alignment horizontal="center" vertical="center"/>
    </xf>
    <xf numFmtId="0" fontId="0" fillId="15" borderId="0" xfId="0" applyFill="1" applyAlignment="1">
      <alignment vertical="center" wrapText="1"/>
    </xf>
    <xf numFmtId="0" fontId="0" fillId="15" borderId="0" xfId="0" applyFill="1" applyAlignment="1">
      <alignment vertical="center"/>
    </xf>
    <xf numFmtId="0" fontId="0" fillId="15" borderId="0" xfId="0" applyFill="1" applyBorder="1" applyAlignment="1">
      <alignment horizontal="center" vertical="center"/>
    </xf>
    <xf numFmtId="0" fontId="0" fillId="15" borderId="0" xfId="1" applyNumberFormat="1" applyFont="1" applyFill="1" applyAlignment="1">
      <alignment horizontal="center" vertical="center"/>
    </xf>
    <xf numFmtId="0" fontId="0" fillId="15" borderId="0" xfId="0" applyFill="1" applyBorder="1" applyAlignment="1">
      <alignment vertical="center"/>
    </xf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vertical="center"/>
    </xf>
    <xf numFmtId="0" fontId="0" fillId="15" borderId="0" xfId="0" applyFill="1" applyBorder="1" applyAlignment="1">
      <alignment vertical="center" wrapText="1"/>
    </xf>
    <xf numFmtId="0" fontId="0" fillId="16" borderId="0" xfId="0" applyFill="1" applyBorder="1" applyAlignment="1">
      <alignment horizontal="center" vertical="center"/>
    </xf>
    <xf numFmtId="0" fontId="0" fillId="17" borderId="0" xfId="0" applyFill="1" applyBorder="1" applyAlignment="1">
      <alignment horizontal="center" vertical="center"/>
    </xf>
    <xf numFmtId="0" fontId="0" fillId="17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/>
    </xf>
    <xf numFmtId="0" fontId="0" fillId="12" borderId="0" xfId="1" applyNumberFormat="1" applyFont="1" applyFill="1" applyBorder="1" applyAlignment="1">
      <alignment horizontal="center" vertical="center"/>
    </xf>
    <xf numFmtId="0" fontId="0" fillId="13" borderId="0" xfId="1" applyNumberFormat="1" applyFont="1" applyFill="1" applyBorder="1" applyAlignment="1">
      <alignment horizontal="center" vertical="center"/>
    </xf>
    <xf numFmtId="0" fontId="0" fillId="17" borderId="0" xfId="0" applyFill="1" applyBorder="1" applyAlignment="1">
      <alignment horizontal="center" vertical="center" wrapText="1"/>
    </xf>
    <xf numFmtId="0" fontId="0" fillId="10" borderId="0" xfId="1" applyNumberFormat="1" applyFont="1" applyFill="1" applyBorder="1" applyAlignment="1">
      <alignment horizontal="center" vertical="center"/>
    </xf>
    <xf numFmtId="0" fontId="0" fillId="15" borderId="0" xfId="0" quotePrefix="1" applyFill="1" applyAlignment="1">
      <alignment horizontal="center" vertical="center"/>
    </xf>
    <xf numFmtId="0" fontId="0" fillId="15" borderId="0" xfId="0" quotePrefix="1" applyFill="1" applyAlignment="1">
      <alignment vertical="center"/>
    </xf>
    <xf numFmtId="0" fontId="0" fillId="1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0" fillId="15" borderId="0" xfId="0" applyFill="1"/>
    <xf numFmtId="0" fontId="0" fillId="15" borderId="0" xfId="0" applyFill="1" applyBorder="1"/>
    <xf numFmtId="0" fontId="4" fillId="15" borderId="1" xfId="2" applyFill="1" applyBorder="1" applyAlignment="1">
      <alignment horizontal="center"/>
    </xf>
    <xf numFmtId="0" fontId="4" fillId="15" borderId="2" xfId="2" applyFill="1" applyBorder="1" applyAlignment="1">
      <alignment horizontal="center"/>
    </xf>
    <xf numFmtId="0" fontId="0" fillId="15" borderId="3" xfId="0" applyFill="1" applyBorder="1" applyAlignment="1">
      <alignment horizontal="left"/>
    </xf>
    <xf numFmtId="0" fontId="0" fillId="15" borderId="0" xfId="0" applyFill="1" applyAlignment="1">
      <alignment horizontal="left"/>
    </xf>
    <xf numFmtId="0" fontId="0" fillId="15" borderId="2" xfId="0" applyFill="1" applyBorder="1" applyAlignment="1">
      <alignment horizontal="center"/>
    </xf>
    <xf numFmtId="0" fontId="0" fillId="15" borderId="2" xfId="0" applyFill="1" applyBorder="1" applyAlignment="1">
      <alignment horizontal="left"/>
    </xf>
    <xf numFmtId="0" fontId="0" fillId="15" borderId="3" xfId="0" applyFill="1" applyBorder="1"/>
    <xf numFmtId="0" fontId="0" fillId="15" borderId="3" xfId="0" applyFill="1" applyBorder="1" applyAlignment="1">
      <alignment horizontal="center"/>
    </xf>
    <xf numFmtId="0" fontId="0" fillId="15" borderId="4" xfId="0" applyFill="1" applyBorder="1" applyAlignment="1">
      <alignment horizontal="left"/>
    </xf>
    <xf numFmtId="0" fontId="0" fillId="15" borderId="4" xfId="0" applyFill="1" applyBorder="1" applyAlignment="1">
      <alignment horizontal="center"/>
    </xf>
    <xf numFmtId="0" fontId="0" fillId="15" borderId="4" xfId="0" applyFill="1" applyBorder="1"/>
    <xf numFmtId="0" fontId="0" fillId="15" borderId="0" xfId="0" quotePrefix="1" applyFill="1" applyBorder="1" applyAlignment="1">
      <alignment horizontal="center"/>
    </xf>
    <xf numFmtId="0" fontId="0" fillId="15" borderId="0" xfId="0" applyFill="1" applyBorder="1" applyAlignment="1">
      <alignment horizontal="left"/>
    </xf>
    <xf numFmtId="0" fontId="0" fillId="15" borderId="2" xfId="0" applyFill="1" applyBorder="1"/>
    <xf numFmtId="0" fontId="5" fillId="15" borderId="0" xfId="0" applyFont="1" applyFill="1"/>
    <xf numFmtId="0" fontId="0" fillId="15" borderId="0" xfId="0" applyFill="1" applyBorder="1" applyAlignment="1">
      <alignment horizontal="center"/>
    </xf>
    <xf numFmtId="0" fontId="6" fillId="15" borderId="0" xfId="2" applyFont="1" applyFill="1" applyBorder="1" applyAlignment="1">
      <alignment horizontal="center"/>
    </xf>
    <xf numFmtId="0" fontId="0" fillId="15" borderId="0" xfId="0" applyFont="1" applyFill="1" applyBorder="1"/>
    <xf numFmtId="0" fontId="0" fillId="4" borderId="0" xfId="0" applyFill="1" applyBorder="1" applyAlignment="1">
      <alignment horizontal="center" vertical="center" shrinkToFit="1"/>
    </xf>
    <xf numFmtId="0" fontId="0" fillId="1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8" fillId="0" borderId="0" xfId="1" applyNumberFormat="1" applyFont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8" borderId="0" xfId="0" applyFill="1" applyBorder="1" applyAlignment="1">
      <alignment horizontal="center" vertical="center" wrapText="1"/>
    </xf>
    <xf numFmtId="0" fontId="0" fillId="10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16" borderId="0" xfId="0" applyFill="1" applyBorder="1" applyAlignment="1">
      <alignment horizontal="center" vertical="center" shrinkToFit="1"/>
    </xf>
    <xf numFmtId="0" fontId="0" fillId="3" borderId="0" xfId="0" applyFill="1" applyBorder="1" applyAlignment="1">
      <alignment horizontal="center" vertical="center" shrinkToFit="1"/>
    </xf>
    <xf numFmtId="0" fontId="0" fillId="16" borderId="0" xfId="0" applyFill="1" applyBorder="1" applyAlignment="1">
      <alignment horizontal="center" vertical="center" shrinkToFit="1"/>
    </xf>
    <xf numFmtId="0" fontId="0" fillId="3" borderId="0" xfId="0" applyFill="1" applyBorder="1" applyAlignment="1">
      <alignment horizontal="center" vertical="center" shrinkToFit="1"/>
    </xf>
    <xf numFmtId="0" fontId="0" fillId="7" borderId="0" xfId="0" applyFill="1" applyBorder="1" applyAlignment="1">
      <alignment horizontal="center" vertical="center"/>
    </xf>
    <xf numFmtId="0" fontId="0" fillId="12" borderId="0" xfId="0" applyNumberFormat="1" applyFill="1" applyBorder="1" applyAlignment="1">
      <alignment horizontal="center" vertical="center"/>
    </xf>
  </cellXfs>
  <cellStyles count="3">
    <cellStyle name="Normal" xfId="0" builtinId="0"/>
    <cellStyle name="Pourcentage" xfId="1" builtinId="5"/>
    <cellStyle name="Titre 3" xfId="2" builtinId="18"/>
  </cellStyles>
  <dxfs count="39"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5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 patternType="solid"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5050"/>
        </patternFill>
      </fill>
    </dxf>
    <dxf>
      <fill>
        <patternFill patternType="solid"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rgb="FFFF5050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D1B2E8"/>
      <color rgb="FFFF66FF"/>
      <color rgb="FF66FFFF"/>
      <color rgb="FFFF5050"/>
      <color rgb="FFFF3B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30629-180E-4B47-B0E2-4A13C84E293F}">
  <dimension ref="A1:S20"/>
  <sheetViews>
    <sheetView topLeftCell="A2" workbookViewId="0">
      <selection activeCell="C19" sqref="C19"/>
    </sheetView>
  </sheetViews>
  <sheetFormatPr baseColWidth="10" defaultRowHeight="15" x14ac:dyDescent="0.25"/>
  <cols>
    <col min="1" max="1" width="13" bestFit="1" customWidth="1"/>
    <col min="4" max="4" width="15.5703125" bestFit="1" customWidth="1"/>
  </cols>
  <sheetData>
    <row r="1" spans="1:19" x14ac:dyDescent="0.25">
      <c r="A1" s="4"/>
      <c r="B1" s="4" t="s">
        <v>71</v>
      </c>
      <c r="C1" s="4" t="s">
        <v>48</v>
      </c>
      <c r="D1" s="4" t="s">
        <v>55</v>
      </c>
      <c r="E1" s="4" t="s">
        <v>56</v>
      </c>
      <c r="F1" s="4" t="s">
        <v>57</v>
      </c>
      <c r="G1" s="4" t="s">
        <v>58</v>
      </c>
      <c r="H1" s="4" t="s">
        <v>59</v>
      </c>
      <c r="I1" s="4" t="s">
        <v>60</v>
      </c>
      <c r="J1" s="4" t="s">
        <v>61</v>
      </c>
      <c r="K1" s="4" t="s">
        <v>62</v>
      </c>
      <c r="L1" s="4" t="s">
        <v>63</v>
      </c>
      <c r="M1" s="4" t="s">
        <v>64</v>
      </c>
      <c r="N1" s="4" t="s">
        <v>65</v>
      </c>
      <c r="O1" s="4" t="s">
        <v>66</v>
      </c>
      <c r="P1" s="4" t="s">
        <v>67</v>
      </c>
      <c r="Q1" s="4" t="s">
        <v>68</v>
      </c>
      <c r="R1" s="4" t="s">
        <v>69</v>
      </c>
      <c r="S1" s="4" t="s">
        <v>70</v>
      </c>
    </row>
    <row r="2" spans="1:19" x14ac:dyDescent="0.25">
      <c r="A2" s="4" t="s">
        <v>50</v>
      </c>
      <c r="B2" s="4">
        <f>B14</f>
        <v>1</v>
      </c>
      <c r="C2" s="4">
        <f>B2+$E$11</f>
        <v>3.6666666666666665</v>
      </c>
      <c r="D2" s="4">
        <f t="shared" ref="D2:H2" si="0">C2+$E$11</f>
        <v>6.333333333333333</v>
      </c>
      <c r="E2" s="4">
        <f t="shared" si="0"/>
        <v>9</v>
      </c>
      <c r="F2" s="4">
        <f t="shared" si="0"/>
        <v>11.666666666666666</v>
      </c>
      <c r="G2" s="4">
        <f t="shared" si="0"/>
        <v>14.333333333333332</v>
      </c>
      <c r="H2" s="4">
        <f t="shared" si="0"/>
        <v>17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x14ac:dyDescent="0.25">
      <c r="A3" s="4" t="s">
        <v>51</v>
      </c>
      <c r="B3" s="4">
        <f>B15</f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10" spans="1:19" x14ac:dyDescent="0.25">
      <c r="A10" s="6"/>
      <c r="B10" s="6"/>
      <c r="C10" s="6"/>
    </row>
    <row r="11" spans="1:19" x14ac:dyDescent="0.25">
      <c r="A11" s="4" t="s">
        <v>47</v>
      </c>
      <c r="B11" s="5">
        <v>6</v>
      </c>
      <c r="C11" s="6"/>
      <c r="D11" t="s">
        <v>53</v>
      </c>
      <c r="E11">
        <f>(B18-B14)/$B$11</f>
        <v>2.6666666666666665</v>
      </c>
    </row>
    <row r="12" spans="1:19" x14ac:dyDescent="0.25">
      <c r="A12" s="6"/>
      <c r="B12" s="6"/>
      <c r="C12" s="6"/>
      <c r="D12" t="s">
        <v>54</v>
      </c>
    </row>
    <row r="13" spans="1:19" x14ac:dyDescent="0.25">
      <c r="A13" s="4" t="s">
        <v>52</v>
      </c>
      <c r="B13" s="4"/>
      <c r="C13" s="6"/>
    </row>
    <row r="14" spans="1:19" x14ac:dyDescent="0.25">
      <c r="A14" s="4" t="s">
        <v>50</v>
      </c>
      <c r="B14" s="5">
        <v>1</v>
      </c>
      <c r="C14" s="6"/>
    </row>
    <row r="15" spans="1:19" x14ac:dyDescent="0.25">
      <c r="A15" s="4" t="s">
        <v>51</v>
      </c>
      <c r="B15" s="5">
        <v>3</v>
      </c>
      <c r="C15" s="6"/>
    </row>
    <row r="16" spans="1:19" x14ac:dyDescent="0.25">
      <c r="A16" s="6"/>
      <c r="B16" s="6"/>
      <c r="C16" s="6"/>
    </row>
    <row r="17" spans="1:3" x14ac:dyDescent="0.25">
      <c r="A17" s="4" t="s">
        <v>49</v>
      </c>
      <c r="B17" s="4"/>
      <c r="C17" s="6"/>
    </row>
    <row r="18" spans="1:3" x14ac:dyDescent="0.25">
      <c r="A18" s="4" t="s">
        <v>50</v>
      </c>
      <c r="B18" s="5">
        <v>17</v>
      </c>
      <c r="C18" s="6"/>
    </row>
    <row r="19" spans="1:3" x14ac:dyDescent="0.25">
      <c r="A19" s="4" t="s">
        <v>51</v>
      </c>
      <c r="B19" s="5">
        <v>27</v>
      </c>
      <c r="C19" s="6"/>
    </row>
    <row r="20" spans="1:3" x14ac:dyDescent="0.25">
      <c r="A20" s="6"/>
      <c r="B20" s="6"/>
      <c r="C20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A4FAA-0409-4E65-B5DA-46DD5A6F91E2}">
  <dimension ref="A1:W44"/>
  <sheetViews>
    <sheetView workbookViewId="0">
      <selection activeCell="C35" sqref="C35"/>
    </sheetView>
  </sheetViews>
  <sheetFormatPr baseColWidth="10" defaultRowHeight="15" x14ac:dyDescent="0.25"/>
  <cols>
    <col min="1" max="1" width="11.42578125" style="21"/>
    <col min="2" max="2" width="25.28515625" style="22" bestFit="1" customWidth="1"/>
    <col min="3" max="3" width="11.42578125" style="22" customWidth="1"/>
    <col min="4" max="4" width="5.7109375" style="22" customWidth="1"/>
    <col min="5" max="5" width="11.42578125" style="22"/>
    <col min="6" max="6" width="5.7109375" style="22" customWidth="1"/>
    <col min="7" max="7" width="11.42578125" style="22"/>
    <col min="8" max="8" width="5.7109375" style="22" customWidth="1"/>
    <col min="9" max="9" width="11.42578125" style="22"/>
    <col min="10" max="10" width="5.7109375" style="22" customWidth="1"/>
    <col min="11" max="11" width="11.42578125" style="22"/>
    <col min="12" max="12" width="5.7109375" style="22" customWidth="1"/>
    <col min="13" max="13" width="11.42578125" style="22"/>
    <col min="14" max="14" width="5.7109375" style="22" customWidth="1"/>
    <col min="15" max="15" width="13.5703125" style="22" bestFit="1" customWidth="1"/>
    <col min="16" max="16" width="5.7109375" style="22" customWidth="1"/>
    <col min="17" max="17" width="14.28515625" style="26" customWidth="1"/>
    <col min="18" max="18" width="5.7109375" style="22" customWidth="1"/>
    <col min="19" max="19" width="11.42578125" style="26" customWidth="1"/>
    <col min="20" max="16384" width="11.42578125" style="22"/>
  </cols>
  <sheetData>
    <row r="1" spans="1:23" ht="30" customHeight="1" x14ac:dyDescent="0.25">
      <c r="A1" s="81" t="s">
        <v>86</v>
      </c>
      <c r="B1" s="81"/>
      <c r="C1" s="17" t="s">
        <v>14</v>
      </c>
      <c r="D1" s="18"/>
      <c r="E1" s="17" t="s">
        <v>0</v>
      </c>
      <c r="F1" s="18"/>
      <c r="G1" s="17" t="s">
        <v>2</v>
      </c>
      <c r="H1" s="18"/>
      <c r="I1" s="17" t="s">
        <v>1</v>
      </c>
      <c r="J1" s="18"/>
      <c r="K1" s="17" t="s">
        <v>3</v>
      </c>
      <c r="L1" s="18"/>
      <c r="M1" s="17" t="s">
        <v>4</v>
      </c>
      <c r="N1" s="25"/>
      <c r="O1" s="41" t="s">
        <v>95</v>
      </c>
      <c r="Q1" s="31" t="s">
        <v>78</v>
      </c>
      <c r="T1" s="26"/>
      <c r="U1" s="26"/>
      <c r="V1" s="26"/>
      <c r="W1" s="26"/>
    </row>
    <row r="2" spans="1:23" ht="15.75" customHeight="1" x14ac:dyDescent="0.25">
      <c r="A2" s="85" t="s">
        <v>74</v>
      </c>
      <c r="B2" s="29" t="s">
        <v>5</v>
      </c>
      <c r="C2" s="15">
        <f>$G$22</f>
        <v>4</v>
      </c>
      <c r="D2" s="15" t="s">
        <v>16</v>
      </c>
      <c r="E2" s="15" cm="1">
        <f t="array" ref="E2">_xlfn.IFS(D2="+",ROUNDDOWN(C2*(1+$O$2),2),D2="=",C2)</f>
        <v>5.2</v>
      </c>
      <c r="F2" s="45" t="s">
        <v>16</v>
      </c>
      <c r="G2" s="35" cm="1">
        <f t="array" ref="G2">_xlfn.IFS(F2="+",ROUNDDOWN(E2*(1+$O$2),2),F2="=",E2)</f>
        <v>6.76</v>
      </c>
      <c r="H2" s="45" t="s">
        <v>16</v>
      </c>
      <c r="I2" s="35" cm="1">
        <f t="array" ref="I2">_xlfn.IFS(H2="+",ROUNDDOWN(G2*(1+$O$2),2),H2="=",G2)</f>
        <v>8.7799999999999994</v>
      </c>
      <c r="J2" s="45" t="s">
        <v>16</v>
      </c>
      <c r="K2" s="35" cm="1">
        <f t="array" ref="K2">_xlfn.IFS(J2="+",ROUNDDOWN(I2*(1+$O$2),2),J2="=",I2)</f>
        <v>11.41</v>
      </c>
      <c r="L2" s="45" t="s">
        <v>16</v>
      </c>
      <c r="M2" s="35" cm="1">
        <f t="array" ref="M2">_xlfn.IFS(L2="+",ROUNDDOWN(K2*(1+$O$2),2),L2="=",K2)</f>
        <v>14.83</v>
      </c>
      <c r="O2" s="20">
        <v>0.3</v>
      </c>
      <c r="Q2" s="86" t="s">
        <v>77</v>
      </c>
      <c r="T2" s="26"/>
      <c r="U2" s="26"/>
      <c r="V2" s="26"/>
      <c r="W2" s="26"/>
    </row>
    <row r="3" spans="1:23" x14ac:dyDescent="0.25">
      <c r="A3" s="85"/>
      <c r="B3" s="7" t="s">
        <v>18</v>
      </c>
      <c r="C3" s="16">
        <f>$I$22</f>
        <v>1</v>
      </c>
      <c r="D3" s="16" t="s">
        <v>16</v>
      </c>
      <c r="E3" s="36" cm="1">
        <f t="array" ref="E3">_xlfn.IFS(D3="+",ROUNDDOWN(C3*(1-$O$3),2),D3="=",C3)</f>
        <v>0.9</v>
      </c>
      <c r="F3" s="48" t="s">
        <v>16</v>
      </c>
      <c r="G3" s="36" cm="1">
        <f t="array" ref="G3">_xlfn.IFS(F3="+",ROUNDDOWN(E3*(1-$O$3),2),F3="=",E3)</f>
        <v>0.81</v>
      </c>
      <c r="H3" s="48" t="s">
        <v>16</v>
      </c>
      <c r="I3" s="36" cm="1">
        <f t="array" ref="I3">_xlfn.IFS(H3="+",ROUNDDOWN(G3*(1-$O$3),2),H3="=",G3)</f>
        <v>0.72</v>
      </c>
      <c r="J3" s="48" t="s">
        <v>16</v>
      </c>
      <c r="K3" s="36" cm="1">
        <f t="array" ref="K3">_xlfn.IFS(J3="+",ROUNDDOWN(I3*(1-$O$3),2),J3="=",I3)</f>
        <v>0.64</v>
      </c>
      <c r="L3" s="48" t="s">
        <v>16</v>
      </c>
      <c r="M3" s="36" cm="1">
        <f t="array" ref="M3">_xlfn.IFS(L3="+",ROUNDDOWN(K3*(1-$O$3),2),L3="=",K3)</f>
        <v>0.56999999999999995</v>
      </c>
      <c r="O3" s="19">
        <v>0.1</v>
      </c>
      <c r="Q3" s="86"/>
      <c r="T3" s="26"/>
      <c r="U3" s="26"/>
      <c r="V3" s="26"/>
      <c r="W3" s="26"/>
    </row>
    <row r="4" spans="1:23" x14ac:dyDescent="0.25">
      <c r="A4" s="85"/>
      <c r="B4" s="29" t="s">
        <v>10</v>
      </c>
      <c r="C4" s="45">
        <f>$K$22</f>
        <v>4</v>
      </c>
      <c r="D4" s="45" t="s">
        <v>16</v>
      </c>
      <c r="E4" s="45" cm="1">
        <f t="array" ref="E4">_xlfn.IFS(D4="+",ROUNDDOWN(C4*(1+$O$4),2),D4="=",C4)</f>
        <v>4.4000000000000004</v>
      </c>
      <c r="F4" s="45" t="s">
        <v>16</v>
      </c>
      <c r="G4" s="45" cm="1">
        <f t="array" ref="G4">_xlfn.IFS(F4="+",ROUNDDOWN(E4*(1+$O$4),2),F4="=",E4)</f>
        <v>4.84</v>
      </c>
      <c r="H4" s="45" t="s">
        <v>16</v>
      </c>
      <c r="I4" s="45" cm="1">
        <f t="array" ref="I4">_xlfn.IFS(H4="+",ROUNDDOWN(G4*(1+$O$4),2),H4="=",G4)</f>
        <v>5.32</v>
      </c>
      <c r="J4" s="45" t="s">
        <v>16</v>
      </c>
      <c r="K4" s="45" cm="1">
        <f t="array" ref="K4">_xlfn.IFS(J4="+",ROUNDDOWN(I4*(1+$O$4),2),J4="=",I4)</f>
        <v>5.85</v>
      </c>
      <c r="L4" s="45" t="s">
        <v>16</v>
      </c>
      <c r="M4" s="45" cm="1">
        <f t="array" ref="M4">_xlfn.IFS(L4="+",ROUNDDOWN(K4*(1+$O$4),2),L4="=",K4)</f>
        <v>6.43</v>
      </c>
      <c r="O4" s="20">
        <v>0.1</v>
      </c>
      <c r="T4" s="26"/>
      <c r="U4" s="26"/>
      <c r="V4" s="26"/>
      <c r="W4" s="26"/>
    </row>
    <row r="5" spans="1:23" x14ac:dyDescent="0.25">
      <c r="A5" s="85"/>
      <c r="B5" s="46" t="s">
        <v>44</v>
      </c>
      <c r="C5" s="48">
        <f>$M$22</f>
        <v>15</v>
      </c>
      <c r="D5" s="48" t="s">
        <v>16</v>
      </c>
      <c r="E5" s="48" cm="1">
        <f t="array" ref="E5">_xlfn.IFS(D5="+",ROUNDDOWN(C5*(1+$O$5),0),D5="=",C5)</f>
        <v>18</v>
      </c>
      <c r="F5" s="48" t="s">
        <v>15</v>
      </c>
      <c r="G5" s="48" cm="1">
        <f t="array" ref="G5">_xlfn.IFS(F5="+",ROUNDDOWN(E5*(1+$O$5),0),F5="=",E5)</f>
        <v>18</v>
      </c>
      <c r="H5" s="48" t="s">
        <v>16</v>
      </c>
      <c r="I5" s="48" cm="1">
        <f t="array" ref="I5">_xlfn.IFS(H5="+",ROUNDDOWN(G5*(1+$O$5),0),H5="=",G5)</f>
        <v>21</v>
      </c>
      <c r="J5" s="48" t="s">
        <v>16</v>
      </c>
      <c r="K5" s="48" cm="1">
        <f t="array" ref="K5">_xlfn.IFS(J5="+",ROUNDDOWN(I5*(1+$O$5),0),J5="=",I5)</f>
        <v>25</v>
      </c>
      <c r="L5" s="48" t="s">
        <v>16</v>
      </c>
      <c r="M5" s="48" cm="1">
        <f t="array" ref="M5">_xlfn.IFS(L5="+",ROUNDDOWN(K5*(1+$O$5),0),L5="=",K5)</f>
        <v>30</v>
      </c>
      <c r="O5" s="19">
        <v>0.2</v>
      </c>
      <c r="T5" s="26"/>
      <c r="U5" s="26"/>
      <c r="V5" s="26"/>
      <c r="W5" s="26"/>
    </row>
    <row r="6" spans="1:23" x14ac:dyDescent="0.25">
      <c r="A6" s="85"/>
      <c r="B6" s="29" t="s">
        <v>108</v>
      </c>
      <c r="C6" s="45">
        <v>10</v>
      </c>
      <c r="D6" s="45" t="s">
        <v>16</v>
      </c>
      <c r="E6" s="45" cm="1">
        <f t="array" ref="E6">_xlfn.IFS(D6="+",ROUNDUP(C6*(1+$O$6),0),D6="=",C6)</f>
        <v>30</v>
      </c>
      <c r="F6" s="45" t="s">
        <v>16</v>
      </c>
      <c r="G6" s="45" cm="1">
        <f t="array" ref="G6">_xlfn.IFS(F6="+",ROUNDUP(E6*(1+$O$6),0),F6="=",E6)</f>
        <v>90</v>
      </c>
      <c r="H6" s="45" t="s">
        <v>16</v>
      </c>
      <c r="I6" s="45" cm="1">
        <f t="array" ref="I6">_xlfn.IFS(H6="+",ROUNDUP(G6*(1+$O$6),0),H6="=",G6)</f>
        <v>270</v>
      </c>
      <c r="J6" s="45" t="s">
        <v>16</v>
      </c>
      <c r="K6" s="45" cm="1">
        <f t="array" ref="K6">_xlfn.IFS(J6="+",ROUNDUP(I6*(1+$O$6),0),J6="=",I6)</f>
        <v>810</v>
      </c>
      <c r="L6" s="45" t="s">
        <v>16</v>
      </c>
      <c r="M6" s="45" cm="1">
        <f t="array" ref="M6">_xlfn.IFS(L6="+",ROUNDUP(K6*(1+$O$6),0),L6="=",K6)</f>
        <v>2430</v>
      </c>
      <c r="O6" s="20">
        <v>2</v>
      </c>
      <c r="T6" s="26"/>
      <c r="U6" s="26"/>
      <c r="V6" s="26"/>
      <c r="W6" s="26"/>
    </row>
    <row r="7" spans="1:23" x14ac:dyDescent="0.25">
      <c r="A7" s="85"/>
      <c r="B7" s="46" t="s">
        <v>11</v>
      </c>
      <c r="C7" s="48"/>
      <c r="D7" s="48"/>
      <c r="E7" s="19">
        <f>ROUNDDOWN((E2-C2)/C2,2)</f>
        <v>0.3</v>
      </c>
      <c r="F7" s="19"/>
      <c r="G7" s="19">
        <f>ROUNDDOWN((G2-E2)/E2,2)</f>
        <v>0.3</v>
      </c>
      <c r="H7" s="19"/>
      <c r="I7" s="19">
        <f>ROUNDDOWN((I2-G2)/G2,2)</f>
        <v>0.28999999999999998</v>
      </c>
      <c r="J7" s="19"/>
      <c r="K7" s="19">
        <f>ROUNDDOWN((K2-I2)/I2,2)</f>
        <v>0.28999999999999998</v>
      </c>
      <c r="L7" s="19"/>
      <c r="M7" s="19">
        <f>ROUNDDOWN((M2-K2)/K2,2)</f>
        <v>0.28999999999999998</v>
      </c>
      <c r="N7" s="23"/>
      <c r="O7" s="30" t="s">
        <v>41</v>
      </c>
      <c r="T7" s="26"/>
      <c r="U7" s="26"/>
      <c r="V7" s="26"/>
      <c r="W7" s="26"/>
    </row>
    <row r="8" spans="1:23" x14ac:dyDescent="0.25">
      <c r="A8" s="85"/>
      <c r="B8" s="29" t="s">
        <v>12</v>
      </c>
      <c r="C8" s="45"/>
      <c r="D8" s="45"/>
      <c r="E8" s="20">
        <f t="shared" ref="E8:E9" si="0">ROUNDDOWN((E3-C3)/C3,2)</f>
        <v>-0.1</v>
      </c>
      <c r="F8" s="20"/>
      <c r="G8" s="20">
        <f t="shared" ref="G8:G9" si="1">ROUNDDOWN((G3-E3)/E3,2)</f>
        <v>-0.1</v>
      </c>
      <c r="H8" s="20"/>
      <c r="I8" s="20">
        <f t="shared" ref="I8:I9" si="2">ROUNDDOWN((I3-G3)/G3,2)</f>
        <v>-0.11</v>
      </c>
      <c r="J8" s="20"/>
      <c r="K8" s="20">
        <f>ROUNDDOWN((K3-I3)/I3,2)</f>
        <v>-0.11</v>
      </c>
      <c r="L8" s="20"/>
      <c r="M8" s="20">
        <f>ROUNDDOWN((M3-K3)/K3,2)</f>
        <v>-0.1</v>
      </c>
      <c r="N8" s="23"/>
      <c r="O8" s="20">
        <v>0.2</v>
      </c>
      <c r="T8" s="26"/>
      <c r="U8" s="26"/>
      <c r="V8" s="26"/>
      <c r="W8" s="26"/>
    </row>
    <row r="9" spans="1:23" x14ac:dyDescent="0.25">
      <c r="A9" s="85"/>
      <c r="B9" s="46" t="s">
        <v>13</v>
      </c>
      <c r="C9" s="48"/>
      <c r="D9" s="48"/>
      <c r="E9" s="19">
        <f t="shared" si="0"/>
        <v>0.1</v>
      </c>
      <c r="F9" s="19"/>
      <c r="G9" s="19">
        <f t="shared" si="1"/>
        <v>0.09</v>
      </c>
      <c r="H9" s="19"/>
      <c r="I9" s="19">
        <f t="shared" si="2"/>
        <v>0.09</v>
      </c>
      <c r="J9" s="19"/>
      <c r="K9" s="19">
        <f>ROUNDDOWN((K4-I4)/I4,2)</f>
        <v>0.09</v>
      </c>
      <c r="L9" s="19"/>
      <c r="M9" s="19">
        <f>ROUNDDOWN((M4-K4)/K4,2)</f>
        <v>0.09</v>
      </c>
      <c r="O9" s="30" t="s">
        <v>89</v>
      </c>
      <c r="T9" s="26"/>
      <c r="U9" s="26"/>
      <c r="V9" s="26"/>
      <c r="W9" s="26"/>
    </row>
    <row r="10" spans="1:23" ht="15" customHeight="1" x14ac:dyDescent="0.25">
      <c r="A10" s="22"/>
      <c r="B10" s="29" t="s">
        <v>90</v>
      </c>
      <c r="C10" s="45">
        <f>ROUNDDOWN(C2*C11,2)</f>
        <v>4</v>
      </c>
      <c r="D10" s="45"/>
      <c r="E10" s="45">
        <f>ROUNDDOWN(E2*E11,2)</f>
        <v>5.77</v>
      </c>
      <c r="F10" s="45"/>
      <c r="G10" s="45">
        <f>ROUNDDOWN(G2*G11,2)</f>
        <v>8.31</v>
      </c>
      <c r="H10" s="45"/>
      <c r="I10" s="45">
        <f>ROUNDDOWN(I2*I11,2)</f>
        <v>12.2</v>
      </c>
      <c r="J10" s="45"/>
      <c r="K10" s="45">
        <f>ROUNDDOWN(K2*K11,2)</f>
        <v>17.79</v>
      </c>
      <c r="L10" s="45"/>
      <c r="M10" s="45">
        <f>ROUNDDOWN(M2*M11,2)</f>
        <v>25.95</v>
      </c>
      <c r="O10" s="15">
        <v>2</v>
      </c>
      <c r="T10" s="26"/>
      <c r="U10" s="26"/>
      <c r="V10" s="26"/>
      <c r="W10" s="26"/>
    </row>
    <row r="11" spans="1:23" ht="15" customHeight="1" x14ac:dyDescent="0.25">
      <c r="A11" s="28"/>
      <c r="B11" s="7" t="s">
        <v>75</v>
      </c>
      <c r="C11" s="48">
        <f>1/C3</f>
        <v>1</v>
      </c>
      <c r="D11" s="48"/>
      <c r="E11" s="48">
        <f>ROUND(1/E3,2)</f>
        <v>1.1100000000000001</v>
      </c>
      <c r="F11" s="48"/>
      <c r="G11" s="48">
        <f>ROUND(1/G3,2)</f>
        <v>1.23</v>
      </c>
      <c r="H11" s="48"/>
      <c r="I11" s="48">
        <f>ROUND(1/I3,2)</f>
        <v>1.39</v>
      </c>
      <c r="J11" s="48"/>
      <c r="K11" s="48">
        <f>ROUND(1/K3,2)</f>
        <v>1.56</v>
      </c>
      <c r="L11" s="48"/>
      <c r="M11" s="48">
        <f>ROUND(1/M3,2)</f>
        <v>1.75</v>
      </c>
      <c r="T11" s="26"/>
      <c r="U11" s="26"/>
      <c r="V11" s="26"/>
      <c r="W11" s="26"/>
    </row>
    <row r="12" spans="1:23" ht="15" customHeight="1" x14ac:dyDescent="0.25">
      <c r="B12" s="33"/>
      <c r="T12" s="26"/>
      <c r="U12" s="26"/>
      <c r="V12" s="26"/>
      <c r="W12" s="26"/>
    </row>
    <row r="13" spans="1:23" ht="30" customHeight="1" x14ac:dyDescent="0.25">
      <c r="A13" s="22"/>
      <c r="C13" s="34" t="s">
        <v>96</v>
      </c>
      <c r="D13" s="18"/>
      <c r="E13" s="34" t="s">
        <v>97</v>
      </c>
      <c r="F13" s="18"/>
      <c r="G13" s="34" t="s">
        <v>98</v>
      </c>
      <c r="H13" s="18"/>
      <c r="I13" s="34" t="s">
        <v>99</v>
      </c>
      <c r="J13" s="18"/>
      <c r="K13" s="34" t="s">
        <v>100</v>
      </c>
      <c r="L13" s="18"/>
      <c r="M13" s="34" t="s">
        <v>101</v>
      </c>
      <c r="O13" s="41" t="s">
        <v>106</v>
      </c>
      <c r="T13" s="26"/>
      <c r="U13" s="26"/>
      <c r="V13" s="26"/>
      <c r="W13" s="26"/>
    </row>
    <row r="14" spans="1:23" x14ac:dyDescent="0.25">
      <c r="A14" s="22"/>
      <c r="B14" s="29" t="s">
        <v>31</v>
      </c>
      <c r="C14" s="39">
        <f>G20</f>
        <v>10</v>
      </c>
      <c r="D14" s="35" t="s">
        <v>16</v>
      </c>
      <c r="E14" s="39" cm="1">
        <f t="array" ref="E14">_xlfn.IFS(D14="+",ROUNDDOWN(C14*(1+$O$14),2),D14="=",C14)</f>
        <v>15</v>
      </c>
      <c r="F14" s="35" t="s">
        <v>16</v>
      </c>
      <c r="G14" s="39" cm="1">
        <f t="array" ref="G14">_xlfn.IFS(F14="+",ROUNDDOWN(E14*(1+$O$14),2),F14="=",E14)</f>
        <v>22.5</v>
      </c>
      <c r="H14" s="35" t="s">
        <v>16</v>
      </c>
      <c r="I14" s="39" cm="1">
        <f t="array" ref="I14">_xlfn.IFS(H14="+",ROUNDDOWN(G14*(1+$O$14),2),H14="=",G14)</f>
        <v>33.75</v>
      </c>
      <c r="J14" s="35" t="s">
        <v>16</v>
      </c>
      <c r="K14" s="39" cm="1">
        <f t="array" ref="K14">_xlfn.IFS(J14="+",ROUNDDOWN(I14*(1+$O$14),2),J14="=",I14)</f>
        <v>50.62</v>
      </c>
      <c r="L14" s="35" t="s">
        <v>16</v>
      </c>
      <c r="M14" s="39" cm="1">
        <f t="array" ref="M14">_xlfn.IFS(L14="+",ROUNDDOWN(K14*(1+$O$14),2),L14="=",K14)</f>
        <v>75.930000000000007</v>
      </c>
      <c r="O14" s="20">
        <v>0.5</v>
      </c>
    </row>
    <row r="15" spans="1:23" x14ac:dyDescent="0.25">
      <c r="A15" s="22"/>
      <c r="B15" s="7" t="s">
        <v>73</v>
      </c>
      <c r="C15" s="40">
        <f>I20</f>
        <v>3</v>
      </c>
      <c r="D15" s="36" t="s">
        <v>16</v>
      </c>
      <c r="E15" s="40" cm="1">
        <f t="array" ref="E15">_xlfn.IFS(D15="+",ROUNDDOWN(C15*(1+$O$15),2),D15="=",C15)</f>
        <v>3.9</v>
      </c>
      <c r="F15" s="36" t="s">
        <v>16</v>
      </c>
      <c r="G15" s="40" cm="1">
        <f t="array" ref="G15">_xlfn.IFS(F15="+",ROUNDDOWN(E15*(1+$O$15),2),F15="=",E15)</f>
        <v>5.07</v>
      </c>
      <c r="H15" s="36" t="s">
        <v>16</v>
      </c>
      <c r="I15" s="40" cm="1">
        <f t="array" ref="I15">_xlfn.IFS(H15="+",ROUNDDOWN(G15*(1+$O$15),2),H15="=",G15)</f>
        <v>6.59</v>
      </c>
      <c r="J15" s="36" t="s">
        <v>16</v>
      </c>
      <c r="K15" s="40" cm="1">
        <f t="array" ref="K15">_xlfn.IFS(J15="+",ROUNDDOWN(I15*(1+$O$15),2),J15="=",I15)</f>
        <v>8.56</v>
      </c>
      <c r="L15" s="36" t="s">
        <v>16</v>
      </c>
      <c r="M15" s="40" cm="1">
        <f t="array" ref="M15">_xlfn.IFS(L15="+",ROUNDDOWN(K15*(1+$O$15),2),L15="=",K15)</f>
        <v>11.12</v>
      </c>
      <c r="O15" s="19">
        <v>0.3</v>
      </c>
    </row>
    <row r="16" spans="1:23" x14ac:dyDescent="0.25">
      <c r="A16" s="22"/>
      <c r="B16" s="29" t="s">
        <v>102</v>
      </c>
      <c r="C16" s="39">
        <f>K20</f>
        <v>5</v>
      </c>
      <c r="D16" s="35" t="s">
        <v>16</v>
      </c>
      <c r="E16" s="39" cm="1">
        <f t="array" ref="E16">_xlfn.IFS(D16="+",ROUNDUP(C16*(1+$O$16),0),D16="=",C16)</f>
        <v>6</v>
      </c>
      <c r="F16" s="35" t="s">
        <v>16</v>
      </c>
      <c r="G16" s="39" cm="1">
        <f t="array" ref="G16">_xlfn.IFS(F16="+",ROUNDUP(E16*(1+$O$16),0),F16="=",E16)</f>
        <v>8</v>
      </c>
      <c r="H16" s="35" t="s">
        <v>16</v>
      </c>
      <c r="I16" s="39" cm="1">
        <f t="array" ref="I16">_xlfn.IFS(H16="+",ROUNDUP(G16*(1+$O$16),0),H16="=",G16)</f>
        <v>10</v>
      </c>
      <c r="J16" s="35" t="s">
        <v>16</v>
      </c>
      <c r="K16" s="39" cm="1">
        <f t="array" ref="K16">_xlfn.IFS(J16="+",ROUNDUP(I16*(1+$O$16),0),J16="=",I16)</f>
        <v>12</v>
      </c>
      <c r="L16" s="35" t="s">
        <v>16</v>
      </c>
      <c r="M16" s="39" cm="1">
        <f t="array" ref="M16">_xlfn.IFS(L16="+",ROUNDUP(K16*(1+$O$16),0),L16="=",K16)</f>
        <v>15</v>
      </c>
      <c r="O16" s="20">
        <v>0.2</v>
      </c>
    </row>
    <row r="17" spans="1:20" x14ac:dyDescent="0.25">
      <c r="A17" s="22"/>
      <c r="B17" s="7" t="s">
        <v>105</v>
      </c>
      <c r="C17" s="40">
        <f>M20</f>
        <v>5</v>
      </c>
      <c r="D17" s="36" t="s">
        <v>16</v>
      </c>
      <c r="E17" s="40" cm="1">
        <f t="array" ref="E17">_xlfn.IFS(D17="+",ROUNDUP(C17*(1+$O$17),0),D17="=",C17)</f>
        <v>8</v>
      </c>
      <c r="F17" s="36" t="s">
        <v>16</v>
      </c>
      <c r="G17" s="40" cm="1">
        <f t="array" ref="G17">_xlfn.IFS(F17="+",ROUNDUP(E17*(1+$O$17),0),F17="=",E17)</f>
        <v>12</v>
      </c>
      <c r="H17" s="36" t="s">
        <v>16</v>
      </c>
      <c r="I17" s="40" cm="1">
        <f t="array" ref="I17">_xlfn.IFS(H17="+",ROUNDUP(G17*(1+$O$17),0),H17="=",G17)</f>
        <v>18</v>
      </c>
      <c r="J17" s="36" t="s">
        <v>16</v>
      </c>
      <c r="K17" s="40" cm="1">
        <f t="array" ref="K17">_xlfn.IFS(J17="+",ROUNDUP(I17*(1+$O$17),0),J17="=",I17)</f>
        <v>27</v>
      </c>
      <c r="L17" s="36" t="s">
        <v>16</v>
      </c>
      <c r="M17" s="40" cm="1">
        <f t="array" ref="M17">_xlfn.IFS(L17="+",ROUNDUP(K17*(1+$O$17),0),L17="=",K17)</f>
        <v>41</v>
      </c>
      <c r="O17" s="19">
        <v>0.5</v>
      </c>
    </row>
    <row r="18" spans="1:20" x14ac:dyDescent="0.25">
      <c r="A18" s="22"/>
    </row>
    <row r="19" spans="1:20" x14ac:dyDescent="0.25">
      <c r="A19" s="22"/>
      <c r="B19" s="37" t="s">
        <v>36</v>
      </c>
      <c r="C19" s="37" t="s">
        <v>38</v>
      </c>
      <c r="D19" s="37"/>
      <c r="E19" s="37" t="s">
        <v>85</v>
      </c>
      <c r="F19" s="37"/>
      <c r="G19" s="37" t="s">
        <v>37</v>
      </c>
      <c r="H19" s="37"/>
      <c r="I19" s="37" t="s">
        <v>93</v>
      </c>
      <c r="J19" s="37"/>
      <c r="K19" s="37" t="s">
        <v>94</v>
      </c>
      <c r="L19" s="37"/>
      <c r="M19" s="37" t="s">
        <v>105</v>
      </c>
    </row>
    <row r="20" spans="1:20" x14ac:dyDescent="0.25">
      <c r="B20" s="14" t="s">
        <v>124</v>
      </c>
      <c r="C20" s="35" t="str">
        <f>VLOOKUP($B$20,ENEMY,3)</f>
        <v>Insect</v>
      </c>
      <c r="D20" s="35"/>
      <c r="E20" s="35" t="str">
        <f>VLOOKUP($B$20,ENEMY,4)</f>
        <v>Normal</v>
      </c>
      <c r="F20" s="35"/>
      <c r="G20" s="35">
        <f>VLOOKUP($B$20,ENEMY,5)</f>
        <v>10</v>
      </c>
      <c r="H20" s="35"/>
      <c r="I20" s="35">
        <f>VLOOKUP($B$20,ENEMY,6)</f>
        <v>3</v>
      </c>
      <c r="J20" s="35"/>
      <c r="K20" s="35">
        <f>VLOOKUP($B$20,ENEMY,7)</f>
        <v>5</v>
      </c>
      <c r="L20" s="35"/>
      <c r="M20" s="35">
        <f>VLOOKUP($B$20,ENEMY,8)</f>
        <v>5</v>
      </c>
    </row>
    <row r="21" spans="1:20" ht="15" customHeight="1" x14ac:dyDescent="0.25">
      <c r="B21" s="37" t="s">
        <v>45</v>
      </c>
      <c r="C21" s="37" t="s">
        <v>38</v>
      </c>
      <c r="D21" s="37"/>
      <c r="E21" s="37" t="s">
        <v>85</v>
      </c>
      <c r="F21" s="37"/>
      <c r="G21" s="37" t="s">
        <v>5</v>
      </c>
      <c r="H21" s="37"/>
      <c r="I21" s="37" t="s">
        <v>18</v>
      </c>
      <c r="J21" s="37"/>
      <c r="K21" s="37" t="s">
        <v>10</v>
      </c>
      <c r="L21" s="37"/>
      <c r="M21" s="37" t="s">
        <v>44</v>
      </c>
    </row>
    <row r="22" spans="1:20" ht="15" customHeight="1" x14ac:dyDescent="0.25">
      <c r="B22" s="14" t="s">
        <v>119</v>
      </c>
      <c r="C22" s="35" t="str">
        <f>VLOOKUP($B$22,TOWER,3)</f>
        <v>Traps</v>
      </c>
      <c r="D22" s="35"/>
      <c r="E22" s="35" t="str">
        <f>VLOOKUP($B$22,TOWER,4)</f>
        <v>Mortar</v>
      </c>
      <c r="F22" s="35"/>
      <c r="G22" s="35">
        <f>VLOOKUP($B$22,TOWER,5)</f>
        <v>4</v>
      </c>
      <c r="H22" s="35"/>
      <c r="I22" s="35">
        <f>VLOOKUP($B$22,TOWER,6)</f>
        <v>1</v>
      </c>
      <c r="J22" s="35"/>
      <c r="K22" s="35">
        <f>VLOOKUP($B$22,TOWER,7)</f>
        <v>4</v>
      </c>
      <c r="L22" s="35"/>
      <c r="M22" s="35">
        <f>VLOOKUP($B$22,TOWER,8)</f>
        <v>15</v>
      </c>
    </row>
    <row r="23" spans="1:20" x14ac:dyDescent="0.25">
      <c r="N23" s="23"/>
      <c r="T23" s="44"/>
    </row>
    <row r="24" spans="1:20" x14ac:dyDescent="0.25">
      <c r="B24" s="34" t="s">
        <v>91</v>
      </c>
      <c r="C24" s="34"/>
      <c r="E24" s="80" t="s">
        <v>40</v>
      </c>
      <c r="F24" s="80"/>
      <c r="G24" s="80"/>
      <c r="H24" s="80"/>
      <c r="I24" s="80"/>
      <c r="K24" s="34" t="s">
        <v>46</v>
      </c>
      <c r="M24" s="34" t="s">
        <v>37</v>
      </c>
      <c r="Q24" s="43"/>
      <c r="R24" s="26"/>
    </row>
    <row r="25" spans="1:20" x14ac:dyDescent="0.25">
      <c r="B25" s="87">
        <f>ROUND(O10*K26*I26,2)</f>
        <v>62.28</v>
      </c>
      <c r="C25" s="87"/>
      <c r="E25" s="82" t="str">
        <f>C22</f>
        <v>Traps</v>
      </c>
      <c r="F25" s="82"/>
      <c r="G25" s="82" t="str">
        <f>C20</f>
        <v>Insect</v>
      </c>
      <c r="H25" s="82"/>
      <c r="I25" s="18" t="s">
        <v>42</v>
      </c>
      <c r="K25" s="32" t="s">
        <v>4</v>
      </c>
      <c r="L25" s="26"/>
      <c r="M25" s="32" t="s">
        <v>101</v>
      </c>
    </row>
    <row r="26" spans="1:20" x14ac:dyDescent="0.25">
      <c r="E26" s="83" t="str">
        <f>HLOOKUP(C22,WEAK_TOWER,VLOOKUP(C20,WEAK_ENEMY,5,FALSE)+1,FALSE)</f>
        <v>+</v>
      </c>
      <c r="F26" s="83"/>
      <c r="G26" s="83"/>
      <c r="H26" s="83"/>
      <c r="I26" s="79" cm="1">
        <f t="array" ref="I26">_xlfn.IFS(E26="-", 1-O8, E26="=",1,E26="+",1+O8)</f>
        <v>1.2</v>
      </c>
      <c r="K26" s="79" cm="1">
        <f t="array" ref="K26">_xlfn.IFS(K25="Upgrade 0",C10,K25="Upgrade 1",E10,K25="Upgrade 2",G10,K25="Upgrade 3",I10,K25="Upgrade 4",K10,K25="Upgrade 5",M10)</f>
        <v>25.95</v>
      </c>
      <c r="M26" s="79" cm="1">
        <f t="array" ref="M26">_xlfn.IFS(M25="LVL 0",C14,M25="LVL 1",E14,M25="LVL 2",G14,M25="LVL 3",I14,M25="LVL 4",K14,M25="LVL 5",M14)</f>
        <v>75.930000000000007</v>
      </c>
    </row>
    <row r="27" spans="1:20" x14ac:dyDescent="0.25">
      <c r="E27" s="83"/>
      <c r="F27" s="83"/>
      <c r="G27" s="83"/>
      <c r="H27" s="83"/>
      <c r="I27" s="79"/>
      <c r="K27" s="79"/>
      <c r="M27" s="79"/>
      <c r="O27" s="23"/>
    </row>
    <row r="28" spans="1:20" x14ac:dyDescent="0.25">
      <c r="K28" s="47" t="s">
        <v>44</v>
      </c>
      <c r="M28" s="47" t="s">
        <v>111</v>
      </c>
    </row>
    <row r="29" spans="1:20" x14ac:dyDescent="0.25">
      <c r="C29" s="84" t="s">
        <v>104</v>
      </c>
      <c r="D29" s="84"/>
      <c r="E29" s="84"/>
      <c r="F29" s="84"/>
      <c r="H29" s="80" t="s">
        <v>109</v>
      </c>
      <c r="I29" s="80"/>
      <c r="K29" s="48" cm="1">
        <f t="array" ref="K29">_xlfn.IFS(K25="Upgrade 0",C5,K25="Upgrade 1",E5,K25="Upgrade 2",G5,K25="Upgrade 3",I5,K25="Upgrade 4",K5,K25="Upgrade 5",M5)</f>
        <v>30</v>
      </c>
      <c r="M29" s="48" cm="1">
        <f t="array" ref="M29">_xlfn.IFS(M25="LVL 0",C17,M25="LVL 1",E17,M25="LVL 2",G17,M25="LVL 3",I17,M25="LVL 4",K17,M25="LVL 5",M17)</f>
        <v>41</v>
      </c>
      <c r="N29" s="23"/>
      <c r="O29" s="27"/>
    </row>
    <row r="30" spans="1:20" x14ac:dyDescent="0.25">
      <c r="C30" s="80" t="s">
        <v>76</v>
      </c>
      <c r="D30" s="80"/>
      <c r="E30" s="80" t="s">
        <v>19</v>
      </c>
      <c r="F30" s="80"/>
      <c r="H30" s="79" t="str">
        <f>_xlfn.CONCAT(K29*K31," s")</f>
        <v>17,1 s</v>
      </c>
      <c r="I30" s="79"/>
      <c r="K30" s="47" t="s">
        <v>18</v>
      </c>
      <c r="N30" s="23"/>
    </row>
    <row r="31" spans="1:20" x14ac:dyDescent="0.25">
      <c r="B31" s="34" t="str">
        <f>_xlfn.CONCAT(K25," ",K24)</f>
        <v>Upgrade 5 DPS</v>
      </c>
      <c r="C31" s="88">
        <f>ROUNDDOWN($M$26/B25,2)</f>
        <v>1.21</v>
      </c>
      <c r="D31" s="88"/>
      <c r="E31" s="89">
        <f>ROUNDUP($M$26/B25,0)</f>
        <v>2</v>
      </c>
      <c r="F31" s="89"/>
      <c r="G31" s="50" t="s">
        <v>114</v>
      </c>
      <c r="H31" s="80" t="s">
        <v>113</v>
      </c>
      <c r="I31" s="80"/>
      <c r="K31" s="48" cm="1">
        <f t="array" ref="K31">_xlfn.IFS(K25="Upgrade 0",C3,K25="Upgrade 1",E3,K25="Upgrade 2",G3,K25="Upgrade 3",I3,K25="Upgrade 4",K3,K25="Upgrade 5",M3)</f>
        <v>0.56999999999999995</v>
      </c>
    </row>
    <row r="32" spans="1:20" x14ac:dyDescent="0.25">
      <c r="C32" s="79" t="str">
        <f>_xlfn.CONCAT(E31*K31," s")</f>
        <v>1,14 s</v>
      </c>
      <c r="D32" s="79"/>
      <c r="E32" s="79"/>
      <c r="F32" s="79"/>
      <c r="G32" s="49">
        <f>E6+G6+I6+K6+M6</f>
        <v>3630</v>
      </c>
      <c r="H32" s="79">
        <f>ROUNDUP(K33/M29,0)</f>
        <v>60</v>
      </c>
      <c r="I32" s="79"/>
      <c r="K32" s="47" t="s">
        <v>112</v>
      </c>
    </row>
    <row r="33" spans="1:19" x14ac:dyDescent="0.25">
      <c r="K33" s="48" cm="1">
        <f t="array" ref="K33">_xlfn.IFS(K25="Upgrade 0",C6,K25="Upgrade 1",E6,K25="Upgrade 2",G6,K25="Upgrade 3",I6,K25="Upgrade 4",K6,K25="Upgrade 5",M6)</f>
        <v>2430</v>
      </c>
      <c r="O33" s="24"/>
      <c r="S33" s="22"/>
    </row>
    <row r="34" spans="1:19" x14ac:dyDescent="0.25">
      <c r="O34" s="24"/>
      <c r="S34" s="22"/>
    </row>
    <row r="35" spans="1:19" x14ac:dyDescent="0.25">
      <c r="Q35" s="24"/>
    </row>
    <row r="36" spans="1:19" x14ac:dyDescent="0.25">
      <c r="A36" s="21" t="s">
        <v>107</v>
      </c>
      <c r="Q36" s="24"/>
    </row>
    <row r="37" spans="1:19" x14ac:dyDescent="0.25">
      <c r="Q37" s="24"/>
    </row>
    <row r="38" spans="1:19" x14ac:dyDescent="0.25">
      <c r="Q38" s="24"/>
    </row>
    <row r="39" spans="1:19" x14ac:dyDescent="0.25">
      <c r="Q39" s="24"/>
    </row>
    <row r="40" spans="1:19" x14ac:dyDescent="0.25">
      <c r="Q40" s="24"/>
    </row>
    <row r="41" spans="1:19" x14ac:dyDescent="0.25">
      <c r="Q41" s="24"/>
    </row>
    <row r="42" spans="1:19" x14ac:dyDescent="0.25">
      <c r="Q42" s="24"/>
    </row>
    <row r="43" spans="1:19" x14ac:dyDescent="0.25">
      <c r="Q43" s="24"/>
    </row>
    <row r="44" spans="1:19" x14ac:dyDescent="0.25">
      <c r="Q44" s="24"/>
    </row>
  </sheetData>
  <mergeCells count="21">
    <mergeCell ref="Q2:Q3"/>
    <mergeCell ref="B25:C25"/>
    <mergeCell ref="C31:D31"/>
    <mergeCell ref="E31:F31"/>
    <mergeCell ref="E24:I24"/>
    <mergeCell ref="C32:F32"/>
    <mergeCell ref="H31:I31"/>
    <mergeCell ref="H32:I32"/>
    <mergeCell ref="A1:B1"/>
    <mergeCell ref="M26:M27"/>
    <mergeCell ref="K26:K27"/>
    <mergeCell ref="E30:F30"/>
    <mergeCell ref="C30:D30"/>
    <mergeCell ref="E25:F25"/>
    <mergeCell ref="G25:H25"/>
    <mergeCell ref="E26:H27"/>
    <mergeCell ref="I26:I27"/>
    <mergeCell ref="H29:I29"/>
    <mergeCell ref="H30:I30"/>
    <mergeCell ref="C29:F29"/>
    <mergeCell ref="A2:A9"/>
  </mergeCells>
  <phoneticPr fontId="1" type="noConversion"/>
  <conditionalFormatting sqref="C31">
    <cfRule type="colorScale" priority="155">
      <colorScale>
        <cfvo type="min"/>
        <cfvo type="max"/>
        <color rgb="FF63BE7B"/>
        <color rgb="FFFFEF9C"/>
      </colorScale>
    </cfRule>
  </conditionalFormatting>
  <conditionalFormatting sqref="C31">
    <cfRule type="colorScale" priority="161">
      <colorScale>
        <cfvo type="min"/>
        <cfvo type="max"/>
        <color rgb="FF63BE7B"/>
        <color rgb="FFFFEF9C"/>
      </colorScale>
    </cfRule>
  </conditionalFormatting>
  <conditionalFormatting sqref="E31">
    <cfRule type="colorScale" priority="167">
      <colorScale>
        <cfvo type="num" val="2"/>
        <cfvo type="percent" val="50"/>
        <cfvo type="num" val="5"/>
        <color theme="9"/>
        <color rgb="FFFFEB84"/>
        <color rgb="FFFF0000"/>
      </colorScale>
    </cfRule>
  </conditionalFormatting>
  <dataValidations count="8">
    <dataValidation type="list" allowBlank="1" showInputMessage="1" showErrorMessage="1" sqref="T2:T7" xr:uid="{B79DFF3F-F3F2-4D26-BF72-10F2B485B797}">
      <formula1>TowerStat</formula1>
    </dataValidation>
    <dataValidation type="list" allowBlank="1" showInputMessage="1" showErrorMessage="1" sqref="H2:H9 F2:F9 L14:L17 D2:D9 J2:J9 D14:D17 F14:F17 H14:H17 J14:J17 L2:L9" xr:uid="{44475DCD-E93B-4817-AA4F-5E6FBC088EBF}">
      <formula1>SIGN</formula1>
    </dataValidation>
    <dataValidation type="list" allowBlank="1" showInputMessage="1" showErrorMessage="1" sqref="B20" xr:uid="{AFB5BA6A-BBB2-47F1-A8F2-92AD1BD90543}">
      <formula1>CODE_ENEMIES</formula1>
    </dataValidation>
    <dataValidation type="list" allowBlank="1" showInputMessage="1" showErrorMessage="1" sqref="B20 B22" xr:uid="{AD1B0E1A-9992-4005-A59C-05195FE02FED}">
      <formula1>CODE_TOWER</formula1>
    </dataValidation>
    <dataValidation type="list" allowBlank="1" showInputMessage="1" showErrorMessage="1" sqref="K25" xr:uid="{D777C75E-5123-4061-A4DA-FA2F950126E5}">
      <formula1>UPGRADE</formula1>
    </dataValidation>
    <dataValidation type="list" allowBlank="1" showInputMessage="1" showErrorMessage="1" sqref="B14:B17 T9:T12" xr:uid="{AFA068F4-8100-422E-BD4E-A9DCC0E9320D}">
      <formula1>STAT_ENEMY</formula1>
    </dataValidation>
    <dataValidation type="list" allowBlank="1" showInputMessage="1" showErrorMessage="1" sqref="M25" xr:uid="{789A86CC-4BA2-4933-86AC-0C82CE5980EA}">
      <formula1>LEVEL_ENEMY</formula1>
    </dataValidation>
    <dataValidation type="list" allowBlank="1" showInputMessage="1" showErrorMessage="1" sqref="B2:B9" xr:uid="{00B706EE-A9A5-4DA1-8C1A-A95B882FF070}">
      <formula1>STAT_TOWER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41" operator="containsText" id="{F23044F8-4BE4-4A8E-9020-DF254427AB24}">
            <xm:f>NOT(ISERROR(SEARCH("+",E26)))</xm:f>
            <xm:f>"+"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42" operator="containsText" id="{C77DA782-581F-4D17-A692-70945A61EC64}">
            <xm:f>NOT(ISERROR(SEARCH("=",E26)))</xm:f>
            <xm:f>"="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143" operator="containsText" id="{1CADE51D-9651-4C17-992F-2F2A987E0A4C}">
            <xm:f>NOT(ISERROR(SEARCH("-",E26)))</xm:f>
            <xm:f>"-"</xm:f>
            <x14:dxf>
              <fill>
                <patternFill>
                  <bgColor rgb="FFFF5050"/>
                </patternFill>
              </fill>
            </x14:dxf>
          </x14:cfRule>
          <xm:sqref>E26</xm:sqref>
        </x14:conditionalFormatting>
        <x14:conditionalFormatting xmlns:xm="http://schemas.microsoft.com/office/excel/2006/main">
          <x14:cfRule type="containsText" priority="31" operator="containsText" id="{2F31918E-2561-4BE9-A502-75C4B5D293E9}">
            <xm:f>NOT(ISERROR(SEARCH("=",D2)))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D2:D6 F2:F6 H2:H6 J2:J6 L2:L6</xm:sqref>
        </x14:conditionalFormatting>
        <x14:conditionalFormatting xmlns:xm="http://schemas.microsoft.com/office/excel/2006/main">
          <x14:cfRule type="containsText" priority="21" operator="containsText" id="{241F7492-010D-41DA-8A00-0A007798E9B4}">
            <xm:f>NOT(ISERROR(SEARCH("+",D2)))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D2:D6 F2:F6 H2:H6 J2:J6 L2:L6</xm:sqref>
        </x14:conditionalFormatting>
        <x14:conditionalFormatting xmlns:xm="http://schemas.microsoft.com/office/excel/2006/main">
          <x14:cfRule type="containsText" priority="10" operator="containsText" id="{8B3F1571-5951-4242-8292-20FE5C102F51}">
            <xm:f>NOT(ISERROR(SEARCH("=",D14)))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D14:D17</xm:sqref>
        </x14:conditionalFormatting>
        <x14:conditionalFormatting xmlns:xm="http://schemas.microsoft.com/office/excel/2006/main">
          <x14:cfRule type="containsText" priority="9" operator="containsText" id="{60A51342-9333-47F9-B7F1-DD2C10483EC5}">
            <xm:f>NOT(ISERROR(SEARCH("+",D14)))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D14:D17</xm:sqref>
        </x14:conditionalFormatting>
        <x14:conditionalFormatting xmlns:xm="http://schemas.microsoft.com/office/excel/2006/main">
          <x14:cfRule type="containsText" priority="8" operator="containsText" id="{F111F232-37AE-4C0C-830B-35F78A30E14D}">
            <xm:f>NOT(ISERROR(SEARCH("=",F14)))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F14:F17</xm:sqref>
        </x14:conditionalFormatting>
        <x14:conditionalFormatting xmlns:xm="http://schemas.microsoft.com/office/excel/2006/main">
          <x14:cfRule type="containsText" priority="7" operator="containsText" id="{4C16C5E4-43A1-4B74-94C6-C11BD28CD051}">
            <xm:f>NOT(ISERROR(SEARCH("+",F14)))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F14:F17</xm:sqref>
        </x14:conditionalFormatting>
        <x14:conditionalFormatting xmlns:xm="http://schemas.microsoft.com/office/excel/2006/main">
          <x14:cfRule type="containsText" priority="6" operator="containsText" id="{2E1252A3-C99D-4F36-A89C-EA432A1B8CF7}">
            <xm:f>NOT(ISERROR(SEARCH("=",H14)))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H14:H17</xm:sqref>
        </x14:conditionalFormatting>
        <x14:conditionalFormatting xmlns:xm="http://schemas.microsoft.com/office/excel/2006/main">
          <x14:cfRule type="containsText" priority="5" operator="containsText" id="{C7C9590E-F4D8-4937-8DAA-3FB0B201B8D4}">
            <xm:f>NOT(ISERROR(SEARCH("+",H14)))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H14:H17</xm:sqref>
        </x14:conditionalFormatting>
        <x14:conditionalFormatting xmlns:xm="http://schemas.microsoft.com/office/excel/2006/main">
          <x14:cfRule type="containsText" priority="4" operator="containsText" id="{13FC0E2F-C188-4EF0-8386-643FBFEB5E92}">
            <xm:f>NOT(ISERROR(SEARCH("=",J14)))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J14:J17</xm:sqref>
        </x14:conditionalFormatting>
        <x14:conditionalFormatting xmlns:xm="http://schemas.microsoft.com/office/excel/2006/main">
          <x14:cfRule type="containsText" priority="3" operator="containsText" id="{BBC8C582-FBF7-4CB8-9A73-25811AD9D1E2}">
            <xm:f>NOT(ISERROR(SEARCH("+",J14)))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J14:J17</xm:sqref>
        </x14:conditionalFormatting>
        <x14:conditionalFormatting xmlns:xm="http://schemas.microsoft.com/office/excel/2006/main">
          <x14:cfRule type="containsText" priority="2" operator="containsText" id="{A7445E3F-3833-4014-8466-71A05643C3CE}">
            <xm:f>NOT(ISERROR(SEARCH("=",L14)))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L14:L17</xm:sqref>
        </x14:conditionalFormatting>
        <x14:conditionalFormatting xmlns:xm="http://schemas.microsoft.com/office/excel/2006/main">
          <x14:cfRule type="containsText" priority="1" operator="containsText" id="{D4E82E64-C481-45B0-AA7D-688B765F3F1B}">
            <xm:f>NOT(ISERROR(SEARCH("+",L14)))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L14:L17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E0B1E-C30D-4807-9C0B-B17E796108D4}">
  <dimension ref="A1:X18"/>
  <sheetViews>
    <sheetView workbookViewId="0">
      <selection activeCell="M30" sqref="A1:XFD1048576"/>
    </sheetView>
  </sheetViews>
  <sheetFormatPr baseColWidth="10" defaultRowHeight="15" x14ac:dyDescent="0.25"/>
  <cols>
    <col min="1" max="1" width="14.28515625" style="58" customWidth="1"/>
    <col min="2" max="2" width="5.7109375" style="58" customWidth="1"/>
    <col min="3" max="8" width="11.42578125" style="58"/>
    <col min="9" max="9" width="4.28515625" style="58" customWidth="1"/>
    <col min="10" max="10" width="14.28515625" style="58" customWidth="1"/>
    <col min="11" max="11" width="11.42578125" style="58"/>
    <col min="12" max="12" width="4.28515625" style="58" customWidth="1"/>
    <col min="13" max="13" width="11.42578125" style="58"/>
    <col min="14" max="14" width="4.28515625" style="58" customWidth="1"/>
    <col min="15" max="15" width="11.42578125" style="58"/>
    <col min="16" max="16" width="4.28515625" style="58" customWidth="1"/>
    <col min="17" max="17" width="11.42578125" style="58"/>
    <col min="18" max="18" width="4.28515625" style="58" customWidth="1"/>
    <col min="19" max="19" width="11.42578125" style="58" customWidth="1"/>
    <col min="20" max="20" width="4.28515625" style="58" customWidth="1"/>
    <col min="21" max="21" width="11.42578125" style="58"/>
    <col min="22" max="22" width="4.28515625" style="58" customWidth="1"/>
    <col min="23" max="16384" width="11.42578125" style="58"/>
  </cols>
  <sheetData>
    <row r="1" spans="1:24" x14ac:dyDescent="0.25">
      <c r="A1" s="74">
        <v>1</v>
      </c>
      <c r="B1" s="74">
        <v>2</v>
      </c>
      <c r="C1" s="74">
        <v>3</v>
      </c>
      <c r="D1" s="74">
        <v>4</v>
      </c>
      <c r="E1" s="74">
        <v>5</v>
      </c>
      <c r="F1" s="74">
        <v>6</v>
      </c>
      <c r="G1" s="74">
        <v>7</v>
      </c>
      <c r="H1" s="74">
        <v>8</v>
      </c>
      <c r="I1" s="74"/>
      <c r="J1" s="74">
        <v>1</v>
      </c>
      <c r="K1" s="74">
        <v>2</v>
      </c>
      <c r="L1" s="74">
        <v>3</v>
      </c>
      <c r="M1" s="74">
        <v>4</v>
      </c>
      <c r="N1" s="74">
        <v>5</v>
      </c>
      <c r="O1" s="74">
        <v>6</v>
      </c>
      <c r="P1" s="74">
        <v>7</v>
      </c>
      <c r="Q1" s="74">
        <v>8</v>
      </c>
      <c r="R1" s="74">
        <v>9</v>
      </c>
      <c r="S1" s="74">
        <v>10</v>
      </c>
      <c r="T1" s="74">
        <v>11</v>
      </c>
      <c r="U1" s="74">
        <v>12</v>
      </c>
      <c r="V1" s="74"/>
      <c r="W1" s="74"/>
      <c r="X1" s="74"/>
    </row>
    <row r="2" spans="1:24" ht="30" x14ac:dyDescent="0.25">
      <c r="A2" s="34" t="s">
        <v>21</v>
      </c>
      <c r="B2" s="34" t="s">
        <v>22</v>
      </c>
      <c r="C2" s="34" t="s">
        <v>23</v>
      </c>
      <c r="D2" s="34" t="s">
        <v>32</v>
      </c>
      <c r="E2" s="34" t="s">
        <v>31</v>
      </c>
      <c r="F2" s="34" t="s">
        <v>30</v>
      </c>
      <c r="G2" s="34" t="s">
        <v>92</v>
      </c>
      <c r="H2" s="34" t="s">
        <v>118</v>
      </c>
      <c r="I2" s="76"/>
      <c r="J2" s="22"/>
      <c r="K2" s="50" t="s">
        <v>96</v>
      </c>
      <c r="L2" s="52"/>
      <c r="M2" s="50" t="s">
        <v>97</v>
      </c>
      <c r="N2" s="52"/>
      <c r="O2" s="50" t="s">
        <v>98</v>
      </c>
      <c r="P2" s="52"/>
      <c r="Q2" s="50" t="s">
        <v>99</v>
      </c>
      <c r="R2" s="52"/>
      <c r="S2" s="50" t="s">
        <v>100</v>
      </c>
      <c r="T2" s="52"/>
      <c r="U2" s="50" t="s">
        <v>101</v>
      </c>
      <c r="V2" s="22"/>
      <c r="W2" s="41" t="s">
        <v>106</v>
      </c>
    </row>
    <row r="3" spans="1:24" x14ac:dyDescent="0.25">
      <c r="A3" s="20" t="str">
        <f>_xlfn.CONCAT(B3,"_",LEFT(C3,4),"_",LEFT(D3,4))</f>
        <v>1_Inse_Norm</v>
      </c>
      <c r="B3" s="38">
        <v>1</v>
      </c>
      <c r="C3" s="20" t="s">
        <v>26</v>
      </c>
      <c r="D3" s="20" t="s">
        <v>35</v>
      </c>
      <c r="E3" s="42">
        <v>10</v>
      </c>
      <c r="F3" s="42">
        <v>3</v>
      </c>
      <c r="G3" s="42">
        <v>5</v>
      </c>
      <c r="H3" s="42">
        <v>5</v>
      </c>
      <c r="I3" s="77"/>
      <c r="J3" s="29" t="s">
        <v>31</v>
      </c>
      <c r="K3" s="39">
        <f>O9</f>
        <v>10</v>
      </c>
      <c r="L3" s="53" t="s">
        <v>16</v>
      </c>
      <c r="M3" s="39" cm="1">
        <f t="array" ref="M3">_xlfn.IFS(L3="+",ROUNDDOWN($K$3 * (1 + W3) ^ 1,2),L3="=",K3)</f>
        <v>15</v>
      </c>
      <c r="N3" s="53" t="s">
        <v>16</v>
      </c>
      <c r="O3" s="39" cm="1">
        <f t="array" ref="O3">_xlfn.IFS(N3="+",ROUNDDOWN($K$3 * (1 + W3) ^ 2,2),N3="=",K3)</f>
        <v>22.5</v>
      </c>
      <c r="P3" s="53" t="s">
        <v>16</v>
      </c>
      <c r="Q3" s="39" cm="1">
        <f t="array" ref="Q3">_xlfn.IFS(P3="+",ROUNDDOWN($K$3 * (1 + W3) ^ 3,2),P3="=",K3)</f>
        <v>33.75</v>
      </c>
      <c r="R3" s="53" t="s">
        <v>16</v>
      </c>
      <c r="S3" s="39" cm="1">
        <f t="array" ref="S3">_xlfn.IFS(R3="+",ROUNDDOWN($K$3 * (1 + W3) ^ 4,2),R3="=",K3)</f>
        <v>50.62</v>
      </c>
      <c r="T3" s="53" t="s">
        <v>16</v>
      </c>
      <c r="U3" s="39" cm="1">
        <f t="array" ref="U3">_xlfn.IFS(R3="+",ROUNDDOWN($K$3 * (1 + W3) ^ 5,2),R3="=",K3)</f>
        <v>75.930000000000007</v>
      </c>
      <c r="V3" s="22"/>
      <c r="W3" s="20">
        <v>0.5</v>
      </c>
    </row>
    <row r="4" spans="1:24" x14ac:dyDescent="0.25">
      <c r="A4" s="19" t="str">
        <f t="shared" ref="A4:A11" si="0">_xlfn.CONCAT(B4,"_",LEFT(C4,4),"_",LEFT(D4,4))</f>
        <v>2_Inse_Inta</v>
      </c>
      <c r="B4" s="38">
        <v>2</v>
      </c>
      <c r="C4" s="19" t="s">
        <v>26</v>
      </c>
      <c r="D4" s="19" t="s">
        <v>34</v>
      </c>
      <c r="E4" s="42">
        <v>6</v>
      </c>
      <c r="F4" s="42">
        <v>5</v>
      </c>
      <c r="G4" s="42">
        <v>3</v>
      </c>
      <c r="H4" s="42">
        <v>2</v>
      </c>
      <c r="I4" s="77"/>
      <c r="J4" s="51" t="s">
        <v>73</v>
      </c>
      <c r="K4" s="40">
        <f>Q9</f>
        <v>3</v>
      </c>
      <c r="L4" s="49" t="s">
        <v>16</v>
      </c>
      <c r="M4" s="40" cm="1">
        <f t="array" ref="M4">_xlfn.IFS(L4="+",ROUND($K$4 * (1 - W4) ^ 1,2),L4="=",K4)</f>
        <v>2.1</v>
      </c>
      <c r="N4" s="49" t="s">
        <v>16</v>
      </c>
      <c r="O4" s="40" cm="1">
        <f t="array" ref="O4">_xlfn.IFS(L4="+",ROUND($K$4 * (1 - W4) ^ 2,2),L4="=",K4)</f>
        <v>1.47</v>
      </c>
      <c r="P4" s="49" t="s">
        <v>16</v>
      </c>
      <c r="Q4" s="40" cm="1">
        <f t="array" ref="Q4">_xlfn.IFS(L4="+",ROUND($K$4 * (1 - W4) ^ 3,2),L4="=",K4)</f>
        <v>1.03</v>
      </c>
      <c r="R4" s="49" t="s">
        <v>16</v>
      </c>
      <c r="S4" s="40" cm="1">
        <f t="array" ref="S4">_xlfn.IFS(L4="+",ROUND($K$4 * (1 - W4) ^ 4,2),L4="=",K4)</f>
        <v>0.72</v>
      </c>
      <c r="T4" s="49" t="s">
        <v>16</v>
      </c>
      <c r="U4" s="40" cm="1">
        <f t="array" ref="U4">_xlfn.IFS(L4="+",ROUND($K$4 * (1 - W4) ^ 5,2),L4="=",K4)</f>
        <v>0.5</v>
      </c>
      <c r="V4" s="22"/>
      <c r="W4" s="19">
        <v>0.3</v>
      </c>
    </row>
    <row r="5" spans="1:24" x14ac:dyDescent="0.25">
      <c r="A5" s="20" t="str">
        <f t="shared" si="0"/>
        <v>3_Inse_Sabo</v>
      </c>
      <c r="B5" s="38">
        <v>3</v>
      </c>
      <c r="C5" s="20" t="s">
        <v>26</v>
      </c>
      <c r="D5" s="20" t="s">
        <v>33</v>
      </c>
      <c r="E5" s="42">
        <v>15</v>
      </c>
      <c r="F5" s="42">
        <v>2</v>
      </c>
      <c r="G5" s="42">
        <v>7.5</v>
      </c>
      <c r="H5" s="42">
        <v>10</v>
      </c>
      <c r="J5" s="29" t="s">
        <v>102</v>
      </c>
      <c r="K5" s="39">
        <f>S9</f>
        <v>5</v>
      </c>
      <c r="L5" s="53" t="s">
        <v>16</v>
      </c>
      <c r="M5" s="39" cm="1">
        <f t="array" ref="M5">_xlfn.IFS(L5="+",ROUNDDOWN($K$5 * (1 + W5) ^ 1,2),L5="=",K5)</f>
        <v>6</v>
      </c>
      <c r="N5" s="53" t="s">
        <v>16</v>
      </c>
      <c r="O5" s="39" cm="1">
        <f t="array" ref="O5">_xlfn.IFS(N5="+",ROUNDDOWN($K$5 * (1 + W5) ^ 2,2),N5="=",K5)</f>
        <v>7.2</v>
      </c>
      <c r="P5" s="53" t="s">
        <v>16</v>
      </c>
      <c r="Q5" s="39" cm="1">
        <f t="array" ref="Q5">_xlfn.IFS(P5="+",ROUNDDOWN($K$5 * (1 + W5) ^ 3,2),P5="=",O5)</f>
        <v>8.64</v>
      </c>
      <c r="R5" s="53" t="s">
        <v>16</v>
      </c>
      <c r="S5" s="39" cm="1">
        <f t="array" ref="S5">_xlfn.IFS(R5="+",ROUNDDOWN($K$5 * (1 + W5) ^ 4,2),R5="=",Q5)</f>
        <v>10.36</v>
      </c>
      <c r="T5" s="53" t="s">
        <v>16</v>
      </c>
      <c r="U5" s="39" cm="1">
        <f t="array" ref="U5">_xlfn.IFS(T5="+",ROUNDDOWN($K$5 * (1 + W5) ^ 5,2),T5="=",S5)</f>
        <v>12.44</v>
      </c>
      <c r="V5" s="22"/>
      <c r="W5" s="20">
        <v>0.2</v>
      </c>
    </row>
    <row r="6" spans="1:24" x14ac:dyDescent="0.25">
      <c r="A6" s="19" t="str">
        <f t="shared" si="0"/>
        <v>4_Ghos_Norm</v>
      </c>
      <c r="B6" s="38">
        <v>4</v>
      </c>
      <c r="C6" s="19" t="s">
        <v>27</v>
      </c>
      <c r="D6" s="19" t="s">
        <v>35</v>
      </c>
      <c r="E6" s="40">
        <f t="shared" ref="E6:E11" si="1">E3</f>
        <v>10</v>
      </c>
      <c r="F6" s="40">
        <f t="shared" ref="F6:H6" si="2">F3</f>
        <v>3</v>
      </c>
      <c r="G6" s="40">
        <f t="shared" si="2"/>
        <v>5</v>
      </c>
      <c r="H6" s="40">
        <f t="shared" si="2"/>
        <v>5</v>
      </c>
      <c r="J6" s="51" t="s">
        <v>105</v>
      </c>
      <c r="K6" s="40">
        <f>U9</f>
        <v>5</v>
      </c>
      <c r="L6" s="49" t="s">
        <v>16</v>
      </c>
      <c r="M6" s="40" cm="1">
        <f t="array" ref="M6">_xlfn.IFS(L6="+",ROUNDDOWN($K$6 * (1 + W6) ^ 1,2),L6="=",K6)</f>
        <v>7.5</v>
      </c>
      <c r="N6" s="49" t="s">
        <v>16</v>
      </c>
      <c r="O6" s="40" cm="1">
        <f t="array" ref="O6">_xlfn.IFS(L6="+",ROUNDDOWN($K$6 * (1 + W6) ^ 2,2),L6="=",K6)</f>
        <v>11.25</v>
      </c>
      <c r="P6" s="49" t="s">
        <v>16</v>
      </c>
      <c r="Q6" s="40" cm="1">
        <f t="array" ref="Q6">_xlfn.IFS(L6="+",ROUNDDOWN($K$6 * (1 + W6) ^ 3,2),L6="=",K6)</f>
        <v>16.87</v>
      </c>
      <c r="R6" s="49" t="s">
        <v>16</v>
      </c>
      <c r="S6" s="40" cm="1">
        <f t="array" ref="S6">_xlfn.IFS(L6="+",ROUNDDOWN($K$6 * (1 + W6) ^ 4,2),L6="=",K6)</f>
        <v>25.31</v>
      </c>
      <c r="T6" s="49" t="s">
        <v>16</v>
      </c>
      <c r="U6" s="40" cm="1">
        <f t="array" ref="U6">_xlfn.IFS(L6="+",ROUNDDOWN($K$6 * (1 + W6) ^ 5,2),L6="=",K6)</f>
        <v>37.96</v>
      </c>
      <c r="V6" s="22"/>
      <c r="W6" s="19">
        <v>0.5</v>
      </c>
    </row>
    <row r="7" spans="1:24" x14ac:dyDescent="0.25">
      <c r="A7" s="20" t="str">
        <f t="shared" si="0"/>
        <v>5_Ghos_Inta</v>
      </c>
      <c r="B7" s="38">
        <v>5</v>
      </c>
      <c r="C7" s="20" t="s">
        <v>27</v>
      </c>
      <c r="D7" s="20" t="s">
        <v>34</v>
      </c>
      <c r="E7" s="39">
        <f t="shared" si="1"/>
        <v>6</v>
      </c>
      <c r="F7" s="39">
        <f t="shared" ref="F7:H7" si="3">F4</f>
        <v>5</v>
      </c>
      <c r="G7" s="39">
        <f t="shared" si="3"/>
        <v>3</v>
      </c>
      <c r="H7" s="39">
        <f t="shared" si="3"/>
        <v>2</v>
      </c>
    </row>
    <row r="8" spans="1:24" x14ac:dyDescent="0.25">
      <c r="A8" s="19" t="str">
        <f t="shared" si="0"/>
        <v>6_Ghos_Sabo</v>
      </c>
      <c r="B8" s="38">
        <v>6</v>
      </c>
      <c r="C8" s="19" t="s">
        <v>27</v>
      </c>
      <c r="D8" s="19" t="s">
        <v>33</v>
      </c>
      <c r="E8" s="40">
        <f t="shared" si="1"/>
        <v>15</v>
      </c>
      <c r="F8" s="40">
        <f t="shared" ref="F8:H8" si="4">F5</f>
        <v>2</v>
      </c>
      <c r="G8" s="40">
        <f t="shared" si="4"/>
        <v>7.5</v>
      </c>
      <c r="H8" s="40">
        <f t="shared" si="4"/>
        <v>10</v>
      </c>
      <c r="J8" s="37" t="s">
        <v>36</v>
      </c>
      <c r="K8" s="37" t="s">
        <v>38</v>
      </c>
      <c r="L8" s="37"/>
      <c r="M8" s="37" t="s">
        <v>85</v>
      </c>
      <c r="N8" s="37"/>
      <c r="O8" s="37" t="s">
        <v>37</v>
      </c>
      <c r="P8" s="37"/>
      <c r="Q8" s="37" t="s">
        <v>93</v>
      </c>
      <c r="R8" s="37"/>
      <c r="S8" s="37" t="s">
        <v>94</v>
      </c>
      <c r="T8" s="37"/>
      <c r="U8" s="37" t="s">
        <v>105</v>
      </c>
    </row>
    <row r="9" spans="1:24" x14ac:dyDescent="0.25">
      <c r="A9" s="20" t="str">
        <f t="shared" si="0"/>
        <v>7_Vege_Norm</v>
      </c>
      <c r="B9" s="38">
        <v>7</v>
      </c>
      <c r="C9" s="20" t="s">
        <v>28</v>
      </c>
      <c r="D9" s="20" t="s">
        <v>35</v>
      </c>
      <c r="E9" s="39">
        <f t="shared" si="1"/>
        <v>10</v>
      </c>
      <c r="F9" s="39">
        <f t="shared" ref="F9:H9" si="5">F6</f>
        <v>3</v>
      </c>
      <c r="G9" s="39">
        <f t="shared" si="5"/>
        <v>5</v>
      </c>
      <c r="H9" s="39">
        <f t="shared" si="5"/>
        <v>5</v>
      </c>
      <c r="J9" s="14" t="s">
        <v>124</v>
      </c>
      <c r="K9" s="53" t="str">
        <f>VLOOKUP($J$9,ENEMY,3)</f>
        <v>Insect</v>
      </c>
      <c r="L9" s="53"/>
      <c r="M9" s="53" t="str">
        <f>VLOOKUP($J$9,ENEMY,4)</f>
        <v>Normal</v>
      </c>
      <c r="N9" s="53"/>
      <c r="O9" s="53">
        <f>VLOOKUP($J$9,ENEMY,5)</f>
        <v>10</v>
      </c>
      <c r="P9" s="53"/>
      <c r="Q9" s="53">
        <f>VLOOKUP($J$9,ENEMY,6)</f>
        <v>3</v>
      </c>
      <c r="R9" s="53"/>
      <c r="S9" s="53">
        <f>VLOOKUP($J$9,ENEMY,7)</f>
        <v>5</v>
      </c>
      <c r="T9" s="53"/>
      <c r="U9" s="53">
        <f>VLOOKUP($J$9,ENEMY,8)</f>
        <v>5</v>
      </c>
    </row>
    <row r="10" spans="1:24" x14ac:dyDescent="0.25">
      <c r="A10" s="19" t="str">
        <f t="shared" si="0"/>
        <v>8_Vege_Inta</v>
      </c>
      <c r="B10" s="38">
        <v>8</v>
      </c>
      <c r="C10" s="19" t="s">
        <v>28</v>
      </c>
      <c r="D10" s="19" t="s">
        <v>34</v>
      </c>
      <c r="E10" s="40">
        <f t="shared" si="1"/>
        <v>6</v>
      </c>
      <c r="F10" s="40">
        <f t="shared" ref="F10:H10" si="6">F7</f>
        <v>5</v>
      </c>
      <c r="G10" s="40">
        <f t="shared" si="6"/>
        <v>3</v>
      </c>
      <c r="H10" s="40">
        <f t="shared" si="6"/>
        <v>2</v>
      </c>
    </row>
    <row r="11" spans="1:24" x14ac:dyDescent="0.25">
      <c r="A11" s="20" t="str">
        <f t="shared" si="0"/>
        <v>9_Vege_Sabo</v>
      </c>
      <c r="B11" s="38">
        <v>9</v>
      </c>
      <c r="C11" s="20" t="s">
        <v>28</v>
      </c>
      <c r="D11" s="20" t="s">
        <v>33</v>
      </c>
      <c r="E11" s="39">
        <f t="shared" si="1"/>
        <v>15</v>
      </c>
      <c r="F11" s="39">
        <f t="shared" ref="F11:H11" si="7">F8</f>
        <v>2</v>
      </c>
      <c r="G11" s="39">
        <f t="shared" si="7"/>
        <v>7.5</v>
      </c>
      <c r="H11" s="39">
        <f t="shared" si="7"/>
        <v>10</v>
      </c>
    </row>
    <row r="12" spans="1:24" x14ac:dyDescent="0.25">
      <c r="B12" s="75"/>
    </row>
    <row r="13" spans="1:24" x14ac:dyDescent="0.25">
      <c r="C13" s="80" t="s">
        <v>120</v>
      </c>
      <c r="D13" s="80"/>
    </row>
    <row r="14" spans="1:24" x14ac:dyDescent="0.25">
      <c r="C14" s="90" t="s">
        <v>123</v>
      </c>
      <c r="D14" s="90" t="s">
        <v>125</v>
      </c>
    </row>
    <row r="15" spans="1:24" x14ac:dyDescent="0.25">
      <c r="C15" s="90"/>
      <c r="D15" s="90"/>
    </row>
    <row r="16" spans="1:24" x14ac:dyDescent="0.25">
      <c r="C16" s="39">
        <f>E3*F3</f>
        <v>30</v>
      </c>
      <c r="D16" s="39">
        <f>G3/E3</f>
        <v>0.5</v>
      </c>
    </row>
    <row r="17" spans="3:4" x14ac:dyDescent="0.25">
      <c r="C17" s="40">
        <f>E4*F4</f>
        <v>30</v>
      </c>
      <c r="D17" s="40">
        <f>G4/E4</f>
        <v>0.5</v>
      </c>
    </row>
    <row r="18" spans="3:4" x14ac:dyDescent="0.25">
      <c r="C18" s="39">
        <f>E5*F5</f>
        <v>30</v>
      </c>
      <c r="D18" s="39">
        <f>G5/E5</f>
        <v>0.5</v>
      </c>
    </row>
  </sheetData>
  <mergeCells count="3">
    <mergeCell ref="C13:D13"/>
    <mergeCell ref="C14:C15"/>
    <mergeCell ref="D14:D15"/>
  </mergeCells>
  <dataValidations count="5">
    <dataValidation type="list" allowBlank="1" showInputMessage="1" showErrorMessage="1" sqref="C3:C11" xr:uid="{F0CFF0F4-7CFA-4B01-9C74-8489484BAAD3}">
      <formula1>CAT_ENEMIES</formula1>
    </dataValidation>
    <dataValidation type="list" allowBlank="1" showInputMessage="1" showErrorMessage="1" sqref="D3:D11" xr:uid="{425E8E53-AC8E-422D-AE8E-D604EB9F6490}">
      <formula1>TYP_ENEMIES</formula1>
    </dataValidation>
    <dataValidation type="list" allowBlank="1" showInputMessage="1" showErrorMessage="1" sqref="J3:J6" xr:uid="{B4AE7A1A-FD16-404C-A5D9-BB5D0F6C8E88}">
      <formula1>STAT_ENEMY</formula1>
    </dataValidation>
    <dataValidation type="list" allowBlank="1" showInputMessage="1" showErrorMessage="1" sqref="T3:T6 L3:L6 N3:N6 P3:P6 R3:R6" xr:uid="{6DAA55C9-B8EB-4C00-8C56-104CDDC61579}">
      <formula1>SIGN</formula1>
    </dataValidation>
    <dataValidation type="list" allowBlank="1" showInputMessage="1" showErrorMessage="1" sqref="J9" xr:uid="{A1612BDB-6C62-4CBA-956B-64B7B4954F20}">
      <formula1>CODE_ENEMIES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" operator="containsText" id="{6FCD8B1C-165A-4C57-BA57-04931B29562A}">
            <xm:f>NOT(ISERROR(SEARCH("=",L3)))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L3:L6</xm:sqref>
        </x14:conditionalFormatting>
        <x14:conditionalFormatting xmlns:xm="http://schemas.microsoft.com/office/excel/2006/main">
          <x14:cfRule type="containsText" priority="9" operator="containsText" id="{88DF42B1-C3DA-4AE4-9D2C-60B9C37D472B}">
            <xm:f>NOT(ISERROR(SEARCH("+",L3)))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L3:L6</xm:sqref>
        </x14:conditionalFormatting>
        <x14:conditionalFormatting xmlns:xm="http://schemas.microsoft.com/office/excel/2006/main">
          <x14:cfRule type="containsText" priority="8" operator="containsText" id="{7CD67BAE-001C-4926-8BD1-D618BC567139}">
            <xm:f>NOT(ISERROR(SEARCH("=",N3)))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N3:N6</xm:sqref>
        </x14:conditionalFormatting>
        <x14:conditionalFormatting xmlns:xm="http://schemas.microsoft.com/office/excel/2006/main">
          <x14:cfRule type="containsText" priority="7" operator="containsText" id="{9A97B82A-C8FF-484D-A179-AFE50BF821AA}">
            <xm:f>NOT(ISERROR(SEARCH("+",N3)))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N3:N6</xm:sqref>
        </x14:conditionalFormatting>
        <x14:conditionalFormatting xmlns:xm="http://schemas.microsoft.com/office/excel/2006/main">
          <x14:cfRule type="containsText" priority="6" operator="containsText" id="{6299027F-2EBC-47F3-B00F-34085291793F}">
            <xm:f>NOT(ISERROR(SEARCH("=",P3)))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P3:P6</xm:sqref>
        </x14:conditionalFormatting>
        <x14:conditionalFormatting xmlns:xm="http://schemas.microsoft.com/office/excel/2006/main">
          <x14:cfRule type="containsText" priority="5" operator="containsText" id="{C2F37EE2-AA7B-49B2-B0DB-F2AF397699F7}">
            <xm:f>NOT(ISERROR(SEARCH("+",P3)))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P3:P6</xm:sqref>
        </x14:conditionalFormatting>
        <x14:conditionalFormatting xmlns:xm="http://schemas.microsoft.com/office/excel/2006/main">
          <x14:cfRule type="containsText" priority="4" operator="containsText" id="{9FBFD2B7-15F0-4025-ADFB-FCDBFDD48A62}">
            <xm:f>NOT(ISERROR(SEARCH("=",R3)))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R3:R6</xm:sqref>
        </x14:conditionalFormatting>
        <x14:conditionalFormatting xmlns:xm="http://schemas.microsoft.com/office/excel/2006/main">
          <x14:cfRule type="containsText" priority="3" operator="containsText" id="{54B7A8A3-96F0-4469-B48D-56D75442D006}">
            <xm:f>NOT(ISERROR(SEARCH("+",R3)))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R3:R6</xm:sqref>
        </x14:conditionalFormatting>
        <x14:conditionalFormatting xmlns:xm="http://schemas.microsoft.com/office/excel/2006/main">
          <x14:cfRule type="containsText" priority="2" operator="containsText" id="{D0553422-FFDE-41E1-A882-6286AC95A0B6}">
            <xm:f>NOT(ISERROR(SEARCH("=",T3)))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T3:T6</xm:sqref>
        </x14:conditionalFormatting>
        <x14:conditionalFormatting xmlns:xm="http://schemas.microsoft.com/office/excel/2006/main">
          <x14:cfRule type="containsText" priority="1" operator="containsText" id="{8C46250D-3C62-47E5-AA26-68AF7A92EDE0}">
            <xm:f>NOT(ISERROR(SEARCH("+",T3)))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T3:T6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D55D-CDD5-4A2E-B7B4-999FBD02BF13}">
  <dimension ref="A1:Z18"/>
  <sheetViews>
    <sheetView tabSelected="1" workbookViewId="0">
      <selection activeCell="D4" sqref="A1:XFD1048576"/>
    </sheetView>
  </sheetViews>
  <sheetFormatPr baseColWidth="10" defaultRowHeight="15" x14ac:dyDescent="0.25"/>
  <cols>
    <col min="1" max="1" width="14.28515625" style="58" customWidth="1"/>
    <col min="2" max="2" width="5.7109375" style="58" customWidth="1"/>
    <col min="3" max="3" width="11.42578125" style="58" customWidth="1"/>
    <col min="4" max="6" width="11.42578125" style="58"/>
    <col min="7" max="9" width="11.42578125" style="58" customWidth="1"/>
    <col min="10" max="10" width="4.28515625" style="58" customWidth="1"/>
    <col min="11" max="11" width="11.42578125" style="58"/>
    <col min="12" max="12" width="11.42578125" style="58" customWidth="1"/>
    <col min="13" max="13" width="11.42578125" style="58"/>
    <col min="14" max="14" width="4.28515625" style="58" customWidth="1"/>
    <col min="15" max="15" width="11.42578125" style="58" customWidth="1"/>
    <col min="16" max="16" width="4.28515625" style="58" customWidth="1"/>
    <col min="17" max="17" width="11.42578125" style="58"/>
    <col min="18" max="18" width="4.28515625" style="58" customWidth="1"/>
    <col min="19" max="19" width="11.42578125" style="58"/>
    <col min="20" max="20" width="4.28515625" style="58" customWidth="1"/>
    <col min="21" max="21" width="11.42578125" style="58"/>
    <col min="22" max="22" width="4.28515625" style="58" customWidth="1"/>
    <col min="23" max="23" width="11.42578125" style="58"/>
    <col min="24" max="24" width="4.28515625" style="58" customWidth="1"/>
    <col min="25" max="25" width="11.42578125" style="58"/>
    <col min="26" max="26" width="4.28515625" style="58" customWidth="1"/>
    <col min="27" max="16384" width="11.42578125" style="58"/>
  </cols>
  <sheetData>
    <row r="1" spans="1:26" x14ac:dyDescent="0.25">
      <c r="A1" s="74">
        <v>1</v>
      </c>
      <c r="B1" s="74">
        <v>2</v>
      </c>
      <c r="C1" s="74">
        <v>3</v>
      </c>
      <c r="D1" s="74">
        <v>4</v>
      </c>
      <c r="E1" s="74">
        <v>5</v>
      </c>
      <c r="F1" s="74">
        <v>6</v>
      </c>
      <c r="G1" s="74">
        <v>7</v>
      </c>
      <c r="H1" s="74">
        <v>8</v>
      </c>
      <c r="I1" s="74">
        <v>9</v>
      </c>
    </row>
    <row r="2" spans="1:26" ht="30" customHeight="1" x14ac:dyDescent="0.25">
      <c r="A2" s="50" t="s">
        <v>21</v>
      </c>
      <c r="B2" s="50" t="s">
        <v>22</v>
      </c>
      <c r="C2" s="50" t="s">
        <v>23</v>
      </c>
      <c r="D2" s="50" t="s">
        <v>79</v>
      </c>
      <c r="E2" s="50" t="s">
        <v>5</v>
      </c>
      <c r="F2" s="50" t="s">
        <v>18</v>
      </c>
      <c r="G2" s="50" t="s">
        <v>24</v>
      </c>
      <c r="H2" s="78" t="s">
        <v>43</v>
      </c>
      <c r="I2" s="78" t="s">
        <v>110</v>
      </c>
      <c r="K2" s="81" t="s">
        <v>86</v>
      </c>
      <c r="L2" s="81"/>
      <c r="M2" s="55" t="s">
        <v>14</v>
      </c>
      <c r="N2" s="57"/>
      <c r="O2" s="55" t="s">
        <v>0</v>
      </c>
      <c r="P2" s="57"/>
      <c r="Q2" s="55" t="s">
        <v>2</v>
      </c>
      <c r="R2" s="57"/>
      <c r="S2" s="55" t="s">
        <v>1</v>
      </c>
      <c r="T2" s="57"/>
      <c r="U2" s="55" t="s">
        <v>3</v>
      </c>
      <c r="V2" s="57"/>
      <c r="W2" s="55" t="s">
        <v>4</v>
      </c>
      <c r="Y2" s="41" t="s">
        <v>95</v>
      </c>
    </row>
    <row r="3" spans="1:26" x14ac:dyDescent="0.25">
      <c r="A3" s="20" t="str">
        <f>_xlfn.CONCAT(B3,"_",LEFT(C3,4),"_",(LEFT(D3,4)))</f>
        <v>1_Food_Snip</v>
      </c>
      <c r="B3" s="38">
        <v>1</v>
      </c>
      <c r="C3" s="20" t="s">
        <v>7</v>
      </c>
      <c r="D3" s="20" t="s">
        <v>80</v>
      </c>
      <c r="E3" s="42">
        <v>6</v>
      </c>
      <c r="F3" s="42">
        <v>1.5</v>
      </c>
      <c r="G3" s="42">
        <v>5</v>
      </c>
      <c r="H3" s="42">
        <v>10</v>
      </c>
      <c r="I3" s="42">
        <v>10</v>
      </c>
      <c r="K3" s="85" t="s">
        <v>74</v>
      </c>
      <c r="L3" s="94" t="s">
        <v>5</v>
      </c>
      <c r="M3" s="97">
        <f>$Q$12</f>
        <v>6</v>
      </c>
      <c r="N3" s="54" t="s">
        <v>16</v>
      </c>
      <c r="O3" s="54" cm="1">
        <f t="array" ref="O3">_xlfn.IFS(N3="+",ROUNDDOWN(M3*(1+$Y$3),2),N3="=",M3)</f>
        <v>7.8</v>
      </c>
      <c r="P3" s="54" t="s">
        <v>16</v>
      </c>
      <c r="Q3" s="54" cm="1">
        <f t="array" ref="Q3">_xlfn.IFS(P3="+",ROUNDDOWN(O3*(1+$Y$3),2),P3="=",O3)</f>
        <v>10.14</v>
      </c>
      <c r="R3" s="54" t="s">
        <v>16</v>
      </c>
      <c r="S3" s="54" cm="1">
        <f t="array" ref="S3">_xlfn.IFS(R3="+",ROUNDDOWN(Q3*(1+$Y$3),2),R3="=",Q3)</f>
        <v>13.18</v>
      </c>
      <c r="T3" s="54" t="s">
        <v>16</v>
      </c>
      <c r="U3" s="54" cm="1">
        <f t="array" ref="U3">_xlfn.IFS(T3="+",ROUNDDOWN(S3*(1+$Y$3),2),T3="=",S3)</f>
        <v>17.13</v>
      </c>
      <c r="V3" s="54" t="s">
        <v>16</v>
      </c>
      <c r="W3" s="54" cm="1">
        <f t="array" ref="W3">_xlfn.IFS(V3="+",ROUNDDOWN(U3*(1+$Y$3),2),V3="=",U3)</f>
        <v>22.26</v>
      </c>
      <c r="Y3" s="20">
        <v>0.3</v>
      </c>
    </row>
    <row r="4" spans="1:26" x14ac:dyDescent="0.25">
      <c r="A4" s="19" t="str">
        <f t="shared" ref="A4:A11" si="0">_xlfn.CONCAT(B4,"_",LEFT(C4,4),"_",(LEFT(D4,4)))</f>
        <v>2_Food_Mort</v>
      </c>
      <c r="B4" s="38">
        <v>2</v>
      </c>
      <c r="C4" s="19" t="s">
        <v>7</v>
      </c>
      <c r="D4" s="19" t="s">
        <v>82</v>
      </c>
      <c r="E4" s="42">
        <v>4</v>
      </c>
      <c r="F4" s="42">
        <v>1</v>
      </c>
      <c r="G4" s="42">
        <v>4</v>
      </c>
      <c r="H4" s="42">
        <v>15</v>
      </c>
      <c r="I4" s="40">
        <f>I3</f>
        <v>10</v>
      </c>
      <c r="K4" s="85"/>
      <c r="L4" s="95" t="s">
        <v>18</v>
      </c>
      <c r="M4" s="56">
        <f>$S$12</f>
        <v>1.5</v>
      </c>
      <c r="N4" s="56" t="s">
        <v>16</v>
      </c>
      <c r="O4" s="56" cm="1">
        <f t="array" ref="O4">_xlfn.IFS(N4="+",ROUNDDOWN(M4*(1-$Y$4),2),N4="=",M4)</f>
        <v>1.2</v>
      </c>
      <c r="P4" s="56" t="s">
        <v>16</v>
      </c>
      <c r="Q4" s="56" cm="1">
        <f t="array" ref="Q4">_xlfn.IFS(P4="+",ROUNDDOWN(O4*(1-$Y$4),2),P4="=",O4)</f>
        <v>0.96</v>
      </c>
      <c r="R4" s="56" t="s">
        <v>16</v>
      </c>
      <c r="S4" s="56" cm="1">
        <f t="array" ref="S4">_xlfn.IFS(R4="+",ROUNDDOWN(Q4*(1-$Y$4),2),R4="=",Q4)</f>
        <v>0.76</v>
      </c>
      <c r="T4" s="56" t="s">
        <v>16</v>
      </c>
      <c r="U4" s="56" cm="1">
        <f t="array" ref="U4">_xlfn.IFS(T4="+",ROUNDDOWN(S4*(1-$Y$4),2),T4="=",S4)</f>
        <v>0.6</v>
      </c>
      <c r="V4" s="56" t="s">
        <v>16</v>
      </c>
      <c r="W4" s="56" cm="1">
        <f t="array" ref="W4">_xlfn.IFS(V4="+",ROUNDDOWN(U4*(1-$Y$4),2),V4="=",U4)</f>
        <v>0.48</v>
      </c>
      <c r="Y4" s="19">
        <v>0.2</v>
      </c>
    </row>
    <row r="5" spans="1:26" x14ac:dyDescent="0.25">
      <c r="A5" s="20" t="str">
        <f t="shared" si="0"/>
        <v>3_Food_Cano</v>
      </c>
      <c r="B5" s="38">
        <v>3</v>
      </c>
      <c r="C5" s="20" t="s">
        <v>7</v>
      </c>
      <c r="D5" s="20" t="s">
        <v>81</v>
      </c>
      <c r="E5" s="42">
        <v>3</v>
      </c>
      <c r="F5" s="42">
        <v>0.75</v>
      </c>
      <c r="G5" s="42">
        <v>3.5</v>
      </c>
      <c r="H5" s="42">
        <v>20</v>
      </c>
      <c r="I5" s="39">
        <f>I3</f>
        <v>10</v>
      </c>
      <c r="K5" s="85"/>
      <c r="L5" s="94" t="s">
        <v>10</v>
      </c>
      <c r="M5" s="54">
        <f>$U$12</f>
        <v>5</v>
      </c>
      <c r="N5" s="54" t="s">
        <v>16</v>
      </c>
      <c r="O5" s="54" cm="1">
        <f t="array" ref="O5">_xlfn.IFS(N5="+",ROUNDDOWN(M5*(1+$Y$5),2),N5="=",M5)</f>
        <v>5.5</v>
      </c>
      <c r="P5" s="54" t="s">
        <v>16</v>
      </c>
      <c r="Q5" s="54" cm="1">
        <f t="array" ref="Q5">_xlfn.IFS(P5="+",ROUNDDOWN(O5*(1+$Y$5),2),P5="=",O5)</f>
        <v>6.05</v>
      </c>
      <c r="R5" s="54" t="s">
        <v>16</v>
      </c>
      <c r="S5" s="54" cm="1">
        <f t="array" ref="S5">_xlfn.IFS(R5="+",ROUNDDOWN(Q5*(1+$Y$5),2),R5="=",Q5)</f>
        <v>6.65</v>
      </c>
      <c r="T5" s="54" t="s">
        <v>16</v>
      </c>
      <c r="U5" s="54" cm="1">
        <f t="array" ref="U5">_xlfn.IFS(T5="+",ROUNDDOWN(S5*(1+$Y$5),2),T5="=",S5)</f>
        <v>7.31</v>
      </c>
      <c r="V5" s="54" t="s">
        <v>16</v>
      </c>
      <c r="W5" s="54" cm="1">
        <f t="array" ref="W5">_xlfn.IFS(V5="+",ROUNDDOWN(U5*(1+$Y$5),2),V5="=",U5)</f>
        <v>8.0399999999999991</v>
      </c>
      <c r="Y5" s="20">
        <v>0.1</v>
      </c>
    </row>
    <row r="6" spans="1:26" x14ac:dyDescent="0.25">
      <c r="A6" s="19" t="str">
        <f t="shared" si="0"/>
        <v>4_Trap_Snip</v>
      </c>
      <c r="B6" s="38">
        <v>4</v>
      </c>
      <c r="C6" s="19" t="s">
        <v>39</v>
      </c>
      <c r="D6" s="19" t="s">
        <v>80</v>
      </c>
      <c r="E6" s="40">
        <f>E3</f>
        <v>6</v>
      </c>
      <c r="F6" s="40">
        <f t="shared" ref="F6:G6" si="1">F3</f>
        <v>1.5</v>
      </c>
      <c r="G6" s="40">
        <f t="shared" si="1"/>
        <v>5</v>
      </c>
      <c r="H6" s="40">
        <f>H3</f>
        <v>10</v>
      </c>
      <c r="I6" s="40">
        <f>I3</f>
        <v>10</v>
      </c>
      <c r="K6" s="85"/>
      <c r="L6" s="95" t="s">
        <v>44</v>
      </c>
      <c r="M6" s="56">
        <f>$W$12</f>
        <v>10</v>
      </c>
      <c r="N6" s="56" t="s">
        <v>16</v>
      </c>
      <c r="O6" s="56" cm="1">
        <f t="array" ref="O6">_xlfn.IFS(N6="+",ROUNDDOWN(M6*(1+$Y$6),0),N6="=",M6)</f>
        <v>12</v>
      </c>
      <c r="P6" s="56" t="s">
        <v>15</v>
      </c>
      <c r="Q6" s="56" cm="1">
        <f t="array" ref="Q6">_xlfn.IFS(P6="+",ROUNDDOWN(O6*(1+$Y$6),0),P6="=",O6)</f>
        <v>12</v>
      </c>
      <c r="R6" s="56" t="s">
        <v>16</v>
      </c>
      <c r="S6" s="56" cm="1">
        <f t="array" ref="S6">_xlfn.IFS(R6="+",ROUNDDOWN(Q6*(1+$Y$6),0),R6="=",Q6)</f>
        <v>14</v>
      </c>
      <c r="T6" s="56" t="s">
        <v>16</v>
      </c>
      <c r="U6" s="56" cm="1">
        <f t="array" ref="U6">_xlfn.IFS(T6="+",ROUNDDOWN(S6*(1+$Y$6),0),T6="=",S6)</f>
        <v>16</v>
      </c>
      <c r="V6" s="56" t="s">
        <v>16</v>
      </c>
      <c r="W6" s="56" cm="1">
        <f t="array" ref="W6">_xlfn.IFS(V6="+",ROUNDDOWN(U6*(1+$Y$6),0),V6="=",U6)</f>
        <v>19</v>
      </c>
      <c r="Y6" s="19">
        <v>0.2</v>
      </c>
    </row>
    <row r="7" spans="1:26" x14ac:dyDescent="0.25">
      <c r="A7" s="20" t="str">
        <f t="shared" si="0"/>
        <v>5_Trap_Mort</v>
      </c>
      <c r="B7" s="38">
        <v>5</v>
      </c>
      <c r="C7" s="20" t="s">
        <v>39</v>
      </c>
      <c r="D7" s="20" t="s">
        <v>82</v>
      </c>
      <c r="E7" s="39">
        <f>E4</f>
        <v>4</v>
      </c>
      <c r="F7" s="39">
        <f t="shared" ref="F7:G7" si="2">F4</f>
        <v>1</v>
      </c>
      <c r="G7" s="39">
        <f t="shared" si="2"/>
        <v>4</v>
      </c>
      <c r="H7" s="39">
        <f>H4</f>
        <v>15</v>
      </c>
      <c r="I7" s="39">
        <f>I3</f>
        <v>10</v>
      </c>
      <c r="K7" s="85"/>
      <c r="L7" s="94" t="s">
        <v>108</v>
      </c>
      <c r="M7" s="54">
        <v>10</v>
      </c>
      <c r="N7" s="54" t="s">
        <v>16</v>
      </c>
      <c r="O7" s="54" cm="1">
        <f t="array" ref="O7">_xlfn.IFS(N7="+",ROUNDUP(M7*(1+$Y$7),0),N7="=",M7)</f>
        <v>30</v>
      </c>
      <c r="P7" s="54" t="s">
        <v>16</v>
      </c>
      <c r="Q7" s="54" cm="1">
        <f t="array" ref="Q7">_xlfn.IFS(P7="+",ROUNDUP(O7*(1+$Y$7),0),P7="=",O7)</f>
        <v>90</v>
      </c>
      <c r="R7" s="54" t="s">
        <v>16</v>
      </c>
      <c r="S7" s="54" cm="1">
        <f t="array" ref="S7">_xlfn.IFS(R7="+",ROUNDUP(Q7*(1+$Y$7),0),R7="=",Q7)</f>
        <v>270</v>
      </c>
      <c r="T7" s="54" t="s">
        <v>16</v>
      </c>
      <c r="U7" s="54" cm="1">
        <f t="array" ref="U7">_xlfn.IFS(T7="+",ROUNDUP(S7*(1+$Y$7),0),T7="=",S7)</f>
        <v>810</v>
      </c>
      <c r="V7" s="54" t="s">
        <v>16</v>
      </c>
      <c r="W7" s="54" cm="1">
        <f t="array" ref="W7">_xlfn.IFS(V7="+",ROUNDUP(U7*(1+$Y$7),0),V7="=",U7)</f>
        <v>2430</v>
      </c>
      <c r="Y7" s="20">
        <v>2</v>
      </c>
    </row>
    <row r="8" spans="1:26" x14ac:dyDescent="0.25">
      <c r="A8" s="19" t="str">
        <f t="shared" si="0"/>
        <v>6_Trap_Cano</v>
      </c>
      <c r="B8" s="38">
        <v>6</v>
      </c>
      <c r="C8" s="19" t="s">
        <v>39</v>
      </c>
      <c r="D8" s="19" t="s">
        <v>81</v>
      </c>
      <c r="E8" s="40">
        <f>E5</f>
        <v>3</v>
      </c>
      <c r="F8" s="40">
        <f t="shared" ref="F8:G8" si="3">F5</f>
        <v>0.75</v>
      </c>
      <c r="G8" s="40">
        <f t="shared" si="3"/>
        <v>3.5</v>
      </c>
      <c r="H8" s="40">
        <f>H5</f>
        <v>20</v>
      </c>
      <c r="I8" s="40">
        <f>I3</f>
        <v>10</v>
      </c>
      <c r="K8" s="92" t="s">
        <v>90</v>
      </c>
      <c r="L8" s="92"/>
      <c r="M8" s="54">
        <f>ROUNDDOWN(M3*M9,2)</f>
        <v>3.96</v>
      </c>
      <c r="N8" s="54"/>
      <c r="O8" s="54">
        <f>ROUNDDOWN(O3*O9,2)</f>
        <v>6.47</v>
      </c>
      <c r="P8" s="54"/>
      <c r="Q8" s="54">
        <f>ROUNDDOWN(Q3*Q9,2)</f>
        <v>10.54</v>
      </c>
      <c r="R8" s="54"/>
      <c r="S8" s="54">
        <f>ROUNDDOWN(S3*S9,2)</f>
        <v>17.39</v>
      </c>
      <c r="T8" s="54"/>
      <c r="U8" s="54">
        <f>ROUNDDOWN(U3*U9,2)</f>
        <v>28.6</v>
      </c>
      <c r="V8" s="54"/>
      <c r="W8" s="54">
        <f>ROUNDDOWN(W3*W9,2)</f>
        <v>46.3</v>
      </c>
    </row>
    <row r="9" spans="1:26" x14ac:dyDescent="0.25">
      <c r="A9" s="20" t="str">
        <f t="shared" si="0"/>
        <v>7_Ener_Snip</v>
      </c>
      <c r="B9" s="38">
        <v>7</v>
      </c>
      <c r="C9" s="20" t="s">
        <v>8</v>
      </c>
      <c r="D9" s="20" t="s">
        <v>80</v>
      </c>
      <c r="E9" s="39">
        <f>E3</f>
        <v>6</v>
      </c>
      <c r="F9" s="39">
        <f t="shared" ref="F9:G9" si="4">F3</f>
        <v>1.5</v>
      </c>
      <c r="G9" s="39">
        <f t="shared" si="4"/>
        <v>5</v>
      </c>
      <c r="H9" s="39">
        <f>H3</f>
        <v>10</v>
      </c>
      <c r="I9" s="39">
        <f>I3</f>
        <v>10</v>
      </c>
      <c r="K9" s="93" t="s">
        <v>75</v>
      </c>
      <c r="L9" s="93"/>
      <c r="M9" s="56">
        <f>ROUNDDOWN(1/M4,2)</f>
        <v>0.66</v>
      </c>
      <c r="N9" s="56"/>
      <c r="O9" s="56">
        <f>ROUND(1/O4,2)</f>
        <v>0.83</v>
      </c>
      <c r="P9" s="56"/>
      <c r="Q9" s="56">
        <f>ROUND(1/Q4,2)</f>
        <v>1.04</v>
      </c>
      <c r="R9" s="56"/>
      <c r="S9" s="56">
        <f>ROUND(1/S4,2)</f>
        <v>1.32</v>
      </c>
      <c r="T9" s="56"/>
      <c r="U9" s="56">
        <f>ROUND(1/U4,2)</f>
        <v>1.67</v>
      </c>
      <c r="V9" s="56"/>
      <c r="W9" s="56">
        <f>ROUND(1/W4,2)</f>
        <v>2.08</v>
      </c>
    </row>
    <row r="10" spans="1:26" x14ac:dyDescent="0.25">
      <c r="A10" s="19" t="str">
        <f t="shared" si="0"/>
        <v>8_Ener_Mort</v>
      </c>
      <c r="B10" s="38">
        <v>8</v>
      </c>
      <c r="C10" s="19" t="s">
        <v>8</v>
      </c>
      <c r="D10" s="19" t="s">
        <v>82</v>
      </c>
      <c r="E10" s="40">
        <f>E4</f>
        <v>4</v>
      </c>
      <c r="F10" s="40">
        <f t="shared" ref="F10:G10" si="5">F4</f>
        <v>1</v>
      </c>
      <c r="G10" s="40">
        <f t="shared" si="5"/>
        <v>4</v>
      </c>
      <c r="H10" s="40">
        <f>H4</f>
        <v>15</v>
      </c>
      <c r="I10" s="40">
        <f>I3</f>
        <v>10</v>
      </c>
    </row>
    <row r="11" spans="1:26" x14ac:dyDescent="0.25">
      <c r="A11" s="20" t="str">
        <f t="shared" si="0"/>
        <v>9_Ener_Cano</v>
      </c>
      <c r="B11" s="38">
        <v>9</v>
      </c>
      <c r="C11" s="20" t="s">
        <v>8</v>
      </c>
      <c r="D11" s="20" t="s">
        <v>81</v>
      </c>
      <c r="E11" s="39">
        <f>E5</f>
        <v>3</v>
      </c>
      <c r="F11" s="39">
        <f t="shared" ref="F11:G11" si="6">F5</f>
        <v>0.75</v>
      </c>
      <c r="G11" s="39">
        <f t="shared" si="6"/>
        <v>3.5</v>
      </c>
      <c r="H11" s="39">
        <f>H5</f>
        <v>20</v>
      </c>
      <c r="I11" s="39">
        <f>I3</f>
        <v>10</v>
      </c>
      <c r="K11" s="96" t="s">
        <v>45</v>
      </c>
      <c r="L11" s="96"/>
      <c r="M11" s="96" t="s">
        <v>38</v>
      </c>
      <c r="N11" s="96"/>
      <c r="O11" s="96" t="s">
        <v>85</v>
      </c>
      <c r="P11" s="96"/>
      <c r="Q11" s="96" t="s">
        <v>5</v>
      </c>
      <c r="R11" s="96"/>
      <c r="S11" s="96" t="s">
        <v>18</v>
      </c>
      <c r="T11" s="96"/>
      <c r="U11" s="96" t="s">
        <v>10</v>
      </c>
      <c r="V11" s="96"/>
      <c r="W11" s="96" t="s">
        <v>44</v>
      </c>
      <c r="X11" s="96"/>
      <c r="Y11" s="96" t="s">
        <v>126</v>
      </c>
      <c r="Z11" s="96"/>
    </row>
    <row r="12" spans="1:26" x14ac:dyDescent="0.25">
      <c r="K12" s="86" t="s">
        <v>127</v>
      </c>
      <c r="L12" s="86"/>
      <c r="M12" s="87" t="str">
        <f>VLOOKUP($K$12,TOWER,3)</f>
        <v>Food</v>
      </c>
      <c r="N12" s="87"/>
      <c r="O12" s="87" t="str">
        <f>VLOOKUP($K$12,TOWER,4)</f>
        <v>Snipe</v>
      </c>
      <c r="P12" s="87"/>
      <c r="Q12" s="87">
        <f>VLOOKUP($K$12,TOWER,5)</f>
        <v>6</v>
      </c>
      <c r="R12" s="87"/>
      <c r="S12" s="87">
        <f>VLOOKUP($K$12,TOWER,6)</f>
        <v>1.5</v>
      </c>
      <c r="T12" s="87"/>
      <c r="U12" s="87">
        <f>VLOOKUP($K$12,TOWER,7)</f>
        <v>5</v>
      </c>
      <c r="V12" s="87"/>
      <c r="W12" s="87">
        <f>VLOOKUP($K$12,TOWER,8)</f>
        <v>10</v>
      </c>
      <c r="X12" s="87"/>
      <c r="Y12" s="87">
        <f>VLOOKUP($K$12,TOWER,9)</f>
        <v>10</v>
      </c>
      <c r="Z12" s="87"/>
    </row>
    <row r="13" spans="1:26" x14ac:dyDescent="0.25">
      <c r="C13" s="80" t="s">
        <v>120</v>
      </c>
      <c r="D13" s="80"/>
    </row>
    <row r="14" spans="1:26" x14ac:dyDescent="0.25">
      <c r="C14" s="90" t="s">
        <v>122</v>
      </c>
      <c r="D14" s="90" t="s">
        <v>121</v>
      </c>
    </row>
    <row r="15" spans="1:26" x14ac:dyDescent="0.25">
      <c r="C15" s="90"/>
      <c r="D15" s="90"/>
    </row>
    <row r="16" spans="1:26" x14ac:dyDescent="0.25">
      <c r="C16" s="39">
        <f>E3/F3</f>
        <v>4</v>
      </c>
      <c r="D16" s="39">
        <f>H3*F3</f>
        <v>15</v>
      </c>
    </row>
    <row r="17" spans="3:4" x14ac:dyDescent="0.25">
      <c r="C17" s="40">
        <f>E4/F4</f>
        <v>4</v>
      </c>
      <c r="D17" s="40">
        <f>H4*F4</f>
        <v>15</v>
      </c>
    </row>
    <row r="18" spans="3:4" x14ac:dyDescent="0.25">
      <c r="C18" s="39">
        <f>E5/F5</f>
        <v>4</v>
      </c>
      <c r="D18" s="39">
        <f>H5*F5</f>
        <v>15</v>
      </c>
    </row>
  </sheetData>
  <mergeCells count="23">
    <mergeCell ref="W11:X11"/>
    <mergeCell ref="W12:X12"/>
    <mergeCell ref="Y11:Z11"/>
    <mergeCell ref="Y12:Z12"/>
    <mergeCell ref="K3:K7"/>
    <mergeCell ref="Q11:R11"/>
    <mergeCell ref="Q12:R12"/>
    <mergeCell ref="S11:T11"/>
    <mergeCell ref="S12:T12"/>
    <mergeCell ref="U11:V11"/>
    <mergeCell ref="U12:V12"/>
    <mergeCell ref="M11:N11"/>
    <mergeCell ref="M12:N12"/>
    <mergeCell ref="K11:L11"/>
    <mergeCell ref="K12:L12"/>
    <mergeCell ref="O11:P11"/>
    <mergeCell ref="O12:P12"/>
    <mergeCell ref="C13:D13"/>
    <mergeCell ref="C14:C15"/>
    <mergeCell ref="D14:D15"/>
    <mergeCell ref="K2:L2"/>
    <mergeCell ref="K8:L8"/>
    <mergeCell ref="K9:L9"/>
  </mergeCells>
  <dataValidations count="5">
    <dataValidation type="list" allowBlank="1" showInputMessage="1" showErrorMessage="1" sqref="C3:C11" xr:uid="{A0725771-D6FB-4BCA-A3AB-AFBEDB867F7D}">
      <formula1>CAT_TOWER</formula1>
    </dataValidation>
    <dataValidation type="list" allowBlank="1" showInputMessage="1" showErrorMessage="1" sqref="D3:D11" xr:uid="{D4ACF00F-8B37-485F-B591-1B056AFC903B}">
      <formula1>TYP_TOWER</formula1>
    </dataValidation>
    <dataValidation type="list" allowBlank="1" showInputMessage="1" showErrorMessage="1" sqref="L3:L10" xr:uid="{E6E8CE4E-28A1-4DB8-B138-1D7059EC2372}">
      <formula1>STAT_TOWER</formula1>
    </dataValidation>
    <dataValidation type="list" allowBlank="1" showInputMessage="1" showErrorMessage="1" sqref="R3:R10 P3:P10 N3:N10 T3:T10 V3:V10" xr:uid="{C77BBF24-DFCE-4151-AAA2-8695D03BF95B}">
      <formula1>SIGN</formula1>
    </dataValidation>
    <dataValidation type="list" allowBlank="1" showInputMessage="1" showErrorMessage="1" sqref="K12" xr:uid="{A91C467D-D990-41FA-81A0-203403B29185}">
      <formula1>CODE_TOWER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F8D8D796-901C-4557-8C65-FC421FB83580}">
            <xm:f>NOT(ISERROR(SEARCH("=",N3)))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N3:N7 P3:P7 R3:R7 T3:T7 V3:V7</xm:sqref>
        </x14:conditionalFormatting>
        <x14:conditionalFormatting xmlns:xm="http://schemas.microsoft.com/office/excel/2006/main">
          <x14:cfRule type="containsText" priority="1" operator="containsText" id="{5A627A3F-8B8B-4B82-9DE7-0E87BD6E5ED1}">
            <xm:f>NOT(ISERROR(SEARCH("+",N3)))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N3:N7 P3:P7 R3:R7 T3:T7 V3:V7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C23BD-B808-464E-B86B-8B4FE0CBBEE3}">
  <dimension ref="B2:H10"/>
  <sheetViews>
    <sheetView workbookViewId="0">
      <selection activeCell="L15" sqref="L15"/>
    </sheetView>
  </sheetViews>
  <sheetFormatPr baseColWidth="10" defaultRowHeight="15" x14ac:dyDescent="0.25"/>
  <cols>
    <col min="1" max="16384" width="11.42578125" style="58"/>
  </cols>
  <sheetData>
    <row r="2" spans="2:8" x14ac:dyDescent="0.25">
      <c r="B2" s="59"/>
      <c r="C2" s="8" t="s">
        <v>7</v>
      </c>
      <c r="D2" s="9" t="s">
        <v>8</v>
      </c>
      <c r="E2" s="8" t="s">
        <v>39</v>
      </c>
    </row>
    <row r="3" spans="2:8" x14ac:dyDescent="0.25">
      <c r="B3" s="11" t="s">
        <v>28</v>
      </c>
      <c r="C3" s="1" t="s">
        <v>16</v>
      </c>
      <c r="D3" s="3" t="s">
        <v>17</v>
      </c>
      <c r="E3" s="2" t="s">
        <v>15</v>
      </c>
      <c r="F3" s="58">
        <v>1</v>
      </c>
      <c r="G3" s="12" t="s">
        <v>7</v>
      </c>
      <c r="H3" s="13" t="s">
        <v>28</v>
      </c>
    </row>
    <row r="4" spans="2:8" ht="15.75" customHeight="1" x14ac:dyDescent="0.25">
      <c r="B4" s="10" t="s">
        <v>27</v>
      </c>
      <c r="C4" s="2" t="s">
        <v>15</v>
      </c>
      <c r="D4" s="1" t="s">
        <v>16</v>
      </c>
      <c r="E4" s="3" t="s">
        <v>17</v>
      </c>
      <c r="F4" s="58">
        <v>2</v>
      </c>
      <c r="G4" s="91" t="str">
        <f>HLOOKUP(G3,C2:E5,VLOOKUP(H3,B3:F5,5,FALSE)+1,FALSE)</f>
        <v>+</v>
      </c>
      <c r="H4" s="91"/>
    </row>
    <row r="5" spans="2:8" x14ac:dyDescent="0.25">
      <c r="B5" s="11" t="s">
        <v>26</v>
      </c>
      <c r="C5" s="3" t="s">
        <v>17</v>
      </c>
      <c r="D5" s="2" t="s">
        <v>15</v>
      </c>
      <c r="E5" s="1" t="s">
        <v>16</v>
      </c>
      <c r="F5" s="58">
        <v>3</v>
      </c>
      <c r="G5" s="91"/>
      <c r="H5" s="91"/>
    </row>
    <row r="7" spans="2:8" x14ac:dyDescent="0.25">
      <c r="B7" s="59"/>
      <c r="C7" s="8" t="s">
        <v>26</v>
      </c>
      <c r="D7" s="10" t="s">
        <v>28</v>
      </c>
      <c r="E7" s="8" t="s">
        <v>27</v>
      </c>
    </row>
    <row r="8" spans="2:8" x14ac:dyDescent="0.25">
      <c r="B8" s="11" t="s">
        <v>72</v>
      </c>
      <c r="C8" s="1" t="s">
        <v>15</v>
      </c>
      <c r="D8" s="3" t="s">
        <v>17</v>
      </c>
      <c r="E8" s="2" t="s">
        <v>16</v>
      </c>
      <c r="F8" s="58">
        <v>1</v>
      </c>
      <c r="G8" s="12" t="s">
        <v>26</v>
      </c>
      <c r="H8" s="13" t="s">
        <v>72</v>
      </c>
    </row>
    <row r="9" spans="2:8" x14ac:dyDescent="0.25">
      <c r="B9" s="10" t="s">
        <v>31</v>
      </c>
      <c r="C9" s="2" t="s">
        <v>17</v>
      </c>
      <c r="D9" s="1" t="s">
        <v>16</v>
      </c>
      <c r="E9" s="3" t="s">
        <v>15</v>
      </c>
      <c r="F9" s="58">
        <v>2</v>
      </c>
      <c r="G9" s="91" t="str">
        <f>HLOOKUP(G8,C7:E10,VLOOKUP(H8,B8:F10,5,FALSE)+1,FALSE)</f>
        <v>=</v>
      </c>
      <c r="H9" s="91"/>
    </row>
    <row r="10" spans="2:8" x14ac:dyDescent="0.25">
      <c r="B10" s="11" t="s">
        <v>73</v>
      </c>
      <c r="C10" s="3" t="s">
        <v>16</v>
      </c>
      <c r="D10" s="2" t="s">
        <v>15</v>
      </c>
      <c r="E10" s="1" t="s">
        <v>17</v>
      </c>
      <c r="F10" s="58">
        <v>3</v>
      </c>
      <c r="G10" s="91"/>
      <c r="H10" s="91"/>
    </row>
  </sheetData>
  <mergeCells count="2">
    <mergeCell ref="G4:H5"/>
    <mergeCell ref="G9:H10"/>
  </mergeCells>
  <dataValidations count="4">
    <dataValidation type="list" allowBlank="1" showInputMessage="1" showErrorMessage="1" sqref="G3" xr:uid="{8A2B3C0A-1B84-4160-829F-96DB22A7AAAE}">
      <formula1>$C$2:$E$2</formula1>
    </dataValidation>
    <dataValidation type="list" allowBlank="1" showInputMessage="1" showErrorMessage="1" sqref="H3" xr:uid="{9A1B5EA6-293C-4A39-82B9-2C20CB41C823}">
      <formula1>$B$3:$B$5</formula1>
    </dataValidation>
    <dataValidation type="list" allowBlank="1" showInputMessage="1" showErrorMessage="1" sqref="H8" xr:uid="{DFC6195F-4208-43BC-8E7D-B6843255458E}">
      <formula1>STAT_ENEMY</formula1>
    </dataValidation>
    <dataValidation type="list" allowBlank="1" showInputMessage="1" showErrorMessage="1" sqref="G8" xr:uid="{387609A8-46AC-48C0-A04D-9CD93770998A}">
      <formula1>CAT_ENEMIES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" operator="containsText" id="{333ED5B2-8E94-4095-AB67-D783479ABBC0}">
            <xm:f>NOT(ISERROR(SEARCH("-",C3)))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11" operator="containsText" id="{39D7E2C7-104B-4F20-AB96-D27DEBD827D8}">
            <xm:f>NOT(ISERROR(SEARCH("=",C3)))</xm:f>
            <xm:f>"="</xm:f>
            <x14:dxf>
              <fill>
                <patternFill patternType="solid">
                  <bgColor theme="5" tint="0.39994506668294322"/>
                </patternFill>
              </fill>
            </x14:dxf>
          </x14:cfRule>
          <x14:cfRule type="containsText" priority="12" operator="containsText" id="{4F5504FB-9325-41DC-A146-AD1F39FBB75B}">
            <xm:f>NOT(ISERROR(SEARCH("+",C3)))</xm:f>
            <xm:f>"+"</xm:f>
            <x14:dxf>
              <fill>
                <patternFill>
                  <bgColor rgb="FFFF5050"/>
                </patternFill>
              </fill>
            </x14:dxf>
          </x14:cfRule>
          <xm:sqref>C3:E5</xm:sqref>
        </x14:conditionalFormatting>
        <x14:conditionalFormatting xmlns:xm="http://schemas.microsoft.com/office/excel/2006/main">
          <x14:cfRule type="containsText" priority="7" operator="containsText" id="{3AAEB10C-9F59-4B52-9DFF-C76D01A8702C}">
            <xm:f>NOT(ISERROR(SEARCH("-",C8)))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8" operator="containsText" id="{C73B052F-DEFE-44DF-BD77-690FA36AE609}">
            <xm:f>NOT(ISERROR(SEARCH("=",C8)))</xm:f>
            <xm:f>"="</xm:f>
            <x14:dxf>
              <fill>
                <patternFill patternType="solid">
                  <bgColor theme="5" tint="0.39994506668294322"/>
                </patternFill>
              </fill>
            </x14:dxf>
          </x14:cfRule>
          <x14:cfRule type="containsText" priority="9" operator="containsText" id="{9310B9C8-E2DA-4ECF-80C0-CDA2D967AC04}">
            <xm:f>NOT(ISERROR(SEARCH("+",C8)))</xm:f>
            <xm:f>"+"</xm:f>
            <x14:dxf>
              <fill>
                <patternFill>
                  <bgColor rgb="FFFF5050"/>
                </patternFill>
              </fill>
            </x14:dxf>
          </x14:cfRule>
          <xm:sqref>C8:E10</xm:sqref>
        </x14:conditionalFormatting>
        <x14:conditionalFormatting xmlns:xm="http://schemas.microsoft.com/office/excel/2006/main">
          <x14:cfRule type="containsText" priority="4" operator="containsText" id="{A8DF306A-1928-41D1-A8FA-92C3D23650E5}">
            <xm:f>NOT(ISERROR(SEARCH("-",G9)))</xm:f>
            <xm:f>"-"</xm:f>
            <x14:dxf>
              <fill>
                <patternFill>
                  <bgColor rgb="FFFF5050"/>
                </patternFill>
              </fill>
            </x14:dxf>
          </x14:cfRule>
          <x14:cfRule type="containsText" priority="5" operator="containsText" id="{BC7E5D03-3569-4185-A335-7EE45C9B71EF}">
            <xm:f>NOT(ISERROR(SEARCH("=",G9)))</xm:f>
            <xm:f>"="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6" operator="containsText" id="{E2E10D1A-8315-4EB7-97D5-E6C9BE9B8D85}">
            <xm:f>NOT(ISERROR(SEARCH("+",G9)))</xm:f>
            <xm:f>"+"</xm:f>
            <x14:dxf>
              <fill>
                <patternFill>
                  <bgColor theme="7" tint="0.59996337778862885"/>
                </patternFill>
              </fill>
            </x14:dxf>
          </x14:cfRule>
          <xm:sqref>G9:H10</xm:sqref>
        </x14:conditionalFormatting>
        <x14:conditionalFormatting xmlns:xm="http://schemas.microsoft.com/office/excel/2006/main">
          <x14:cfRule type="containsText" priority="1" operator="containsText" id="{04C43337-6955-4357-AA27-32D4DB50DD97}">
            <xm:f>NOT(ISERROR(SEARCH("-",G4)))</xm:f>
            <xm:f>"-"</xm:f>
            <x14:dxf>
              <fill>
                <patternFill>
                  <bgColor rgb="FFFF5050"/>
                </patternFill>
              </fill>
            </x14:dxf>
          </x14:cfRule>
          <x14:cfRule type="containsText" priority="2" operator="containsText" id="{5C406E0B-9676-421D-9450-1EE1940C737F}">
            <xm:f>NOT(ISERROR(SEARCH("=",G4)))</xm:f>
            <xm:f>"="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3" operator="containsText" id="{4A06BD1F-A2CC-443D-8015-BA857EEF5EDD}">
            <xm:f>NOT(ISERROR(SEARCH("+",G4)))</xm:f>
            <xm:f>"+"</xm:f>
            <x14:dxf>
              <fill>
                <patternFill>
                  <bgColor theme="7" tint="0.59996337778862885"/>
                </patternFill>
              </fill>
            </x14:dxf>
          </x14:cfRule>
          <xm:sqref>G4:H5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7B0DA-040C-4E1A-930F-48D7F5CF8BC3}">
  <dimension ref="B1:J20"/>
  <sheetViews>
    <sheetView workbookViewId="0">
      <selection activeCell="F6" sqref="F6"/>
    </sheetView>
  </sheetViews>
  <sheetFormatPr baseColWidth="10" defaultRowHeight="15" x14ac:dyDescent="0.25"/>
  <cols>
    <col min="1" max="1" width="2.85546875" style="58" customWidth="1"/>
    <col min="2" max="2" width="13.42578125" style="58" bestFit="1" customWidth="1"/>
    <col min="3" max="3" width="2.85546875" style="58" customWidth="1"/>
    <col min="4" max="4" width="10" style="58" customWidth="1"/>
    <col min="5" max="5" width="2.85546875" style="58" customWidth="1"/>
    <col min="6" max="6" width="12.85546875" style="58" customWidth="1"/>
    <col min="7" max="7" width="2.85546875" style="58" customWidth="1"/>
    <col min="8" max="8" width="13.28515625" style="58" bestFit="1" customWidth="1"/>
    <col min="9" max="9" width="2.85546875" style="58" customWidth="1"/>
    <col min="10" max="10" width="11.7109375" style="58" bestFit="1" customWidth="1"/>
    <col min="11" max="11" width="2.85546875" style="58" customWidth="1"/>
    <col min="12" max="16384" width="11.42578125" style="58"/>
  </cols>
  <sheetData>
    <row r="1" spans="2:10" ht="15.75" thickBot="1" x14ac:dyDescent="0.3">
      <c r="B1" s="60" t="s">
        <v>9</v>
      </c>
      <c r="D1" s="61" t="s">
        <v>20</v>
      </c>
      <c r="F1" s="60" t="s">
        <v>115</v>
      </c>
      <c r="H1" s="60" t="s">
        <v>88</v>
      </c>
      <c r="J1" s="60" t="s">
        <v>116</v>
      </c>
    </row>
    <row r="2" spans="2:10" x14ac:dyDescent="0.25">
      <c r="B2" s="62" t="s">
        <v>6</v>
      </c>
      <c r="C2" s="63"/>
      <c r="D2" s="64" t="s">
        <v>16</v>
      </c>
      <c r="E2" s="63"/>
      <c r="F2" s="65" t="s">
        <v>5</v>
      </c>
      <c r="H2" s="66" t="s">
        <v>31</v>
      </c>
      <c r="J2" s="66" t="s">
        <v>73</v>
      </c>
    </row>
    <row r="3" spans="2:10" x14ac:dyDescent="0.25">
      <c r="B3" s="62" t="s">
        <v>7</v>
      </c>
      <c r="C3" s="63"/>
      <c r="D3" s="67" t="s">
        <v>15</v>
      </c>
      <c r="E3" s="63"/>
      <c r="F3" s="62" t="s">
        <v>18</v>
      </c>
      <c r="H3" s="66" t="s">
        <v>73</v>
      </c>
      <c r="J3" s="66" t="s">
        <v>117</v>
      </c>
    </row>
    <row r="4" spans="2:10" ht="15.75" thickBot="1" x14ac:dyDescent="0.3">
      <c r="B4" s="68" t="s">
        <v>8</v>
      </c>
      <c r="C4" s="63"/>
      <c r="D4" s="69" t="s">
        <v>17</v>
      </c>
      <c r="E4" s="63"/>
      <c r="F4" s="62" t="s">
        <v>10</v>
      </c>
      <c r="H4" s="66" t="s">
        <v>102</v>
      </c>
      <c r="J4" s="70" t="s">
        <v>44</v>
      </c>
    </row>
    <row r="5" spans="2:10" ht="15.75" thickBot="1" x14ac:dyDescent="0.3">
      <c r="B5" s="63"/>
      <c r="C5" s="63"/>
      <c r="E5" s="63"/>
      <c r="F5" s="62" t="s">
        <v>44</v>
      </c>
      <c r="H5" s="70" t="s">
        <v>105</v>
      </c>
    </row>
    <row r="6" spans="2:10" ht="15.75" thickBot="1" x14ac:dyDescent="0.3">
      <c r="B6" s="61" t="s">
        <v>87</v>
      </c>
      <c r="C6" s="63"/>
      <c r="D6" s="71"/>
      <c r="E6" s="63"/>
      <c r="F6" s="62" t="s">
        <v>108</v>
      </c>
    </row>
    <row r="7" spans="2:10" ht="15.75" thickBot="1" x14ac:dyDescent="0.3">
      <c r="B7" s="65" t="s">
        <v>14</v>
      </c>
      <c r="C7" s="63"/>
      <c r="D7" s="72"/>
      <c r="E7" s="63"/>
      <c r="H7" s="60" t="s">
        <v>29</v>
      </c>
    </row>
    <row r="8" spans="2:10" ht="15.75" thickBot="1" x14ac:dyDescent="0.3">
      <c r="B8" s="62" t="s">
        <v>0</v>
      </c>
      <c r="F8" s="60" t="s">
        <v>25</v>
      </c>
      <c r="H8" s="66" t="s">
        <v>26</v>
      </c>
    </row>
    <row r="9" spans="2:10" x14ac:dyDescent="0.25">
      <c r="B9" s="62" t="s">
        <v>2</v>
      </c>
      <c r="F9" s="66" t="s">
        <v>7</v>
      </c>
      <c r="H9" s="66" t="s">
        <v>27</v>
      </c>
    </row>
    <row r="10" spans="2:10" ht="15.75" thickBot="1" x14ac:dyDescent="0.3">
      <c r="B10" s="62" t="s">
        <v>1</v>
      </c>
      <c r="F10" s="66" t="s">
        <v>39</v>
      </c>
      <c r="H10" s="70" t="s">
        <v>28</v>
      </c>
    </row>
    <row r="11" spans="2:10" ht="15.75" thickBot="1" x14ac:dyDescent="0.3">
      <c r="B11" s="62" t="s">
        <v>3</v>
      </c>
      <c r="F11" s="70" t="s">
        <v>8</v>
      </c>
    </row>
    <row r="12" spans="2:10" ht="15.75" thickBot="1" x14ac:dyDescent="0.3">
      <c r="B12" s="68" t="s">
        <v>4</v>
      </c>
      <c r="H12" s="60" t="s">
        <v>83</v>
      </c>
    </row>
    <row r="13" spans="2:10" ht="15.75" thickBot="1" x14ac:dyDescent="0.3">
      <c r="F13" s="60" t="s">
        <v>84</v>
      </c>
      <c r="H13" s="66" t="s">
        <v>35</v>
      </c>
    </row>
    <row r="14" spans="2:10" ht="15.75" thickBot="1" x14ac:dyDescent="0.3">
      <c r="B14" s="61" t="s">
        <v>103</v>
      </c>
      <c r="F14" s="73" t="s">
        <v>80</v>
      </c>
      <c r="H14" s="66" t="s">
        <v>34</v>
      </c>
    </row>
    <row r="15" spans="2:10" ht="15.75" thickBot="1" x14ac:dyDescent="0.3">
      <c r="B15" s="65" t="s">
        <v>96</v>
      </c>
      <c r="F15" s="66" t="s">
        <v>82</v>
      </c>
      <c r="H15" s="70" t="s">
        <v>33</v>
      </c>
    </row>
    <row r="16" spans="2:10" ht="15.75" thickBot="1" x14ac:dyDescent="0.3">
      <c r="B16" s="62" t="s">
        <v>97</v>
      </c>
      <c r="F16" s="70" t="s">
        <v>81</v>
      </c>
    </row>
    <row r="17" spans="2:2" x14ac:dyDescent="0.25">
      <c r="B17" s="62" t="s">
        <v>98</v>
      </c>
    </row>
    <row r="18" spans="2:2" x14ac:dyDescent="0.25">
      <c r="B18" s="62" t="s">
        <v>99</v>
      </c>
    </row>
    <row r="19" spans="2:2" x14ac:dyDescent="0.25">
      <c r="B19" s="62" t="s">
        <v>100</v>
      </c>
    </row>
    <row r="20" spans="2:2" ht="15.75" thickBot="1" x14ac:dyDescent="0.3">
      <c r="B20" s="68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1444F490B10C45A279B0383115D26D" ma:contentTypeVersion="2" ma:contentTypeDescription="Crée un document." ma:contentTypeScope="" ma:versionID="91c543cf6706f2108a45fe2b21185738">
  <xsd:schema xmlns:xsd="http://www.w3.org/2001/XMLSchema" xmlns:xs="http://www.w3.org/2001/XMLSchema" xmlns:p="http://schemas.microsoft.com/office/2006/metadata/properties" xmlns:ns3="c3a97ae1-1078-4f52-97c7-e1e75f184270" targetNamespace="http://schemas.microsoft.com/office/2006/metadata/properties" ma:root="true" ma:fieldsID="6cf98f67490a83722a01f9dfd5fe46d6" ns3:_="">
    <xsd:import namespace="c3a97ae1-1078-4f52-97c7-e1e75f1842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a97ae1-1078-4f52-97c7-e1e75f1842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2CAFBC-27A9-4D0E-A532-4CEEC1A7F4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66972C-7532-44BD-9DE5-958311035541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c3a97ae1-1078-4f52-97c7-e1e75f184270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2023A10-1816-44FB-8F7C-8B09E93BD2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a97ae1-1078-4f52-97c7-e1e75f1842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16</vt:i4>
      </vt:variant>
    </vt:vector>
  </HeadingPairs>
  <TitlesOfParts>
    <vt:vector size="22" baseType="lpstr">
      <vt:lpstr>Feuil1</vt:lpstr>
      <vt:lpstr>TowerStatsCalc</vt:lpstr>
      <vt:lpstr>Enemies</vt:lpstr>
      <vt:lpstr>Tower</vt:lpstr>
      <vt:lpstr>Weak</vt:lpstr>
      <vt:lpstr>Data</vt:lpstr>
      <vt:lpstr>CAT_ENEMIES</vt:lpstr>
      <vt:lpstr>CAT_TOWER</vt:lpstr>
      <vt:lpstr>CODE_ENEMIES</vt:lpstr>
      <vt:lpstr>CODE_TOWER</vt:lpstr>
      <vt:lpstr>ENEMY</vt:lpstr>
      <vt:lpstr>LEVEL_ENEMY</vt:lpstr>
      <vt:lpstr>SIGN</vt:lpstr>
      <vt:lpstr>STAT_ENEMY</vt:lpstr>
      <vt:lpstr>STAT_TOWER</vt:lpstr>
      <vt:lpstr>STAT_TRAIN</vt:lpstr>
      <vt:lpstr>TOWER</vt:lpstr>
      <vt:lpstr>TYP_ENEMIES</vt:lpstr>
      <vt:lpstr>TYP_TOWER</vt:lpstr>
      <vt:lpstr>UPGRADE</vt:lpstr>
      <vt:lpstr>WEAK_ENEMY</vt:lpstr>
      <vt:lpstr>WEAK_TOWER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DIJOUX</dc:creator>
  <cp:lastModifiedBy>Kevin DIJOUX</cp:lastModifiedBy>
  <dcterms:created xsi:type="dcterms:W3CDTF">2022-11-21T13:56:53Z</dcterms:created>
  <dcterms:modified xsi:type="dcterms:W3CDTF">2022-11-28T09:39:30Z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0x010100841444F490B10C45A279B0383115D26D</vt:lpwstr>
  </property>
</Properties>
</file>