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 DIJOUX\Documents\Unity\Workshop_TowerDefense\STD_Workshop\Documents\GameDesign\"/>
    </mc:Choice>
  </mc:AlternateContent>
  <xr:revisionPtr revIDLastSave="0" documentId="13_ncr:1_{354E58EA-8334-4259-9C22-D8986E8D1229}" xr6:coauthVersionLast="47" xr6:coauthVersionMax="47" xr10:uidLastSave="{00000000-0000-0000-0000-000000000000}"/>
  <bookViews>
    <workbookView xWindow="-120" yWindow="-120" windowWidth="29040" windowHeight="15720" activeTab="1" xr2:uid="{EE4EEEAB-A39E-4793-9971-E358DB8AAF6E}"/>
  </bookViews>
  <sheets>
    <sheet name="TowerStatsCalc" sheetId="1" r:id="rId1"/>
    <sheet name="Train" sheetId="9" r:id="rId2"/>
    <sheet name="Factory" sheetId="8" r:id="rId3"/>
    <sheet name="Enemies" sheetId="3" r:id="rId4"/>
    <sheet name="Tower" sheetId="4" r:id="rId5"/>
    <sheet name="TowerUpdate" sheetId="7" r:id="rId6"/>
    <sheet name="Weak" sheetId="5" r:id="rId7"/>
    <sheet name="Data" sheetId="2" r:id="rId8"/>
  </sheets>
  <definedNames>
    <definedName name="CAT_ENEMIES">Data!$H$9:$H$11</definedName>
    <definedName name="CAT_TOWER">Data!$F$10:$F$12</definedName>
    <definedName name="CODE_ENEMIES">Enemies!$A$3:$A$11</definedName>
    <definedName name="CODE_FACTORY">Factory!$A$3:$A$5</definedName>
    <definedName name="CODE_TOWER">Tower!$A$3:$A$11</definedName>
    <definedName name="CODE_TRAIN">Train!$A$3:$A$5</definedName>
    <definedName name="CODE_UPGRADE">TowerUpdate!$A$3:$A$11</definedName>
    <definedName name="ENEMY">Enemies!$A$3:$H$11</definedName>
    <definedName name="FACTORY">Factory!$A$3:$F$5</definedName>
    <definedName name="LEVEL_ENEMY">Data!$B$16:$B$21</definedName>
    <definedName name="SIGN">Data!$D$3:$D$6</definedName>
    <definedName name="STAT_ENEMY">Data!$H$3:$H$6</definedName>
    <definedName name="STAT_FACTORY">Data!$L$3:$L$5</definedName>
    <definedName name="STAT_TOWER">Data!$F$3:$F$7</definedName>
    <definedName name="STAT_TRAIN">Data!$J$3:$J$5</definedName>
    <definedName name="STATS_TYPTOWER">Data!$B$24:$B$26</definedName>
    <definedName name="TOWER">Tower!$A$3:$I$11</definedName>
    <definedName name="TOWER_LVL2">Tower!$M$3:$Q$9</definedName>
    <definedName name="TOWER_UPGRADE">TowerUpdate!$A$3:$I$11</definedName>
    <definedName name="TRAIN">Train!$A$3:$F$5</definedName>
    <definedName name="TYP_ENEMIES">Data!$H$14:$H$16</definedName>
    <definedName name="TYP_TOWER">Data!$F$15:$F$17</definedName>
    <definedName name="TYPE_TOWERELEMENT">Weak!$B$14:$B$22</definedName>
    <definedName name="UPGRADE">Data!$B$8:$B$10</definedName>
    <definedName name="UPGRADE_CLASSE">Data!$B$29:$B$320:'Data'!$B$32</definedName>
    <definedName name="UPGRADE_LVL">Weak!$B$14:$F$22</definedName>
    <definedName name="UPGRADE_STAT">Weak!$C$13:$E$22</definedName>
    <definedName name="WEAK_ENEMY">Weak!$B$3:$F$5</definedName>
    <definedName name="WEAK_TOWER">Weak!$C$2:$E$5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" i="9" l="1"/>
  <c r="O5" i="9" a="1"/>
  <c r="O5" i="9" s="1"/>
  <c r="K3" i="9" a="1"/>
  <c r="K3" i="9" s="1"/>
  <c r="M3" i="9" s="1" a="1"/>
  <c r="M3" i="9" s="1"/>
  <c r="O3" i="9" s="1" a="1"/>
  <c r="O3" i="9" s="1"/>
  <c r="K5" i="9" a="1"/>
  <c r="K5" i="9"/>
  <c r="M5" i="9" s="1" a="1"/>
  <c r="M5" i="9" s="1"/>
  <c r="I5" i="9"/>
  <c r="M4" i="9" a="1"/>
  <c r="M4" i="9" s="1"/>
  <c r="O4" i="9" s="1" a="1"/>
  <c r="O4" i="9" s="1"/>
  <c r="C10" i="9"/>
  <c r="E4" i="9"/>
  <c r="E5" i="9"/>
  <c r="A4" i="9"/>
  <c r="A5" i="9"/>
  <c r="A3" i="9"/>
  <c r="O9" i="9" s="1"/>
  <c r="O6" i="9" a="1"/>
  <c r="O6" i="9" s="1"/>
  <c r="M6" i="9" a="1"/>
  <c r="M6" i="9" s="1"/>
  <c r="K6" i="9" a="1"/>
  <c r="K6" i="9" s="1"/>
  <c r="F5" i="9"/>
  <c r="D5" i="9"/>
  <c r="I4" i="9"/>
  <c r="K4" i="9" s="1" a="1"/>
  <c r="K4" i="9" s="1"/>
  <c r="F4" i="9"/>
  <c r="D4" i="9"/>
  <c r="I3" i="9"/>
  <c r="O6" i="8" a="1"/>
  <c r="O6" i="8" s="1"/>
  <c r="M6" i="8" a="1"/>
  <c r="M6" i="8" s="1"/>
  <c r="K6" i="8" a="1"/>
  <c r="K6" i="8" s="1"/>
  <c r="O4" i="8" a="1"/>
  <c r="O4" i="8" s="1"/>
  <c r="M4" i="8" a="1"/>
  <c r="M4" i="8" s="1"/>
  <c r="K4" i="8" a="1"/>
  <c r="K4" i="8"/>
  <c r="O4" i="3" a="1"/>
  <c r="O4" i="3" s="1"/>
  <c r="S4" i="3" a="1"/>
  <c r="S4" i="3" s="1"/>
  <c r="U4" i="3" a="1"/>
  <c r="U4" i="3" s="1"/>
  <c r="Q4" i="3" a="1"/>
  <c r="Q4" i="3" s="1"/>
  <c r="M4" i="3" a="1"/>
  <c r="M4" i="3"/>
  <c r="O3" i="3" a="1"/>
  <c r="O3" i="3" s="1"/>
  <c r="O9" i="8"/>
  <c r="M9" i="8"/>
  <c r="K9" i="8"/>
  <c r="I9" i="8"/>
  <c r="I5" i="8"/>
  <c r="I4" i="8"/>
  <c r="I3" i="8"/>
  <c r="M3" i="8" s="1" a="1"/>
  <c r="M3" i="8" s="1"/>
  <c r="D10" i="8"/>
  <c r="C10" i="8"/>
  <c r="E4" i="8"/>
  <c r="F4" i="8"/>
  <c r="E5" i="8"/>
  <c r="F5" i="8"/>
  <c r="D5" i="8"/>
  <c r="D4" i="8"/>
  <c r="A4" i="8"/>
  <c r="A5" i="8"/>
  <c r="A3" i="8"/>
  <c r="O17" i="1"/>
  <c r="O14" i="1"/>
  <c r="Q10" i="1" s="1" a="1"/>
  <c r="Q10" i="1" s="1"/>
  <c r="S10" i="1" s="1" a="1"/>
  <c r="S10" i="1" s="1"/>
  <c r="U10" i="1" s="1" a="1"/>
  <c r="U10" i="1" s="1"/>
  <c r="M16" i="5"/>
  <c r="D24" i="5"/>
  <c r="D29" i="5" s="1"/>
  <c r="E24" i="5"/>
  <c r="D25" i="5"/>
  <c r="E25" i="5"/>
  <c r="D26" i="5"/>
  <c r="E26" i="5"/>
  <c r="D27" i="5"/>
  <c r="E27" i="5"/>
  <c r="C27" i="5"/>
  <c r="C26" i="5"/>
  <c r="C25" i="5"/>
  <c r="C24" i="5"/>
  <c r="C29" i="5" s="1"/>
  <c r="M12" i="5"/>
  <c r="L12" i="5"/>
  <c r="K12" i="5"/>
  <c r="J12" i="5"/>
  <c r="J15" i="5"/>
  <c r="K15" i="5"/>
  <c r="L15" i="5"/>
  <c r="M15" i="5"/>
  <c r="J16" i="5"/>
  <c r="K16" i="5"/>
  <c r="L16" i="5"/>
  <c r="J17" i="5"/>
  <c r="K17" i="5"/>
  <c r="L17" i="5"/>
  <c r="M17" i="5"/>
  <c r="J18" i="5"/>
  <c r="K18" i="5"/>
  <c r="L18" i="5"/>
  <c r="M18" i="5"/>
  <c r="J19" i="5"/>
  <c r="K19" i="5"/>
  <c r="L19" i="5"/>
  <c r="M19" i="5"/>
  <c r="J20" i="5"/>
  <c r="O20" i="5" s="1"/>
  <c r="K20" i="5"/>
  <c r="L20" i="5"/>
  <c r="M20" i="5"/>
  <c r="J21" i="5"/>
  <c r="K21" i="5"/>
  <c r="L21" i="5"/>
  <c r="M21" i="5"/>
  <c r="J22" i="5"/>
  <c r="K22" i="5"/>
  <c r="L22" i="5"/>
  <c r="M22" i="5"/>
  <c r="O22" i="5" s="1"/>
  <c r="M14" i="5"/>
  <c r="L14" i="5"/>
  <c r="J14" i="5"/>
  <c r="O14" i="5" s="1"/>
  <c r="K14" i="5"/>
  <c r="G15" i="5"/>
  <c r="G28" i="1"/>
  <c r="I14" i="7"/>
  <c r="H14" i="7"/>
  <c r="G14" i="7"/>
  <c r="A4" i="7"/>
  <c r="A5" i="7"/>
  <c r="A8" i="7"/>
  <c r="A7" i="7"/>
  <c r="A9" i="7"/>
  <c r="A10" i="7"/>
  <c r="A11" i="7"/>
  <c r="A6" i="7"/>
  <c r="A3" i="7"/>
  <c r="E6" i="1" a="1"/>
  <c r="E6" i="1" s="1"/>
  <c r="G6" i="1" s="1" a="1"/>
  <c r="G6" i="1" s="1"/>
  <c r="K29" i="1" s="1" a="1"/>
  <c r="K29" i="1" s="1"/>
  <c r="O7" i="4" a="1"/>
  <c r="O7" i="4" s="1"/>
  <c r="Q7" i="4" s="1" a="1"/>
  <c r="Q7" i="4" s="1"/>
  <c r="S7" i="4" s="1" a="1"/>
  <c r="S7" i="4" s="1"/>
  <c r="U7" i="4" s="1" a="1"/>
  <c r="U7" i="4" s="1"/>
  <c r="W7" i="4" s="1" a="1"/>
  <c r="W7" i="4" s="1"/>
  <c r="U9" i="3"/>
  <c r="K6" i="3" s="1"/>
  <c r="M6" i="3" s="1" a="1"/>
  <c r="M6" i="3" s="1"/>
  <c r="S9" i="3"/>
  <c r="K5" i="3" s="1"/>
  <c r="M5" i="3" s="1" a="1"/>
  <c r="M5" i="3" s="1"/>
  <c r="Q9" i="3"/>
  <c r="K4" i="3" s="1"/>
  <c r="O9" i="3"/>
  <c r="K3" i="3" s="1"/>
  <c r="M9" i="3"/>
  <c r="K9" i="3"/>
  <c r="D17" i="3"/>
  <c r="D18" i="3"/>
  <c r="D16" i="3"/>
  <c r="C17" i="3"/>
  <c r="C18" i="3"/>
  <c r="C16" i="3"/>
  <c r="C17" i="4"/>
  <c r="C18" i="4"/>
  <c r="C16" i="4"/>
  <c r="D17" i="4"/>
  <c r="D18" i="4"/>
  <c r="D16" i="4"/>
  <c r="H6" i="4"/>
  <c r="H7" i="4"/>
  <c r="H8" i="4"/>
  <c r="H9" i="4"/>
  <c r="H10" i="4"/>
  <c r="H11" i="4"/>
  <c r="I4" i="4"/>
  <c r="I5" i="4"/>
  <c r="I6" i="4"/>
  <c r="I7" i="4"/>
  <c r="I8" i="4"/>
  <c r="I9" i="4"/>
  <c r="I10" i="4"/>
  <c r="I11" i="4"/>
  <c r="M19" i="1" s="1"/>
  <c r="F6" i="4"/>
  <c r="G6" i="4"/>
  <c r="F7" i="4"/>
  <c r="G7" i="4"/>
  <c r="F8" i="4"/>
  <c r="G8" i="4"/>
  <c r="F9" i="4"/>
  <c r="G9" i="4"/>
  <c r="F10" i="4"/>
  <c r="G10" i="4"/>
  <c r="F11" i="4"/>
  <c r="G11" i="4"/>
  <c r="E10" i="4"/>
  <c r="E9" i="4"/>
  <c r="E11" i="4"/>
  <c r="E8" i="4"/>
  <c r="E7" i="4"/>
  <c r="E6" i="4"/>
  <c r="F6" i="3"/>
  <c r="F9" i="3" s="1"/>
  <c r="G6" i="3"/>
  <c r="G9" i="3" s="1"/>
  <c r="H6" i="3"/>
  <c r="H9" i="3" s="1"/>
  <c r="F7" i="3"/>
  <c r="F10" i="3" s="1"/>
  <c r="G7" i="3"/>
  <c r="G10" i="3" s="1"/>
  <c r="H7" i="3"/>
  <c r="H10" i="3" s="1"/>
  <c r="F8" i="3"/>
  <c r="F11" i="3" s="1"/>
  <c r="G8" i="3"/>
  <c r="G11" i="3" s="1"/>
  <c r="H8" i="3"/>
  <c r="H11" i="3" s="1"/>
  <c r="E8" i="3"/>
  <c r="E11" i="3" s="1"/>
  <c r="E7" i="3"/>
  <c r="E10" i="3" s="1"/>
  <c r="E6" i="3"/>
  <c r="E9" i="3" s="1"/>
  <c r="B27" i="1"/>
  <c r="A4" i="4"/>
  <c r="A5" i="4"/>
  <c r="A6" i="4"/>
  <c r="A7" i="4"/>
  <c r="A8" i="4"/>
  <c r="A9" i="4"/>
  <c r="A10" i="4"/>
  <c r="A11" i="4"/>
  <c r="A3" i="4"/>
  <c r="G9" i="5"/>
  <c r="G4" i="5"/>
  <c r="A4" i="3"/>
  <c r="A5" i="3"/>
  <c r="A6" i="3"/>
  <c r="A7" i="3"/>
  <c r="A8" i="3"/>
  <c r="A9" i="3"/>
  <c r="A10" i="3"/>
  <c r="A11" i="3"/>
  <c r="A3" i="3"/>
  <c r="I9" i="9" l="1"/>
  <c r="M9" i="9"/>
  <c r="O3" i="8" a="1"/>
  <c r="O3" i="8" s="1"/>
  <c r="O17" i="5"/>
  <c r="Q12" i="4"/>
  <c r="M3" i="4" s="1"/>
  <c r="O3" i="4" s="1" a="1"/>
  <c r="O3" i="4" s="1"/>
  <c r="Q3" i="4" s="1" a="1"/>
  <c r="Q3" i="4" s="1"/>
  <c r="S3" i="4" s="1" a="1"/>
  <c r="S3" i="4" s="1"/>
  <c r="U3" i="4" s="1" a="1"/>
  <c r="U3" i="4" s="1"/>
  <c r="W3" i="4" s="1" a="1"/>
  <c r="W3" i="4" s="1"/>
  <c r="E29" i="5"/>
  <c r="C30" i="5" s="1"/>
  <c r="O19" i="5"/>
  <c r="O16" i="5"/>
  <c r="O15" i="5"/>
  <c r="O18" i="5"/>
  <c r="O21" i="5"/>
  <c r="Y12" i="4"/>
  <c r="W12" i="4"/>
  <c r="M6" i="4" s="1"/>
  <c r="O6" i="4" s="1" a="1"/>
  <c r="O6" i="4" s="1"/>
  <c r="Q6" i="4" s="1" a="1"/>
  <c r="Q6" i="4" s="1"/>
  <c r="S6" i="4" s="1" a="1"/>
  <c r="S6" i="4" s="1"/>
  <c r="U6" i="4" s="1" a="1"/>
  <c r="U6" i="4" s="1"/>
  <c r="W6" i="4" s="1" a="1"/>
  <c r="W6" i="4" s="1"/>
  <c r="U12" i="4"/>
  <c r="M5" i="4" s="1"/>
  <c r="O5" i="4" s="1" a="1"/>
  <c r="O5" i="4" s="1"/>
  <c r="Q5" i="4" s="1" a="1"/>
  <c r="Q5" i="4" s="1"/>
  <c r="S5" i="4" s="1" a="1"/>
  <c r="S5" i="4" s="1"/>
  <c r="U5" i="4" s="1" a="1"/>
  <c r="U5" i="4" s="1"/>
  <c r="W5" i="4" s="1" a="1"/>
  <c r="W5" i="4" s="1"/>
  <c r="S12" i="4"/>
  <c r="M4" i="4" s="1"/>
  <c r="O12" i="4"/>
  <c r="M12" i="4"/>
  <c r="Q5" i="3" a="1"/>
  <c r="Q5" i="3" s="1"/>
  <c r="O5" i="3" a="1"/>
  <c r="O5" i="3" s="1"/>
  <c r="U5" i="3" a="1"/>
  <c r="U5" i="3" s="1"/>
  <c r="S5" i="3" a="1"/>
  <c r="S5" i="3" s="1"/>
  <c r="O6" i="3" a="1"/>
  <c r="O6" i="3" s="1"/>
  <c r="U6" i="3" a="1"/>
  <c r="U6" i="3" s="1"/>
  <c r="Q6" i="3" a="1"/>
  <c r="Q6" i="3" s="1"/>
  <c r="S6" i="3" a="1"/>
  <c r="S6" i="3" s="1"/>
  <c r="M17" i="1"/>
  <c r="G17" i="1"/>
  <c r="C11" i="1" s="1"/>
  <c r="E11" i="1" s="1" a="1"/>
  <c r="E11" i="1" s="1"/>
  <c r="G11" i="1" s="1" a="1"/>
  <c r="G11" i="1" s="1"/>
  <c r="I11" i="1" s="1" a="1"/>
  <c r="I11" i="1" s="1"/>
  <c r="K11" i="1" s="1" a="1"/>
  <c r="K11" i="1" s="1"/>
  <c r="M11" i="1" s="1" a="1"/>
  <c r="M11" i="1" s="1"/>
  <c r="C17" i="1"/>
  <c r="E17" i="1"/>
  <c r="I17" i="1"/>
  <c r="C12" i="1" s="1"/>
  <c r="E12" i="1" s="1" a="1"/>
  <c r="E12" i="1" s="1"/>
  <c r="G12" i="1" s="1" a="1"/>
  <c r="G12" i="1" s="1"/>
  <c r="I12" i="1" s="1" a="1"/>
  <c r="I12" i="1" s="1"/>
  <c r="K12" i="1" s="1" a="1"/>
  <c r="K12" i="1" s="1"/>
  <c r="M12" i="1" s="1" a="1"/>
  <c r="M12" i="1" s="1"/>
  <c r="K17" i="1"/>
  <c r="C13" i="1" s="1"/>
  <c r="E13" i="1" s="1" a="1"/>
  <c r="E13" i="1" s="1"/>
  <c r="G13" i="1" s="1" a="1"/>
  <c r="G13" i="1" s="1"/>
  <c r="I13" i="1" s="1" a="1"/>
  <c r="I13" i="1" s="1"/>
  <c r="K13" i="1" s="1" a="1"/>
  <c r="K13" i="1" s="1"/>
  <c r="M13" i="1" s="1" a="1"/>
  <c r="M13" i="1" s="1"/>
  <c r="C19" i="1"/>
  <c r="I19" i="1"/>
  <c r="C3" i="1" s="1"/>
  <c r="K19" i="1"/>
  <c r="C4" i="1" s="1"/>
  <c r="E4" i="1" s="1" a="1"/>
  <c r="E4" i="1" s="1"/>
  <c r="E19" i="1"/>
  <c r="G19" i="1"/>
  <c r="C5" i="1"/>
  <c r="G22" i="1" l="1"/>
  <c r="E23" i="1"/>
  <c r="P14" i="5"/>
  <c r="E5" i="1" a="1"/>
  <c r="E5" i="1" s="1"/>
  <c r="G5" i="1" s="1" a="1"/>
  <c r="G5" i="1" s="1"/>
  <c r="K25" i="1" s="1" a="1"/>
  <c r="K25" i="1" s="1"/>
  <c r="C2" i="1"/>
  <c r="E2" i="1" s="1" a="1"/>
  <c r="E2" i="1" s="1"/>
  <c r="G2" i="1" s="1" a="1"/>
  <c r="G2" i="1" s="1"/>
  <c r="O4" i="4" a="1"/>
  <c r="O4" i="4" s="1"/>
  <c r="Q4" i="4" s="1" a="1"/>
  <c r="Q4" i="4" s="1"/>
  <c r="S4" i="4" s="1" a="1"/>
  <c r="S4" i="4" s="1"/>
  <c r="U4" i="4" s="1" a="1"/>
  <c r="U4" i="4" s="1"/>
  <c r="W4" i="4" s="1" a="1"/>
  <c r="W4" i="4" s="1"/>
  <c r="M9" i="4"/>
  <c r="M8" i="4" s="1"/>
  <c r="C8" i="1"/>
  <c r="E3" i="1" a="1"/>
  <c r="E3" i="1" s="1"/>
  <c r="G4" i="1" a="1"/>
  <c r="G4" i="1" s="1"/>
  <c r="C14" i="1"/>
  <c r="E14" i="1" s="1" a="1"/>
  <c r="E14" i="1" s="1"/>
  <c r="G14" i="1" s="1" a="1"/>
  <c r="G14" i="1" s="1"/>
  <c r="I14" i="1" s="1" a="1"/>
  <c r="I14" i="1" s="1"/>
  <c r="K14" i="1" s="1" a="1"/>
  <c r="K14" i="1" s="1"/>
  <c r="M23" i="1" a="1"/>
  <c r="M23" i="1" s="1"/>
  <c r="E22" i="1"/>
  <c r="C7" i="1" l="1"/>
  <c r="M14" i="1" a="1"/>
  <c r="M14" i="1" s="1"/>
  <c r="M25" i="1" s="1" a="1"/>
  <c r="M25" i="1" s="1"/>
  <c r="H28" i="1" s="1"/>
  <c r="O9" i="4"/>
  <c r="O8" i="4" s="1"/>
  <c r="G3" i="1" a="1"/>
  <c r="G3" i="1" s="1"/>
  <c r="K27" i="1" s="1" a="1"/>
  <c r="K27" i="1" s="1"/>
  <c r="E8" i="1"/>
  <c r="E7" i="1" s="1"/>
  <c r="Q9" i="4"/>
  <c r="Q8" i="4" s="1"/>
  <c r="I23" i="1" a="1"/>
  <c r="I23" i="1" s="1"/>
  <c r="G8" i="1" l="1"/>
  <c r="G7" i="1" s="1"/>
  <c r="K23" i="1" s="1" a="1"/>
  <c r="K23" i="1" s="1"/>
  <c r="S9" i="4"/>
  <c r="S8" i="4" s="1"/>
  <c r="U9" i="4" l="1"/>
  <c r="U8" i="4" s="1"/>
  <c r="W9" i="4" l="1"/>
  <c r="W8" i="4" s="1"/>
  <c r="G26" i="1" l="1"/>
  <c r="B22" i="1" l="1"/>
  <c r="C27" i="1" s="1"/>
  <c r="E27" i="1" l="1"/>
  <c r="C28" i="1" s="1"/>
  <c r="U3" i="3" a="1"/>
  <c r="U3" i="3" s="1"/>
  <c r="S3" i="3" a="1"/>
  <c r="S3" i="3" s="1"/>
  <c r="M3" i="3" a="1"/>
  <c r="M3" i="3" s="1"/>
  <c r="Q3" i="3" a="1"/>
  <c r="Q3" i="3" s="1"/>
  <c r="K3" i="8"/>
  <c r="K3" i="8" a="1"/>
  <c r="M5" i="8"/>
  <c r="M5" i="8" a="1"/>
  <c r="K5" i="8"/>
  <c r="O5" i="8"/>
  <c r="K5" i="8" a="1"/>
  <c r="O5" i="8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<sst xmlns="http://schemas.openxmlformats.org/spreadsheetml/2006/main" count="555" uniqueCount="162">
  <si>
    <t>Upgrade 1</t>
  </si>
  <si>
    <t>Upgrade 3</t>
  </si>
  <si>
    <t>Upgrade 2</t>
  </si>
  <si>
    <t>Upgrade 4</t>
  </si>
  <si>
    <t>Upgrade 5</t>
  </si>
  <si>
    <t>Attack</t>
  </si>
  <si>
    <t>Trap</t>
  </si>
  <si>
    <t>Food</t>
  </si>
  <si>
    <t>Energy</t>
  </si>
  <si>
    <t>Type of tower</t>
  </si>
  <si>
    <t>Reach</t>
  </si>
  <si>
    <t>Upgrade 0</t>
  </si>
  <si>
    <t>=</t>
  </si>
  <si>
    <t>+</t>
  </si>
  <si>
    <t>-</t>
  </si>
  <si>
    <t>Firerate</t>
  </si>
  <si>
    <t>arrondi &gt;</t>
  </si>
  <si>
    <t>Sign</t>
  </si>
  <si>
    <t>CODE</t>
  </si>
  <si>
    <t>#</t>
  </si>
  <si>
    <t>CATEGORY</t>
  </si>
  <si>
    <t>Range</t>
  </si>
  <si>
    <t>CAT_TOWER</t>
  </si>
  <si>
    <t>Insect</t>
  </si>
  <si>
    <t>Ghost</t>
  </si>
  <si>
    <t>Vegetable</t>
  </si>
  <si>
    <t>CAT_ENEMIES</t>
  </si>
  <si>
    <t>SPEED</t>
  </si>
  <si>
    <t>HP</t>
  </si>
  <si>
    <t>FUNCTION</t>
  </si>
  <si>
    <t>Saboteur</t>
  </si>
  <si>
    <t>Intangible</t>
  </si>
  <si>
    <t>Normal</t>
  </si>
  <si>
    <t>Enemy ref</t>
  </si>
  <si>
    <t>Enemy HP</t>
  </si>
  <si>
    <t>Category</t>
  </si>
  <si>
    <t>Traps</t>
  </si>
  <si>
    <t>Weak / Resist</t>
  </si>
  <si>
    <t>Weak Mult</t>
  </si>
  <si>
    <t>Value</t>
  </si>
  <si>
    <t>Max Container</t>
  </si>
  <si>
    <t>Contain</t>
  </si>
  <si>
    <t>Tower</t>
  </si>
  <si>
    <t>DPS</t>
  </si>
  <si>
    <t>Resistance</t>
  </si>
  <si>
    <t>Speed</t>
  </si>
  <si>
    <t>Tower Stat</t>
  </si>
  <si>
    <t>Projectil per seconds</t>
  </si>
  <si>
    <t>arrondi #,##</t>
  </si>
  <si>
    <t>List</t>
  </si>
  <si>
    <t>Valeur Ref</t>
  </si>
  <si>
    <t>TYPE</t>
  </si>
  <si>
    <t>Snipe</t>
  </si>
  <si>
    <t>Canon</t>
  </si>
  <si>
    <t>Mortar</t>
  </si>
  <si>
    <t>TYP_ENEMIES</t>
  </si>
  <si>
    <t>TYP_TOWER</t>
  </si>
  <si>
    <t>Type</t>
  </si>
  <si>
    <t>Stats</t>
  </si>
  <si>
    <t>UPGRADE</t>
  </si>
  <si>
    <t>STAT_ENEMY</t>
  </si>
  <si>
    <t>Proj Damage</t>
  </si>
  <si>
    <t>bonus Damage per seconds</t>
  </si>
  <si>
    <t>Total Damage per seconds</t>
  </si>
  <si>
    <t>DAMAGE</t>
  </si>
  <si>
    <t>Enemy Speed</t>
  </si>
  <si>
    <t>Enemy Damage</t>
  </si>
  <si>
    <t>Multiplicateur Tower</t>
  </si>
  <si>
    <t>LVL 0</t>
  </si>
  <si>
    <t>LVL 1</t>
  </si>
  <si>
    <t>LVL 2</t>
  </si>
  <si>
    <t>LVL 3</t>
  </si>
  <si>
    <t>LVL 4</t>
  </si>
  <si>
    <t>LVL 5</t>
  </si>
  <si>
    <t>Damage</t>
  </si>
  <si>
    <t>LEVEL_ENEMY</t>
  </si>
  <si>
    <t>Number Of Hit</t>
  </si>
  <si>
    <t>Money Drop</t>
  </si>
  <si>
    <t>Multiplicateur Enemy</t>
  </si>
  <si>
    <t>S</t>
  </si>
  <si>
    <t>UpgradeCost</t>
  </si>
  <si>
    <t>Full to Empty</t>
  </si>
  <si>
    <t>Upgarde Cost</t>
  </si>
  <si>
    <t>$ Drop</t>
  </si>
  <si>
    <t>Up cost</t>
  </si>
  <si>
    <t>Nb mob to up</t>
  </si>
  <si>
    <t>STAT_TOWER</t>
  </si>
  <si>
    <t>STAT_TRAIN</t>
  </si>
  <si>
    <t>Wagon</t>
  </si>
  <si>
    <t>MONEY</t>
  </si>
  <si>
    <t>BALANCING</t>
  </si>
  <si>
    <t>Firerate / Contain</t>
  </si>
  <si>
    <t>Atk / firerate</t>
  </si>
  <si>
    <t>Speed / HP</t>
  </si>
  <si>
    <t>1_Inse_Norm</t>
  </si>
  <si>
    <t>HP / Damage</t>
  </si>
  <si>
    <t>Upgrade Cost</t>
  </si>
  <si>
    <t>Code</t>
  </si>
  <si>
    <t>Projectile Name</t>
  </si>
  <si>
    <t>Upgrade</t>
  </si>
  <si>
    <t>Upgrade name</t>
  </si>
  <si>
    <t>Base Effect</t>
  </si>
  <si>
    <t>Statistics</t>
  </si>
  <si>
    <t>Description</t>
  </si>
  <si>
    <t>Effect</t>
  </si>
  <si>
    <t>Targets #</t>
  </si>
  <si>
    <t>Double Canon</t>
  </si>
  <si>
    <t>AOE</t>
  </si>
  <si>
    <t>Sniper</t>
  </si>
  <si>
    <t>Chewing gum</t>
  </si>
  <si>
    <t>Apply medium damage to enemy</t>
  </si>
  <si>
    <t>2a</t>
  </si>
  <si>
    <t>Liquid gum</t>
  </si>
  <si>
    <t>Create a small Zone where enemies are slow down</t>
  </si>
  <si>
    <t>++</t>
  </si>
  <si>
    <t>2b</t>
  </si>
  <si>
    <t>Split Gum</t>
  </si>
  <si>
    <t>The chewing gum split in the air to aim 2 enemies at once, tehy are slow down.</t>
  </si>
  <si>
    <t>Star</t>
  </si>
  <si>
    <t>Bouncing star</t>
  </si>
  <si>
    <t>The star bounce from one enemy to another / The star apply a choke effect</t>
  </si>
  <si>
    <t>Light speed star</t>
  </si>
  <si>
    <t>The star pass through enemies / The star apply a choke effect</t>
  </si>
  <si>
    <t>Pizza</t>
  </si>
  <si>
    <t>Exploding Pizza</t>
  </si>
  <si>
    <t>The pizza explode at the impact</t>
  </si>
  <si>
    <t>Pizaa chilli pepper</t>
  </si>
  <si>
    <t>Apply burning effect to an enemies</t>
  </si>
  <si>
    <t>Target</t>
  </si>
  <si>
    <t>2_Tra_2a</t>
  </si>
  <si>
    <t>Up lvl 0 to 2</t>
  </si>
  <si>
    <t>Traps 1</t>
  </si>
  <si>
    <t>Traps 2a</t>
  </si>
  <si>
    <t>Traps 2b</t>
  </si>
  <si>
    <t>Energy 1</t>
  </si>
  <si>
    <t>Energy 2a</t>
  </si>
  <si>
    <t>Energy 2b</t>
  </si>
  <si>
    <t>Pizza 1</t>
  </si>
  <si>
    <t>Pizza 2a</t>
  </si>
  <si>
    <t>Pizza 2b</t>
  </si>
  <si>
    <t>STATS_TYPTOWER</t>
  </si>
  <si>
    <t>Moyenne</t>
  </si>
  <si>
    <t>UPGRADE_CLASSE</t>
  </si>
  <si>
    <t>1_Pizz_Snip</t>
  </si>
  <si>
    <t>TOWER</t>
  </si>
  <si>
    <t>5_Ghos_Inta</t>
  </si>
  <si>
    <t>2_Pizz_Mort</t>
  </si>
  <si>
    <t>Tower name</t>
  </si>
  <si>
    <t>Bubblegum</t>
  </si>
  <si>
    <t>Stars</t>
  </si>
  <si>
    <t>STORAGE</t>
  </si>
  <si>
    <t>SECONDS</t>
  </si>
  <si>
    <t>Production / seconds</t>
  </si>
  <si>
    <t>UNLOAD</t>
  </si>
  <si>
    <t>Unload full to empty</t>
  </si>
  <si>
    <t>²</t>
  </si>
  <si>
    <t>Storage</t>
  </si>
  <si>
    <t>Seconds</t>
  </si>
  <si>
    <t>Unload</t>
  </si>
  <si>
    <t>Multiplicateur Factory</t>
  </si>
  <si>
    <t>1_Piz</t>
  </si>
  <si>
    <t>1_Car_Piz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</si>
</sst>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2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D1B2E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4" fillId="0" borderId="5" applyNumberFormat="0" applyFill="0" applyAlignment="0" applyProtection="0"/>
  </cellStyleXfs>
  <cellXfs count="137">
    <xf numFmtId="0" fontId="0" fillId="0" borderId="0" xfId="0"/>
    <xf numFmtId="0" fontId="0" fillId="2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4" fillId="10" borderId="0" xfId="2" applyFill="1" applyBorder="1" applyAlignment="1">
      <alignment horizontal="center"/>
    </xf>
    <xf numFmtId="0" fontId="4" fillId="7" borderId="0" xfId="2" applyFill="1" applyBorder="1" applyAlignment="1">
      <alignment horizontal="center"/>
    </xf>
    <xf numFmtId="0" fontId="4" fillId="7" borderId="0" xfId="2" applyFont="1" applyFill="1" applyBorder="1" applyAlignment="1">
      <alignment horizontal="center"/>
    </xf>
    <xf numFmtId="0" fontId="4" fillId="10" borderId="0" xfId="2" applyFont="1" applyFill="1" applyBorder="1" applyAlignment="1">
      <alignment horizontal="center"/>
    </xf>
    <xf numFmtId="0" fontId="0" fillId="10" borderId="0" xfId="0" applyFill="1"/>
    <xf numFmtId="0" fontId="0" fillId="7" borderId="0" xfId="0" applyFill="1"/>
    <xf numFmtId="0" fontId="0" fillId="9" borderId="0" xfId="0" applyFill="1" applyBorder="1" applyAlignment="1">
      <alignment vertical="center"/>
    </xf>
    <xf numFmtId="0" fontId="0" fillId="11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9" fontId="0" fillId="12" borderId="0" xfId="1" applyFont="1" applyFill="1" applyBorder="1" applyAlignment="1">
      <alignment horizontal="center" vertical="center"/>
    </xf>
    <xf numFmtId="9" fontId="0" fillId="11" borderId="0" xfId="1" applyFont="1" applyFill="1" applyBorder="1" applyAlignment="1">
      <alignment horizontal="center" vertical="center"/>
    </xf>
    <xf numFmtId="0" fontId="0" fillId="14" borderId="0" xfId="0" applyFill="1" applyAlignment="1">
      <alignment vertical="center" wrapText="1"/>
    </xf>
    <xf numFmtId="0" fontId="0" fillId="14" borderId="0" xfId="0" applyFill="1" applyAlignment="1">
      <alignment vertical="center"/>
    </xf>
    <xf numFmtId="0" fontId="0" fillId="14" borderId="0" xfId="0" applyFill="1" applyBorder="1" applyAlignment="1">
      <alignment horizontal="center" vertical="center"/>
    </xf>
    <xf numFmtId="0" fontId="0" fillId="14" borderId="0" xfId="1" applyNumberFormat="1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vertical="center"/>
    </xf>
    <xf numFmtId="0" fontId="0" fillId="15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/>
    </xf>
    <xf numFmtId="0" fontId="0" fillId="11" borderId="0" xfId="1" applyNumberFormat="1" applyFont="1" applyFill="1" applyBorder="1" applyAlignment="1">
      <alignment horizontal="center" vertical="center"/>
    </xf>
    <xf numFmtId="0" fontId="0" fillId="12" borderId="0" xfId="1" applyNumberFormat="1" applyFont="1" applyFill="1" applyBorder="1" applyAlignment="1">
      <alignment horizontal="center" vertical="center"/>
    </xf>
    <xf numFmtId="0" fontId="0" fillId="16" borderId="0" xfId="0" applyFill="1" applyBorder="1" applyAlignment="1">
      <alignment horizontal="center" vertical="center" wrapText="1"/>
    </xf>
    <xf numFmtId="0" fontId="0" fillId="9" borderId="0" xfId="1" applyNumberFormat="1" applyFont="1" applyFill="1" applyBorder="1" applyAlignment="1">
      <alignment horizontal="center" vertical="center"/>
    </xf>
    <xf numFmtId="0" fontId="0" fillId="14" borderId="0" xfId="0" quotePrefix="1" applyFill="1" applyAlignment="1">
      <alignment horizontal="center" vertical="center"/>
    </xf>
    <xf numFmtId="0" fontId="0" fillId="14" borderId="0" xfId="0" quotePrefix="1" applyFill="1" applyAlignment="1">
      <alignment vertical="center"/>
    </xf>
    <xf numFmtId="0" fontId="0" fillId="11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14" borderId="0" xfId="0" applyFill="1"/>
    <xf numFmtId="0" fontId="0" fillId="14" borderId="0" xfId="0" applyFill="1" applyBorder="1"/>
    <xf numFmtId="0" fontId="4" fillId="14" borderId="1" xfId="2" applyFill="1" applyBorder="1" applyAlignment="1">
      <alignment horizontal="center"/>
    </xf>
    <xf numFmtId="0" fontId="4" fillId="14" borderId="2" xfId="2" applyFill="1" applyBorder="1" applyAlignment="1">
      <alignment horizontal="center"/>
    </xf>
    <xf numFmtId="0" fontId="0" fillId="14" borderId="3" xfId="0" applyFill="1" applyBorder="1" applyAlignment="1">
      <alignment horizontal="left"/>
    </xf>
    <xf numFmtId="0" fontId="0" fillId="14" borderId="0" xfId="0" applyFill="1" applyAlignment="1">
      <alignment horizontal="left"/>
    </xf>
    <xf numFmtId="0" fontId="0" fillId="14" borderId="2" xfId="0" applyFill="1" applyBorder="1" applyAlignment="1">
      <alignment horizontal="left"/>
    </xf>
    <xf numFmtId="0" fontId="0" fillId="14" borderId="3" xfId="0" applyFill="1" applyBorder="1"/>
    <xf numFmtId="0" fontId="0" fillId="14" borderId="3" xfId="0" applyFill="1" applyBorder="1" applyAlignment="1">
      <alignment horizontal="center"/>
    </xf>
    <xf numFmtId="0" fontId="0" fillId="14" borderId="4" xfId="0" applyFill="1" applyBorder="1" applyAlignment="1">
      <alignment horizontal="left"/>
    </xf>
    <xf numFmtId="0" fontId="0" fillId="14" borderId="4" xfId="0" applyFill="1" applyBorder="1" applyAlignment="1">
      <alignment horizontal="center"/>
    </xf>
    <xf numFmtId="0" fontId="0" fillId="14" borderId="4" xfId="0" applyFill="1" applyBorder="1"/>
    <xf numFmtId="0" fontId="0" fillId="14" borderId="0" xfId="0" applyFill="1" applyBorder="1" applyAlignment="1">
      <alignment horizontal="left"/>
    </xf>
    <xf numFmtId="0" fontId="0" fillId="14" borderId="2" xfId="0" applyFill="1" applyBorder="1"/>
    <xf numFmtId="0" fontId="5" fillId="14" borderId="0" xfId="0" applyFont="1" applyFill="1"/>
    <xf numFmtId="0" fontId="0" fillId="14" borderId="0" xfId="0" applyFill="1" applyBorder="1" applyAlignment="1">
      <alignment horizontal="center"/>
    </xf>
    <xf numFmtId="0" fontId="6" fillId="14" borderId="0" xfId="2" applyFont="1" applyFill="1" applyBorder="1" applyAlignment="1">
      <alignment horizontal="center"/>
    </xf>
    <xf numFmtId="0" fontId="0" fillId="14" borderId="0" xfId="0" applyFont="1" applyFill="1" applyBorder="1"/>
    <xf numFmtId="0" fontId="0" fillId="4" borderId="0" xfId="0" applyFill="1" applyBorder="1" applyAlignment="1">
      <alignment horizontal="center" vertical="center" shrinkToFit="1"/>
    </xf>
    <xf numFmtId="0" fontId="0" fillId="1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5" borderId="0" xfId="0" applyFill="1" applyBorder="1" applyAlignment="1">
      <alignment horizontal="center" vertical="center" shrinkToFit="1"/>
    </xf>
    <xf numFmtId="0" fontId="0" fillId="3" borderId="0" xfId="0" applyFill="1" applyBorder="1" applyAlignment="1">
      <alignment horizontal="center" vertical="center" shrinkToFit="1"/>
    </xf>
    <xf numFmtId="0" fontId="0" fillId="11" borderId="0" xfId="0" applyNumberFormat="1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15" borderId="0" xfId="0" applyFill="1" applyBorder="1" applyAlignment="1">
      <alignment horizontal="center" vertical="center" shrinkToFit="1"/>
    </xf>
    <xf numFmtId="0" fontId="0" fillId="3" borderId="0" xfId="0" applyFill="1" applyBorder="1" applyAlignment="1">
      <alignment horizontal="center" vertical="center" shrinkToFit="1"/>
    </xf>
    <xf numFmtId="0" fontId="0" fillId="14" borderId="0" xfId="0" applyFill="1" applyAlignment="1">
      <alignment horizontal="center"/>
    </xf>
    <xf numFmtId="0" fontId="0" fillId="11" borderId="0" xfId="0" applyFill="1" applyBorder="1" applyAlignment="1">
      <alignment vertical="center"/>
    </xf>
    <xf numFmtId="0" fontId="0" fillId="7" borderId="0" xfId="0" applyFill="1" applyBorder="1" applyAlignment="1">
      <alignment vertical="center"/>
    </xf>
    <xf numFmtId="9" fontId="0" fillId="11" borderId="0" xfId="1" applyFont="1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8" fillId="12" borderId="0" xfId="1" applyNumberFormat="1" applyFont="1" applyFill="1" applyBorder="1" applyAlignment="1">
      <alignment horizontal="center" vertical="center"/>
    </xf>
    <xf numFmtId="0" fontId="8" fillId="11" borderId="0" xfId="1" applyNumberFormat="1" applyFont="1" applyFill="1" applyBorder="1" applyAlignment="1">
      <alignment horizontal="center" vertical="center"/>
    </xf>
    <xf numFmtId="0" fontId="0" fillId="12" borderId="0" xfId="1" applyNumberFormat="1" applyFont="1" applyFill="1" applyBorder="1" applyAlignment="1">
      <alignment horizontal="center" vertical="center" wrapText="1"/>
    </xf>
    <xf numFmtId="0" fontId="0" fillId="11" borderId="0" xfId="1" applyNumberFormat="1" applyFont="1" applyFill="1" applyBorder="1" applyAlignment="1">
      <alignment horizontal="center" vertical="center" wrapText="1"/>
    </xf>
    <xf numFmtId="0" fontId="0" fillId="16" borderId="0" xfId="0" applyFill="1" applyBorder="1" applyAlignment="1">
      <alignment horizontal="center" vertical="center" wrapText="1"/>
    </xf>
    <xf numFmtId="9" fontId="0" fillId="12" borderId="0" xfId="1" applyFont="1" applyFill="1" applyBorder="1" applyAlignment="1">
      <alignment horizontal="center" vertical="center"/>
    </xf>
    <xf numFmtId="0" fontId="4" fillId="10" borderId="0" xfId="2" applyFont="1" applyFill="1" applyBorder="1" applyAlignment="1">
      <alignment horizontal="right"/>
    </xf>
    <xf numFmtId="0" fontId="4" fillId="7" borderId="0" xfId="2" applyFont="1" applyFill="1" applyBorder="1" applyAlignment="1">
      <alignment horizontal="right"/>
    </xf>
    <xf numFmtId="0" fontId="0" fillId="5" borderId="0" xfId="0" quotePrefix="1" applyFill="1" applyBorder="1" applyAlignment="1">
      <alignment horizontal="center"/>
    </xf>
    <xf numFmtId="0" fontId="0" fillId="14" borderId="2" xfId="0" quotePrefix="1" applyFill="1" applyBorder="1" applyAlignment="1">
      <alignment horizontal="center"/>
    </xf>
    <xf numFmtId="0" fontId="8" fillId="11" borderId="0" xfId="1" quotePrefix="1" applyNumberFormat="1" applyFont="1" applyFill="1" applyBorder="1" applyAlignment="1">
      <alignment horizontal="center" vertical="center"/>
    </xf>
    <xf numFmtId="0" fontId="8" fillId="12" borderId="0" xfId="1" quotePrefix="1" applyNumberFormat="1" applyFont="1" applyFill="1" applyBorder="1" applyAlignment="1">
      <alignment horizontal="center" vertical="center"/>
    </xf>
    <xf numFmtId="0" fontId="11" fillId="14" borderId="0" xfId="0" applyFont="1" applyFill="1" applyAlignment="1">
      <alignment vertical="center"/>
    </xf>
    <xf numFmtId="0" fontId="4" fillId="4" borderId="0" xfId="0" applyFont="1" applyFill="1" applyBorder="1" applyAlignment="1">
      <alignment horizontal="center" vertical="center"/>
    </xf>
    <xf numFmtId="0" fontId="4" fillId="15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10" fillId="12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16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9" fontId="0" fillId="11" borderId="0" xfId="1" applyFont="1" applyFill="1" applyBorder="1" applyAlignment="1">
      <alignment horizontal="center" vertical="center"/>
    </xf>
    <xf numFmtId="0" fontId="0" fillId="16" borderId="0" xfId="0" applyFill="1" applyBorder="1" applyAlignment="1">
      <alignment horizontal="center" vertical="center" wrapText="1"/>
    </xf>
    <xf numFmtId="9" fontId="0" fillId="12" borderId="0" xfId="1" applyFont="1" applyFill="1" applyBorder="1" applyAlignment="1">
      <alignment horizontal="center" vertical="center"/>
    </xf>
    <xf numFmtId="0" fontId="4" fillId="15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4" fillId="17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0" xfId="1" applyNumberFormat="1" applyFont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0" fillId="15" borderId="0" xfId="0" applyFill="1" applyBorder="1" applyAlignment="1">
      <alignment horizontal="center" vertical="center" shrinkToFit="1"/>
    </xf>
    <xf numFmtId="0" fontId="0" fillId="3" borderId="0" xfId="0" applyFill="1" applyBorder="1" applyAlignment="1">
      <alignment horizontal="center" vertical="center" shrinkToFit="1"/>
    </xf>
    <xf numFmtId="0" fontId="0" fillId="8" borderId="0" xfId="0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/>
    </xf>
    <xf numFmtId="0" fontId="4" fillId="7" borderId="0" xfId="2" applyFont="1" applyFill="1" applyBorder="1" applyAlignment="1">
      <alignment horizontal="center" vertical="center"/>
    </xf>
    <xf numFmtId="0" fontId="4" fillId="10" borderId="0" xfId="2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left" vertical="center"/>
    </xf>
    <xf numFmtId="0" fontId="0" fillId="11" borderId="0" xfId="1" applyNumberFormat="1" applyFont="1" applyFill="1" applyBorder="1" applyAlignment="1">
      <alignment horizontal="center" vertical="center"/>
    </xf>
  </cellXfs>
  <cellStyles count="3">
    <cellStyle name="Normal" xfId="0" builtinId="0"/>
    <cellStyle name="Pourcentage" xfId="1" builtinId="5"/>
    <cellStyle name="Titre 3" xfId="2" builtinId="18"/>
  </cellStyles>
  <dxfs count="91">
    <dxf>
      <fill>
        <patternFill>
          <bgColor rgb="FFFF5050"/>
        </patternFill>
      </fill>
    </dxf>
    <dxf>
      <fill>
        <patternFill patternType="solid"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5050"/>
        </patternFill>
      </fill>
    </dxf>
    <dxf>
      <fill>
        <patternFill patternType="solid"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FF000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FF5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 patternType="solid"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FF5050"/>
        </patternFill>
      </fill>
    </dxf>
    <dxf>
      <fill>
        <patternFill patternType="solid"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FF9999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rgb="FFFF5050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FFCC99"/>
      <color rgb="FFFF9999"/>
      <color rgb="FFFF3B3B"/>
      <color rgb="FFD1B2E8"/>
      <color rgb="FFFF66FF"/>
      <color rgb="FF66FF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A4FAA-0409-4E65-B5DA-46DD5A6F91E2}">
  <dimension ref="A1:W44"/>
  <sheetViews>
    <sheetView workbookViewId="0">
      <selection activeCell="R17" sqref="R17"/>
    </sheetView>
  </sheetViews>
  <sheetFormatPr baseColWidth="10" defaultRowHeight="15" x14ac:dyDescent="0.25"/>
  <cols>
    <col min="1" max="1" width="11.42578125" style="16"/>
    <col min="2" max="2" width="25.28515625" style="17" bestFit="1" customWidth="1"/>
    <col min="3" max="3" width="11.42578125" style="17" customWidth="1"/>
    <col min="4" max="4" width="5.7109375" style="17" customWidth="1"/>
    <col min="5" max="5" width="11.42578125" style="17"/>
    <col min="6" max="6" width="5.7109375" style="17" customWidth="1"/>
    <col min="7" max="7" width="11.42578125" style="17"/>
    <col min="8" max="8" width="5.7109375" style="17" customWidth="1"/>
    <col min="9" max="9" width="11.42578125" style="17"/>
    <col min="10" max="10" width="5.7109375" style="17" customWidth="1"/>
    <col min="11" max="11" width="11.42578125" style="17"/>
    <col min="12" max="12" width="5.7109375" style="17" customWidth="1"/>
    <col min="13" max="13" width="11.42578125" style="17"/>
    <col min="14" max="14" width="5.7109375" style="17" customWidth="1"/>
    <col min="15" max="15" width="11.42578125" style="17" customWidth="1"/>
    <col min="16" max="16" width="5.7109375" style="17" customWidth="1"/>
    <col min="17" max="17" width="11.42578125" style="20" customWidth="1"/>
    <col min="18" max="18" width="5.7109375" style="17" customWidth="1"/>
    <col min="19" max="19" width="11.42578125" style="20" customWidth="1"/>
    <col min="20" max="20" width="5.7109375" style="17" customWidth="1"/>
    <col min="21" max="21" width="11.42578125" style="17"/>
    <col min="22" max="22" width="5.7109375" style="17" customWidth="1"/>
    <col min="23" max="16384" width="11.42578125" style="17"/>
  </cols>
  <sheetData>
    <row r="1" spans="1:23" ht="30" customHeight="1" x14ac:dyDescent="0.25">
      <c r="A1" s="113" t="s">
        <v>58</v>
      </c>
      <c r="B1" s="113"/>
      <c r="C1" s="98" t="s">
        <v>11</v>
      </c>
      <c r="D1" s="13"/>
      <c r="E1" s="98" t="s">
        <v>0</v>
      </c>
      <c r="F1" s="13"/>
      <c r="G1" s="98" t="s">
        <v>2</v>
      </c>
      <c r="I1" s="110" t="s">
        <v>67</v>
      </c>
      <c r="J1" s="110"/>
      <c r="K1" s="107" t="s">
        <v>38</v>
      </c>
      <c r="L1" s="107"/>
      <c r="M1" s="110" t="s">
        <v>78</v>
      </c>
      <c r="N1" s="110"/>
      <c r="O1" s="107" t="s">
        <v>61</v>
      </c>
      <c r="P1" s="107"/>
      <c r="S1" s="107" t="s">
        <v>50</v>
      </c>
      <c r="T1" s="107"/>
      <c r="U1" s="20"/>
      <c r="V1" s="20"/>
      <c r="W1" s="20"/>
    </row>
    <row r="2" spans="1:23" ht="15.75" customHeight="1" x14ac:dyDescent="0.25">
      <c r="A2" s="119" t="s">
        <v>46</v>
      </c>
      <c r="B2" s="99" t="s">
        <v>5</v>
      </c>
      <c r="C2" s="11">
        <f>$G$19</f>
        <v>4</v>
      </c>
      <c r="D2" s="11" t="s">
        <v>13</v>
      </c>
      <c r="E2" s="11" cm="1">
        <f t="array" ref="E2">_xlfn.IFS(D2="+",ROUNDDOWN(C2*(1+$I$2),2),D2="=",C2)</f>
        <v>5.2</v>
      </c>
      <c r="F2" s="34" t="s">
        <v>13</v>
      </c>
      <c r="G2" s="24" cm="1">
        <f t="array" ref="G2">_xlfn.IFS(F2="+",ROUNDDOWN(E2*(1+$I$2),2),F2="=",E2)</f>
        <v>6.76</v>
      </c>
      <c r="I2" s="109">
        <v>0.3</v>
      </c>
      <c r="J2" s="109"/>
      <c r="K2" s="109">
        <v>0.2</v>
      </c>
      <c r="L2" s="109"/>
      <c r="M2" s="109">
        <v>0.5</v>
      </c>
      <c r="N2" s="109"/>
      <c r="O2" s="108">
        <v>2</v>
      </c>
      <c r="P2" s="108"/>
      <c r="S2" s="105" t="s">
        <v>49</v>
      </c>
      <c r="T2" s="105"/>
      <c r="U2" s="20"/>
      <c r="V2" s="20"/>
      <c r="W2" s="20"/>
    </row>
    <row r="3" spans="1:23" x14ac:dyDescent="0.25">
      <c r="A3" s="119"/>
      <c r="B3" s="100" t="s">
        <v>15</v>
      </c>
      <c r="C3" s="12">
        <f>$I$19</f>
        <v>1</v>
      </c>
      <c r="D3" s="12" t="s">
        <v>13</v>
      </c>
      <c r="E3" s="25" cm="1">
        <f t="array" ref="E3">_xlfn.IFS(D3="+",ROUNDDOWN(C3*(1-$I$3),2),D3="=",C3)</f>
        <v>0.9</v>
      </c>
      <c r="F3" s="35" t="s">
        <v>13</v>
      </c>
      <c r="G3" s="25" cm="1">
        <f t="array" ref="G3">_xlfn.IFS(F3="+",ROUNDDOWN(E3*(1-$I$3),2),F3="=",E3)</f>
        <v>0.81</v>
      </c>
      <c r="I3" s="111">
        <v>0.1</v>
      </c>
      <c r="J3" s="111"/>
      <c r="M3" s="111">
        <v>0.3</v>
      </c>
      <c r="N3" s="111"/>
      <c r="S3" s="105"/>
      <c r="T3" s="105"/>
      <c r="U3" s="20"/>
      <c r="V3" s="20"/>
      <c r="W3" s="20"/>
    </row>
    <row r="4" spans="1:23" x14ac:dyDescent="0.25">
      <c r="A4" s="119"/>
      <c r="B4" s="99" t="s">
        <v>10</v>
      </c>
      <c r="C4" s="34">
        <f>$K$19</f>
        <v>4</v>
      </c>
      <c r="D4" s="34" t="s">
        <v>13</v>
      </c>
      <c r="E4" s="34" cm="1">
        <f t="array" ref="E4">_xlfn.IFS(D4="+",ROUNDDOWN(C4*(1+$I$4),2),D4="=",C4)</f>
        <v>4.4000000000000004</v>
      </c>
      <c r="F4" s="34" t="s">
        <v>13</v>
      </c>
      <c r="G4" s="34" cm="1">
        <f t="array" ref="G4">_xlfn.IFS(F4="+",ROUNDDOWN(E4*(1+$I$4),2),F4="=",E4)</f>
        <v>4.84</v>
      </c>
      <c r="I4" s="109">
        <v>0.1</v>
      </c>
      <c r="J4" s="109"/>
      <c r="M4" s="109">
        <v>0.2</v>
      </c>
      <c r="N4" s="109"/>
      <c r="T4" s="20"/>
      <c r="U4" s="20"/>
      <c r="V4" s="20"/>
      <c r="W4" s="20"/>
    </row>
    <row r="5" spans="1:23" x14ac:dyDescent="0.25">
      <c r="A5" s="119"/>
      <c r="B5" s="100" t="s">
        <v>41</v>
      </c>
      <c r="C5" s="35">
        <f>$M$19</f>
        <v>20</v>
      </c>
      <c r="D5" s="35" t="s">
        <v>13</v>
      </c>
      <c r="E5" s="35" cm="1">
        <f t="array" ref="E5">_xlfn.IFS(D5="+",ROUNDDOWN(C5*(1+$I$5),0),D5="=",C5)</f>
        <v>24</v>
      </c>
      <c r="F5" s="35" t="s">
        <v>13</v>
      </c>
      <c r="G5" s="35" cm="1">
        <f t="array" ref="G5">_xlfn.IFS(F5="+",ROUNDDOWN(E5*(1+$I$5),0),F5="=",E5)</f>
        <v>28</v>
      </c>
      <c r="I5" s="111">
        <v>0.2</v>
      </c>
      <c r="J5" s="111"/>
      <c r="M5" s="111">
        <v>0.5</v>
      </c>
      <c r="N5" s="111"/>
      <c r="T5" s="20"/>
      <c r="U5" s="20"/>
      <c r="V5" s="20"/>
      <c r="W5" s="20"/>
    </row>
    <row r="6" spans="1:23" x14ac:dyDescent="0.25">
      <c r="A6" s="119"/>
      <c r="B6" s="99" t="s">
        <v>80</v>
      </c>
      <c r="C6" s="34">
        <v>10</v>
      </c>
      <c r="D6" s="34" t="s">
        <v>13</v>
      </c>
      <c r="E6" s="34" cm="1">
        <f t="array" ref="E6">_xlfn.IFS(D6="+",ROUNDUP(C6*(1+$I$6),0),D6="=",C6)</f>
        <v>35</v>
      </c>
      <c r="F6" s="34" t="s">
        <v>13</v>
      </c>
      <c r="G6" s="34" cm="1">
        <f t="array" ref="G6">_xlfn.IFS(F6="+",ROUNDUP(E6*(1+$I$6),0),F6="=",E6)</f>
        <v>123</v>
      </c>
      <c r="I6" s="109">
        <v>2.5</v>
      </c>
      <c r="J6" s="109"/>
      <c r="T6" s="20"/>
      <c r="U6" s="20"/>
      <c r="V6" s="20"/>
      <c r="W6" s="20"/>
    </row>
    <row r="7" spans="1:23" x14ac:dyDescent="0.25">
      <c r="A7" s="113" t="s">
        <v>62</v>
      </c>
      <c r="B7" s="113"/>
      <c r="C7" s="64">
        <f>ROUNDDOWN(C2*C8,2)</f>
        <v>4</v>
      </c>
      <c r="D7" s="64"/>
      <c r="E7" s="64">
        <f>ROUNDDOWN(E2*E8,2)</f>
        <v>5.77</v>
      </c>
      <c r="F7" s="64"/>
      <c r="G7" s="64">
        <f>ROUNDDOWN(G2*G8,2)</f>
        <v>8.31</v>
      </c>
      <c r="N7" s="18"/>
      <c r="T7" s="20"/>
      <c r="U7" s="20"/>
      <c r="V7" s="20"/>
      <c r="W7" s="20"/>
    </row>
    <row r="8" spans="1:23" x14ac:dyDescent="0.25">
      <c r="A8" s="112" t="s">
        <v>47</v>
      </c>
      <c r="B8" s="112"/>
      <c r="C8" s="68">
        <f>1/C3</f>
        <v>1</v>
      </c>
      <c r="D8" s="68"/>
      <c r="E8" s="68">
        <f>ROUND(1/E3,2)</f>
        <v>1.1100000000000001</v>
      </c>
      <c r="F8" s="68"/>
      <c r="G8" s="68">
        <f>ROUND(1/G3,2)</f>
        <v>1.23</v>
      </c>
      <c r="N8" s="18"/>
      <c r="T8" s="20"/>
      <c r="U8" s="20"/>
      <c r="V8" s="20"/>
      <c r="W8" s="20"/>
    </row>
    <row r="9" spans="1:23" x14ac:dyDescent="0.25">
      <c r="A9" s="20"/>
      <c r="O9" s="104" t="s">
        <v>99</v>
      </c>
      <c r="P9" s="104"/>
      <c r="Q9" s="104" t="s">
        <v>74</v>
      </c>
      <c r="R9" s="104"/>
      <c r="S9" s="104" t="s">
        <v>104</v>
      </c>
      <c r="T9" s="104"/>
      <c r="U9" s="104" t="s">
        <v>105</v>
      </c>
      <c r="V9" s="104"/>
      <c r="W9" s="20"/>
    </row>
    <row r="10" spans="1:23" ht="15" customHeight="1" x14ac:dyDescent="0.25">
      <c r="C10" s="98" t="s">
        <v>68</v>
      </c>
      <c r="D10" s="13"/>
      <c r="E10" s="98" t="s">
        <v>69</v>
      </c>
      <c r="F10" s="13"/>
      <c r="G10" s="98" t="s">
        <v>70</v>
      </c>
      <c r="H10" s="13"/>
      <c r="I10" s="98" t="s">
        <v>71</v>
      </c>
      <c r="J10" s="13"/>
      <c r="K10" s="98" t="s">
        <v>72</v>
      </c>
      <c r="L10" s="13"/>
      <c r="M10" s="98" t="s">
        <v>73</v>
      </c>
      <c r="O10" s="105">
        <v>1</v>
      </c>
      <c r="P10" s="105"/>
      <c r="Q10" s="106" t="str" cm="1">
        <f t="array" ref="Q10">_xlfn.IFS(O10=0, "=", O10&lt;&gt;0,HLOOKUP(Q9,UPGRADE_STAT,VLOOKUP(O14,UPGRADE_LVL,5,FALSE)+1,FALSE))</f>
        <v>+</v>
      </c>
      <c r="R10" s="106"/>
      <c r="S10" s="106" t="str" cm="1">
        <f t="array" ref="S10">_xlfn.IFS(O10=0, "=", Q10&lt;&gt;0,HLOOKUP(S9,UPGRADE_STAT,VLOOKUP(O14,UPGRADE_LVL,5,FALSE)+1,FALSE))</f>
        <v>=</v>
      </c>
      <c r="T10" s="106"/>
      <c r="U10" s="106" t="str" cm="1">
        <f t="array" ref="U10">_xlfn.IFS(O10=0, "=", S10&lt;&gt;0,HLOOKUP(U9,UPGRADE_STAT,VLOOKUP(O14,UPGRADE_LVL,5,FALSE)+1,FALSE))</f>
        <v>=</v>
      </c>
      <c r="V10" s="106"/>
      <c r="W10" s="20"/>
    </row>
    <row r="11" spans="1:23" ht="15" customHeight="1" x14ac:dyDescent="0.25">
      <c r="A11" s="112" t="s">
        <v>28</v>
      </c>
      <c r="B11" s="112"/>
      <c r="C11" s="28">
        <f>G17</f>
        <v>6</v>
      </c>
      <c r="D11" s="24" t="s">
        <v>13</v>
      </c>
      <c r="E11" s="28" cm="1">
        <f t="array" ref="E11">_xlfn.IFS(D11="+",ROUNDDOWN(C11*(1+$M$2),2),D11="=",C11)</f>
        <v>9</v>
      </c>
      <c r="F11" s="24" t="s">
        <v>13</v>
      </c>
      <c r="G11" s="28" cm="1">
        <f t="array" ref="G11">_xlfn.IFS(F11="+",ROUNDDOWN(E11*(1+$M$2),2),F11="=",E11)</f>
        <v>13.5</v>
      </c>
      <c r="H11" s="24" t="s">
        <v>13</v>
      </c>
      <c r="I11" s="28" cm="1">
        <f t="array" ref="I11">_xlfn.IFS(H11="+",ROUNDDOWN(G11*(1+$M$2),2),H11="=",G11)</f>
        <v>20.25</v>
      </c>
      <c r="J11" s="24" t="s">
        <v>13</v>
      </c>
      <c r="K11" s="28" cm="1">
        <f t="array" ref="K11">_xlfn.IFS(J11="+",ROUNDDOWN(I11*(1+$M$2),2),J11="=",I11)</f>
        <v>30.37</v>
      </c>
      <c r="L11" s="24" t="s">
        <v>13</v>
      </c>
      <c r="M11" s="28" cm="1">
        <f t="array" ref="M11">_xlfn.IFS(L11="+",ROUNDDOWN(K11*(1+$M$2),2),L11="=",K11)</f>
        <v>45.55</v>
      </c>
      <c r="O11" s="103"/>
      <c r="P11" s="103"/>
      <c r="Q11" s="64"/>
      <c r="R11" s="64"/>
      <c r="S11" s="64"/>
      <c r="T11" s="64"/>
      <c r="U11" s="64"/>
      <c r="V11" s="64"/>
      <c r="W11" s="20"/>
    </row>
    <row r="12" spans="1:23" ht="15" customHeight="1" x14ac:dyDescent="0.25">
      <c r="A12" s="113" t="s">
        <v>45</v>
      </c>
      <c r="B12" s="113"/>
      <c r="C12" s="29">
        <f>I17</f>
        <v>5</v>
      </c>
      <c r="D12" s="25" t="s">
        <v>13</v>
      </c>
      <c r="E12" s="29" cm="1">
        <f t="array" ref="E12">_xlfn.IFS(D12="+",ROUNDDOWN(C12*(1+$M$3),2),D12="=",C12)</f>
        <v>6.5</v>
      </c>
      <c r="F12" s="25" t="s">
        <v>13</v>
      </c>
      <c r="G12" s="29" cm="1">
        <f t="array" ref="G12">_xlfn.IFS(F12="+",ROUNDDOWN(E12*(1+$M$3),2),F12="=",E12)</f>
        <v>8.4499999999999993</v>
      </c>
      <c r="H12" s="25" t="s">
        <v>13</v>
      </c>
      <c r="I12" s="29" cm="1">
        <f t="array" ref="I12">_xlfn.IFS(H12="+",ROUNDDOWN(G12*(1+$M$3),2),H12="=",G12)</f>
        <v>10.98</v>
      </c>
      <c r="J12" s="25" t="s">
        <v>13</v>
      </c>
      <c r="K12" s="29" cm="1">
        <f t="array" ref="K12">_xlfn.IFS(J12="+",ROUNDDOWN(I12*(1+$M$3),2),J12="=",I12)</f>
        <v>14.27</v>
      </c>
      <c r="L12" s="25" t="s">
        <v>13</v>
      </c>
      <c r="M12" s="29" cm="1">
        <f t="array" ref="M12">_xlfn.IFS(L12="+",ROUNDDOWN(K12*(1+$M$3),2),L12="=",K12)</f>
        <v>18.55</v>
      </c>
      <c r="T12" s="20"/>
      <c r="U12" s="20"/>
      <c r="V12" s="20"/>
      <c r="W12" s="20"/>
    </row>
    <row r="13" spans="1:23" ht="15" customHeight="1" x14ac:dyDescent="0.25">
      <c r="A13" s="112" t="s">
        <v>74</v>
      </c>
      <c r="B13" s="112"/>
      <c r="C13" s="28">
        <f>K17</f>
        <v>3</v>
      </c>
      <c r="D13" s="24" t="s">
        <v>13</v>
      </c>
      <c r="E13" s="28" cm="1">
        <f t="array" ref="E13">_xlfn.IFS(D13="+",ROUNDUP(C13*(1+$M$4),0),D13="=",C13)</f>
        <v>4</v>
      </c>
      <c r="F13" s="24" t="s">
        <v>13</v>
      </c>
      <c r="G13" s="28" cm="1">
        <f t="array" ref="G13">_xlfn.IFS(F13="+",ROUNDUP(E13*(1+$M$4),0),F13="=",E13)</f>
        <v>5</v>
      </c>
      <c r="H13" s="24" t="s">
        <v>13</v>
      </c>
      <c r="I13" s="28" cm="1">
        <f t="array" ref="I13">_xlfn.IFS(H13="+",ROUNDUP(G13*(1+$M$4),0),H13="=",G13)</f>
        <v>6</v>
      </c>
      <c r="J13" s="24" t="s">
        <v>13</v>
      </c>
      <c r="K13" s="28" cm="1">
        <f t="array" ref="K13">_xlfn.IFS(J13="+",ROUNDUP(I13*(1+$M$4),0),J13="=",I13)</f>
        <v>8</v>
      </c>
      <c r="L13" s="24" t="s">
        <v>13</v>
      </c>
      <c r="M13" s="28" cm="1">
        <f t="array" ref="M13">_xlfn.IFS(L13="+",ROUNDUP(K13*(1+$M$4),0),L13="=",K13)</f>
        <v>10</v>
      </c>
      <c r="O13" s="102" t="s">
        <v>144</v>
      </c>
      <c r="P13" s="102"/>
      <c r="T13" s="20"/>
      <c r="U13" s="20"/>
      <c r="V13" s="20"/>
      <c r="W13" s="20"/>
    </row>
    <row r="14" spans="1:23" x14ac:dyDescent="0.25">
      <c r="A14" s="113" t="s">
        <v>77</v>
      </c>
      <c r="B14" s="113"/>
      <c r="C14" s="64">
        <f>M17</f>
        <v>2</v>
      </c>
      <c r="D14" s="25" t="s">
        <v>13</v>
      </c>
      <c r="E14" s="29" cm="1">
        <f t="array" ref="E14">_xlfn.IFS(D14="+",ROUNDUP(C14*(1+$M$5),0),D14="=",C14)</f>
        <v>3</v>
      </c>
      <c r="F14" s="25" t="s">
        <v>13</v>
      </c>
      <c r="G14" s="29" cm="1">
        <f t="array" ref="G14">_xlfn.IFS(F14="+",ROUNDUP(E14*(1+$M$5),0),F14="=",E14)</f>
        <v>5</v>
      </c>
      <c r="H14" s="25" t="s">
        <v>13</v>
      </c>
      <c r="I14" s="29" cm="1">
        <f t="array" ref="I14">_xlfn.IFS(H14="+",ROUNDUP(G14*(1+$M$5),0),H14="=",G14)</f>
        <v>8</v>
      </c>
      <c r="J14" s="25" t="s">
        <v>13</v>
      </c>
      <c r="K14" s="29" cm="1">
        <f t="array" ref="K14">_xlfn.IFS(J14="+",ROUNDUP(I14*(1+$M$5),0),J14="=",I14)</f>
        <v>12</v>
      </c>
      <c r="L14" s="25" t="s">
        <v>13</v>
      </c>
      <c r="M14" s="29" cm="1">
        <f t="array" ref="M14">_xlfn.IFS(L14="+",ROUNDUP(K14*(1+$M$5),0),L14="=",K14)</f>
        <v>18</v>
      </c>
      <c r="O14" s="103" t="str">
        <f>_xlfn.CONCAT(C19," ",O10)</f>
        <v>Pizza 1</v>
      </c>
      <c r="P14" s="103"/>
    </row>
    <row r="15" spans="1:23" x14ac:dyDescent="0.25">
      <c r="A15" s="17"/>
    </row>
    <row r="16" spans="1:23" x14ac:dyDescent="0.25">
      <c r="A16" s="17"/>
      <c r="B16" s="26" t="s">
        <v>33</v>
      </c>
      <c r="C16" s="26" t="s">
        <v>35</v>
      </c>
      <c r="D16" s="26"/>
      <c r="E16" s="26" t="s">
        <v>57</v>
      </c>
      <c r="F16" s="26"/>
      <c r="G16" s="26" t="s">
        <v>34</v>
      </c>
      <c r="H16" s="26"/>
      <c r="I16" s="26" t="s">
        <v>65</v>
      </c>
      <c r="J16" s="26"/>
      <c r="K16" s="26" t="s">
        <v>66</v>
      </c>
      <c r="L16" s="26"/>
      <c r="M16" s="26" t="s">
        <v>77</v>
      </c>
      <c r="O16" s="102" t="s">
        <v>147</v>
      </c>
      <c r="P16" s="102"/>
      <c r="Q16" s="102"/>
    </row>
    <row r="17" spans="1:20" x14ac:dyDescent="0.25">
      <c r="A17" s="17"/>
      <c r="B17" s="10" t="s">
        <v>145</v>
      </c>
      <c r="C17" s="24" t="str">
        <f>VLOOKUP($B$17,ENEMY,3)</f>
        <v>Ghost</v>
      </c>
      <c r="D17" s="24"/>
      <c r="E17" s="24" t="str">
        <f>VLOOKUP($B$17,ENEMY,4)</f>
        <v>Intangible</v>
      </c>
      <c r="F17" s="24"/>
      <c r="G17" s="24">
        <f>VLOOKUP($B$17,ENEMY,5)</f>
        <v>6</v>
      </c>
      <c r="H17" s="24"/>
      <c r="I17" s="24">
        <f>VLOOKUP($B$17,ENEMY,6)</f>
        <v>5</v>
      </c>
      <c r="J17" s="24"/>
      <c r="K17" s="24">
        <f>VLOOKUP($B$17,ENEMY,7)</f>
        <v>3</v>
      </c>
      <c r="L17" s="24"/>
      <c r="M17" s="24">
        <f>VLOOKUP($B$17,ENEMY,8)</f>
        <v>2</v>
      </c>
      <c r="O17" s="101" t="str">
        <f>_xlfn.CONCAT(C19," ",E19," lvl ",O10)</f>
        <v>Pizza Mortar lvl 1</v>
      </c>
      <c r="P17" s="101"/>
      <c r="Q17" s="101"/>
    </row>
    <row r="18" spans="1:20" x14ac:dyDescent="0.25">
      <c r="A18" s="17"/>
      <c r="B18" s="26" t="s">
        <v>42</v>
      </c>
      <c r="C18" s="26" t="s">
        <v>35</v>
      </c>
      <c r="D18" s="26"/>
      <c r="E18" s="26" t="s">
        <v>57</v>
      </c>
      <c r="F18" s="26"/>
      <c r="G18" s="26" t="s">
        <v>5</v>
      </c>
      <c r="H18" s="26"/>
      <c r="I18" s="26" t="s">
        <v>15</v>
      </c>
      <c r="J18" s="26"/>
      <c r="K18" s="26" t="s">
        <v>10</v>
      </c>
      <c r="L18" s="26"/>
      <c r="M18" s="26" t="s">
        <v>41</v>
      </c>
      <c r="O18" s="101"/>
      <c r="P18" s="101"/>
      <c r="Q18" s="101"/>
    </row>
    <row r="19" spans="1:20" x14ac:dyDescent="0.25">
      <c r="A19" s="17"/>
      <c r="B19" s="10" t="s">
        <v>146</v>
      </c>
      <c r="C19" s="24" t="str">
        <f>VLOOKUP($B$19,TOWER,3)</f>
        <v>Pizza</v>
      </c>
      <c r="D19" s="24"/>
      <c r="E19" s="24" t="str">
        <f>VLOOKUP($B$19,TOWER,4)</f>
        <v>Mortar</v>
      </c>
      <c r="F19" s="24"/>
      <c r="G19" s="24">
        <f>VLOOKUP($B$19,TOWER,5)</f>
        <v>4</v>
      </c>
      <c r="H19" s="24"/>
      <c r="I19" s="24">
        <f>VLOOKUP($B$19,TOWER,6)</f>
        <v>1</v>
      </c>
      <c r="J19" s="24"/>
      <c r="K19" s="24">
        <f>VLOOKUP($B$19,TOWER,7)</f>
        <v>4</v>
      </c>
      <c r="L19" s="24"/>
      <c r="M19" s="24">
        <f>VLOOKUP($B$19,TOWER,9)</f>
        <v>20</v>
      </c>
    </row>
    <row r="21" spans="1:20" ht="15" customHeight="1" x14ac:dyDescent="0.25">
      <c r="B21" s="102" t="s">
        <v>63</v>
      </c>
      <c r="C21" s="102"/>
      <c r="E21" s="102" t="s">
        <v>37</v>
      </c>
      <c r="F21" s="102"/>
      <c r="G21" s="102"/>
      <c r="H21" s="102"/>
      <c r="I21" s="102"/>
      <c r="K21" s="98" t="s">
        <v>43</v>
      </c>
      <c r="M21" s="98" t="s">
        <v>34</v>
      </c>
    </row>
    <row r="22" spans="1:20" ht="15" customHeight="1" x14ac:dyDescent="0.25">
      <c r="B22" s="108">
        <f>ROUND(O2*K23*I23,2)</f>
        <v>8</v>
      </c>
      <c r="C22" s="108"/>
      <c r="E22" s="114" t="str">
        <f>C19</f>
        <v>Pizza</v>
      </c>
      <c r="F22" s="114"/>
      <c r="G22" s="114" t="str">
        <f>C17</f>
        <v>Ghost</v>
      </c>
      <c r="H22" s="114"/>
      <c r="I22" s="66" t="s">
        <v>39</v>
      </c>
      <c r="K22" s="67" t="s">
        <v>11</v>
      </c>
      <c r="L22" s="20"/>
      <c r="M22" s="67" t="s">
        <v>73</v>
      </c>
    </row>
    <row r="23" spans="1:20" ht="15" customHeight="1" x14ac:dyDescent="0.25">
      <c r="E23" s="118" t="str">
        <f>HLOOKUP(C19,WEAK_TOWER,VLOOKUP(C17,WEAK_ENEMY,5,FALSE)+1,FALSE)</f>
        <v>=</v>
      </c>
      <c r="F23" s="118"/>
      <c r="G23" s="118"/>
      <c r="H23" s="118"/>
      <c r="I23" s="64" cm="1">
        <f t="array" ref="I23">_xlfn.IFS(E23="-", 1-K2, E23="=",1,E23="+",1+K2)</f>
        <v>1</v>
      </c>
      <c r="K23" s="64" cm="1">
        <f t="array" ref="K23">_xlfn.IFS(K22="Upgrade 0",C7,K22="Upgrade 1",E7,K22="Upgrade 2",G7)</f>
        <v>4</v>
      </c>
      <c r="L23" s="20"/>
      <c r="M23" s="64" cm="1">
        <f t="array" ref="M23">_xlfn.IFS(M22="LVL 0",C11,M22="LVL 1",E11,M22="LVL 2",G11,M22="LVL 3",I11,M22="LVL 4",K11,M22="LVL 5",M11)</f>
        <v>45.55</v>
      </c>
      <c r="N23" s="18"/>
      <c r="T23" s="33"/>
    </row>
    <row r="24" spans="1:20" ht="15" customHeight="1" x14ac:dyDescent="0.25">
      <c r="K24" s="98" t="s">
        <v>41</v>
      </c>
      <c r="M24" s="98" t="s">
        <v>83</v>
      </c>
      <c r="Q24" s="32"/>
      <c r="R24" s="20"/>
    </row>
    <row r="25" spans="1:20" x14ac:dyDescent="0.25">
      <c r="C25" s="115" t="s">
        <v>76</v>
      </c>
      <c r="D25" s="115"/>
      <c r="E25" s="115"/>
      <c r="F25" s="115"/>
      <c r="G25" s="102" t="s">
        <v>81</v>
      </c>
      <c r="H25" s="102"/>
      <c r="I25" s="102"/>
      <c r="K25" s="64" cm="1">
        <f t="array" ref="K25">_xlfn.IFS(K22="Upgrade 0",C5,K22="Upgrade 1",E5,K22="Upgrade 2",G5)</f>
        <v>20</v>
      </c>
      <c r="M25" s="64" cm="1">
        <f t="array" ref="M25">_xlfn.IFS(M22="LVL 0",C14,M22="LVL 1",E14,M22="LVL 2",G14,M22="LVL 3",I14,M22="LVL 4",K14,M22="LVL 5",M14)</f>
        <v>18</v>
      </c>
    </row>
    <row r="26" spans="1:20" ht="15" customHeight="1" x14ac:dyDescent="0.25">
      <c r="C26" s="102" t="s">
        <v>48</v>
      </c>
      <c r="D26" s="102"/>
      <c r="E26" s="102" t="s">
        <v>16</v>
      </c>
      <c r="F26" s="102"/>
      <c r="G26" s="103" t="str">
        <f>_xlfn.CONCAT(K25*K27," s")</f>
        <v>20 s</v>
      </c>
      <c r="H26" s="103"/>
      <c r="I26" s="103"/>
      <c r="K26" s="98" t="s">
        <v>15</v>
      </c>
    </row>
    <row r="27" spans="1:20" ht="15" customHeight="1" x14ac:dyDescent="0.25">
      <c r="B27" s="102" t="str">
        <f>_xlfn.CONCAT(K22," ",K21)</f>
        <v>Upgrade 0 DPS</v>
      </c>
      <c r="C27" s="117">
        <f>ROUNDDOWN($M$23/B22,2)</f>
        <v>5.69</v>
      </c>
      <c r="D27" s="117"/>
      <c r="E27" s="116">
        <f>ROUNDUP($M$23/B22,0)</f>
        <v>6</v>
      </c>
      <c r="F27" s="116"/>
      <c r="G27" s="98" t="s">
        <v>130</v>
      </c>
      <c r="H27" s="102" t="s">
        <v>85</v>
      </c>
      <c r="I27" s="102"/>
      <c r="K27" s="64" cm="1">
        <f t="array" ref="K27">_xlfn.IFS(K22="Upgrade 0",C3,K22="Upgrade 1",E3,K22="Upgrade 2",G3)</f>
        <v>1</v>
      </c>
      <c r="O27" s="18"/>
    </row>
    <row r="28" spans="1:20" x14ac:dyDescent="0.25">
      <c r="B28" s="102"/>
      <c r="C28" s="103" t="str">
        <f>_xlfn.CONCAT(E27*K27," s")</f>
        <v>6 s</v>
      </c>
      <c r="D28" s="103"/>
      <c r="E28" s="103"/>
      <c r="F28" s="103"/>
      <c r="G28" s="64">
        <f>E6+G6</f>
        <v>158</v>
      </c>
      <c r="H28" s="103">
        <f>ROUNDUP(K29/M25,0)</f>
        <v>1</v>
      </c>
      <c r="I28" s="103"/>
      <c r="K28" s="98" t="s">
        <v>84</v>
      </c>
      <c r="N28" s="18"/>
    </row>
    <row r="29" spans="1:20" x14ac:dyDescent="0.25">
      <c r="K29" s="35" cm="1">
        <f t="array" ref="K29">_xlfn.IFS(K22="Upgrade 0",C6,K22="Upgrade 1",E6,K22="Upgrade 2",G6,K22="Upgrade 3",#REF!,K22="Upgrade 4",K6,K22="Upgrade 5",M6)</f>
        <v>10</v>
      </c>
      <c r="N29" s="18"/>
      <c r="O29" s="21"/>
    </row>
    <row r="33" spans="1:19" x14ac:dyDescent="0.25">
      <c r="O33" s="19"/>
      <c r="S33" s="17"/>
    </row>
    <row r="34" spans="1:19" x14ac:dyDescent="0.25">
      <c r="O34" s="19"/>
      <c r="S34" s="17"/>
    </row>
    <row r="35" spans="1:19" x14ac:dyDescent="0.25">
      <c r="Q35" s="19"/>
    </row>
    <row r="36" spans="1:19" x14ac:dyDescent="0.25">
      <c r="A36" s="16" t="s">
        <v>79</v>
      </c>
      <c r="Q36" s="19"/>
    </row>
    <row r="37" spans="1:19" x14ac:dyDescent="0.25">
      <c r="Q37" s="19"/>
    </row>
    <row r="38" spans="1:19" x14ac:dyDescent="0.25">
      <c r="Q38" s="19"/>
    </row>
    <row r="39" spans="1:19" x14ac:dyDescent="0.25">
      <c r="Q39" s="19"/>
    </row>
    <row r="40" spans="1:19" x14ac:dyDescent="0.25">
      <c r="Q40" s="19"/>
    </row>
    <row r="41" spans="1:19" x14ac:dyDescent="0.25">
      <c r="Q41" s="19"/>
    </row>
    <row r="42" spans="1:19" x14ac:dyDescent="0.25">
      <c r="Q42" s="19"/>
    </row>
    <row r="43" spans="1:19" x14ac:dyDescent="0.25">
      <c r="Q43" s="19"/>
    </row>
    <row r="44" spans="1:19" x14ac:dyDescent="0.25">
      <c r="Q44" s="19"/>
    </row>
  </sheetData>
  <mergeCells count="55">
    <mergeCell ref="H28:I28"/>
    <mergeCell ref="A1:B1"/>
    <mergeCell ref="B22:C22"/>
    <mergeCell ref="B21:C21"/>
    <mergeCell ref="H27:I27"/>
    <mergeCell ref="C26:D26"/>
    <mergeCell ref="E26:F26"/>
    <mergeCell ref="A2:A6"/>
    <mergeCell ref="A7:B7"/>
    <mergeCell ref="A8:B8"/>
    <mergeCell ref="I5:J5"/>
    <mergeCell ref="C28:F28"/>
    <mergeCell ref="B27:B28"/>
    <mergeCell ref="A11:B11"/>
    <mergeCell ref="A12:B12"/>
    <mergeCell ref="A13:B13"/>
    <mergeCell ref="A14:B14"/>
    <mergeCell ref="G22:H22"/>
    <mergeCell ref="E22:F22"/>
    <mergeCell ref="E21:I21"/>
    <mergeCell ref="C25:F25"/>
    <mergeCell ref="G25:I25"/>
    <mergeCell ref="E27:F27"/>
    <mergeCell ref="C27:D27"/>
    <mergeCell ref="G26:I26"/>
    <mergeCell ref="E23:H23"/>
    <mergeCell ref="O1:P1"/>
    <mergeCell ref="O2:P2"/>
    <mergeCell ref="S1:T1"/>
    <mergeCell ref="S2:T3"/>
    <mergeCell ref="I6:J6"/>
    <mergeCell ref="K1:L1"/>
    <mergeCell ref="K2:L2"/>
    <mergeCell ref="M1:N1"/>
    <mergeCell ref="M2:N2"/>
    <mergeCell ref="M3:N3"/>
    <mergeCell ref="M4:N4"/>
    <mergeCell ref="M5:N5"/>
    <mergeCell ref="I1:J1"/>
    <mergeCell ref="I2:J2"/>
    <mergeCell ref="I3:J3"/>
    <mergeCell ref="I4:J4"/>
    <mergeCell ref="Q9:R9"/>
    <mergeCell ref="S9:T9"/>
    <mergeCell ref="O9:P9"/>
    <mergeCell ref="U9:V9"/>
    <mergeCell ref="O10:P10"/>
    <mergeCell ref="Q10:R10"/>
    <mergeCell ref="S10:T10"/>
    <mergeCell ref="U10:V10"/>
    <mergeCell ref="O17:Q18"/>
    <mergeCell ref="O16:Q16"/>
    <mergeCell ref="O11:P11"/>
    <mergeCell ref="O13:P13"/>
    <mergeCell ref="O14:P14"/>
  </mergeCells>
  <phoneticPr fontId="1" type="noConversion"/>
  <conditionalFormatting sqref="C27">
    <cfRule type="colorScale" priority="159">
      <colorScale>
        <cfvo type="min"/>
        <cfvo type="max"/>
        <color rgb="FF63BE7B"/>
        <color rgb="FFFFEF9C"/>
      </colorScale>
    </cfRule>
  </conditionalFormatting>
  <conditionalFormatting sqref="C27">
    <cfRule type="colorScale" priority="165">
      <colorScale>
        <cfvo type="min"/>
        <cfvo type="max"/>
        <color rgb="FF63BE7B"/>
        <color rgb="FFFFEF9C"/>
      </colorScale>
    </cfRule>
  </conditionalFormatting>
  <conditionalFormatting sqref="E27">
    <cfRule type="colorScale" priority="171">
      <colorScale>
        <cfvo type="num" val="2"/>
        <cfvo type="percent" val="50"/>
        <cfvo type="num" val="5"/>
        <color theme="9"/>
        <color rgb="FFFFEB84"/>
        <color rgb="FFFF0000"/>
      </colorScale>
    </cfRule>
  </conditionalFormatting>
  <dataValidations count="9">
    <dataValidation type="list" allowBlank="1" showInputMessage="1" showErrorMessage="1" sqref="T4:T7" xr:uid="{B79DFF3F-F3F2-4D26-BF72-10F2B485B797}">
      <formula1>TowerStat</formula1>
    </dataValidation>
    <dataValidation type="list" allowBlank="1" showInputMessage="1" showErrorMessage="1" sqref="J11:J14 F2:F8 L11:L14 D2:D8 H11:H14 D11:D14 F11:F14" xr:uid="{44475DCD-E93B-4817-AA4F-5E6FBC088EBF}">
      <formula1>SIGN</formula1>
    </dataValidation>
    <dataValidation type="list" allowBlank="1" showInputMessage="1" showErrorMessage="1" sqref="B17" xr:uid="{AFB5BA6A-BBB2-47F1-A8F2-92AD1BD90543}">
      <formula1>CODE_ENEMIES</formula1>
    </dataValidation>
    <dataValidation type="list" allowBlank="1" showInputMessage="1" showErrorMessage="1" sqref="B17 B19" xr:uid="{AD1B0E1A-9992-4005-A59C-05195FE02FED}">
      <formula1>CODE_TOWER</formula1>
    </dataValidation>
    <dataValidation type="list" allowBlank="1" showInputMessage="1" showErrorMessage="1" sqref="K22" xr:uid="{D777C75E-5123-4061-A4DA-FA2F950126E5}">
      <formula1>UPGRADE</formula1>
    </dataValidation>
    <dataValidation type="list" allowBlank="1" showInputMessage="1" showErrorMessage="1" sqref="A11:A14 T12" xr:uid="{AFA068F4-8100-422E-BD4E-A9DCC0E9320D}">
      <formula1>STAT_ENEMY</formula1>
    </dataValidation>
    <dataValidation type="list" allowBlank="1" showInputMessage="1" showErrorMessage="1" sqref="M22" xr:uid="{789A86CC-4BA2-4933-86AC-0C82CE5980EA}">
      <formula1>LEVEL_ENEMY</formula1>
    </dataValidation>
    <dataValidation type="list" allowBlank="1" showInputMessage="1" showErrorMessage="1" sqref="B2:B6 A7:A8" xr:uid="{00B706EE-A9A5-4DA1-8C1A-A95B882FF070}">
      <formula1>STAT_TOWER</formula1>
    </dataValidation>
    <dataValidation type="list" allowBlank="1" showInputMessage="1" showErrorMessage="1" sqref="O10" xr:uid="{1173E15E-96FC-4D8E-AC93-F0AC4AF85CFB}">
      <formula1>UPGRADE_CLASSE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45" operator="containsText" id="{F23044F8-4BE4-4A8E-9020-DF254427AB24}">
            <xm:f>NOT(ISERROR(SEARCH("+",E23)))</xm:f>
            <xm:f>"+"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46" operator="containsText" id="{C77DA782-581F-4D17-A692-70945A61EC64}">
            <xm:f>NOT(ISERROR(SEARCH("=",E23)))</xm:f>
            <xm:f>"="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147" operator="containsText" id="{1CADE51D-9651-4C17-992F-2F2A987E0A4C}">
            <xm:f>NOT(ISERROR(SEARCH("-",E23)))</xm:f>
            <xm:f>"-"</xm:f>
            <x14:dxf>
              <fill>
                <patternFill>
                  <bgColor rgb="FFFF5050"/>
                </patternFill>
              </fill>
            </x14:dxf>
          </x14:cfRule>
          <xm:sqref>E23</xm:sqref>
        </x14:conditionalFormatting>
        <x14:conditionalFormatting xmlns:xm="http://schemas.microsoft.com/office/excel/2006/main">
          <x14:cfRule type="containsText" priority="35" operator="containsText" id="{2F31918E-2561-4BE9-A502-75C4B5D293E9}">
            <xm:f>NOT(ISERROR(SEARCH("=",D2)))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D2:D6 F2:F6</xm:sqref>
        </x14:conditionalFormatting>
        <x14:conditionalFormatting xmlns:xm="http://schemas.microsoft.com/office/excel/2006/main">
          <x14:cfRule type="containsText" priority="25" operator="containsText" id="{241F7492-010D-41DA-8A00-0A007798E9B4}">
            <xm:f>NOT(ISERROR(SEARCH("+",D2)))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D2:D6 F2:F6</xm:sqref>
        </x14:conditionalFormatting>
        <x14:conditionalFormatting xmlns:xm="http://schemas.microsoft.com/office/excel/2006/main">
          <x14:cfRule type="containsText" priority="14" operator="containsText" id="{8B3F1571-5951-4242-8292-20FE5C102F51}">
            <xm:f>NOT(ISERROR(SEARCH("=",D11)))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D11:D14</xm:sqref>
        </x14:conditionalFormatting>
        <x14:conditionalFormatting xmlns:xm="http://schemas.microsoft.com/office/excel/2006/main">
          <x14:cfRule type="containsText" priority="13" operator="containsText" id="{60A51342-9333-47F9-B7F1-DD2C10483EC5}">
            <xm:f>NOT(ISERROR(SEARCH("+",D11)))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D11:D14</xm:sqref>
        </x14:conditionalFormatting>
        <x14:conditionalFormatting xmlns:xm="http://schemas.microsoft.com/office/excel/2006/main">
          <x14:cfRule type="containsText" priority="12" operator="containsText" id="{F111F232-37AE-4C0C-830B-35F78A30E14D}">
            <xm:f>NOT(ISERROR(SEARCH("=",F11)))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F11:F14</xm:sqref>
        </x14:conditionalFormatting>
        <x14:conditionalFormatting xmlns:xm="http://schemas.microsoft.com/office/excel/2006/main">
          <x14:cfRule type="containsText" priority="11" operator="containsText" id="{4C16C5E4-43A1-4B74-94C6-C11BD28CD051}">
            <xm:f>NOT(ISERROR(SEARCH("+",F11)))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F11:F14</xm:sqref>
        </x14:conditionalFormatting>
        <x14:conditionalFormatting xmlns:xm="http://schemas.microsoft.com/office/excel/2006/main">
          <x14:cfRule type="containsText" priority="10" operator="containsText" id="{2E1252A3-C99D-4F36-A89C-EA432A1B8CF7}">
            <xm:f>NOT(ISERROR(SEARCH("=",H11)))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H11:H14</xm:sqref>
        </x14:conditionalFormatting>
        <x14:conditionalFormatting xmlns:xm="http://schemas.microsoft.com/office/excel/2006/main">
          <x14:cfRule type="containsText" priority="9" operator="containsText" id="{C7C9590E-F4D8-4937-8DAA-3FB0B201B8D4}">
            <xm:f>NOT(ISERROR(SEARCH("+",H11)))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H11:H14</xm:sqref>
        </x14:conditionalFormatting>
        <x14:conditionalFormatting xmlns:xm="http://schemas.microsoft.com/office/excel/2006/main">
          <x14:cfRule type="containsText" priority="8" operator="containsText" id="{13FC0E2F-C188-4EF0-8386-643FBFEB5E92}">
            <xm:f>NOT(ISERROR(SEARCH("=",J11)))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J11:J14</xm:sqref>
        </x14:conditionalFormatting>
        <x14:conditionalFormatting xmlns:xm="http://schemas.microsoft.com/office/excel/2006/main">
          <x14:cfRule type="containsText" priority="7" operator="containsText" id="{BBC8C582-FBF7-4CB8-9A73-25811AD9D1E2}">
            <xm:f>NOT(ISERROR(SEARCH("+",J11)))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J11:J14</xm:sqref>
        </x14:conditionalFormatting>
        <x14:conditionalFormatting xmlns:xm="http://schemas.microsoft.com/office/excel/2006/main">
          <x14:cfRule type="containsText" priority="6" operator="containsText" id="{A7445E3F-3833-4014-8466-71A05643C3CE}">
            <xm:f>NOT(ISERROR(SEARCH("=",L11)))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L11:L14</xm:sqref>
        </x14:conditionalFormatting>
        <x14:conditionalFormatting xmlns:xm="http://schemas.microsoft.com/office/excel/2006/main">
          <x14:cfRule type="containsText" priority="5" operator="containsText" id="{D4E82E64-C481-45B0-AA7D-688B765F3F1B}">
            <xm:f>NOT(ISERROR(SEARCH("+",L11)))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L11:L14</xm:sqref>
        </x14:conditionalFormatting>
        <x14:conditionalFormatting xmlns:xm="http://schemas.microsoft.com/office/excel/2006/main">
          <x14:cfRule type="containsText" priority="1" operator="containsText" id="{1C53A25E-A5F5-46AE-86AF-1AD4FED4B873}">
            <xm:f>NOT(ISERROR(SEARCH("++",Q10)))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34E4B37D-8650-40A0-9695-7A66084424FE}">
            <xm:f>NOT(ISERROR(SEARCH("-",Q10)))</xm:f>
            <xm:f>"-"</xm:f>
            <x14:dxf>
              <fill>
                <patternFill>
                  <bgColor theme="5" tint="0.59996337778862885"/>
                </patternFill>
              </fill>
            </x14:dxf>
          </x14:cfRule>
          <x14:cfRule type="containsText" priority="3" operator="containsText" id="{746416A9-41C8-4F36-8921-7835FEA21EDF}">
            <xm:f>NOT(ISERROR(SEARCH("=",Q10)))</xm:f>
            <xm:f>"="</xm:f>
            <x14:dxf>
              <fill>
                <patternFill patternType="solid">
                  <bgColor theme="7" tint="0.79998168889431442"/>
                </patternFill>
              </fill>
            </x14:dxf>
          </x14:cfRule>
          <x14:cfRule type="containsText" priority="4" operator="containsText" id="{37A46848-07AC-41B1-BD74-D9831E33EB5D}">
            <xm:f>NOT(ISERROR(SEARCH("+",Q10)))</xm:f>
            <xm:f>"+"</xm:f>
            <x14:dxf>
              <fill>
                <patternFill>
                  <bgColor theme="9" tint="0.79998168889431442"/>
                </patternFill>
              </fill>
            </x14:dxf>
          </x14:cfRule>
          <xm:sqref>Q10 S10 U10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0C2D2-755B-49F6-BA6F-2E6401CF8C91}">
  <dimension ref="A1:S10"/>
  <sheetViews>
    <sheetView tabSelected="1" workbookViewId="0">
      <selection activeCell="M25" sqref="M25"/>
    </sheetView>
  </sheetViews>
  <sheetFormatPr baseColWidth="10" defaultRowHeight="15" x14ac:dyDescent="0.25"/>
  <cols>
    <col min="1" max="1" width="14.28515625" style="45" customWidth="1"/>
    <col min="2" max="2" width="5.7109375" style="45" customWidth="1"/>
    <col min="3" max="6" width="11.42578125" style="45"/>
    <col min="7" max="7" width="5.7109375" style="45" customWidth="1"/>
    <col min="8" max="9" width="11.42578125" style="45"/>
    <col min="10" max="10" width="5.7109375" style="45" customWidth="1"/>
    <col min="11" max="11" width="11.42578125" style="45"/>
    <col min="12" max="12" width="5.7109375" style="45" customWidth="1"/>
    <col min="13" max="13" width="11.42578125" style="45"/>
    <col min="14" max="14" width="5.7109375" style="45" customWidth="1"/>
    <col min="15" max="15" width="11.42578125" style="45"/>
    <col min="16" max="16" width="5.7109375" style="45" customWidth="1"/>
    <col min="17" max="17" width="11.42578125" style="45"/>
    <col min="18" max="18" width="5.7109375" style="45" customWidth="1"/>
    <col min="19" max="16384" width="11.42578125" style="45"/>
  </cols>
  <sheetData>
    <row r="1" spans="1:19" x14ac:dyDescent="0.25">
      <c r="A1" s="59">
        <v>1</v>
      </c>
      <c r="B1" s="59">
        <v>2</v>
      </c>
      <c r="C1" s="59">
        <v>3</v>
      </c>
      <c r="D1" s="59">
        <v>4</v>
      </c>
      <c r="E1" s="59">
        <v>5</v>
      </c>
      <c r="F1" s="59">
        <v>6</v>
      </c>
      <c r="G1" s="59"/>
      <c r="H1" s="59">
        <v>1</v>
      </c>
      <c r="I1" s="59">
        <v>2</v>
      </c>
      <c r="J1" s="59">
        <v>3</v>
      </c>
      <c r="K1" s="59">
        <v>4</v>
      </c>
      <c r="L1" s="59">
        <v>5</v>
      </c>
      <c r="M1" s="59">
        <v>6</v>
      </c>
      <c r="N1" s="59">
        <v>7</v>
      </c>
      <c r="O1" s="59">
        <v>8</v>
      </c>
      <c r="P1" s="59"/>
      <c r="Q1" s="59"/>
      <c r="R1" s="59"/>
      <c r="S1" s="59"/>
    </row>
    <row r="2" spans="1:19" ht="30" x14ac:dyDescent="0.25">
      <c r="A2" s="73" t="s">
        <v>18</v>
      </c>
      <c r="B2" s="73" t="s">
        <v>19</v>
      </c>
      <c r="C2" s="73" t="s">
        <v>20</v>
      </c>
      <c r="D2" s="63" t="s">
        <v>150</v>
      </c>
      <c r="E2" s="73" t="s">
        <v>151</v>
      </c>
      <c r="F2" s="73" t="s">
        <v>153</v>
      </c>
      <c r="H2" s="75" t="s">
        <v>58</v>
      </c>
      <c r="I2" s="73" t="s">
        <v>68</v>
      </c>
      <c r="J2" s="76"/>
      <c r="K2" s="73" t="s">
        <v>69</v>
      </c>
      <c r="L2" s="76"/>
      <c r="M2" s="73" t="s">
        <v>70</v>
      </c>
      <c r="N2" s="76"/>
      <c r="O2" s="73" t="s">
        <v>71</v>
      </c>
      <c r="Q2" s="89" t="s">
        <v>159</v>
      </c>
    </row>
    <row r="3" spans="1:19" x14ac:dyDescent="0.25">
      <c r="A3" s="83" t="str">
        <f>_xlfn.CONCAT(B3,"_Car_",LEFT(C3,3))</f>
        <v>1_Car_Piz</v>
      </c>
      <c r="B3" s="27">
        <v>1</v>
      </c>
      <c r="C3" s="28" t="s">
        <v>123</v>
      </c>
      <c r="D3" s="31">
        <v>50</v>
      </c>
      <c r="E3" s="31">
        <v>2</v>
      </c>
      <c r="F3" s="31">
        <v>5</v>
      </c>
      <c r="H3" s="78" t="s">
        <v>156</v>
      </c>
      <c r="I3" s="28">
        <f>D3</f>
        <v>50</v>
      </c>
      <c r="J3" s="72" t="s">
        <v>13</v>
      </c>
      <c r="K3" s="28" cm="1">
        <f t="array" ref="K3">_xlfn.IFS(J3="+",ROUNDUP($I$3 * (1 + Q3) ^ 1,0),J3="=",I3)</f>
        <v>65</v>
      </c>
      <c r="L3" s="72" t="s">
        <v>12</v>
      </c>
      <c r="M3" s="28" cm="1">
        <f t="array" ref="M3">_xlfn.IFS(L3="+",ROUNDUP($I$3 * (1 + Q3) ^ 2,0),L3="=",K3)</f>
        <v>65</v>
      </c>
      <c r="N3" s="72" t="s">
        <v>12</v>
      </c>
      <c r="O3" s="28" cm="1">
        <f t="array" ref="O3">_xlfn.IFS(N3="+",ROUNDUP($I$3 * (1 + Q3) ^ 3,0),N3="=",M3)</f>
        <v>65</v>
      </c>
      <c r="Q3" s="83">
        <v>0.3</v>
      </c>
    </row>
    <row r="4" spans="1:19" x14ac:dyDescent="0.25">
      <c r="A4" s="90" t="str">
        <f t="shared" ref="A4:A5" si="0">_xlfn.CONCAT(B4,"_Car_",LEFT(C4,3))</f>
        <v>2_Car_Bub</v>
      </c>
      <c r="B4" s="27">
        <v>2</v>
      </c>
      <c r="C4" s="90" t="s">
        <v>148</v>
      </c>
      <c r="D4" s="29">
        <f>D3</f>
        <v>50</v>
      </c>
      <c r="E4" s="29">
        <f t="shared" ref="E4" si="1">E3</f>
        <v>2</v>
      </c>
      <c r="F4" s="29">
        <f>F3</f>
        <v>5</v>
      </c>
      <c r="H4" s="79" t="s">
        <v>157</v>
      </c>
      <c r="I4" s="29">
        <f>E3</f>
        <v>2</v>
      </c>
      <c r="J4" s="74" t="s">
        <v>12</v>
      </c>
      <c r="K4" s="29" cm="1">
        <f t="array" ref="K4">_xlfn.IFS(J4="+",ROUNDDOWN($I$4 * (1 + Q4) ^ 1,2),J4="=",I4)</f>
        <v>2</v>
      </c>
      <c r="L4" s="74" t="s">
        <v>13</v>
      </c>
      <c r="M4" s="29" cm="1">
        <f t="array" ref="M4">_xlfn.IFS(L4="+",ROUNDDOWN($I$4 * (1 + Q4) ^ 1,2),L4="=",I4)</f>
        <v>2.6</v>
      </c>
      <c r="N4" s="74" t="s">
        <v>12</v>
      </c>
      <c r="O4" s="29" cm="1">
        <f t="array" ref="O4">_xlfn.IFS(N4="+",ROUNDDOWN($I$4 * (1 + Q4) ^ 3,2),N4="=",M4)</f>
        <v>2.6</v>
      </c>
      <c r="Q4" s="90">
        <v>0.3</v>
      </c>
    </row>
    <row r="5" spans="1:19" x14ac:dyDescent="0.25">
      <c r="A5" s="83" t="str">
        <f t="shared" si="0"/>
        <v>3_Car_Sta</v>
      </c>
      <c r="B5" s="27">
        <v>3</v>
      </c>
      <c r="C5" s="28" t="s">
        <v>149</v>
      </c>
      <c r="D5" s="28">
        <f>D3</f>
        <v>50</v>
      </c>
      <c r="E5" s="28">
        <f t="shared" ref="E5" si="2">E3</f>
        <v>2</v>
      </c>
      <c r="F5" s="28">
        <f>F3</f>
        <v>5</v>
      </c>
      <c r="H5" s="78" t="s">
        <v>158</v>
      </c>
      <c r="I5" s="28">
        <f>F3</f>
        <v>5</v>
      </c>
      <c r="J5" s="72" t="s">
        <v>12</v>
      </c>
      <c r="K5" s="28" cm="1">
        <f t="array" ref="K5">_xlfn.IFS(J5="+",ROUNDDOWN($I$5 * (1 + Q5) ^ 1,2),J5="=",I5)</f>
        <v>5</v>
      </c>
      <c r="L5" s="72" t="s">
        <v>12</v>
      </c>
      <c r="M5" s="28" cm="1">
        <f t="array" ref="M5">_xlfn.IFS(L5="+",ROUNDDOWN($I$5 * (1 + Q5) ^ 2,2),L5="=",K5)</f>
        <v>5</v>
      </c>
      <c r="N5" s="72" t="s">
        <v>13</v>
      </c>
      <c r="O5" s="28" cm="1">
        <f t="array" ref="O5">_xlfn.IFS(N5="+",ROUNDUP($I$5 * (1 + Q5) ^ 1,0),N5="=",M5)</f>
        <v>8</v>
      </c>
      <c r="Q5" s="83">
        <v>0.5</v>
      </c>
    </row>
    <row r="6" spans="1:19" x14ac:dyDescent="0.25">
      <c r="H6" s="79" t="s">
        <v>80</v>
      </c>
      <c r="I6" s="29">
        <v>10</v>
      </c>
      <c r="J6" s="72" t="s">
        <v>13</v>
      </c>
      <c r="K6" s="29" cm="1">
        <f t="array" ref="K6">_xlfn.IFS(J6="+",ROUNDUP($I$6 * (1 + Q6) ^ 1,2),J6="=",I6)</f>
        <v>15</v>
      </c>
      <c r="L6" s="72" t="s">
        <v>13</v>
      </c>
      <c r="M6" s="29" cm="1">
        <f t="array" ref="M6">_xlfn.IFS(L6="+",ROUNDUP($I$6 * (1 + Q6) ^ 2,0),L6="=",I6)</f>
        <v>23</v>
      </c>
      <c r="N6" s="72" t="s">
        <v>13</v>
      </c>
      <c r="O6" s="29" cm="1">
        <f t="array" ref="O6">_xlfn.IFS(N6="+",ROUNDUP($I$6 * (1 + Q6) ^ 3,0),N6="=",I6)</f>
        <v>34</v>
      </c>
      <c r="Q6" s="90">
        <v>0.5</v>
      </c>
    </row>
    <row r="7" spans="1:19" x14ac:dyDescent="0.25">
      <c r="C7" s="120" t="s">
        <v>90</v>
      </c>
      <c r="D7" s="120"/>
    </row>
    <row r="8" spans="1:19" ht="15" customHeight="1" x14ac:dyDescent="0.25">
      <c r="C8" s="121" t="s">
        <v>154</v>
      </c>
      <c r="D8" s="121"/>
      <c r="H8" s="77" t="s">
        <v>33</v>
      </c>
      <c r="I8" s="82" t="s">
        <v>35</v>
      </c>
      <c r="J8" s="82"/>
      <c r="K8" s="82" t="s">
        <v>57</v>
      </c>
      <c r="L8" s="82"/>
      <c r="M8" s="82" t="s">
        <v>34</v>
      </c>
      <c r="N8" s="82"/>
      <c r="O8" s="77" t="s">
        <v>65</v>
      </c>
      <c r="P8" s="77"/>
    </row>
    <row r="9" spans="1:19" x14ac:dyDescent="0.25">
      <c r="C9" s="121"/>
      <c r="D9" s="121"/>
      <c r="H9" s="10" t="s">
        <v>161</v>
      </c>
      <c r="I9" s="81" t="str">
        <f>VLOOKUP($H$9,TRAIN,3)</f>
        <v>Pizza</v>
      </c>
      <c r="J9" s="81"/>
      <c r="K9" s="135">
        <f>VLOOKUP($H$9,TRAIN,4)</f>
        <v>50</v>
      </c>
      <c r="L9" s="81"/>
      <c r="M9" s="135">
        <f>VLOOKUP($H$9,TRAIN,5)</f>
        <v>2</v>
      </c>
      <c r="N9" s="72"/>
      <c r="O9" s="135">
        <f>VLOOKUP($H$9,TRAIN,6)</f>
        <v>5</v>
      </c>
      <c r="P9" s="72"/>
    </row>
    <row r="10" spans="1:19" x14ac:dyDescent="0.25">
      <c r="C10" s="136">
        <f>D3/F3</f>
        <v>10</v>
      </c>
      <c r="D10" s="136"/>
    </row>
  </sheetData>
  <mergeCells count="3">
    <mergeCell ref="C7:D7"/>
    <mergeCell ref="C8:D9"/>
    <mergeCell ref="C10:D10"/>
  </mergeCells>
  <dataValidations count="3">
    <dataValidation type="list" allowBlank="1" showInputMessage="1" showErrorMessage="1" sqref="H9" xr:uid="{4E0730DA-A975-4D36-89B9-EDD70882FA4F}">
      <formula1>CODE_TRAIN</formula1>
    </dataValidation>
    <dataValidation type="list" allowBlank="1" showInputMessage="1" showErrorMessage="1" sqref="J3:J6 L3:L6 N3:N6 P3:P6 R3:R6" xr:uid="{3FA26D1C-C9BA-4446-AEF5-6139752B602A}">
      <formula1>SIGN</formula1>
    </dataValidation>
    <dataValidation type="list" allowBlank="1" showInputMessage="1" showErrorMessage="1" sqref="C3:C5" xr:uid="{4BAA8DF3-38D8-473B-A9C1-B557BB4BC682}">
      <formula1>STAT_FACTORY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6" operator="containsText" id="{2BC1FD63-8679-480D-8AFA-71B7EA976BD4}">
            <xm:f>NOT(ISERROR(SEARCH("=",J3)))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J3:J6</xm:sqref>
        </x14:conditionalFormatting>
        <x14:conditionalFormatting xmlns:xm="http://schemas.microsoft.com/office/excel/2006/main">
          <x14:cfRule type="containsText" priority="15" operator="containsText" id="{C4D66130-71E0-4188-9B0B-409EE70A7518}">
            <xm:f>NOT(ISERROR(SEARCH("+",J3)))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J3:J6</xm:sqref>
        </x14:conditionalFormatting>
        <x14:conditionalFormatting xmlns:xm="http://schemas.microsoft.com/office/excel/2006/main">
          <x14:cfRule type="containsText" priority="14" operator="containsText" id="{172BB7CD-0792-4F79-95C9-2E47075AE0F8}">
            <xm:f>NOT(ISERROR(SEARCH("=",L3)))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L3:L5</xm:sqref>
        </x14:conditionalFormatting>
        <x14:conditionalFormatting xmlns:xm="http://schemas.microsoft.com/office/excel/2006/main">
          <x14:cfRule type="containsText" priority="13" operator="containsText" id="{214D66B2-1BE9-4903-96BA-A9F7040BC237}">
            <xm:f>NOT(ISERROR(SEARCH("+",L3)))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L3:L5</xm:sqref>
        </x14:conditionalFormatting>
        <x14:conditionalFormatting xmlns:xm="http://schemas.microsoft.com/office/excel/2006/main">
          <x14:cfRule type="containsText" priority="12" operator="containsText" id="{E81E8F0D-C981-41E7-B507-33740C613E3B}">
            <xm:f>NOT(ISERROR(SEARCH("=",N3)))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N3:N6</xm:sqref>
        </x14:conditionalFormatting>
        <x14:conditionalFormatting xmlns:xm="http://schemas.microsoft.com/office/excel/2006/main">
          <x14:cfRule type="containsText" priority="11" operator="containsText" id="{EBC75F20-CF4A-4420-9B7B-B741E6F9218B}">
            <xm:f>NOT(ISERROR(SEARCH("+",N3)))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N3:N6</xm:sqref>
        </x14:conditionalFormatting>
        <x14:conditionalFormatting xmlns:xm="http://schemas.microsoft.com/office/excel/2006/main">
          <x14:cfRule type="containsText" priority="6" operator="containsText" id="{BE721188-9C5A-4452-9BD3-D58EC020D450}">
            <xm:f>NOT(ISERROR(SEARCH("=",L6)))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L6</xm:sqref>
        </x14:conditionalFormatting>
        <x14:conditionalFormatting xmlns:xm="http://schemas.microsoft.com/office/excel/2006/main">
          <x14:cfRule type="containsText" priority="5" operator="containsText" id="{D82E6B1C-3F48-4CE0-9B70-26B264E01C2C}">
            <xm:f>NOT(ISERROR(SEARCH("+",L6)))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L6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692A4-AAE4-4AF5-8118-7C6BC2CF5B66}">
  <dimension ref="A1:Q10"/>
  <sheetViews>
    <sheetView workbookViewId="0">
      <selection activeCell="Q2" sqref="Q2:Q6"/>
    </sheetView>
  </sheetViews>
  <sheetFormatPr baseColWidth="10" defaultRowHeight="15" x14ac:dyDescent="0.25"/>
  <cols>
    <col min="1" max="1" width="14.28515625" style="45" customWidth="1"/>
    <col min="2" max="2" width="5.7109375" style="45" customWidth="1"/>
    <col min="3" max="6" width="11.42578125" style="45"/>
    <col min="7" max="7" width="5.7109375" style="45" customWidth="1"/>
    <col min="8" max="9" width="11.42578125" style="45"/>
    <col min="10" max="10" width="5.7109375" style="45" customWidth="1"/>
    <col min="11" max="11" width="11.42578125" style="45"/>
    <col min="12" max="12" width="5.7109375" style="45" customWidth="1"/>
    <col min="13" max="13" width="11.42578125" style="45"/>
    <col min="14" max="14" width="5.7109375" style="45" customWidth="1"/>
    <col min="15" max="15" width="11.42578125" style="45"/>
    <col min="16" max="16" width="5.7109375" style="45" customWidth="1"/>
    <col min="17" max="17" width="11.42578125" style="45"/>
    <col min="18" max="18" width="5.7109375" style="45" customWidth="1"/>
    <col min="19" max="16384" width="11.42578125" style="45"/>
  </cols>
  <sheetData>
    <row r="1" spans="1:17" x14ac:dyDescent="0.25">
      <c r="A1" s="59">
        <v>1</v>
      </c>
      <c r="B1" s="59">
        <v>2</v>
      </c>
      <c r="C1" s="59">
        <v>3</v>
      </c>
      <c r="D1" s="59">
        <v>4</v>
      </c>
      <c r="E1" s="59">
        <v>5</v>
      </c>
      <c r="F1" s="59">
        <v>6</v>
      </c>
      <c r="G1" s="59"/>
      <c r="H1" s="59">
        <v>1</v>
      </c>
      <c r="I1" s="59">
        <v>2</v>
      </c>
      <c r="J1" s="59">
        <v>3</v>
      </c>
      <c r="K1" s="59">
        <v>4</v>
      </c>
      <c r="L1" s="59">
        <v>5</v>
      </c>
      <c r="M1" s="59">
        <v>6</v>
      </c>
      <c r="N1" s="59">
        <v>7</v>
      </c>
      <c r="O1" s="59">
        <v>8</v>
      </c>
    </row>
    <row r="2" spans="1:17" ht="30" x14ac:dyDescent="0.25">
      <c r="A2" s="73" t="s">
        <v>18</v>
      </c>
      <c r="B2" s="73" t="s">
        <v>19</v>
      </c>
      <c r="C2" s="73" t="s">
        <v>20</v>
      </c>
      <c r="D2" s="63" t="s">
        <v>150</v>
      </c>
      <c r="E2" s="73" t="s">
        <v>151</v>
      </c>
      <c r="F2" s="73" t="s">
        <v>153</v>
      </c>
      <c r="H2" s="75" t="s">
        <v>58</v>
      </c>
      <c r="I2" s="73" t="s">
        <v>68</v>
      </c>
      <c r="J2" s="76"/>
      <c r="K2" s="73" t="s">
        <v>69</v>
      </c>
      <c r="L2" s="76"/>
      <c r="M2" s="73" t="s">
        <v>70</v>
      </c>
      <c r="N2" s="76"/>
      <c r="O2" s="73" t="s">
        <v>71</v>
      </c>
      <c r="Q2" s="89" t="s">
        <v>159</v>
      </c>
    </row>
    <row r="3" spans="1:17" x14ac:dyDescent="0.25">
      <c r="A3" s="83" t="str">
        <f>_xlfn.CONCAT(B3,"_",LEFT(C3,3))</f>
        <v>1_Piz</v>
      </c>
      <c r="B3" s="27">
        <v>1</v>
      </c>
      <c r="C3" s="28" t="s">
        <v>123</v>
      </c>
      <c r="D3" s="31">
        <v>100</v>
      </c>
      <c r="E3" s="31">
        <v>2</v>
      </c>
      <c r="F3" s="31">
        <v>10</v>
      </c>
      <c r="H3" s="78" t="s">
        <v>156</v>
      </c>
      <c r="I3" s="28">
        <f>D3</f>
        <v>100</v>
      </c>
      <c r="J3" s="72" t="s">
        <v>13</v>
      </c>
      <c r="K3" s="28" cm="1">
        <f t="array" aca="1" ref="K3" ca="1">_xlfn.IFS(J3="+",ROUNDDOWN($K$3 * (1 + Q3) ^ 1,2),J3="=",I3)</f>
        <v>15</v>
      </c>
      <c r="L3" s="72" t="s">
        <v>13</v>
      </c>
      <c r="M3" s="28" cm="1">
        <f t="array" ref="M3">_xlfn.IFS(L3="+",ROUNDDOWN($I$3 * (1 + Q3) ^ 2,2),L3="=",I3)</f>
        <v>169</v>
      </c>
      <c r="N3" s="72" t="s">
        <v>13</v>
      </c>
      <c r="O3" s="28" cm="1">
        <f t="array" ref="O3">_xlfn.IFS(N3="+",ROUNDDOWN($I$3 * (1 + Q3) ^ 3,2),N3="=",I3)</f>
        <v>219.7</v>
      </c>
      <c r="Q3" s="83">
        <v>0.3</v>
      </c>
    </row>
    <row r="4" spans="1:17" x14ac:dyDescent="0.25">
      <c r="A4" s="90" t="str">
        <f t="shared" ref="A4:A5" si="0">_xlfn.CONCAT(B4,"_",LEFT(C4,3))</f>
        <v>2_Bub</v>
      </c>
      <c r="B4" s="27">
        <v>2</v>
      </c>
      <c r="C4" s="90" t="s">
        <v>148</v>
      </c>
      <c r="D4" s="29">
        <f>D3</f>
        <v>100</v>
      </c>
      <c r="E4" s="29">
        <f t="shared" ref="E4:G4" si="1">E3</f>
        <v>2</v>
      </c>
      <c r="F4" s="29">
        <f t="shared" si="1"/>
        <v>10</v>
      </c>
      <c r="H4" s="79" t="s">
        <v>157</v>
      </c>
      <c r="I4" s="29">
        <f>E3</f>
        <v>2</v>
      </c>
      <c r="J4" s="74" t="s">
        <v>13</v>
      </c>
      <c r="K4" s="29" cm="1">
        <f t="array" ref="K4">_xlfn.IFS(J4="+",ROUNDDOWN($I$4 * (1 + Q4) ^ 1,2),J4="=",I4)</f>
        <v>2.6</v>
      </c>
      <c r="L4" s="74" t="s">
        <v>13</v>
      </c>
      <c r="M4" s="29" cm="1">
        <f t="array" ref="M4">_xlfn.IFS(L4="+",ROUNDDOWN($I$4 * (1 + Q4) ^ 2,2),L4="=",I4)</f>
        <v>3.38</v>
      </c>
      <c r="N4" s="74" t="s">
        <v>13</v>
      </c>
      <c r="O4" s="29" cm="1">
        <f t="array" ref="O4">_xlfn.IFS(N4="+",ROUNDDOWN($I$4 * (1 + Q4) ^ 3,2),N4="=",I4)</f>
        <v>4.3899999999999997</v>
      </c>
      <c r="Q4" s="90">
        <v>0.3</v>
      </c>
    </row>
    <row r="5" spans="1:17" x14ac:dyDescent="0.25">
      <c r="A5" s="83" t="str">
        <f t="shared" si="0"/>
        <v>3_Sta</v>
      </c>
      <c r="B5" s="27">
        <v>3</v>
      </c>
      <c r="C5" s="28" t="s">
        <v>149</v>
      </c>
      <c r="D5" s="28">
        <f>D3</f>
        <v>100</v>
      </c>
      <c r="E5" s="28">
        <f t="shared" ref="E5:G5" si="2">E3</f>
        <v>2</v>
      </c>
      <c r="F5" s="28">
        <f t="shared" si="2"/>
        <v>10</v>
      </c>
      <c r="H5" s="78" t="s">
        <v>158</v>
      </c>
      <c r="I5" s="28">
        <f>F3</f>
        <v>10</v>
      </c>
      <c r="J5" s="72" t="s">
        <v>13</v>
      </c>
      <c r="K5" s="28" cm="1">
        <f t="array" aca="1" ref="K5" ca="1">_xlfn.IFS(J5="+",ROUNDDOWN($K$5 * (1 + Q5) ^ 1,2),J5="=",I5)</f>
        <v>6</v>
      </c>
      <c r="L5" s="72" t="s">
        <v>13</v>
      </c>
      <c r="M5" s="28" cm="1">
        <f t="array" aca="1" ref="M5" ca="1">_xlfn.IFS(L5="+",ROUNDDOWN($K$5 * (1 + Q5) ^ 2,2),L5="=",I5)</f>
        <v>7.2</v>
      </c>
      <c r="N5" s="72" t="s">
        <v>13</v>
      </c>
      <c r="O5" s="28" cm="1">
        <f t="array" aca="1" ref="O5" ca="1">_xlfn.IFS(N5="+",ROUNDDOWN($K$5 * (1 + Q5) ^ 3,2),N5="=",M5)</f>
        <v>8.64</v>
      </c>
      <c r="Q5" s="83">
        <v>0.1</v>
      </c>
    </row>
    <row r="6" spans="1:17" x14ac:dyDescent="0.25">
      <c r="H6" s="79" t="s">
        <v>80</v>
      </c>
      <c r="I6" s="29">
        <v>10</v>
      </c>
      <c r="J6" s="72" t="s">
        <v>13</v>
      </c>
      <c r="K6" s="29" cm="1">
        <f t="array" ref="K6">_xlfn.IFS(J6="+",ROUNDUP($I$6 * (1 + Q6) ^ 1,2),J6="=",I6)</f>
        <v>12</v>
      </c>
      <c r="L6" s="72" t="s">
        <v>13</v>
      </c>
      <c r="M6" s="29" cm="1">
        <f t="array" ref="M6">_xlfn.IFS(L6="+",ROUNDUP($I$6 * (1 + Q6) ^ 2,0),L6="=",I6)</f>
        <v>15</v>
      </c>
      <c r="N6" s="72" t="s">
        <v>13</v>
      </c>
      <c r="O6" s="29" cm="1">
        <f t="array" ref="O6">_xlfn.IFS(N6="+",ROUNDUP($I$6 * (1 + Q6) ^ 3,0),N6="=",I6)</f>
        <v>18</v>
      </c>
      <c r="Q6" s="90">
        <v>0.2</v>
      </c>
    </row>
    <row r="7" spans="1:17" x14ac:dyDescent="0.25">
      <c r="C7" s="120" t="s">
        <v>90</v>
      </c>
      <c r="D7" s="120"/>
    </row>
    <row r="8" spans="1:17" x14ac:dyDescent="0.25">
      <c r="C8" s="121" t="s">
        <v>152</v>
      </c>
      <c r="D8" s="121" t="s">
        <v>154</v>
      </c>
      <c r="H8" s="77" t="s">
        <v>33</v>
      </c>
      <c r="I8" s="82" t="s">
        <v>35</v>
      </c>
      <c r="J8" s="82"/>
      <c r="K8" s="82" t="s">
        <v>57</v>
      </c>
      <c r="L8" s="82"/>
      <c r="M8" s="82" t="s">
        <v>34</v>
      </c>
      <c r="N8" s="82"/>
      <c r="O8" s="77" t="s">
        <v>65</v>
      </c>
      <c r="P8" s="77"/>
    </row>
    <row r="9" spans="1:17" x14ac:dyDescent="0.25">
      <c r="C9" s="121"/>
      <c r="D9" s="121"/>
      <c r="H9" s="10" t="s">
        <v>160</v>
      </c>
      <c r="I9" s="81" t="str">
        <f>VLOOKUP($H$9,FACTORY,3)</f>
        <v>Pizza</v>
      </c>
      <c r="J9" s="81"/>
      <c r="K9" s="135">
        <f>VLOOKUP($H$9,FACTORY,4)</f>
        <v>100</v>
      </c>
      <c r="L9" s="81"/>
      <c r="M9" s="135">
        <f>VLOOKUP($H$9,FACTORY,5)</f>
        <v>2</v>
      </c>
      <c r="N9" s="72"/>
      <c r="O9" s="135">
        <f>VLOOKUP($H$9,FACTORY,6)</f>
        <v>10</v>
      </c>
      <c r="P9" s="72"/>
    </row>
    <row r="10" spans="1:17" x14ac:dyDescent="0.25">
      <c r="C10" s="28">
        <f>ROUND(D3/E3,0)</f>
        <v>50</v>
      </c>
      <c r="D10" s="28">
        <f>D3/F3</f>
        <v>10</v>
      </c>
    </row>
  </sheetData>
  <mergeCells count="3">
    <mergeCell ref="C7:D7"/>
    <mergeCell ref="C8:C9"/>
    <mergeCell ref="D8:D9"/>
  </mergeCells>
  <dataValidations count="3">
    <dataValidation type="list" allowBlank="1" showInputMessage="1" showErrorMessage="1" sqref="C3:C5" xr:uid="{3B253C10-CDF1-4648-9DF4-6FC7222F90C3}">
      <formula1>STAT_FACTORY</formula1>
    </dataValidation>
    <dataValidation type="list" allowBlank="1" showInputMessage="1" showErrorMessage="1" sqref="J3:J6 L3:L6 N3:N6 P3:P6 R3:R6" xr:uid="{521F7D0B-1CF3-43FC-9A6E-F52C923543F8}">
      <formula1>SIGN</formula1>
    </dataValidation>
    <dataValidation type="list" allowBlank="1" showInputMessage="1" showErrorMessage="1" sqref="H9" xr:uid="{9822A667-ACA7-493D-8165-DFF96FA1B1AB}">
      <formula1>CODE_FACTORY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8" operator="containsText" id="{2D7A5AC1-382C-4771-8D93-F63BA34D21A2}">
            <xm:f>NOT(ISERROR(SEARCH("=",J3)))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J3:J6</xm:sqref>
        </x14:conditionalFormatting>
        <x14:conditionalFormatting xmlns:xm="http://schemas.microsoft.com/office/excel/2006/main">
          <x14:cfRule type="containsText" priority="17" operator="containsText" id="{C62C2A07-5155-4334-93D2-0CA1FCC4355B}">
            <xm:f>NOT(ISERROR(SEARCH("+",J3)))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J3:J6</xm:sqref>
        </x14:conditionalFormatting>
        <x14:conditionalFormatting xmlns:xm="http://schemas.microsoft.com/office/excel/2006/main">
          <x14:cfRule type="containsText" priority="16" operator="containsText" id="{D958A33F-9591-40E5-842E-45D140BCC588}">
            <xm:f>NOT(ISERROR(SEARCH("=",L3)))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L3:L5</xm:sqref>
        </x14:conditionalFormatting>
        <x14:conditionalFormatting xmlns:xm="http://schemas.microsoft.com/office/excel/2006/main">
          <x14:cfRule type="containsText" priority="15" operator="containsText" id="{00BC4EF5-3EDE-4EB2-99D8-E9171F2F5450}">
            <xm:f>NOT(ISERROR(SEARCH("+",L3)))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L3:L5</xm:sqref>
        </x14:conditionalFormatting>
        <x14:conditionalFormatting xmlns:xm="http://schemas.microsoft.com/office/excel/2006/main">
          <x14:cfRule type="containsText" priority="14" operator="containsText" id="{70B003B0-A6DC-4880-82ED-30CFCAC64AD7}">
            <xm:f>NOT(ISERROR(SEARCH("=",N3)))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N3:N6</xm:sqref>
        </x14:conditionalFormatting>
        <x14:conditionalFormatting xmlns:xm="http://schemas.microsoft.com/office/excel/2006/main">
          <x14:cfRule type="containsText" priority="13" operator="containsText" id="{2D85DD62-DA29-4E5D-B4A6-EE0061934C18}">
            <xm:f>NOT(ISERROR(SEARCH("+",N3)))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N3:N6</xm:sqref>
        </x14:conditionalFormatting>
        <x14:conditionalFormatting xmlns:xm="http://schemas.microsoft.com/office/excel/2006/main">
          <x14:cfRule type="containsText" priority="6" operator="containsText" id="{6A02CAD9-45B3-40E7-BD15-DB6C51024814}">
            <xm:f>NOT(ISERROR(SEARCH("=",L6)))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L6</xm:sqref>
        </x14:conditionalFormatting>
        <x14:conditionalFormatting xmlns:xm="http://schemas.microsoft.com/office/excel/2006/main">
          <x14:cfRule type="containsText" priority="5" operator="containsText" id="{36AA0D63-ED68-478E-82B0-15A6C2683F1A}">
            <xm:f>NOT(ISERROR(SEARCH("+",L6)))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L6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E0B1E-C30D-4807-9C0B-B17E796108D4}">
  <dimension ref="A1:X18"/>
  <sheetViews>
    <sheetView zoomScaleNormal="100" workbookViewId="0">
      <selection activeCell="H11" sqref="H11"/>
    </sheetView>
  </sheetViews>
  <sheetFormatPr baseColWidth="10" defaultRowHeight="15" x14ac:dyDescent="0.25"/>
  <cols>
    <col min="1" max="1" width="14.28515625" style="45" customWidth="1"/>
    <col min="2" max="2" width="5.7109375" style="45" customWidth="1"/>
    <col min="3" max="8" width="11.42578125" style="45"/>
    <col min="9" max="9" width="4.28515625" style="45" customWidth="1"/>
    <col min="10" max="10" width="14.28515625" style="45" customWidth="1"/>
    <col min="11" max="11" width="11.42578125" style="45"/>
    <col min="12" max="12" width="4.28515625" style="45" customWidth="1"/>
    <col min="13" max="13" width="11.42578125" style="45"/>
    <col min="14" max="14" width="4.28515625" style="45" customWidth="1"/>
    <col min="15" max="15" width="11.42578125" style="45"/>
    <col min="16" max="16" width="4.28515625" style="45" customWidth="1"/>
    <col min="17" max="17" width="11.42578125" style="45"/>
    <col min="18" max="18" width="4.28515625" style="45" customWidth="1"/>
    <col min="19" max="19" width="11.42578125" style="45" customWidth="1"/>
    <col min="20" max="20" width="4.28515625" style="45" customWidth="1"/>
    <col min="21" max="21" width="11.42578125" style="45"/>
    <col min="22" max="22" width="4.28515625" style="45" customWidth="1"/>
    <col min="23" max="16384" width="11.42578125" style="45"/>
  </cols>
  <sheetData>
    <row r="1" spans="1:24" x14ac:dyDescent="0.25">
      <c r="A1" s="59">
        <v>1</v>
      </c>
      <c r="B1" s="59">
        <v>2</v>
      </c>
      <c r="C1" s="59">
        <v>3</v>
      </c>
      <c r="D1" s="59">
        <v>4</v>
      </c>
      <c r="E1" s="59">
        <v>5</v>
      </c>
      <c r="F1" s="59">
        <v>6</v>
      </c>
      <c r="G1" s="59">
        <v>7</v>
      </c>
      <c r="H1" s="59">
        <v>8</v>
      </c>
      <c r="I1" s="59"/>
      <c r="J1" s="59">
        <v>1</v>
      </c>
      <c r="K1" s="59">
        <v>2</v>
      </c>
      <c r="L1" s="59">
        <v>3</v>
      </c>
      <c r="M1" s="59">
        <v>4</v>
      </c>
      <c r="N1" s="59">
        <v>5</v>
      </c>
      <c r="O1" s="59">
        <v>6</v>
      </c>
      <c r="P1" s="59">
        <v>7</v>
      </c>
      <c r="Q1" s="59">
        <v>8</v>
      </c>
      <c r="R1" s="59">
        <v>9</v>
      </c>
      <c r="S1" s="59">
        <v>10</v>
      </c>
      <c r="T1" s="59">
        <v>11</v>
      </c>
      <c r="U1" s="59">
        <v>12</v>
      </c>
      <c r="V1" s="59"/>
      <c r="W1" s="59"/>
      <c r="X1" s="59"/>
    </row>
    <row r="2" spans="1:24" ht="30" x14ac:dyDescent="0.25">
      <c r="A2" s="23" t="s">
        <v>18</v>
      </c>
      <c r="B2" s="23" t="s">
        <v>19</v>
      </c>
      <c r="C2" s="23" t="s">
        <v>20</v>
      </c>
      <c r="D2" s="23" t="s">
        <v>29</v>
      </c>
      <c r="E2" s="23" t="s">
        <v>28</v>
      </c>
      <c r="F2" s="23" t="s">
        <v>27</v>
      </c>
      <c r="G2" s="23" t="s">
        <v>64</v>
      </c>
      <c r="H2" s="23" t="s">
        <v>89</v>
      </c>
      <c r="I2" s="61"/>
      <c r="J2" s="65" t="s">
        <v>58</v>
      </c>
      <c r="K2" s="37" t="s">
        <v>68</v>
      </c>
      <c r="L2" s="39"/>
      <c r="M2" s="37" t="s">
        <v>69</v>
      </c>
      <c r="N2" s="39"/>
      <c r="O2" s="37" t="s">
        <v>70</v>
      </c>
      <c r="P2" s="39"/>
      <c r="Q2" s="37" t="s">
        <v>71</v>
      </c>
      <c r="R2" s="39"/>
      <c r="S2" s="37" t="s">
        <v>72</v>
      </c>
      <c r="T2" s="39"/>
      <c r="U2" s="37" t="s">
        <v>73</v>
      </c>
      <c r="V2" s="17"/>
      <c r="W2" s="30" t="s">
        <v>78</v>
      </c>
    </row>
    <row r="3" spans="1:24" x14ac:dyDescent="0.25">
      <c r="A3" s="15" t="str">
        <f>_xlfn.CONCAT(B3,"_",LEFT(C3,4),"_",LEFT(D3,4))</f>
        <v>1_Inse_Norm</v>
      </c>
      <c r="B3" s="27">
        <v>1</v>
      </c>
      <c r="C3" s="15" t="s">
        <v>23</v>
      </c>
      <c r="D3" s="15" t="s">
        <v>32</v>
      </c>
      <c r="E3" s="31">
        <v>10</v>
      </c>
      <c r="F3" s="31">
        <v>3</v>
      </c>
      <c r="G3" s="31">
        <v>5</v>
      </c>
      <c r="H3" s="31">
        <v>5</v>
      </c>
      <c r="I3" s="62"/>
      <c r="J3" s="22" t="s">
        <v>28</v>
      </c>
      <c r="K3" s="28">
        <f>O9</f>
        <v>10</v>
      </c>
      <c r="L3" s="40" t="s">
        <v>13</v>
      </c>
      <c r="M3" s="28" cm="1">
        <f t="array" ref="M3">_xlfn.IFS(L3="+",ROUNDDOWN($K$3 * (1 + W3) ^ 1,2),L3="=",K3)</f>
        <v>15</v>
      </c>
      <c r="N3" s="40" t="s">
        <v>13</v>
      </c>
      <c r="O3" s="28" cm="1">
        <f t="array" ref="O3">_xlfn.IFS(N3="+",ROUNDDOWN($K$3 * (1 + W3) ^ 2,2),N3="=",K3)</f>
        <v>22.5</v>
      </c>
      <c r="P3" s="40" t="s">
        <v>13</v>
      </c>
      <c r="Q3" s="28" cm="1">
        <f t="array" ref="Q3">_xlfn.IFS(P3="+",ROUNDDOWN($K$3 * (1 + W3) ^ 3,2),P3="=",K3)</f>
        <v>33.75</v>
      </c>
      <c r="R3" s="40" t="s">
        <v>13</v>
      </c>
      <c r="S3" s="28" cm="1">
        <f t="array" ref="S3">_xlfn.IFS(R3="+",ROUNDDOWN($K$3 * (1 + W3) ^ 4,2),R3="=",K3)</f>
        <v>50.62</v>
      </c>
      <c r="T3" s="40" t="s">
        <v>13</v>
      </c>
      <c r="U3" s="28" cm="1">
        <f t="array" ref="U3">_xlfn.IFS(R3="+",ROUNDDOWN($K$3 * (1 + W3) ^ 5,2),R3="=",K3)</f>
        <v>75.930000000000007</v>
      </c>
      <c r="V3" s="17"/>
      <c r="W3" s="15">
        <v>0.5</v>
      </c>
    </row>
    <row r="4" spans="1:24" x14ac:dyDescent="0.25">
      <c r="A4" s="14" t="str">
        <f t="shared" ref="A4:A11" si="0">_xlfn.CONCAT(B4,"_",LEFT(C4,4),"_",LEFT(D4,4))</f>
        <v>2_Inse_Inta</v>
      </c>
      <c r="B4" s="27">
        <v>2</v>
      </c>
      <c r="C4" s="14" t="s">
        <v>23</v>
      </c>
      <c r="D4" s="14" t="s">
        <v>31</v>
      </c>
      <c r="E4" s="31">
        <v>6</v>
      </c>
      <c r="F4" s="31">
        <v>5</v>
      </c>
      <c r="G4" s="31">
        <v>3</v>
      </c>
      <c r="H4" s="31">
        <v>2</v>
      </c>
      <c r="I4" s="62"/>
      <c r="J4" s="38" t="s">
        <v>45</v>
      </c>
      <c r="K4" s="29">
        <f>Q9</f>
        <v>3</v>
      </c>
      <c r="L4" s="36" t="s">
        <v>13</v>
      </c>
      <c r="M4" s="29" cm="1">
        <f t="array" ref="M4">_xlfn.IFS(L4="+",ROUNDDOWN($K$4 * (1 + W4) ^ 1,2),L4="=",K4)</f>
        <v>3.9</v>
      </c>
      <c r="N4" s="36" t="s">
        <v>13</v>
      </c>
      <c r="O4" s="29" cm="1">
        <f t="array" ref="O4">_xlfn.IFS(N4="+",ROUNDDOWN($K$4 * (1 + W4) ^ 1,2),N4="=",M4)</f>
        <v>3.9</v>
      </c>
      <c r="P4" s="36" t="s">
        <v>13</v>
      </c>
      <c r="Q4" s="29" cm="1">
        <f t="array" ref="Q4">_xlfn.IFS(P4="+",ROUNDDOWN($K$4 * (1 + W4) ^ 1,2),P4="=",O4)</f>
        <v>3.9</v>
      </c>
      <c r="R4" s="36" t="s">
        <v>13</v>
      </c>
      <c r="S4" s="29" cm="1">
        <f t="array" ref="S4">_xlfn.IFS(R4="+",ROUNDDOWN($K$4 * (1 + W4) ^ 1,2),R4="=",Q4)</f>
        <v>3.9</v>
      </c>
      <c r="T4" s="36" t="s">
        <v>13</v>
      </c>
      <c r="U4" s="29" cm="1">
        <f t="array" ref="U4">_xlfn.IFS(T4="+",ROUNDDOWN($K$4 * (1 + W4) ^ 1,2),T4="=",S4)</f>
        <v>3.9</v>
      </c>
      <c r="V4" s="17"/>
      <c r="W4" s="14">
        <v>0.3</v>
      </c>
    </row>
    <row r="5" spans="1:24" x14ac:dyDescent="0.25">
      <c r="A5" s="15" t="str">
        <f t="shared" si="0"/>
        <v>3_Inse_Sabo</v>
      </c>
      <c r="B5" s="27">
        <v>3</v>
      </c>
      <c r="C5" s="15" t="s">
        <v>23</v>
      </c>
      <c r="D5" s="15" t="s">
        <v>30</v>
      </c>
      <c r="E5" s="31">
        <v>15</v>
      </c>
      <c r="F5" s="31">
        <v>2</v>
      </c>
      <c r="G5" s="31">
        <v>7.5</v>
      </c>
      <c r="H5" s="31">
        <v>10</v>
      </c>
      <c r="J5" s="22" t="s">
        <v>74</v>
      </c>
      <c r="K5" s="28">
        <f>S9</f>
        <v>5</v>
      </c>
      <c r="L5" s="40" t="s">
        <v>13</v>
      </c>
      <c r="M5" s="28" cm="1">
        <f t="array" ref="M5">_xlfn.IFS(L5="+",ROUNDDOWN($K$5 * (1 + W5) ^ 1,2),L5="=",K5)</f>
        <v>6</v>
      </c>
      <c r="N5" s="40" t="s">
        <v>13</v>
      </c>
      <c r="O5" s="28" cm="1">
        <f t="array" ref="O5">_xlfn.IFS(N5="+",ROUNDDOWN($K$5 * (1 + W5) ^ 2,2),N5="=",K5)</f>
        <v>7.2</v>
      </c>
      <c r="P5" s="40" t="s">
        <v>13</v>
      </c>
      <c r="Q5" s="28" cm="1">
        <f t="array" ref="Q5">_xlfn.IFS(P5="+",ROUNDDOWN($K$5 * (1 + W5) ^ 3,2),P5="=",O5)</f>
        <v>8.64</v>
      </c>
      <c r="R5" s="40" t="s">
        <v>13</v>
      </c>
      <c r="S5" s="28" cm="1">
        <f t="array" ref="S5">_xlfn.IFS(R5="+",ROUNDDOWN($K$5 * (1 + W5) ^ 4,2),R5="=",Q5)</f>
        <v>10.36</v>
      </c>
      <c r="T5" s="40" t="s">
        <v>13</v>
      </c>
      <c r="U5" s="28" cm="1">
        <f t="array" ref="U5">_xlfn.IFS(T5="+",ROUNDDOWN($K$5 * (1 + W5) ^ 5,2),T5="=",S5)</f>
        <v>12.44</v>
      </c>
      <c r="V5" s="17"/>
      <c r="W5" s="15">
        <v>0.2</v>
      </c>
    </row>
    <row r="6" spans="1:24" x14ac:dyDescent="0.25">
      <c r="A6" s="14" t="str">
        <f t="shared" si="0"/>
        <v>4_Ghos_Norm</v>
      </c>
      <c r="B6" s="27">
        <v>4</v>
      </c>
      <c r="C6" s="14" t="s">
        <v>24</v>
      </c>
      <c r="D6" s="14" t="s">
        <v>32</v>
      </c>
      <c r="E6" s="29">
        <f t="shared" ref="E6:E11" si="1">E3</f>
        <v>10</v>
      </c>
      <c r="F6" s="29">
        <f t="shared" ref="F6:H6" si="2">F3</f>
        <v>3</v>
      </c>
      <c r="G6" s="29">
        <f t="shared" si="2"/>
        <v>5</v>
      </c>
      <c r="H6" s="29">
        <f t="shared" si="2"/>
        <v>5</v>
      </c>
      <c r="J6" s="38" t="s">
        <v>77</v>
      </c>
      <c r="K6" s="29">
        <f>U9</f>
        <v>5</v>
      </c>
      <c r="L6" s="36" t="s">
        <v>13</v>
      </c>
      <c r="M6" s="29" cm="1">
        <f t="array" ref="M6">_xlfn.IFS(L6="+",ROUNDDOWN($K$6 * (1 + W6) ^ 1,2),L6="=",K6)</f>
        <v>7.5</v>
      </c>
      <c r="N6" s="36" t="s">
        <v>13</v>
      </c>
      <c r="O6" s="29" cm="1">
        <f t="array" ref="O6">_xlfn.IFS(L6="+",ROUNDDOWN($K$6 * (1 + W6) ^ 2,2),L6="=",K6)</f>
        <v>11.25</v>
      </c>
      <c r="P6" s="36" t="s">
        <v>13</v>
      </c>
      <c r="Q6" s="29" cm="1">
        <f t="array" ref="Q6">_xlfn.IFS(L6="+",ROUNDDOWN($K$6 * (1 + W6) ^ 3,2),L6="=",K6)</f>
        <v>16.87</v>
      </c>
      <c r="R6" s="36" t="s">
        <v>13</v>
      </c>
      <c r="S6" s="29" cm="1">
        <f t="array" ref="S6">_xlfn.IFS(L6="+",ROUNDDOWN($K$6 * (1 + W6) ^ 4,2),L6="=",K6)</f>
        <v>25.31</v>
      </c>
      <c r="T6" s="36" t="s">
        <v>13</v>
      </c>
      <c r="U6" s="29" cm="1">
        <f t="array" ref="U6">_xlfn.IFS(L6="+",ROUNDDOWN($K$6 * (1 + W6) ^ 5,2),L6="=",K6)</f>
        <v>37.96</v>
      </c>
      <c r="V6" s="17"/>
      <c r="W6" s="14">
        <v>0.5</v>
      </c>
    </row>
    <row r="7" spans="1:24" x14ac:dyDescent="0.25">
      <c r="A7" s="15" t="str">
        <f t="shared" si="0"/>
        <v>5_Ghos_Inta</v>
      </c>
      <c r="B7" s="27">
        <v>5</v>
      </c>
      <c r="C7" s="15" t="s">
        <v>24</v>
      </c>
      <c r="D7" s="15" t="s">
        <v>31</v>
      </c>
      <c r="E7" s="28">
        <f t="shared" si="1"/>
        <v>6</v>
      </c>
      <c r="F7" s="28">
        <f t="shared" ref="F7:H7" si="3">F4</f>
        <v>5</v>
      </c>
      <c r="G7" s="28">
        <f t="shared" si="3"/>
        <v>3</v>
      </c>
      <c r="H7" s="28">
        <f t="shared" si="3"/>
        <v>2</v>
      </c>
    </row>
    <row r="8" spans="1:24" x14ac:dyDescent="0.25">
      <c r="A8" s="14" t="str">
        <f t="shared" si="0"/>
        <v>6_Ghos_Sabo</v>
      </c>
      <c r="B8" s="27">
        <v>6</v>
      </c>
      <c r="C8" s="14" t="s">
        <v>24</v>
      </c>
      <c r="D8" s="14" t="s">
        <v>30</v>
      </c>
      <c r="E8" s="29">
        <f t="shared" si="1"/>
        <v>15</v>
      </c>
      <c r="F8" s="29">
        <f t="shared" ref="F8:H8" si="4">F5</f>
        <v>2</v>
      </c>
      <c r="G8" s="29">
        <f t="shared" si="4"/>
        <v>7.5</v>
      </c>
      <c r="H8" s="29">
        <f t="shared" si="4"/>
        <v>10</v>
      </c>
      <c r="J8" s="26" t="s">
        <v>33</v>
      </c>
      <c r="K8" s="82" t="s">
        <v>35</v>
      </c>
      <c r="L8" s="82"/>
      <c r="M8" s="82" t="s">
        <v>57</v>
      </c>
      <c r="N8" s="82"/>
      <c r="O8" s="82" t="s">
        <v>34</v>
      </c>
      <c r="P8" s="82"/>
      <c r="Q8" s="26" t="s">
        <v>65</v>
      </c>
      <c r="R8" s="26"/>
      <c r="S8" s="26" t="s">
        <v>66</v>
      </c>
      <c r="T8" s="26"/>
      <c r="U8" s="26" t="s">
        <v>77</v>
      </c>
    </row>
    <row r="9" spans="1:24" x14ac:dyDescent="0.25">
      <c r="A9" s="15" t="str">
        <f t="shared" si="0"/>
        <v>7_Vege_Norm</v>
      </c>
      <c r="B9" s="27">
        <v>7</v>
      </c>
      <c r="C9" s="15" t="s">
        <v>25</v>
      </c>
      <c r="D9" s="15" t="s">
        <v>32</v>
      </c>
      <c r="E9" s="28">
        <f t="shared" si="1"/>
        <v>10</v>
      </c>
      <c r="F9" s="28">
        <f t="shared" ref="F9:H9" si="5">F6</f>
        <v>3</v>
      </c>
      <c r="G9" s="28">
        <f t="shared" si="5"/>
        <v>5</v>
      </c>
      <c r="H9" s="28">
        <f t="shared" si="5"/>
        <v>5</v>
      </c>
      <c r="J9" s="10" t="s">
        <v>94</v>
      </c>
      <c r="K9" s="81" t="str">
        <f>VLOOKUP($J$9,ENEMY,3)</f>
        <v>Insect</v>
      </c>
      <c r="L9" s="81"/>
      <c r="M9" s="81" t="str">
        <f>VLOOKUP($J$9,ENEMY,4)</f>
        <v>Normal</v>
      </c>
      <c r="N9" s="81"/>
      <c r="O9" s="68">
        <f>VLOOKUP($J$9,ENEMY,5)</f>
        <v>10</v>
      </c>
      <c r="P9" s="40"/>
      <c r="Q9" s="40">
        <f>VLOOKUP($J$9,ENEMY,6)</f>
        <v>3</v>
      </c>
      <c r="R9" s="40"/>
      <c r="S9" s="40">
        <f>VLOOKUP($J$9,ENEMY,7)</f>
        <v>5</v>
      </c>
      <c r="T9" s="40"/>
      <c r="U9" s="40">
        <f>VLOOKUP($J$9,ENEMY,8)</f>
        <v>5</v>
      </c>
    </row>
    <row r="10" spans="1:24" x14ac:dyDescent="0.25">
      <c r="A10" s="14" t="str">
        <f t="shared" si="0"/>
        <v>8_Vege_Inta</v>
      </c>
      <c r="B10" s="27">
        <v>8</v>
      </c>
      <c r="C10" s="14" t="s">
        <v>25</v>
      </c>
      <c r="D10" s="14" t="s">
        <v>31</v>
      </c>
      <c r="E10" s="29">
        <f t="shared" si="1"/>
        <v>6</v>
      </c>
      <c r="F10" s="29">
        <f t="shared" ref="F10:H10" si="6">F7</f>
        <v>5</v>
      </c>
      <c r="G10" s="29">
        <f t="shared" si="6"/>
        <v>3</v>
      </c>
      <c r="H10" s="29">
        <f t="shared" si="6"/>
        <v>2</v>
      </c>
    </row>
    <row r="11" spans="1:24" x14ac:dyDescent="0.25">
      <c r="A11" s="15" t="str">
        <f t="shared" si="0"/>
        <v>9_Vege_Sabo</v>
      </c>
      <c r="B11" s="27">
        <v>9</v>
      </c>
      <c r="C11" s="15" t="s">
        <v>25</v>
      </c>
      <c r="D11" s="15" t="s">
        <v>30</v>
      </c>
      <c r="E11" s="28">
        <f t="shared" si="1"/>
        <v>15</v>
      </c>
      <c r="F11" s="28">
        <f t="shared" ref="F11:H11" si="7">F8</f>
        <v>2</v>
      </c>
      <c r="G11" s="28">
        <f t="shared" si="7"/>
        <v>7.5</v>
      </c>
      <c r="H11" s="28">
        <f t="shared" si="7"/>
        <v>10</v>
      </c>
    </row>
    <row r="12" spans="1:24" x14ac:dyDescent="0.25">
      <c r="B12" s="60"/>
    </row>
    <row r="13" spans="1:24" x14ac:dyDescent="0.25">
      <c r="C13" s="120" t="s">
        <v>90</v>
      </c>
      <c r="D13" s="120"/>
    </row>
    <row r="14" spans="1:24" x14ac:dyDescent="0.25">
      <c r="C14" s="121" t="s">
        <v>93</v>
      </c>
      <c r="D14" s="121" t="s">
        <v>95</v>
      </c>
    </row>
    <row r="15" spans="1:24" x14ac:dyDescent="0.25">
      <c r="C15" s="121"/>
      <c r="D15" s="121"/>
    </row>
    <row r="16" spans="1:24" x14ac:dyDescent="0.25">
      <c r="C16" s="28">
        <f>E3*F3</f>
        <v>30</v>
      </c>
      <c r="D16" s="28">
        <f>G3/E3</f>
        <v>0.5</v>
      </c>
      <c r="J16" s="80"/>
    </row>
    <row r="17" spans="3:4" x14ac:dyDescent="0.25">
      <c r="C17" s="29">
        <f>E4*F4</f>
        <v>30</v>
      </c>
      <c r="D17" s="29">
        <f>G4/E4</f>
        <v>0.5</v>
      </c>
    </row>
    <row r="18" spans="3:4" x14ac:dyDescent="0.25">
      <c r="C18" s="28">
        <f>E5*F5</f>
        <v>30</v>
      </c>
      <c r="D18" s="28">
        <f>G5/E5</f>
        <v>0.5</v>
      </c>
    </row>
  </sheetData>
  <mergeCells count="3">
    <mergeCell ref="C13:D13"/>
    <mergeCell ref="C14:C15"/>
    <mergeCell ref="D14:D15"/>
  </mergeCells>
  <dataValidations count="5">
    <dataValidation type="list" allowBlank="1" showInputMessage="1" showErrorMessage="1" sqref="C3:C11" xr:uid="{F0CFF0F4-7CFA-4B01-9C74-8489484BAAD3}">
      <formula1>CAT_ENEMIES</formula1>
    </dataValidation>
    <dataValidation type="list" allowBlank="1" showInputMessage="1" showErrorMessage="1" sqref="D3:D11" xr:uid="{425E8E53-AC8E-422D-AE8E-D604EB9F6490}">
      <formula1>TYP_ENEMIES</formula1>
    </dataValidation>
    <dataValidation type="list" allowBlank="1" showInputMessage="1" showErrorMessage="1" sqref="J3:J6" xr:uid="{B4AE7A1A-FD16-404C-A5D9-BB5D0F6C8E88}">
      <formula1>STAT_ENEMY</formula1>
    </dataValidation>
    <dataValidation type="list" allowBlank="1" showInputMessage="1" showErrorMessage="1" sqref="T3:T6 L3:L6 N3:N6 P3:P6 R3:R6" xr:uid="{6DAA55C9-B8EB-4C00-8C56-104CDDC61579}">
      <formula1>SIGN</formula1>
    </dataValidation>
    <dataValidation type="list" allowBlank="1" showInputMessage="1" showErrorMessage="1" sqref="J9" xr:uid="{A1612BDB-6C62-4CBA-956B-64B7B4954F20}">
      <formula1>CODE_ENEMIES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0" operator="containsText" id="{6FCD8B1C-165A-4C57-BA57-04931B29562A}">
            <xm:f>NOT(ISERROR(SEARCH("=",L3)))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L3:L6</xm:sqref>
        </x14:conditionalFormatting>
        <x14:conditionalFormatting xmlns:xm="http://schemas.microsoft.com/office/excel/2006/main">
          <x14:cfRule type="containsText" priority="9" operator="containsText" id="{88DF42B1-C3DA-4AE4-9D2C-60B9C37D472B}">
            <xm:f>NOT(ISERROR(SEARCH("+",L3)))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L3:L6</xm:sqref>
        </x14:conditionalFormatting>
        <x14:conditionalFormatting xmlns:xm="http://schemas.microsoft.com/office/excel/2006/main">
          <x14:cfRule type="containsText" priority="8" operator="containsText" id="{7CD67BAE-001C-4926-8BD1-D618BC567139}">
            <xm:f>NOT(ISERROR(SEARCH("=",N3)))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N3:N6</xm:sqref>
        </x14:conditionalFormatting>
        <x14:conditionalFormatting xmlns:xm="http://schemas.microsoft.com/office/excel/2006/main">
          <x14:cfRule type="containsText" priority="7" operator="containsText" id="{9A97B82A-C8FF-484D-A179-AFE50BF821AA}">
            <xm:f>NOT(ISERROR(SEARCH("+",N3)))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N3:N6</xm:sqref>
        </x14:conditionalFormatting>
        <x14:conditionalFormatting xmlns:xm="http://schemas.microsoft.com/office/excel/2006/main">
          <x14:cfRule type="containsText" priority="6" operator="containsText" id="{6299027F-2EBC-47F3-B00F-34085291793F}">
            <xm:f>NOT(ISERROR(SEARCH("=",P3)))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P3:P6</xm:sqref>
        </x14:conditionalFormatting>
        <x14:conditionalFormatting xmlns:xm="http://schemas.microsoft.com/office/excel/2006/main">
          <x14:cfRule type="containsText" priority="5" operator="containsText" id="{C2F37EE2-AA7B-49B2-B0DB-F2AF397699F7}">
            <xm:f>NOT(ISERROR(SEARCH("+",P3)))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P3:P6</xm:sqref>
        </x14:conditionalFormatting>
        <x14:conditionalFormatting xmlns:xm="http://schemas.microsoft.com/office/excel/2006/main">
          <x14:cfRule type="containsText" priority="4" operator="containsText" id="{9FBFD2B7-15F0-4025-ADFB-FCDBFDD48A62}">
            <xm:f>NOT(ISERROR(SEARCH("=",R3)))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R3:R6</xm:sqref>
        </x14:conditionalFormatting>
        <x14:conditionalFormatting xmlns:xm="http://schemas.microsoft.com/office/excel/2006/main">
          <x14:cfRule type="containsText" priority="3" operator="containsText" id="{54B7A8A3-96F0-4469-B48D-56D75442D006}">
            <xm:f>NOT(ISERROR(SEARCH("+",R3)))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R3:R6</xm:sqref>
        </x14:conditionalFormatting>
        <x14:conditionalFormatting xmlns:xm="http://schemas.microsoft.com/office/excel/2006/main">
          <x14:cfRule type="containsText" priority="2" operator="containsText" id="{D0553422-FFDE-41E1-A882-6286AC95A0B6}">
            <xm:f>NOT(ISERROR(SEARCH("=",T3)))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T3:T6</xm:sqref>
        </x14:conditionalFormatting>
        <x14:conditionalFormatting xmlns:xm="http://schemas.microsoft.com/office/excel/2006/main">
          <x14:cfRule type="containsText" priority="1" operator="containsText" id="{8C46250D-3C62-47E5-AA26-68AF7A92EDE0}">
            <xm:f>NOT(ISERROR(SEARCH("+",T3)))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T3:T6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5D55D-CDD5-4A2E-B7B4-999FBD02BF13}">
  <dimension ref="A1:Z18"/>
  <sheetViews>
    <sheetView workbookViewId="0">
      <selection activeCell="O4" sqref="O4"/>
    </sheetView>
  </sheetViews>
  <sheetFormatPr baseColWidth="10" defaultRowHeight="15" x14ac:dyDescent="0.25"/>
  <cols>
    <col min="1" max="1" width="14.28515625" style="45" customWidth="1"/>
    <col min="2" max="2" width="5.7109375" style="45" customWidth="1"/>
    <col min="3" max="3" width="11.42578125" style="45" customWidth="1"/>
    <col min="4" max="6" width="11.42578125" style="45"/>
    <col min="7" max="9" width="11.42578125" style="45" customWidth="1"/>
    <col min="10" max="10" width="4.28515625" style="45" customWidth="1"/>
    <col min="11" max="11" width="11.42578125" style="45"/>
    <col min="12" max="12" width="11.42578125" style="45" customWidth="1"/>
    <col min="13" max="13" width="11.42578125" style="45"/>
    <col min="14" max="14" width="4.28515625" style="45" customWidth="1"/>
    <col min="15" max="15" width="11.42578125" style="45" customWidth="1"/>
    <col min="16" max="16" width="4.28515625" style="45" customWidth="1"/>
    <col min="17" max="17" width="11.42578125" style="45"/>
    <col min="18" max="18" width="4.28515625" style="45" customWidth="1"/>
    <col min="19" max="19" width="11.42578125" style="45"/>
    <col min="20" max="20" width="4.28515625" style="45" customWidth="1"/>
    <col min="21" max="21" width="11.42578125" style="45"/>
    <col min="22" max="22" width="4.28515625" style="45" customWidth="1"/>
    <col min="23" max="23" width="11.42578125" style="45"/>
    <col min="24" max="24" width="4.28515625" style="45" customWidth="1"/>
    <col min="25" max="25" width="11.42578125" style="45"/>
    <col min="26" max="26" width="4.28515625" style="45" customWidth="1"/>
    <col min="27" max="16384" width="11.42578125" style="45"/>
  </cols>
  <sheetData>
    <row r="1" spans="1:26" x14ac:dyDescent="0.25">
      <c r="A1" s="59">
        <v>1</v>
      </c>
      <c r="B1" s="59">
        <v>2</v>
      </c>
      <c r="C1" s="59">
        <v>3</v>
      </c>
      <c r="D1" s="59">
        <v>4</v>
      </c>
      <c r="E1" s="59">
        <v>5</v>
      </c>
      <c r="F1" s="59">
        <v>6</v>
      </c>
      <c r="G1" s="59">
        <v>7</v>
      </c>
      <c r="H1" s="59">
        <v>8</v>
      </c>
      <c r="I1" s="59">
        <v>9</v>
      </c>
      <c r="M1" s="45">
        <v>1</v>
      </c>
      <c r="N1" s="45">
        <v>2</v>
      </c>
      <c r="O1" s="45">
        <v>3</v>
      </c>
      <c r="P1" s="45">
        <v>4</v>
      </c>
      <c r="Q1" s="45">
        <v>5</v>
      </c>
      <c r="R1" s="45">
        <v>6</v>
      </c>
      <c r="S1" s="45">
        <v>7</v>
      </c>
      <c r="T1" s="45">
        <v>8</v>
      </c>
      <c r="U1" s="45">
        <v>9</v>
      </c>
      <c r="V1" s="45">
        <v>10</v>
      </c>
      <c r="W1" s="45">
        <v>11</v>
      </c>
      <c r="X1" s="45">
        <v>12</v>
      </c>
      <c r="Y1" s="45">
        <v>13</v>
      </c>
    </row>
    <row r="2" spans="1:26" ht="30" customHeight="1" x14ac:dyDescent="0.25">
      <c r="A2" s="37" t="s">
        <v>18</v>
      </c>
      <c r="B2" s="37" t="s">
        <v>19</v>
      </c>
      <c r="C2" s="37" t="s">
        <v>20</v>
      </c>
      <c r="D2" s="37" t="s">
        <v>51</v>
      </c>
      <c r="E2" s="37" t="s">
        <v>5</v>
      </c>
      <c r="F2" s="37" t="s">
        <v>15</v>
      </c>
      <c r="G2" s="37" t="s">
        <v>21</v>
      </c>
      <c r="H2" s="63" t="s">
        <v>40</v>
      </c>
      <c r="I2" s="63" t="s">
        <v>82</v>
      </c>
      <c r="K2" s="122" t="s">
        <v>58</v>
      </c>
      <c r="L2" s="122"/>
      <c r="M2" s="42" t="s">
        <v>11</v>
      </c>
      <c r="N2" s="44"/>
      <c r="O2" s="42" t="s">
        <v>0</v>
      </c>
      <c r="P2" s="44"/>
      <c r="Q2" s="42" t="s">
        <v>2</v>
      </c>
      <c r="R2" s="44"/>
      <c r="S2" s="42" t="s">
        <v>1</v>
      </c>
      <c r="T2" s="44"/>
      <c r="U2" s="42" t="s">
        <v>3</v>
      </c>
      <c r="V2" s="44"/>
      <c r="W2" s="42" t="s">
        <v>4</v>
      </c>
      <c r="Y2" s="30" t="s">
        <v>67</v>
      </c>
    </row>
    <row r="3" spans="1:26" x14ac:dyDescent="0.25">
      <c r="A3" s="15" t="str">
        <f t="shared" ref="A3:A11" si="0">_xlfn.CONCAT(B3,"_",LEFT(C3,4),"_",(LEFT(D3,4)))</f>
        <v>1_Pizz_Snip</v>
      </c>
      <c r="B3" s="27">
        <v>1</v>
      </c>
      <c r="C3" s="15" t="s">
        <v>123</v>
      </c>
      <c r="D3" s="15" t="s">
        <v>52</v>
      </c>
      <c r="E3" s="31">
        <v>6</v>
      </c>
      <c r="F3" s="31">
        <v>1.5</v>
      </c>
      <c r="G3" s="31">
        <v>5</v>
      </c>
      <c r="H3" s="31">
        <v>10</v>
      </c>
      <c r="I3" s="31">
        <v>20</v>
      </c>
      <c r="K3" s="125" t="s">
        <v>46</v>
      </c>
      <c r="L3" s="69" t="s">
        <v>5</v>
      </c>
      <c r="M3" s="71">
        <f>$Q$12</f>
        <v>6</v>
      </c>
      <c r="N3" s="41" t="s">
        <v>13</v>
      </c>
      <c r="O3" s="41" cm="1">
        <f t="array" ref="O3">_xlfn.IFS(N3="+",ROUNDDOWN(M3*(1+$Y$3),2),N3="=",M3)</f>
        <v>7.8</v>
      </c>
      <c r="P3" s="41" t="s">
        <v>13</v>
      </c>
      <c r="Q3" s="41" cm="1">
        <f t="array" ref="Q3">_xlfn.IFS(P3="+",ROUNDDOWN(O3*(1+$Y$3),2),P3="=",O3)</f>
        <v>10.14</v>
      </c>
      <c r="R3" s="41" t="s">
        <v>13</v>
      </c>
      <c r="S3" s="41" cm="1">
        <f t="array" ref="S3">_xlfn.IFS(R3="+",ROUNDDOWN(Q3*(1+$Y$3),2),R3="=",Q3)</f>
        <v>13.18</v>
      </c>
      <c r="T3" s="41" t="s">
        <v>13</v>
      </c>
      <c r="U3" s="41" cm="1">
        <f t="array" ref="U3">_xlfn.IFS(T3="+",ROUNDDOWN(S3*(1+$Y$3),2),T3="=",S3)</f>
        <v>17.13</v>
      </c>
      <c r="V3" s="41" t="s">
        <v>13</v>
      </c>
      <c r="W3" s="41" cm="1">
        <f t="array" ref="W3">_xlfn.IFS(V3="+",ROUNDDOWN(U3*(1+$Y$3),2),V3="=",U3)</f>
        <v>22.26</v>
      </c>
      <c r="Y3" s="15">
        <v>0.3</v>
      </c>
    </row>
    <row r="4" spans="1:26" x14ac:dyDescent="0.25">
      <c r="A4" s="14" t="str">
        <f t="shared" si="0"/>
        <v>2_Pizz_Mort</v>
      </c>
      <c r="B4" s="27">
        <v>2</v>
      </c>
      <c r="C4" s="14" t="s">
        <v>123</v>
      </c>
      <c r="D4" s="14" t="s">
        <v>54</v>
      </c>
      <c r="E4" s="31">
        <v>4</v>
      </c>
      <c r="F4" s="31">
        <v>1</v>
      </c>
      <c r="G4" s="31">
        <v>4</v>
      </c>
      <c r="H4" s="31">
        <v>15</v>
      </c>
      <c r="I4" s="29">
        <f>I3</f>
        <v>20</v>
      </c>
      <c r="K4" s="125"/>
      <c r="L4" s="70" t="s">
        <v>15</v>
      </c>
      <c r="M4" s="43">
        <f>$S$12</f>
        <v>1.5</v>
      </c>
      <c r="N4" s="43" t="s">
        <v>13</v>
      </c>
      <c r="O4" s="43" cm="1">
        <f t="array" ref="O4">_xlfn.IFS(N4="+",ROUNDDOWN(M4*(1-$Y$4),2),N4="=",M4)</f>
        <v>1.2</v>
      </c>
      <c r="P4" s="43" t="s">
        <v>13</v>
      </c>
      <c r="Q4" s="43" cm="1">
        <f t="array" ref="Q4">_xlfn.IFS(P4="+",ROUNDDOWN(O4*(1-$Y$4),2),P4="=",O4)</f>
        <v>0.96</v>
      </c>
      <c r="R4" s="43" t="s">
        <v>13</v>
      </c>
      <c r="S4" s="43" cm="1">
        <f t="array" ref="S4">_xlfn.IFS(R4="+",ROUNDDOWN(Q4*(1-$Y$4),2),R4="=",Q4)</f>
        <v>0.76</v>
      </c>
      <c r="T4" s="43" t="s">
        <v>13</v>
      </c>
      <c r="U4" s="43" cm="1">
        <f t="array" ref="U4">_xlfn.IFS(T4="+",ROUNDDOWN(S4*(1-$Y$4),2),T4="=",S4)</f>
        <v>0.6</v>
      </c>
      <c r="V4" s="43" t="s">
        <v>13</v>
      </c>
      <c r="W4" s="43" cm="1">
        <f t="array" ref="W4">_xlfn.IFS(V4="+",ROUNDDOWN(U4*(1-$Y$4),2),V4="=",U4)</f>
        <v>0.48</v>
      </c>
      <c r="Y4" s="14">
        <v>0.2</v>
      </c>
    </row>
    <row r="5" spans="1:26" x14ac:dyDescent="0.25">
      <c r="A5" s="15" t="str">
        <f t="shared" si="0"/>
        <v>3_Pizz_Cano</v>
      </c>
      <c r="B5" s="27">
        <v>3</v>
      </c>
      <c r="C5" s="15" t="s">
        <v>123</v>
      </c>
      <c r="D5" s="15" t="s">
        <v>53</v>
      </c>
      <c r="E5" s="31">
        <v>3</v>
      </c>
      <c r="F5" s="31">
        <v>0.75</v>
      </c>
      <c r="G5" s="31">
        <v>3.5</v>
      </c>
      <c r="H5" s="31">
        <v>20</v>
      </c>
      <c r="I5" s="28">
        <f>I3</f>
        <v>20</v>
      </c>
      <c r="K5" s="125"/>
      <c r="L5" s="69" t="s">
        <v>10</v>
      </c>
      <c r="M5" s="41">
        <f>$U$12</f>
        <v>5</v>
      </c>
      <c r="N5" s="41" t="s">
        <v>13</v>
      </c>
      <c r="O5" s="41" cm="1">
        <f t="array" ref="O5">_xlfn.IFS(N5="+",ROUNDDOWN(M5*(1+$Y$5),2),N5="=",M5)</f>
        <v>5.5</v>
      </c>
      <c r="P5" s="41" t="s">
        <v>13</v>
      </c>
      <c r="Q5" s="41" cm="1">
        <f t="array" ref="Q5">_xlfn.IFS(P5="+",ROUNDDOWN(O5*(1+$Y$5),2),P5="=",O5)</f>
        <v>6.05</v>
      </c>
      <c r="R5" s="41" t="s">
        <v>13</v>
      </c>
      <c r="S5" s="41" cm="1">
        <f t="array" ref="S5">_xlfn.IFS(R5="+",ROUNDDOWN(Q5*(1+$Y$5),2),R5="=",Q5)</f>
        <v>6.65</v>
      </c>
      <c r="T5" s="41" t="s">
        <v>13</v>
      </c>
      <c r="U5" s="41" cm="1">
        <f t="array" ref="U5">_xlfn.IFS(T5="+",ROUNDDOWN(S5*(1+$Y$5),2),T5="=",S5)</f>
        <v>7.31</v>
      </c>
      <c r="V5" s="41" t="s">
        <v>13</v>
      </c>
      <c r="W5" s="41" cm="1">
        <f t="array" ref="W5">_xlfn.IFS(V5="+",ROUNDDOWN(U5*(1+$Y$5),2),V5="=",U5)</f>
        <v>8.0399999999999991</v>
      </c>
      <c r="Y5" s="15">
        <v>0.1</v>
      </c>
    </row>
    <row r="6" spans="1:26" x14ac:dyDescent="0.25">
      <c r="A6" s="14" t="str">
        <f t="shared" si="0"/>
        <v>4_Trap_Snip</v>
      </c>
      <c r="B6" s="27">
        <v>4</v>
      </c>
      <c r="C6" s="14" t="s">
        <v>36</v>
      </c>
      <c r="D6" s="14" t="s">
        <v>52</v>
      </c>
      <c r="E6" s="29">
        <f>E3</f>
        <v>6</v>
      </c>
      <c r="F6" s="29">
        <f>F3</f>
        <v>1.5</v>
      </c>
      <c r="G6" s="29">
        <f>G3</f>
        <v>5</v>
      </c>
      <c r="H6" s="29">
        <f>H3</f>
        <v>10</v>
      </c>
      <c r="I6" s="29">
        <f>I3</f>
        <v>20</v>
      </c>
      <c r="K6" s="125"/>
      <c r="L6" s="70" t="s">
        <v>41</v>
      </c>
      <c r="M6" s="43">
        <f>$W$12</f>
        <v>10</v>
      </c>
      <c r="N6" s="43" t="s">
        <v>13</v>
      </c>
      <c r="O6" s="43" cm="1">
        <f t="array" ref="O6">_xlfn.IFS(N6="+",ROUNDDOWN(M6*(1+$Y$6),0),N6="=",M6)</f>
        <v>12</v>
      </c>
      <c r="P6" s="43" t="s">
        <v>13</v>
      </c>
      <c r="Q6" s="43" cm="1">
        <f t="array" ref="Q6">_xlfn.IFS(P6="+",ROUNDDOWN(O6*(1+$Y$6),0),P6="=",O6)</f>
        <v>14</v>
      </c>
      <c r="R6" s="43" t="s">
        <v>13</v>
      </c>
      <c r="S6" s="43" cm="1">
        <f t="array" ref="S6">_xlfn.IFS(R6="+",ROUNDDOWN(Q6*(1+$Y$6),0),R6="=",Q6)</f>
        <v>16</v>
      </c>
      <c r="T6" s="43" t="s">
        <v>13</v>
      </c>
      <c r="U6" s="43" cm="1">
        <f t="array" ref="U6">_xlfn.IFS(T6="+",ROUNDDOWN(S6*(1+$Y$6),0),T6="=",S6)</f>
        <v>19</v>
      </c>
      <c r="V6" s="43" t="s">
        <v>13</v>
      </c>
      <c r="W6" s="43" cm="1">
        <f t="array" ref="W6">_xlfn.IFS(V6="+",ROUNDDOWN(U6*(1+$Y$6),0),V6="=",U6)</f>
        <v>22</v>
      </c>
      <c r="Y6" s="14">
        <v>0.2</v>
      </c>
    </row>
    <row r="7" spans="1:26" x14ac:dyDescent="0.25">
      <c r="A7" s="15" t="str">
        <f t="shared" si="0"/>
        <v>5_Trap_Mort</v>
      </c>
      <c r="B7" s="27">
        <v>5</v>
      </c>
      <c r="C7" s="15" t="s">
        <v>36</v>
      </c>
      <c r="D7" s="15" t="s">
        <v>54</v>
      </c>
      <c r="E7" s="28">
        <f t="shared" ref="E7:H8" si="1">E4</f>
        <v>4</v>
      </c>
      <c r="F7" s="28">
        <f t="shared" si="1"/>
        <v>1</v>
      </c>
      <c r="G7" s="28">
        <f t="shared" si="1"/>
        <v>4</v>
      </c>
      <c r="H7" s="28">
        <f t="shared" si="1"/>
        <v>15</v>
      </c>
      <c r="I7" s="28">
        <f>I3</f>
        <v>20</v>
      </c>
      <c r="K7" s="125"/>
      <c r="L7" s="69" t="s">
        <v>80</v>
      </c>
      <c r="M7" s="41">
        <v>10</v>
      </c>
      <c r="N7" s="41" t="s">
        <v>13</v>
      </c>
      <c r="O7" s="41" cm="1">
        <f t="array" ref="O7">_xlfn.IFS(N7="+",ROUNDUP(M7*(1+$Y$7),0),N7="=",M7)</f>
        <v>30</v>
      </c>
      <c r="P7" s="41" t="s">
        <v>13</v>
      </c>
      <c r="Q7" s="41" cm="1">
        <f t="array" ref="Q7">_xlfn.IFS(P7="+",ROUNDUP(O7*(1+$Y$7),0),P7="=",O7)</f>
        <v>90</v>
      </c>
      <c r="R7" s="41" t="s">
        <v>13</v>
      </c>
      <c r="S7" s="41" cm="1">
        <f t="array" ref="S7">_xlfn.IFS(R7="+",ROUNDUP(Q7*(1+$Y$7),0),R7="=",Q7)</f>
        <v>270</v>
      </c>
      <c r="T7" s="41" t="s">
        <v>13</v>
      </c>
      <c r="U7" s="41" cm="1">
        <f t="array" ref="U7">_xlfn.IFS(T7="+",ROUNDUP(S7*(1+$Y$7),0),T7="=",S7)</f>
        <v>810</v>
      </c>
      <c r="V7" s="41" t="s">
        <v>13</v>
      </c>
      <c r="W7" s="41" cm="1">
        <f t="array" ref="W7">_xlfn.IFS(V7="+",ROUNDUP(U7*(1+$Y$7),0),V7="=",U7)</f>
        <v>2430</v>
      </c>
      <c r="Y7" s="15">
        <v>2</v>
      </c>
    </row>
    <row r="8" spans="1:26" x14ac:dyDescent="0.25">
      <c r="A8" s="14" t="str">
        <f t="shared" si="0"/>
        <v>6_Trap_Cano</v>
      </c>
      <c r="B8" s="27">
        <v>6</v>
      </c>
      <c r="C8" s="14" t="s">
        <v>36</v>
      </c>
      <c r="D8" s="14" t="s">
        <v>53</v>
      </c>
      <c r="E8" s="29">
        <f t="shared" si="1"/>
        <v>3</v>
      </c>
      <c r="F8" s="29">
        <f t="shared" si="1"/>
        <v>0.75</v>
      </c>
      <c r="G8" s="29">
        <f t="shared" si="1"/>
        <v>3.5</v>
      </c>
      <c r="H8" s="29">
        <f t="shared" si="1"/>
        <v>20</v>
      </c>
      <c r="I8" s="29">
        <f>I3</f>
        <v>20</v>
      </c>
      <c r="K8" s="123" t="s">
        <v>62</v>
      </c>
      <c r="L8" s="123"/>
      <c r="M8" s="41">
        <f>ROUNDDOWN(M3*M9,2)</f>
        <v>3.96</v>
      </c>
      <c r="N8" s="41"/>
      <c r="O8" s="41">
        <f>ROUNDDOWN(O3*O9,2)</f>
        <v>6.47</v>
      </c>
      <c r="P8" s="41"/>
      <c r="Q8" s="41">
        <f>ROUNDDOWN(Q3*Q9,2)</f>
        <v>10.54</v>
      </c>
      <c r="R8" s="41"/>
      <c r="S8" s="41">
        <f>ROUNDDOWN(S3*S9,2)</f>
        <v>17.39</v>
      </c>
      <c r="T8" s="41"/>
      <c r="U8" s="41">
        <f>ROUNDDOWN(U3*U9,2)</f>
        <v>28.6</v>
      </c>
      <c r="V8" s="41"/>
      <c r="W8" s="41">
        <f>ROUNDDOWN(W3*W9,2)</f>
        <v>46.3</v>
      </c>
    </row>
    <row r="9" spans="1:26" x14ac:dyDescent="0.25">
      <c r="A9" s="15" t="str">
        <f t="shared" si="0"/>
        <v>7_Ener_Snip</v>
      </c>
      <c r="B9" s="27">
        <v>7</v>
      </c>
      <c r="C9" s="15" t="s">
        <v>8</v>
      </c>
      <c r="D9" s="15" t="s">
        <v>52</v>
      </c>
      <c r="E9" s="28">
        <f>E3</f>
        <v>6</v>
      </c>
      <c r="F9" s="28">
        <f>F3</f>
        <v>1.5</v>
      </c>
      <c r="G9" s="28">
        <f>G3</f>
        <v>5</v>
      </c>
      <c r="H9" s="28">
        <f>H3</f>
        <v>10</v>
      </c>
      <c r="I9" s="28">
        <f>I3</f>
        <v>20</v>
      </c>
      <c r="K9" s="124" t="s">
        <v>47</v>
      </c>
      <c r="L9" s="124"/>
      <c r="M9" s="43">
        <f>ROUNDDOWN(1/M4,2)</f>
        <v>0.66</v>
      </c>
      <c r="N9" s="43"/>
      <c r="O9" s="43">
        <f>ROUND(1/O4,2)</f>
        <v>0.83</v>
      </c>
      <c r="P9" s="43"/>
      <c r="Q9" s="43">
        <f>ROUND(1/Q4,2)</f>
        <v>1.04</v>
      </c>
      <c r="R9" s="43"/>
      <c r="S9" s="43">
        <f>ROUND(1/S4,2)</f>
        <v>1.32</v>
      </c>
      <c r="T9" s="43"/>
      <c r="U9" s="43">
        <f>ROUND(1/U4,2)</f>
        <v>1.67</v>
      </c>
      <c r="V9" s="43"/>
      <c r="W9" s="43">
        <f>ROUND(1/W4,2)</f>
        <v>2.08</v>
      </c>
    </row>
    <row r="10" spans="1:26" x14ac:dyDescent="0.25">
      <c r="A10" s="14" t="str">
        <f t="shared" si="0"/>
        <v>8_Ener_Mort</v>
      </c>
      <c r="B10" s="27">
        <v>8</v>
      </c>
      <c r="C10" s="14" t="s">
        <v>8</v>
      </c>
      <c r="D10" s="14" t="s">
        <v>54</v>
      </c>
      <c r="E10" s="29">
        <f t="shared" ref="E10:H11" si="2">E4</f>
        <v>4</v>
      </c>
      <c r="F10" s="29">
        <f t="shared" si="2"/>
        <v>1</v>
      </c>
      <c r="G10" s="29">
        <f t="shared" si="2"/>
        <v>4</v>
      </c>
      <c r="H10" s="29">
        <f t="shared" si="2"/>
        <v>15</v>
      </c>
      <c r="I10" s="29">
        <f>I3</f>
        <v>20</v>
      </c>
    </row>
    <row r="11" spans="1:26" x14ac:dyDescent="0.25">
      <c r="A11" s="15" t="str">
        <f t="shared" si="0"/>
        <v>9_Ener_Cano</v>
      </c>
      <c r="B11" s="27">
        <v>9</v>
      </c>
      <c r="C11" s="15" t="s">
        <v>8</v>
      </c>
      <c r="D11" s="15" t="s">
        <v>53</v>
      </c>
      <c r="E11" s="28">
        <f t="shared" si="2"/>
        <v>3</v>
      </c>
      <c r="F11" s="28">
        <f t="shared" si="2"/>
        <v>0.75</v>
      </c>
      <c r="G11" s="28">
        <f t="shared" si="2"/>
        <v>3.5</v>
      </c>
      <c r="H11" s="28">
        <f t="shared" si="2"/>
        <v>20</v>
      </c>
      <c r="I11" s="28">
        <f>I3</f>
        <v>20</v>
      </c>
      <c r="K11" s="104" t="s">
        <v>42</v>
      </c>
      <c r="L11" s="104"/>
      <c r="M11" s="104" t="s">
        <v>35</v>
      </c>
      <c r="N11" s="104"/>
      <c r="O11" s="104" t="s">
        <v>57</v>
      </c>
      <c r="P11" s="104"/>
      <c r="Q11" s="104" t="s">
        <v>5</v>
      </c>
      <c r="R11" s="104"/>
      <c r="S11" s="104" t="s">
        <v>15</v>
      </c>
      <c r="T11" s="104"/>
      <c r="U11" s="104" t="s">
        <v>10</v>
      </c>
      <c r="V11" s="104"/>
      <c r="W11" s="104" t="s">
        <v>41</v>
      </c>
      <c r="X11" s="104"/>
      <c r="Y11" s="104" t="s">
        <v>96</v>
      </c>
      <c r="Z11" s="104"/>
    </row>
    <row r="12" spans="1:26" x14ac:dyDescent="0.25">
      <c r="K12" s="105" t="s">
        <v>143</v>
      </c>
      <c r="L12" s="105"/>
      <c r="M12" s="108" t="str">
        <f>VLOOKUP($K$12,TOWER,3)</f>
        <v>Pizza</v>
      </c>
      <c r="N12" s="108"/>
      <c r="O12" s="108" t="str">
        <f>VLOOKUP($K$12,TOWER,4)</f>
        <v>Snipe</v>
      </c>
      <c r="P12" s="108"/>
      <c r="Q12" s="108">
        <f>VLOOKUP($K$12,TOWER,5)</f>
        <v>6</v>
      </c>
      <c r="R12" s="108"/>
      <c r="S12" s="108">
        <f>VLOOKUP($K$12,TOWER,6)</f>
        <v>1.5</v>
      </c>
      <c r="T12" s="108"/>
      <c r="U12" s="108">
        <f>VLOOKUP($K$12,TOWER,7)</f>
        <v>5</v>
      </c>
      <c r="V12" s="108"/>
      <c r="W12" s="108">
        <f>VLOOKUP($K$12,TOWER,8)</f>
        <v>10</v>
      </c>
      <c r="X12" s="108"/>
      <c r="Y12" s="108">
        <f>VLOOKUP($K$12,TOWER,9)</f>
        <v>20</v>
      </c>
      <c r="Z12" s="108"/>
    </row>
    <row r="13" spans="1:26" x14ac:dyDescent="0.25">
      <c r="C13" s="120" t="s">
        <v>90</v>
      </c>
      <c r="D13" s="120"/>
    </row>
    <row r="14" spans="1:26" x14ac:dyDescent="0.25">
      <c r="C14" s="121" t="s">
        <v>92</v>
      </c>
      <c r="D14" s="121" t="s">
        <v>91</v>
      </c>
    </row>
    <row r="15" spans="1:26" x14ac:dyDescent="0.25">
      <c r="C15" s="121"/>
      <c r="D15" s="121"/>
    </row>
    <row r="16" spans="1:26" x14ac:dyDescent="0.25">
      <c r="C16" s="28">
        <f>E3/F3</f>
        <v>4</v>
      </c>
      <c r="D16" s="28">
        <f>H3*F3</f>
        <v>15</v>
      </c>
    </row>
    <row r="17" spans="3:4" x14ac:dyDescent="0.25">
      <c r="C17" s="29">
        <f>E4/F4</f>
        <v>4</v>
      </c>
      <c r="D17" s="29">
        <f>H4*F4</f>
        <v>15</v>
      </c>
    </row>
    <row r="18" spans="3:4" x14ac:dyDescent="0.25">
      <c r="C18" s="28">
        <f>E5/F5</f>
        <v>4</v>
      </c>
      <c r="D18" s="28">
        <f>H5*F5</f>
        <v>15</v>
      </c>
    </row>
  </sheetData>
  <mergeCells count="23">
    <mergeCell ref="W11:X11"/>
    <mergeCell ref="W12:X12"/>
    <mergeCell ref="Y11:Z11"/>
    <mergeCell ref="Y12:Z12"/>
    <mergeCell ref="K3:K7"/>
    <mergeCell ref="Q11:R11"/>
    <mergeCell ref="Q12:R12"/>
    <mergeCell ref="S11:T11"/>
    <mergeCell ref="S12:T12"/>
    <mergeCell ref="U11:V11"/>
    <mergeCell ref="U12:V12"/>
    <mergeCell ref="M11:N11"/>
    <mergeCell ref="M12:N12"/>
    <mergeCell ref="K11:L11"/>
    <mergeCell ref="K12:L12"/>
    <mergeCell ref="O11:P11"/>
    <mergeCell ref="O12:P12"/>
    <mergeCell ref="C13:D13"/>
    <mergeCell ref="C14:C15"/>
    <mergeCell ref="D14:D15"/>
    <mergeCell ref="K2:L2"/>
    <mergeCell ref="K8:L8"/>
    <mergeCell ref="K9:L9"/>
  </mergeCells>
  <dataValidations count="5">
    <dataValidation type="list" allowBlank="1" showInputMessage="1" showErrorMessage="1" sqref="C3:C11" xr:uid="{A0725771-D6FB-4BCA-A3AB-AFBEDB867F7D}">
      <formula1>CAT_TOWER</formula1>
    </dataValidation>
    <dataValidation type="list" allowBlank="1" showInputMessage="1" showErrorMessage="1" sqref="D3:D11" xr:uid="{D4ACF00F-8B37-485F-B591-1B056AFC903B}">
      <formula1>TYP_TOWER</formula1>
    </dataValidation>
    <dataValidation type="list" allowBlank="1" showInputMessage="1" showErrorMessage="1" sqref="L3:L10" xr:uid="{E6E8CE4E-28A1-4DB8-B138-1D7059EC2372}">
      <formula1>STAT_TOWER</formula1>
    </dataValidation>
    <dataValidation type="list" allowBlank="1" showInputMessage="1" showErrorMessage="1" sqref="R3:R10 P3:P10 N3:N10 T3:T10 V3:V10" xr:uid="{C77BBF24-DFCE-4151-AAA2-8695D03BF95B}">
      <formula1>SIGN</formula1>
    </dataValidation>
    <dataValidation type="list" allowBlank="1" showInputMessage="1" showErrorMessage="1" sqref="K12" xr:uid="{A91C467D-D990-41FA-81A0-203403B29185}">
      <formula1>CODE_TOWER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F8D8D796-901C-4557-8C65-FC421FB83580}">
            <xm:f>NOT(ISERROR(SEARCH("=",N3)))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N3:N7 P3:P7 R3:R7 T3:T7 V3:V7</xm:sqref>
        </x14:conditionalFormatting>
        <x14:conditionalFormatting xmlns:xm="http://schemas.microsoft.com/office/excel/2006/main">
          <x14:cfRule type="containsText" priority="1" operator="containsText" id="{5A627A3F-8B8B-4B82-9DE7-0E87BD6E5ED1}">
            <xm:f>NOT(ISERROR(SEARCH("+",N3)))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N3:N7 P3:P7 R3:R7 T3:T7 V3:V7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586D7-B694-445B-B036-FD29D6ACFCF6}">
  <dimension ref="A1:L15"/>
  <sheetViews>
    <sheetView workbookViewId="0">
      <selection activeCell="G3" sqref="G3:I11"/>
    </sheetView>
  </sheetViews>
  <sheetFormatPr baseColWidth="10" defaultRowHeight="15" x14ac:dyDescent="0.25"/>
  <cols>
    <col min="1" max="4" width="11.42578125" style="45"/>
    <col min="5" max="5" width="28.5703125" style="45" customWidth="1"/>
    <col min="6" max="6" width="35.7109375" style="45" customWidth="1"/>
    <col min="7" max="9" width="11.42578125" style="45"/>
    <col min="10" max="12" width="14.28515625" style="45" customWidth="1"/>
    <col min="13" max="16384" width="11.42578125" style="45"/>
  </cols>
  <sheetData>
    <row r="1" spans="1:12" x14ac:dyDescent="0.25">
      <c r="A1" s="130" t="s">
        <v>97</v>
      </c>
      <c r="B1" s="130" t="s">
        <v>19</v>
      </c>
      <c r="C1" s="130" t="s">
        <v>98</v>
      </c>
      <c r="D1" s="130" t="s">
        <v>99</v>
      </c>
      <c r="E1" s="130" t="s">
        <v>100</v>
      </c>
      <c r="F1" s="130" t="s">
        <v>101</v>
      </c>
      <c r="G1" s="126" t="s">
        <v>102</v>
      </c>
      <c r="H1" s="127"/>
      <c r="I1" s="128"/>
      <c r="J1" s="129" t="s">
        <v>103</v>
      </c>
      <c r="K1" s="129"/>
      <c r="L1" s="129"/>
    </row>
    <row r="2" spans="1:12" x14ac:dyDescent="0.25">
      <c r="A2" s="130"/>
      <c r="B2" s="130"/>
      <c r="C2" s="130"/>
      <c r="D2" s="130"/>
      <c r="E2" s="130"/>
      <c r="F2" s="130"/>
      <c r="G2" s="84" t="s">
        <v>74</v>
      </c>
      <c r="H2" s="84" t="s">
        <v>104</v>
      </c>
      <c r="I2" s="84" t="s">
        <v>105</v>
      </c>
      <c r="J2" s="84" t="s">
        <v>106</v>
      </c>
      <c r="K2" s="84" t="s">
        <v>107</v>
      </c>
      <c r="L2" s="84" t="s">
        <v>108</v>
      </c>
    </row>
    <row r="3" spans="1:12" ht="45" customHeight="1" x14ac:dyDescent="0.25">
      <c r="A3" s="29" t="str">
        <f>_xlfn.CONCAT(B3,"_",LEFT(C3,3), "_",D3)</f>
        <v>1_Tra_1</v>
      </c>
      <c r="B3" s="29">
        <v>1</v>
      </c>
      <c r="C3" s="29" t="s">
        <v>36</v>
      </c>
      <c r="D3" s="29">
        <v>1</v>
      </c>
      <c r="E3" s="29" t="s">
        <v>109</v>
      </c>
      <c r="F3" s="87" t="s">
        <v>110</v>
      </c>
      <c r="G3" s="85" t="s">
        <v>12</v>
      </c>
      <c r="H3" s="85" t="s">
        <v>13</v>
      </c>
      <c r="I3" s="85" t="s">
        <v>12</v>
      </c>
      <c r="J3" s="29"/>
      <c r="K3" s="29"/>
      <c r="L3" s="29"/>
    </row>
    <row r="4" spans="1:12" ht="45" customHeight="1" x14ac:dyDescent="0.25">
      <c r="A4" s="28" t="str">
        <f t="shared" ref="A4:A10" si="0">_xlfn.CONCAT(B4,"_",LEFT(C4,3), "_",D4)</f>
        <v>2_Tra_2a</v>
      </c>
      <c r="B4" s="28">
        <v>2</v>
      </c>
      <c r="C4" s="28" t="s">
        <v>36</v>
      </c>
      <c r="D4" s="28" t="s">
        <v>111</v>
      </c>
      <c r="E4" s="28" t="s">
        <v>112</v>
      </c>
      <c r="F4" s="88" t="s">
        <v>113</v>
      </c>
      <c r="G4" s="86" t="s">
        <v>14</v>
      </c>
      <c r="H4" s="95" t="s">
        <v>114</v>
      </c>
      <c r="I4" s="86" t="s">
        <v>12</v>
      </c>
      <c r="J4" s="28"/>
      <c r="K4" s="28"/>
      <c r="L4" s="28"/>
    </row>
    <row r="5" spans="1:12" ht="45" customHeight="1" x14ac:dyDescent="0.25">
      <c r="A5" s="29" t="str">
        <f t="shared" si="0"/>
        <v>3_Tra_2b</v>
      </c>
      <c r="B5" s="29">
        <v>3</v>
      </c>
      <c r="C5" s="29" t="s">
        <v>36</v>
      </c>
      <c r="D5" s="29" t="s">
        <v>115</v>
      </c>
      <c r="E5" s="29" t="s">
        <v>116</v>
      </c>
      <c r="F5" s="87" t="s">
        <v>117</v>
      </c>
      <c r="G5" s="85" t="s">
        <v>14</v>
      </c>
      <c r="H5" s="85" t="s">
        <v>12</v>
      </c>
      <c r="I5" s="96" t="s">
        <v>114</v>
      </c>
      <c r="J5" s="29"/>
      <c r="K5" s="29"/>
      <c r="L5" s="29"/>
    </row>
    <row r="6" spans="1:12" ht="45" customHeight="1" x14ac:dyDescent="0.25">
      <c r="A6" s="28" t="str">
        <f t="shared" si="0"/>
        <v>4_Ene_1</v>
      </c>
      <c r="B6" s="28">
        <v>4</v>
      </c>
      <c r="C6" s="28" t="s">
        <v>8</v>
      </c>
      <c r="D6" s="28">
        <v>1</v>
      </c>
      <c r="E6" s="28" t="s">
        <v>118</v>
      </c>
      <c r="F6" s="88" t="s">
        <v>110</v>
      </c>
      <c r="G6" s="86" t="s">
        <v>13</v>
      </c>
      <c r="H6" s="86" t="s">
        <v>12</v>
      </c>
      <c r="I6" s="86" t="s">
        <v>12</v>
      </c>
      <c r="J6" s="28"/>
      <c r="K6" s="28"/>
      <c r="L6" s="28"/>
    </row>
    <row r="7" spans="1:12" ht="45" customHeight="1" x14ac:dyDescent="0.25">
      <c r="A7" s="29" t="str">
        <f t="shared" si="0"/>
        <v>5_Ene_2a</v>
      </c>
      <c r="B7" s="29">
        <v>5</v>
      </c>
      <c r="C7" s="29" t="s">
        <v>8</v>
      </c>
      <c r="D7" s="29" t="s">
        <v>111</v>
      </c>
      <c r="E7" s="29" t="s">
        <v>119</v>
      </c>
      <c r="F7" s="87" t="s">
        <v>120</v>
      </c>
      <c r="G7" s="85" t="s">
        <v>14</v>
      </c>
      <c r="H7" s="85" t="s">
        <v>12</v>
      </c>
      <c r="I7" s="96" t="s">
        <v>114</v>
      </c>
      <c r="J7" s="29"/>
      <c r="K7" s="29"/>
      <c r="L7" s="29"/>
    </row>
    <row r="8" spans="1:12" ht="45" customHeight="1" x14ac:dyDescent="0.25">
      <c r="A8" s="28" t="str">
        <f t="shared" si="0"/>
        <v>6_Ene_2b</v>
      </c>
      <c r="B8" s="28">
        <v>6</v>
      </c>
      <c r="C8" s="28" t="s">
        <v>8</v>
      </c>
      <c r="D8" s="28" t="s">
        <v>115</v>
      </c>
      <c r="E8" s="28" t="s">
        <v>121</v>
      </c>
      <c r="F8" s="88" t="s">
        <v>122</v>
      </c>
      <c r="G8" s="95" t="s">
        <v>114</v>
      </c>
      <c r="H8" s="86" t="s">
        <v>14</v>
      </c>
      <c r="I8" s="86" t="s">
        <v>12</v>
      </c>
      <c r="J8" s="28"/>
      <c r="K8" s="28"/>
      <c r="L8" s="28"/>
    </row>
    <row r="9" spans="1:12" ht="45" customHeight="1" x14ac:dyDescent="0.25">
      <c r="A9" s="29" t="str">
        <f t="shared" si="0"/>
        <v>7_Piz_1</v>
      </c>
      <c r="B9" s="29">
        <v>7</v>
      </c>
      <c r="C9" s="29" t="s">
        <v>123</v>
      </c>
      <c r="D9" s="29">
        <v>1</v>
      </c>
      <c r="E9" s="29" t="s">
        <v>123</v>
      </c>
      <c r="F9" s="87" t="s">
        <v>110</v>
      </c>
      <c r="G9" s="85" t="s">
        <v>13</v>
      </c>
      <c r="H9" s="85" t="s">
        <v>12</v>
      </c>
      <c r="I9" s="85" t="s">
        <v>12</v>
      </c>
      <c r="J9" s="29"/>
      <c r="K9" s="29"/>
      <c r="L9" s="29"/>
    </row>
    <row r="10" spans="1:12" ht="45" customHeight="1" x14ac:dyDescent="0.25">
      <c r="A10" s="28" t="str">
        <f t="shared" si="0"/>
        <v>8_Piz_2a</v>
      </c>
      <c r="B10" s="28">
        <v>8</v>
      </c>
      <c r="C10" s="28" t="s">
        <v>123</v>
      </c>
      <c r="D10" s="28" t="s">
        <v>111</v>
      </c>
      <c r="E10" s="28" t="s">
        <v>124</v>
      </c>
      <c r="F10" s="88" t="s">
        <v>125</v>
      </c>
      <c r="G10" s="86" t="s">
        <v>114</v>
      </c>
      <c r="H10" s="86" t="s">
        <v>14</v>
      </c>
      <c r="I10" s="86" t="s">
        <v>12</v>
      </c>
      <c r="J10" s="28"/>
      <c r="K10" s="28"/>
      <c r="L10" s="28"/>
    </row>
    <row r="11" spans="1:12" ht="45" customHeight="1" x14ac:dyDescent="0.25">
      <c r="A11" s="29" t="str">
        <f>_xlfn.CONCAT(B11,"_",LEFT(C11,3), "_",D11)</f>
        <v>9_Piz_2b</v>
      </c>
      <c r="B11" s="29">
        <v>9</v>
      </c>
      <c r="C11" s="29" t="s">
        <v>123</v>
      </c>
      <c r="D11" s="29" t="s">
        <v>115</v>
      </c>
      <c r="E11" s="29" t="s">
        <v>126</v>
      </c>
      <c r="F11" s="87" t="s">
        <v>127</v>
      </c>
      <c r="G11" s="85" t="s">
        <v>12</v>
      </c>
      <c r="H11" s="85" t="s">
        <v>114</v>
      </c>
      <c r="I11" s="85" t="s">
        <v>14</v>
      </c>
      <c r="J11" s="29"/>
      <c r="K11" s="29"/>
      <c r="L11" s="29"/>
    </row>
    <row r="13" spans="1:12" x14ac:dyDescent="0.25">
      <c r="G13" s="82" t="s">
        <v>74</v>
      </c>
      <c r="H13" s="82" t="s">
        <v>104</v>
      </c>
      <c r="I13" s="82" t="s">
        <v>128</v>
      </c>
    </row>
    <row r="14" spans="1:12" x14ac:dyDescent="0.25">
      <c r="F14" s="105" t="s">
        <v>129</v>
      </c>
      <c r="G14" s="108" t="str">
        <f>VLOOKUP($F$14,TOWER_UPGRADE,7)</f>
        <v>-</v>
      </c>
      <c r="H14" s="108" t="str">
        <f>VLOOKUP($F$14,TOWER_UPGRADE,8)</f>
        <v>++</v>
      </c>
      <c r="I14" s="108" t="str">
        <f>VLOOKUP($F$14,TOWER_UPGRADE,9)</f>
        <v>=</v>
      </c>
    </row>
    <row r="15" spans="1:12" x14ac:dyDescent="0.25">
      <c r="F15" s="105"/>
      <c r="G15" s="108"/>
      <c r="H15" s="108"/>
      <c r="I15" s="108"/>
    </row>
  </sheetData>
  <mergeCells count="12">
    <mergeCell ref="J1:L1"/>
    <mergeCell ref="A1:A2"/>
    <mergeCell ref="B1:B2"/>
    <mergeCell ref="C1:C2"/>
    <mergeCell ref="D1:D2"/>
    <mergeCell ref="E1:E2"/>
    <mergeCell ref="F1:F2"/>
    <mergeCell ref="H14:H15"/>
    <mergeCell ref="G14:G15"/>
    <mergeCell ref="I14:I15"/>
    <mergeCell ref="F14:F15"/>
    <mergeCell ref="G1:I1"/>
  </mergeCells>
  <dataValidations count="1">
    <dataValidation type="list" allowBlank="1" showInputMessage="1" showErrorMessage="1" sqref="E13 F14" xr:uid="{5DD3618D-C4BE-491F-B770-27363DACB01A}">
      <formula1>CODE_UPGRADE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E68D0EE1-16F7-4788-BDA1-1D425B1752DF}">
            <xm:f>NOT(ISERROR(SEARCH("++",G3)))</xm:f>
            <xm:f>"++"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8" operator="containsText" id="{03FF088D-93A6-4AA3-9850-620368F4D8F6}">
            <xm:f>NOT(ISERROR(SEARCH("+",G3)))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9" operator="containsText" id="{44A6BB12-1DAA-49BF-92B9-D6CA92C5E77E}">
            <xm:f>NOT(ISERROR(SEARCH("=",G3)))</xm:f>
            <xm:f>"="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10" operator="containsText" id="{36ED3EBF-2B18-4880-A0C0-E8CCF950562D}">
            <xm:f>NOT(ISERROR(SEARCH("-",G3)))</xm:f>
            <xm:f>"-"</xm:f>
            <x14:dxf>
              <fill>
                <patternFill>
                  <bgColor rgb="FFFF9999"/>
                </patternFill>
              </fill>
            </x14:dxf>
          </x14:cfRule>
          <xm:sqref>G3:I11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C23BD-B808-464E-B86B-8B4FE0CBBEE3}">
  <dimension ref="B2:P38"/>
  <sheetViews>
    <sheetView workbookViewId="0">
      <selection activeCell="C14" sqref="C14:E22"/>
    </sheetView>
  </sheetViews>
  <sheetFormatPr baseColWidth="10" defaultRowHeight="15" x14ac:dyDescent="0.25"/>
  <cols>
    <col min="1" max="1" width="2.85546875" style="45" customWidth="1"/>
    <col min="2" max="16384" width="11.42578125" style="45"/>
  </cols>
  <sheetData>
    <row r="2" spans="2:16" x14ac:dyDescent="0.25">
      <c r="B2" s="46"/>
      <c r="C2" s="4" t="s">
        <v>123</v>
      </c>
      <c r="D2" s="5" t="s">
        <v>8</v>
      </c>
      <c r="E2" s="4" t="s">
        <v>36</v>
      </c>
    </row>
    <row r="3" spans="2:16" x14ac:dyDescent="0.25">
      <c r="B3" s="7" t="s">
        <v>25</v>
      </c>
      <c r="C3" s="1" t="s">
        <v>13</v>
      </c>
      <c r="D3" s="3" t="s">
        <v>14</v>
      </c>
      <c r="E3" s="2" t="s">
        <v>12</v>
      </c>
      <c r="F3" s="45">
        <v>1</v>
      </c>
      <c r="G3" s="8" t="s">
        <v>123</v>
      </c>
      <c r="H3" s="9" t="s">
        <v>25</v>
      </c>
    </row>
    <row r="4" spans="2:16" ht="15.75" customHeight="1" x14ac:dyDescent="0.25">
      <c r="B4" s="6" t="s">
        <v>24</v>
      </c>
      <c r="C4" s="2" t="s">
        <v>12</v>
      </c>
      <c r="D4" s="1" t="s">
        <v>13</v>
      </c>
      <c r="E4" s="3" t="s">
        <v>14</v>
      </c>
      <c r="F4" s="45">
        <v>2</v>
      </c>
      <c r="G4" s="133" t="str">
        <f>HLOOKUP(G3,C2:E5,VLOOKUP(H3,B3:F5,5,FALSE)+1,FALSE)</f>
        <v>+</v>
      </c>
      <c r="H4" s="133"/>
    </row>
    <row r="5" spans="2:16" x14ac:dyDescent="0.25">
      <c r="B5" s="7" t="s">
        <v>23</v>
      </c>
      <c r="C5" s="3" t="s">
        <v>14</v>
      </c>
      <c r="D5" s="2" t="s">
        <v>12</v>
      </c>
      <c r="E5" s="1" t="s">
        <v>13</v>
      </c>
      <c r="F5" s="45">
        <v>3</v>
      </c>
      <c r="G5" s="133"/>
      <c r="H5" s="133"/>
    </row>
    <row r="7" spans="2:16" x14ac:dyDescent="0.25">
      <c r="B7" s="46"/>
      <c r="C7" s="4" t="s">
        <v>23</v>
      </c>
      <c r="D7" s="6" t="s">
        <v>25</v>
      </c>
      <c r="E7" s="4" t="s">
        <v>24</v>
      </c>
    </row>
    <row r="8" spans="2:16" x14ac:dyDescent="0.25">
      <c r="B8" s="7" t="s">
        <v>44</v>
      </c>
      <c r="C8" s="1" t="s">
        <v>12</v>
      </c>
      <c r="D8" s="3" t="s">
        <v>14</v>
      </c>
      <c r="E8" s="2" t="s">
        <v>13</v>
      </c>
      <c r="F8" s="45">
        <v>1</v>
      </c>
      <c r="G8" s="8" t="s">
        <v>23</v>
      </c>
      <c r="H8" s="9" t="s">
        <v>44</v>
      </c>
    </row>
    <row r="9" spans="2:16" x14ac:dyDescent="0.25">
      <c r="B9" s="6" t="s">
        <v>28</v>
      </c>
      <c r="C9" s="2" t="s">
        <v>14</v>
      </c>
      <c r="D9" s="1" t="s">
        <v>13</v>
      </c>
      <c r="E9" s="3" t="s">
        <v>12</v>
      </c>
      <c r="F9" s="45">
        <v>2</v>
      </c>
      <c r="G9" s="133" t="str">
        <f>HLOOKUP(G8,C7:E10,VLOOKUP(H8,B8:F10,5,FALSE)+1,FALSE)</f>
        <v>=</v>
      </c>
      <c r="H9" s="133"/>
    </row>
    <row r="10" spans="2:16" x14ac:dyDescent="0.25">
      <c r="B10" s="7" t="s">
        <v>45</v>
      </c>
      <c r="C10" s="3" t="s">
        <v>13</v>
      </c>
      <c r="D10" s="2" t="s">
        <v>12</v>
      </c>
      <c r="E10" s="1" t="s">
        <v>14</v>
      </c>
      <c r="F10" s="45">
        <v>3</v>
      </c>
      <c r="G10" s="133"/>
      <c r="H10" s="133"/>
      <c r="J10" s="4">
        <v>1</v>
      </c>
      <c r="K10" s="4">
        <v>2</v>
      </c>
      <c r="L10" s="4">
        <v>3</v>
      </c>
      <c r="M10" s="4">
        <v>4</v>
      </c>
    </row>
    <row r="12" spans="2:16" x14ac:dyDescent="0.25">
      <c r="C12" s="132" t="s">
        <v>102</v>
      </c>
      <c r="D12" s="132"/>
      <c r="E12" s="132"/>
      <c r="J12" s="6">
        <f>COUNTIF(C14:E22,"=-")</f>
        <v>6</v>
      </c>
      <c r="K12" s="6">
        <f>COUNTIF(C14:E22,"==")</f>
        <v>12</v>
      </c>
      <c r="L12" s="6">
        <f>COUNTIF(C14:E22,"=+")</f>
        <v>3</v>
      </c>
      <c r="M12" s="6">
        <f>COUNTIF(C14:E22,"=++")</f>
        <v>6</v>
      </c>
    </row>
    <row r="13" spans="2:16" x14ac:dyDescent="0.25">
      <c r="C13" s="4" t="s">
        <v>74</v>
      </c>
      <c r="D13" s="6" t="s">
        <v>104</v>
      </c>
      <c r="E13" s="4" t="s">
        <v>105</v>
      </c>
      <c r="J13" s="4" t="s">
        <v>14</v>
      </c>
      <c r="K13" s="4" t="s">
        <v>12</v>
      </c>
      <c r="L13" s="4" t="s">
        <v>13</v>
      </c>
      <c r="M13" s="4" t="s">
        <v>114</v>
      </c>
      <c r="O13" s="132" t="s">
        <v>141</v>
      </c>
      <c r="P13" s="132"/>
    </row>
    <row r="14" spans="2:16" ht="15" customHeight="1" x14ac:dyDescent="0.25">
      <c r="B14" s="91" t="s">
        <v>131</v>
      </c>
      <c r="C14" s="1" t="s">
        <v>12</v>
      </c>
      <c r="D14" s="3" t="s">
        <v>13</v>
      </c>
      <c r="E14" s="2" t="s">
        <v>12</v>
      </c>
      <c r="F14" s="45">
        <v>1</v>
      </c>
      <c r="G14" s="4" t="s">
        <v>74</v>
      </c>
      <c r="H14" s="6" t="s">
        <v>137</v>
      </c>
      <c r="J14" s="80">
        <f>COUNTIF(C14:E14,"=-")</f>
        <v>0</v>
      </c>
      <c r="K14" s="80">
        <f>COUNTIF(C14:E14,"==")</f>
        <v>2</v>
      </c>
      <c r="L14" s="80">
        <f>COUNTIF(C14:E14,"=+")</f>
        <v>1</v>
      </c>
      <c r="M14" s="80">
        <f>COUNTIF(C14:E14,"=++")</f>
        <v>0</v>
      </c>
      <c r="O14" s="45">
        <f>$J$10*J14+$K$10*K14+$L$10*L14+$M$10*M14</f>
        <v>7</v>
      </c>
      <c r="P14" s="131">
        <f>ROUND(AVERAGE(O14:O22),0)</f>
        <v>7</v>
      </c>
    </row>
    <row r="15" spans="2:16" ht="15" customHeight="1" x14ac:dyDescent="0.25">
      <c r="B15" s="92" t="s">
        <v>132</v>
      </c>
      <c r="C15" s="2" t="s">
        <v>14</v>
      </c>
      <c r="D15" s="1" t="s">
        <v>114</v>
      </c>
      <c r="E15" s="3" t="s">
        <v>12</v>
      </c>
      <c r="F15" s="45">
        <v>2</v>
      </c>
      <c r="G15" s="134" t="str">
        <f>HLOOKUP(G14,C13:E22,VLOOKUP(H14,B14:F22,5,FALSE)+1,FALSE)</f>
        <v>+</v>
      </c>
      <c r="H15" s="134"/>
      <c r="J15" s="80">
        <f t="shared" ref="J15:J22" si="0">COUNTIF(C15:E15,"=-")</f>
        <v>1</v>
      </c>
      <c r="K15" s="80">
        <f t="shared" ref="K15:K22" si="1">COUNTIF(C15:E15,"==")</f>
        <v>1</v>
      </c>
      <c r="L15" s="80">
        <f t="shared" ref="L15:L22" si="2">COUNTIF(C15:E15,"=+")</f>
        <v>0</v>
      </c>
      <c r="M15" s="80">
        <f t="shared" ref="M15:M22" si="3">COUNTIF(C15:E15,"=++")</f>
        <v>1</v>
      </c>
      <c r="O15" s="45">
        <f t="shared" ref="O15:O22" si="4">$J$10*J15+$K$10*K15+$L$10*L15+$M$10*M15</f>
        <v>7</v>
      </c>
      <c r="P15" s="131"/>
    </row>
    <row r="16" spans="2:16" ht="15" customHeight="1" x14ac:dyDescent="0.25">
      <c r="B16" s="91" t="s">
        <v>133</v>
      </c>
      <c r="C16" s="3" t="s">
        <v>14</v>
      </c>
      <c r="D16" s="2" t="s">
        <v>12</v>
      </c>
      <c r="E16" s="1" t="s">
        <v>114</v>
      </c>
      <c r="F16" s="45">
        <v>3</v>
      </c>
      <c r="G16" s="134"/>
      <c r="H16" s="134"/>
      <c r="J16" s="80">
        <f t="shared" si="0"/>
        <v>1</v>
      </c>
      <c r="K16" s="80">
        <f t="shared" si="1"/>
        <v>1</v>
      </c>
      <c r="L16" s="80">
        <f t="shared" si="2"/>
        <v>0</v>
      </c>
      <c r="M16" s="80">
        <f>COUNTIF(C16:E16,"=++")</f>
        <v>1</v>
      </c>
      <c r="O16" s="45">
        <f t="shared" si="4"/>
        <v>7</v>
      </c>
      <c r="P16" s="131"/>
    </row>
    <row r="17" spans="2:16" ht="15" customHeight="1" x14ac:dyDescent="0.25">
      <c r="B17" s="92" t="s">
        <v>134</v>
      </c>
      <c r="C17" s="1" t="s">
        <v>13</v>
      </c>
      <c r="D17" s="3" t="s">
        <v>12</v>
      </c>
      <c r="E17" s="2" t="s">
        <v>12</v>
      </c>
      <c r="F17" s="45">
        <v>4</v>
      </c>
      <c r="J17" s="80">
        <f t="shared" si="0"/>
        <v>0</v>
      </c>
      <c r="K17" s="80">
        <f t="shared" si="1"/>
        <v>2</v>
      </c>
      <c r="L17" s="80">
        <f t="shared" si="2"/>
        <v>1</v>
      </c>
      <c r="M17" s="80">
        <f t="shared" si="3"/>
        <v>0</v>
      </c>
      <c r="O17" s="45">
        <f t="shared" si="4"/>
        <v>7</v>
      </c>
      <c r="P17" s="131"/>
    </row>
    <row r="18" spans="2:16" ht="15" customHeight="1" x14ac:dyDescent="0.25">
      <c r="B18" s="91" t="s">
        <v>135</v>
      </c>
      <c r="C18" s="2" t="s">
        <v>14</v>
      </c>
      <c r="D18" s="1" t="s">
        <v>12</v>
      </c>
      <c r="E18" s="3" t="s">
        <v>114</v>
      </c>
      <c r="F18" s="45">
        <v>5</v>
      </c>
      <c r="J18" s="80">
        <f t="shared" si="0"/>
        <v>1</v>
      </c>
      <c r="K18" s="80">
        <f t="shared" si="1"/>
        <v>1</v>
      </c>
      <c r="L18" s="80">
        <f t="shared" si="2"/>
        <v>0</v>
      </c>
      <c r="M18" s="80">
        <f t="shared" si="3"/>
        <v>1</v>
      </c>
      <c r="O18" s="45">
        <f t="shared" si="4"/>
        <v>7</v>
      </c>
      <c r="P18" s="131"/>
    </row>
    <row r="19" spans="2:16" ht="15" customHeight="1" x14ac:dyDescent="0.25">
      <c r="B19" s="92" t="s">
        <v>136</v>
      </c>
      <c r="C19" s="93" t="s">
        <v>114</v>
      </c>
      <c r="D19" s="2" t="s">
        <v>14</v>
      </c>
      <c r="E19" s="1" t="s">
        <v>12</v>
      </c>
      <c r="F19" s="45">
        <v>6</v>
      </c>
      <c r="J19" s="80">
        <f t="shared" si="0"/>
        <v>1</v>
      </c>
      <c r="K19" s="80">
        <f t="shared" si="1"/>
        <v>1</v>
      </c>
      <c r="L19" s="80">
        <f t="shared" si="2"/>
        <v>0</v>
      </c>
      <c r="M19" s="80">
        <f t="shared" si="3"/>
        <v>1</v>
      </c>
      <c r="O19" s="45">
        <f t="shared" si="4"/>
        <v>7</v>
      </c>
      <c r="P19" s="131"/>
    </row>
    <row r="20" spans="2:16" ht="15" customHeight="1" x14ac:dyDescent="0.25">
      <c r="B20" s="91" t="s">
        <v>137</v>
      </c>
      <c r="C20" s="1" t="s">
        <v>13</v>
      </c>
      <c r="D20" s="3" t="s">
        <v>12</v>
      </c>
      <c r="E20" s="2" t="s">
        <v>12</v>
      </c>
      <c r="F20" s="45">
        <v>7</v>
      </c>
      <c r="J20" s="80">
        <f t="shared" si="0"/>
        <v>0</v>
      </c>
      <c r="K20" s="80">
        <f t="shared" si="1"/>
        <v>2</v>
      </c>
      <c r="L20" s="80">
        <f t="shared" si="2"/>
        <v>1</v>
      </c>
      <c r="M20" s="80">
        <f t="shared" si="3"/>
        <v>0</v>
      </c>
      <c r="O20" s="45">
        <f t="shared" si="4"/>
        <v>7</v>
      </c>
      <c r="P20" s="131"/>
    </row>
    <row r="21" spans="2:16" ht="15" customHeight="1" x14ac:dyDescent="0.25">
      <c r="B21" s="92" t="s">
        <v>138</v>
      </c>
      <c r="C21" s="2" t="s">
        <v>114</v>
      </c>
      <c r="D21" s="1" t="s">
        <v>14</v>
      </c>
      <c r="E21" s="3" t="s">
        <v>12</v>
      </c>
      <c r="F21" s="45">
        <v>8</v>
      </c>
      <c r="J21" s="80">
        <f t="shared" si="0"/>
        <v>1</v>
      </c>
      <c r="K21" s="80">
        <f t="shared" si="1"/>
        <v>1</v>
      </c>
      <c r="L21" s="80">
        <f t="shared" si="2"/>
        <v>0</v>
      </c>
      <c r="M21" s="80">
        <f t="shared" si="3"/>
        <v>1</v>
      </c>
      <c r="O21" s="45">
        <f t="shared" si="4"/>
        <v>7</v>
      </c>
      <c r="P21" s="131"/>
    </row>
    <row r="22" spans="2:16" ht="15" customHeight="1" x14ac:dyDescent="0.25">
      <c r="B22" s="91" t="s">
        <v>139</v>
      </c>
      <c r="C22" s="3" t="s">
        <v>12</v>
      </c>
      <c r="D22" s="2" t="s">
        <v>114</v>
      </c>
      <c r="E22" s="1" t="s">
        <v>14</v>
      </c>
      <c r="F22" s="45">
        <v>9</v>
      </c>
      <c r="J22" s="80">
        <f t="shared" si="0"/>
        <v>1</v>
      </c>
      <c r="K22" s="80">
        <f t="shared" si="1"/>
        <v>1</v>
      </c>
      <c r="L22" s="80">
        <f t="shared" si="2"/>
        <v>0</v>
      </c>
      <c r="M22" s="80">
        <f t="shared" si="3"/>
        <v>1</v>
      </c>
      <c r="O22" s="45">
        <f t="shared" si="4"/>
        <v>7</v>
      </c>
      <c r="P22" s="131"/>
    </row>
    <row r="24" spans="2:16" x14ac:dyDescent="0.25">
      <c r="B24" s="91" t="s">
        <v>14</v>
      </c>
      <c r="C24" s="80">
        <f>COUNTIF(C14:C22,"=-")</f>
        <v>3</v>
      </c>
      <c r="D24" s="80">
        <f t="shared" ref="D24:E24" si="5">COUNTIF(D14:D22,"=-")</f>
        <v>2</v>
      </c>
      <c r="E24" s="80">
        <f t="shared" si="5"/>
        <v>1</v>
      </c>
    </row>
    <row r="25" spans="2:16" x14ac:dyDescent="0.25">
      <c r="B25" s="92" t="s">
        <v>12</v>
      </c>
      <c r="C25" s="80">
        <f>COUNTIF(C14:C22,"==")</f>
        <v>2</v>
      </c>
      <c r="D25" s="80">
        <f t="shared" ref="D25:E25" si="6">COUNTIF(D14:D22,"==")</f>
        <v>4</v>
      </c>
      <c r="E25" s="80">
        <f t="shared" si="6"/>
        <v>6</v>
      </c>
    </row>
    <row r="26" spans="2:16" x14ac:dyDescent="0.25">
      <c r="B26" s="91" t="s">
        <v>13</v>
      </c>
      <c r="C26" s="80">
        <f>COUNTIF(C14:C22,"=+")</f>
        <v>2</v>
      </c>
      <c r="D26" s="80">
        <f t="shared" ref="D26:E26" si="7">COUNTIF(D14:D22,"=+")</f>
        <v>1</v>
      </c>
      <c r="E26" s="80">
        <f t="shared" si="7"/>
        <v>0</v>
      </c>
    </row>
    <row r="27" spans="2:16" x14ac:dyDescent="0.25">
      <c r="B27" s="92" t="s">
        <v>114</v>
      </c>
      <c r="C27" s="80">
        <f>COUNTIF(C14:C22,"=++")</f>
        <v>2</v>
      </c>
      <c r="D27" s="80">
        <f t="shared" ref="D27:E27" si="8">COUNTIF(D14:D22,"=++")</f>
        <v>2</v>
      </c>
      <c r="E27" s="80">
        <f t="shared" si="8"/>
        <v>2</v>
      </c>
    </row>
    <row r="29" spans="2:16" x14ac:dyDescent="0.25">
      <c r="C29" s="45">
        <f>$J$10*C24+$K$10*C25+$L$10*C26+$M$10*C27</f>
        <v>21</v>
      </c>
      <c r="D29" s="45">
        <f t="shared" ref="D29:E29" si="9">$J$10*D24+$K$10*D25+$L$10*D26+$M$10*D27</f>
        <v>21</v>
      </c>
      <c r="E29" s="45">
        <f t="shared" si="9"/>
        <v>21</v>
      </c>
    </row>
    <row r="30" spans="2:16" ht="15" customHeight="1" x14ac:dyDescent="0.25">
      <c r="C30" s="131">
        <f>ROUND(AVERAGE(C29:E29),0)</f>
        <v>21</v>
      </c>
      <c r="D30" s="131"/>
      <c r="E30" s="131"/>
    </row>
    <row r="31" spans="2:16" ht="15" customHeight="1" x14ac:dyDescent="0.25">
      <c r="C31" s="132" t="s">
        <v>141</v>
      </c>
      <c r="D31" s="132"/>
      <c r="E31" s="132"/>
    </row>
    <row r="32" spans="2:16" ht="15" customHeight="1" x14ac:dyDescent="0.25">
      <c r="C32" s="97"/>
    </row>
    <row r="33" spans="3:3" ht="15" customHeight="1" x14ac:dyDescent="0.25">
      <c r="C33" s="97"/>
    </row>
    <row r="34" spans="3:3" ht="15" customHeight="1" x14ac:dyDescent="0.25">
      <c r="C34" s="97"/>
    </row>
    <row r="35" spans="3:3" ht="15" customHeight="1" x14ac:dyDescent="0.25">
      <c r="C35" s="97"/>
    </row>
    <row r="36" spans="3:3" ht="15" customHeight="1" x14ac:dyDescent="0.25">
      <c r="C36" s="97"/>
    </row>
    <row r="37" spans="3:3" ht="15" customHeight="1" x14ac:dyDescent="0.25">
      <c r="C37" s="97"/>
    </row>
    <row r="38" spans="3:3" ht="15" customHeight="1" x14ac:dyDescent="0.25">
      <c r="C38" s="97"/>
    </row>
  </sheetData>
  <mergeCells count="8">
    <mergeCell ref="P14:P22"/>
    <mergeCell ref="O13:P13"/>
    <mergeCell ref="C30:E30"/>
    <mergeCell ref="C31:E31"/>
    <mergeCell ref="G4:H5"/>
    <mergeCell ref="G9:H10"/>
    <mergeCell ref="C12:E12"/>
    <mergeCell ref="G15:H16"/>
  </mergeCells>
  <conditionalFormatting sqref="J14:M22">
    <cfRule type="colorScale" priority="5">
      <colorScale>
        <cfvo type="num" val="0"/>
        <cfvo type="num" val="3"/>
        <color theme="5" tint="0.39997558519241921"/>
        <color theme="9" tint="0.39997558519241921"/>
      </colorScale>
    </cfRule>
  </conditionalFormatting>
  <conditionalFormatting sqref="O14:O22">
    <cfRule type="colorScale" priority="4">
      <colorScale>
        <cfvo type="min"/>
        <cfvo type="max"/>
        <color theme="5" tint="0.59999389629810485"/>
        <color theme="9" tint="0.59999389629810485"/>
      </colorScale>
    </cfRule>
  </conditionalFormatting>
  <conditionalFormatting sqref="C29:E29">
    <cfRule type="colorScale" priority="2">
      <colorScale>
        <cfvo type="min"/>
        <cfvo type="max"/>
        <color theme="5" tint="0.59999389629810485"/>
        <color theme="9" tint="0.59999389629810485"/>
      </colorScale>
    </cfRule>
  </conditionalFormatting>
  <conditionalFormatting sqref="C24:E27">
    <cfRule type="colorScale" priority="1">
      <colorScale>
        <cfvo type="num" val="0"/>
        <cfvo type="num" val="3"/>
        <color theme="5" tint="0.39997558519241921"/>
        <color theme="9" tint="0.39997558519241921"/>
      </colorScale>
    </cfRule>
  </conditionalFormatting>
  <dataValidations count="6">
    <dataValidation type="list" allowBlank="1" showInputMessage="1" showErrorMessage="1" sqref="G3" xr:uid="{8A2B3C0A-1B84-4160-829F-96DB22A7AAAE}">
      <formula1>$C$2:$E$2</formula1>
    </dataValidation>
    <dataValidation type="list" allowBlank="1" showInputMessage="1" showErrorMessage="1" sqref="H3" xr:uid="{9A1B5EA6-293C-4A39-82B9-2C20CB41C823}">
      <formula1>$B$3:$B$5</formula1>
    </dataValidation>
    <dataValidation type="list" allowBlank="1" showInputMessage="1" showErrorMessage="1" sqref="H8" xr:uid="{DFC6195F-4208-43BC-8E7D-B6843255458E}">
      <formula1>STAT_ENEMY</formula1>
    </dataValidation>
    <dataValidation type="list" allowBlank="1" showInputMessage="1" showErrorMessage="1" sqref="G8" xr:uid="{387609A8-46AC-48C0-A04D-9CD93770998A}">
      <formula1>CAT_ENEMIES</formula1>
    </dataValidation>
    <dataValidation type="list" allowBlank="1" showInputMessage="1" showErrorMessage="1" sqref="G14" xr:uid="{42730166-4154-41BE-B489-9933F9B368C4}">
      <formula1>STATS_TYPTOWER</formula1>
    </dataValidation>
    <dataValidation type="list" allowBlank="1" showInputMessage="1" showErrorMessage="1" sqref="H14" xr:uid="{984A19FD-4666-45F4-8860-D57B943F1843}">
      <formula1>TYPE_TOWERELEMENT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0" operator="containsText" id="{333ED5B2-8E94-4095-AB67-D783479ABBC0}">
            <xm:f>NOT(ISERROR(SEARCH("-",C3)))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31" operator="containsText" id="{39D7E2C7-104B-4F20-AB96-D27DEBD827D8}">
            <xm:f>NOT(ISERROR(SEARCH("=",C3)))</xm:f>
            <xm:f>"="</xm:f>
            <x14:dxf>
              <fill>
                <patternFill patternType="solid">
                  <bgColor theme="5" tint="0.39994506668294322"/>
                </patternFill>
              </fill>
            </x14:dxf>
          </x14:cfRule>
          <x14:cfRule type="containsText" priority="32" operator="containsText" id="{4F5504FB-9325-41DC-A146-AD1F39FBB75B}">
            <xm:f>NOT(ISERROR(SEARCH("+",C3)))</xm:f>
            <xm:f>"+"</xm:f>
            <x14:dxf>
              <fill>
                <patternFill>
                  <bgColor rgb="FFFF5050"/>
                </patternFill>
              </fill>
            </x14:dxf>
          </x14:cfRule>
          <xm:sqref>C3:E5</xm:sqref>
        </x14:conditionalFormatting>
        <x14:conditionalFormatting xmlns:xm="http://schemas.microsoft.com/office/excel/2006/main">
          <x14:cfRule type="containsText" priority="27" operator="containsText" id="{3AAEB10C-9F59-4B52-9DFF-C76D01A8702C}">
            <xm:f>NOT(ISERROR(SEARCH("-",C8)))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28" operator="containsText" id="{C73B052F-DEFE-44DF-BD77-690FA36AE609}">
            <xm:f>NOT(ISERROR(SEARCH("=",C8)))</xm:f>
            <xm:f>"="</xm:f>
            <x14:dxf>
              <fill>
                <patternFill patternType="solid">
                  <bgColor theme="5" tint="0.39994506668294322"/>
                </patternFill>
              </fill>
            </x14:dxf>
          </x14:cfRule>
          <x14:cfRule type="containsText" priority="29" operator="containsText" id="{9310B9C8-E2DA-4ECF-80C0-CDA2D967AC04}">
            <xm:f>NOT(ISERROR(SEARCH("+",C8)))</xm:f>
            <xm:f>"+"</xm:f>
            <x14:dxf>
              <fill>
                <patternFill>
                  <bgColor rgb="FFFF5050"/>
                </patternFill>
              </fill>
            </x14:dxf>
          </x14:cfRule>
          <xm:sqref>C8:E10</xm:sqref>
        </x14:conditionalFormatting>
        <x14:conditionalFormatting xmlns:xm="http://schemas.microsoft.com/office/excel/2006/main">
          <x14:cfRule type="containsText" priority="24" operator="containsText" id="{A8DF306A-1928-41D1-A8FA-92C3D23650E5}">
            <xm:f>NOT(ISERROR(SEARCH("-",G9)))</xm:f>
            <xm:f>"-"</xm:f>
            <x14:dxf>
              <fill>
                <patternFill>
                  <bgColor rgb="FFFF5050"/>
                </patternFill>
              </fill>
            </x14:dxf>
          </x14:cfRule>
          <x14:cfRule type="containsText" priority="25" operator="containsText" id="{BC7E5D03-3569-4185-A335-7EE45C9B71EF}">
            <xm:f>NOT(ISERROR(SEARCH("=",G9)))</xm:f>
            <xm:f>"="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26" operator="containsText" id="{E2E10D1A-8315-4EB7-97D5-E6C9BE9B8D85}">
            <xm:f>NOT(ISERROR(SEARCH("+",G9)))</xm:f>
            <xm:f>"+"</xm:f>
            <x14:dxf>
              <fill>
                <patternFill>
                  <bgColor theme="7" tint="0.59996337778862885"/>
                </patternFill>
              </fill>
            </x14:dxf>
          </x14:cfRule>
          <xm:sqref>G9:H10</xm:sqref>
        </x14:conditionalFormatting>
        <x14:conditionalFormatting xmlns:xm="http://schemas.microsoft.com/office/excel/2006/main">
          <x14:cfRule type="containsText" priority="21" operator="containsText" id="{04C43337-6955-4357-AA27-32D4DB50DD97}">
            <xm:f>NOT(ISERROR(SEARCH("-",G4)))</xm:f>
            <xm:f>"-"</xm:f>
            <x14:dxf>
              <fill>
                <patternFill>
                  <bgColor rgb="FFFF5050"/>
                </patternFill>
              </fill>
            </x14:dxf>
          </x14:cfRule>
          <x14:cfRule type="containsText" priority="22" operator="containsText" id="{5C406E0B-9676-421D-9450-1EE1940C737F}">
            <xm:f>NOT(ISERROR(SEARCH("=",G4)))</xm:f>
            <xm:f>"="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23" operator="containsText" id="{4A06BD1F-A2CC-443D-8015-BA857EEF5EDD}">
            <xm:f>NOT(ISERROR(SEARCH("+",G4)))</xm:f>
            <xm:f>"+"</xm:f>
            <x14:dxf>
              <fill>
                <patternFill>
                  <bgColor theme="7" tint="0.59996337778862885"/>
                </patternFill>
              </fill>
            </x14:dxf>
          </x14:cfRule>
          <xm:sqref>G4:H5</xm:sqref>
        </x14:conditionalFormatting>
        <x14:conditionalFormatting xmlns:xm="http://schemas.microsoft.com/office/excel/2006/main">
          <x14:cfRule type="containsText" priority="13" operator="containsText" id="{819B7B92-15A3-4697-9CCA-83C63222E425}">
            <xm:f>NOT(ISERROR(SEARCH("++",C14)))</xm:f>
            <xm:f>"++"</xm:f>
            <x14:dxf>
              <fill>
                <patternFill>
                  <bgColor rgb="FFFF0000"/>
                </patternFill>
              </fill>
            </x14:dxf>
          </x14:cfRule>
          <x14:cfRule type="containsText" priority="14" operator="containsText" id="{423889C8-76F8-4397-8562-6D61BB389514}">
            <xm:f>NOT(ISERROR(SEARCH("-",C14)))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15" operator="containsText" id="{18118F73-D758-4941-A247-30E66D2FC632}">
            <xm:f>NOT(ISERROR(SEARCH("=",C14)))</xm:f>
            <xm:f>"="</xm:f>
            <x14:dxf>
              <fill>
                <patternFill patternType="solid">
                  <bgColor theme="5" tint="0.39994506668294322"/>
                </patternFill>
              </fill>
            </x14:dxf>
          </x14:cfRule>
          <x14:cfRule type="containsText" priority="16" operator="containsText" id="{BBBD8F42-7D24-4FF2-9A18-9F4E3FBB5874}">
            <xm:f>NOT(ISERROR(SEARCH("+",C14)))</xm:f>
            <xm:f>"+"</xm:f>
            <x14:dxf>
              <fill>
                <patternFill>
                  <bgColor rgb="FFFF5050"/>
                </patternFill>
              </fill>
            </x14:dxf>
          </x14:cfRule>
          <xm:sqref>C14:E22</xm:sqref>
        </x14:conditionalFormatting>
        <x14:conditionalFormatting xmlns:xm="http://schemas.microsoft.com/office/excel/2006/main">
          <x14:cfRule type="containsText" priority="6" operator="containsText" id="{E86E9027-A6E9-4812-914E-0F658259DB9F}">
            <xm:f>NOT(ISERROR(SEARCH("++",G15)))</xm:f>
            <xm:f>"++"</xm:f>
            <x14:dxf>
              <fill>
                <patternFill>
                  <bgColor rgb="FFFF0000"/>
                </patternFill>
              </fill>
            </x14:dxf>
          </x14:cfRule>
          <x14:cfRule type="containsText" priority="7" operator="containsText" id="{92D2A5DE-A897-47EE-8EA0-E3860639083F}">
            <xm:f>NOT(ISERROR(SEARCH("-",G15)))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8" operator="containsText" id="{A67D42AD-2469-4049-9887-7AA040E32FCE}">
            <xm:f>NOT(ISERROR(SEARCH("=",G15)))</xm:f>
            <xm:f>"="</xm:f>
            <x14:dxf>
              <fill>
                <patternFill patternType="solid">
                  <bgColor theme="5" tint="0.39994506668294322"/>
                </patternFill>
              </fill>
            </x14:dxf>
          </x14:cfRule>
          <x14:cfRule type="containsText" priority="9" operator="containsText" id="{0A787180-A3E5-47AC-9BE4-B1955EF5BEAF}">
            <xm:f>NOT(ISERROR(SEARCH("+",G15)))</xm:f>
            <xm:f>"+"</xm:f>
            <x14:dxf>
              <fill>
                <patternFill>
                  <bgColor rgb="FFFF5050"/>
                </patternFill>
              </fill>
            </x14:dxf>
          </x14:cfRule>
          <xm:sqref>G15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7B0DA-040C-4E1A-930F-48D7F5CF8BC3}">
  <dimension ref="B1:L32"/>
  <sheetViews>
    <sheetView workbookViewId="0">
      <selection activeCell="L2" sqref="L2"/>
    </sheetView>
  </sheetViews>
  <sheetFormatPr baseColWidth="10" defaultRowHeight="15" x14ac:dyDescent="0.25"/>
  <cols>
    <col min="1" max="1" width="2.85546875" style="45" customWidth="1"/>
    <col min="2" max="2" width="21.42578125" style="45" customWidth="1"/>
    <col min="3" max="3" width="2.85546875" style="45" customWidth="1"/>
    <col min="4" max="4" width="21.42578125" style="45" customWidth="1"/>
    <col min="5" max="5" width="2.85546875" style="45" customWidth="1"/>
    <col min="6" max="6" width="21.42578125" style="45" customWidth="1"/>
    <col min="7" max="7" width="2.85546875" style="45" customWidth="1"/>
    <col min="8" max="8" width="21.42578125" style="45" customWidth="1"/>
    <col min="9" max="9" width="2.85546875" style="45" customWidth="1"/>
    <col min="10" max="10" width="21.42578125" style="45" customWidth="1"/>
    <col min="11" max="11" width="2.85546875" style="45" customWidth="1"/>
    <col min="12" max="12" width="21.42578125" style="45" customWidth="1"/>
    <col min="13" max="16384" width="11.42578125" style="45"/>
  </cols>
  <sheetData>
    <row r="1" spans="2:12" ht="15" customHeight="1" thickBot="1" x14ac:dyDescent="0.3"/>
    <row r="2" spans="2:12" ht="15.75" thickBot="1" x14ac:dyDescent="0.3">
      <c r="B2" s="47" t="s">
        <v>9</v>
      </c>
      <c r="D2" s="47" t="s">
        <v>17</v>
      </c>
      <c r="F2" s="47" t="s">
        <v>86</v>
      </c>
      <c r="H2" s="47" t="s">
        <v>60</v>
      </c>
      <c r="J2" s="47" t="s">
        <v>87</v>
      </c>
      <c r="L2" s="47" t="s">
        <v>155</v>
      </c>
    </row>
    <row r="3" spans="2:12" x14ac:dyDescent="0.25">
      <c r="B3" s="49" t="s">
        <v>6</v>
      </c>
      <c r="C3" s="50"/>
      <c r="D3" s="94" t="s">
        <v>114</v>
      </c>
      <c r="E3" s="50"/>
      <c r="F3" s="51" t="s">
        <v>5</v>
      </c>
      <c r="H3" s="52" t="s">
        <v>28</v>
      </c>
      <c r="J3" s="52" t="s">
        <v>45</v>
      </c>
      <c r="L3" s="52" t="s">
        <v>123</v>
      </c>
    </row>
    <row r="4" spans="2:12" x14ac:dyDescent="0.25">
      <c r="B4" s="49" t="s">
        <v>7</v>
      </c>
      <c r="C4" s="50"/>
      <c r="D4" s="53" t="s">
        <v>13</v>
      </c>
      <c r="E4" s="50"/>
      <c r="F4" s="49" t="s">
        <v>15</v>
      </c>
      <c r="H4" s="52" t="s">
        <v>45</v>
      </c>
      <c r="J4" s="52" t="s">
        <v>88</v>
      </c>
      <c r="L4" s="52" t="s">
        <v>148</v>
      </c>
    </row>
    <row r="5" spans="2:12" ht="15.75" thickBot="1" x14ac:dyDescent="0.3">
      <c r="B5" s="54" t="s">
        <v>8</v>
      </c>
      <c r="C5" s="50"/>
      <c r="D5" s="53" t="s">
        <v>12</v>
      </c>
      <c r="E5" s="50"/>
      <c r="F5" s="49" t="s">
        <v>10</v>
      </c>
      <c r="H5" s="52" t="s">
        <v>74</v>
      </c>
      <c r="J5" s="56" t="s">
        <v>41</v>
      </c>
      <c r="L5" s="56" t="s">
        <v>149</v>
      </c>
    </row>
    <row r="6" spans="2:12" ht="15.75" thickBot="1" x14ac:dyDescent="0.3">
      <c r="B6" s="50"/>
      <c r="C6" s="50"/>
      <c r="D6" s="55" t="s">
        <v>14</v>
      </c>
      <c r="E6" s="50"/>
      <c r="F6" s="49" t="s">
        <v>41</v>
      </c>
      <c r="H6" s="56" t="s">
        <v>77</v>
      </c>
    </row>
    <row r="7" spans="2:12" ht="15.75" thickBot="1" x14ac:dyDescent="0.3">
      <c r="B7" s="48" t="s">
        <v>59</v>
      </c>
      <c r="C7" s="50"/>
      <c r="E7" s="50"/>
      <c r="F7" s="54" t="s">
        <v>80</v>
      </c>
    </row>
    <row r="8" spans="2:12" ht="15.75" thickBot="1" x14ac:dyDescent="0.3">
      <c r="B8" s="51" t="s">
        <v>11</v>
      </c>
      <c r="C8" s="50"/>
      <c r="D8" s="57"/>
      <c r="E8" s="50"/>
      <c r="H8" s="47" t="s">
        <v>26</v>
      </c>
    </row>
    <row r="9" spans="2:12" ht="15.75" thickBot="1" x14ac:dyDescent="0.3">
      <c r="B9" s="49" t="s">
        <v>0</v>
      </c>
      <c r="F9" s="47" t="s">
        <v>22</v>
      </c>
      <c r="H9" s="52" t="s">
        <v>23</v>
      </c>
    </row>
    <row r="10" spans="2:12" x14ac:dyDescent="0.25">
      <c r="B10" s="49" t="s">
        <v>2</v>
      </c>
      <c r="F10" s="52" t="s">
        <v>123</v>
      </c>
      <c r="H10" s="52" t="s">
        <v>24</v>
      </c>
    </row>
    <row r="11" spans="2:12" ht="15.75" thickBot="1" x14ac:dyDescent="0.3">
      <c r="B11" s="49" t="s">
        <v>1</v>
      </c>
      <c r="F11" s="52" t="s">
        <v>36</v>
      </c>
      <c r="H11" s="56" t="s">
        <v>25</v>
      </c>
    </row>
    <row r="12" spans="2:12" ht="15.75" thickBot="1" x14ac:dyDescent="0.3">
      <c r="B12" s="49" t="s">
        <v>3</v>
      </c>
      <c r="F12" s="56" t="s">
        <v>8</v>
      </c>
    </row>
    <row r="13" spans="2:12" ht="15.75" thickBot="1" x14ac:dyDescent="0.3">
      <c r="B13" s="54" t="s">
        <v>4</v>
      </c>
      <c r="H13" s="47" t="s">
        <v>55</v>
      </c>
    </row>
    <row r="14" spans="2:12" ht="15.75" thickBot="1" x14ac:dyDescent="0.3">
      <c r="F14" s="47" t="s">
        <v>56</v>
      </c>
      <c r="H14" s="52" t="s">
        <v>32</v>
      </c>
    </row>
    <row r="15" spans="2:12" ht="15.75" thickBot="1" x14ac:dyDescent="0.3">
      <c r="B15" s="48" t="s">
        <v>75</v>
      </c>
      <c r="F15" s="58" t="s">
        <v>52</v>
      </c>
      <c r="H15" s="52" t="s">
        <v>31</v>
      </c>
    </row>
    <row r="16" spans="2:12" ht="15.75" thickBot="1" x14ac:dyDescent="0.3">
      <c r="B16" s="51" t="s">
        <v>68</v>
      </c>
      <c r="F16" s="52" t="s">
        <v>54</v>
      </c>
      <c r="H16" s="56" t="s">
        <v>30</v>
      </c>
    </row>
    <row r="17" spans="2:6" ht="15.75" thickBot="1" x14ac:dyDescent="0.3">
      <c r="B17" s="49" t="s">
        <v>69</v>
      </c>
      <c r="F17" s="56" t="s">
        <v>53</v>
      </c>
    </row>
    <row r="18" spans="2:6" x14ac:dyDescent="0.25">
      <c r="B18" s="49" t="s">
        <v>70</v>
      </c>
    </row>
    <row r="19" spans="2:6" x14ac:dyDescent="0.25">
      <c r="B19" s="49" t="s">
        <v>71</v>
      </c>
    </row>
    <row r="20" spans="2:6" x14ac:dyDescent="0.25">
      <c r="B20" s="49" t="s">
        <v>72</v>
      </c>
    </row>
    <row r="21" spans="2:6" ht="15.75" thickBot="1" x14ac:dyDescent="0.3">
      <c r="B21" s="54" t="s">
        <v>73</v>
      </c>
    </row>
    <row r="22" spans="2:6" ht="15.75" thickBot="1" x14ac:dyDescent="0.3"/>
    <row r="23" spans="2:6" ht="15.75" thickBot="1" x14ac:dyDescent="0.3">
      <c r="B23" s="47" t="s">
        <v>140</v>
      </c>
    </row>
    <row r="24" spans="2:6" x14ac:dyDescent="0.25">
      <c r="B24" s="52" t="s">
        <v>74</v>
      </c>
    </row>
    <row r="25" spans="2:6" x14ac:dyDescent="0.25">
      <c r="B25" s="52" t="s">
        <v>104</v>
      </c>
    </row>
    <row r="26" spans="2:6" ht="15.75" thickBot="1" x14ac:dyDescent="0.3">
      <c r="B26" s="56" t="s">
        <v>105</v>
      </c>
    </row>
    <row r="27" spans="2:6" ht="15.75" thickBot="1" x14ac:dyDescent="0.3"/>
    <row r="28" spans="2:6" ht="15.75" thickBot="1" x14ac:dyDescent="0.3">
      <c r="B28" s="47" t="s">
        <v>142</v>
      </c>
    </row>
    <row r="29" spans="2:6" x14ac:dyDescent="0.25">
      <c r="B29" s="49">
        <v>0</v>
      </c>
    </row>
    <row r="30" spans="2:6" x14ac:dyDescent="0.25">
      <c r="B30" s="49">
        <v>1</v>
      </c>
    </row>
    <row r="31" spans="2:6" x14ac:dyDescent="0.25">
      <c r="B31" s="49" t="s">
        <v>111</v>
      </c>
    </row>
    <row r="32" spans="2:6" ht="15.75" thickBot="1" x14ac:dyDescent="0.3">
      <c r="B32" s="54" t="s">
        <v>115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1444F490B10C45A279B0383115D26D" ma:contentTypeVersion="2" ma:contentTypeDescription="Crée un document." ma:contentTypeScope="" ma:versionID="91c543cf6706f2108a45fe2b21185738">
  <xsd:schema xmlns:xsd="http://www.w3.org/2001/XMLSchema" xmlns:xs="http://www.w3.org/2001/XMLSchema" xmlns:p="http://schemas.microsoft.com/office/2006/metadata/properties" xmlns:ns3="c3a97ae1-1078-4f52-97c7-e1e75f184270" targetNamespace="http://schemas.microsoft.com/office/2006/metadata/properties" ma:root="true" ma:fieldsID="6cf98f67490a83722a01f9dfd5fe46d6" ns3:_="">
    <xsd:import namespace="c3a97ae1-1078-4f52-97c7-e1e75f1842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a97ae1-1078-4f52-97c7-e1e75f1842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2CAFBC-27A9-4D0E-A532-4CEEC1A7F4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866972C-7532-44BD-9DE5-958311035541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c3a97ae1-1078-4f52-97c7-e1e75f184270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2023A10-1816-44FB-8F7C-8B09E93BD2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a97ae1-1078-4f52-97c7-e1e75f1842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29</vt:i4>
      </vt:variant>
    </vt:vector>
  </HeadingPairs>
  <TitlesOfParts>
    <vt:vector size="37" baseType="lpstr">
      <vt:lpstr>TowerStatsCalc</vt:lpstr>
      <vt:lpstr>Train</vt:lpstr>
      <vt:lpstr>Factory</vt:lpstr>
      <vt:lpstr>Enemies</vt:lpstr>
      <vt:lpstr>Tower</vt:lpstr>
      <vt:lpstr>TowerUpdate</vt:lpstr>
      <vt:lpstr>Weak</vt:lpstr>
      <vt:lpstr>Data</vt:lpstr>
      <vt:lpstr>CAT_ENEMIES</vt:lpstr>
      <vt:lpstr>CAT_TOWER</vt:lpstr>
      <vt:lpstr>CODE_ENEMIES</vt:lpstr>
      <vt:lpstr>CODE_FACTORY</vt:lpstr>
      <vt:lpstr>CODE_TOWER</vt:lpstr>
      <vt:lpstr>CODE_TRAIN</vt:lpstr>
      <vt:lpstr>CODE_UPGRADE</vt:lpstr>
      <vt:lpstr>ENEMY</vt:lpstr>
      <vt:lpstr>FACTORY</vt:lpstr>
      <vt:lpstr>LEVEL_ENEMY</vt:lpstr>
      <vt:lpstr>SIGN</vt:lpstr>
      <vt:lpstr>STAT_ENEMY</vt:lpstr>
      <vt:lpstr>STAT_FACTORY</vt:lpstr>
      <vt:lpstr>STAT_TOWER</vt:lpstr>
      <vt:lpstr>STAT_TRAIN</vt:lpstr>
      <vt:lpstr>STATS_TYPTOWER</vt:lpstr>
      <vt:lpstr>TOWER</vt:lpstr>
      <vt:lpstr>TOWER_LVL2</vt:lpstr>
      <vt:lpstr>TOWER_UPGRADE</vt:lpstr>
      <vt:lpstr>TRAIN</vt:lpstr>
      <vt:lpstr>TYP_ENEMIES</vt:lpstr>
      <vt:lpstr>TYP_TOWER</vt:lpstr>
      <vt:lpstr>TYPE_TOWERELEMENT</vt:lpstr>
      <vt:lpstr>UPGRADE</vt:lpstr>
      <vt:lpstr>UPGRADE_CLASSE</vt:lpstr>
      <vt:lpstr>UPGRADE_LVL</vt:lpstr>
      <vt:lpstr>UPGRADE_STAT</vt:lpstr>
      <vt:lpstr>WEAK_ENEMY</vt:lpstr>
      <vt:lpstr>WEAK_TOWER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DIJOUX</dc:creator>
  <cp:lastModifiedBy>Kevin DIJOUX</cp:lastModifiedBy>
  <dcterms:created xsi:type="dcterms:W3CDTF">2022-11-21T13:56:53Z</dcterms:created>
  <dcterms:modified xsi:type="dcterms:W3CDTF">2022-11-28T21:29:41Z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0x010100841444F490B10C45A279B0383115D26D</vt:lpwstr>
  </property>
</Properties>
</file>