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DIJOUX\Documents\Unity\Workshop_TowerDefense\STD_Workshop\Documents\GameDesign\"/>
    </mc:Choice>
  </mc:AlternateContent>
  <xr:revisionPtr revIDLastSave="0" documentId="13_ncr:1_{278BB47F-6B6F-45A9-B616-212B21662E98}" xr6:coauthVersionLast="47" xr6:coauthVersionMax="47" xr10:uidLastSave="{00000000-0000-0000-0000-000000000000}"/>
  <bookViews>
    <workbookView xWindow="-120" yWindow="-120" windowWidth="29040" windowHeight="15720" activeTab="1" xr2:uid="{EE4EEEAB-A39E-4793-9971-E358DB8AAF6E}"/>
  </bookViews>
  <sheets>
    <sheet name="Feuil1" sheetId="6" r:id="rId1"/>
    <sheet name="TowerStatsCalc" sheetId="1" r:id="rId2"/>
    <sheet name="Enemies" sheetId="3" r:id="rId3"/>
    <sheet name="Tower" sheetId="4" r:id="rId4"/>
    <sheet name="Data" sheetId="2" r:id="rId5"/>
    <sheet name="Weak" sheetId="5" r:id="rId6"/>
  </sheets>
  <definedNames>
    <definedName name="CAT_ENEMIES">Data!$H$2:$H$4</definedName>
    <definedName name="CAT_TOWER">Tower!$C$3:$C$5</definedName>
    <definedName name="CODE_ENEMIES">Enemies!$A$3:$A$11</definedName>
    <definedName name="CODE_TOWER">Tower!$A$3:$A$5</definedName>
    <definedName name="ENEMIES">Enemies!$A$3:$F$11</definedName>
    <definedName name="ENEMY_TYP">Weak!$B$3:$F$5</definedName>
    <definedName name="FUN_ENEMIES">Data!$H$7:$H$9</definedName>
    <definedName name="SIGN">Data!$D$2:$D$4</definedName>
    <definedName name="STA_TOWER">Data!$F$2:$F$7</definedName>
    <definedName name="STAT_ENEMY">Data!$H$12:$H$14</definedName>
    <definedName name="TOWER">Tower!$A$3:$G$5</definedName>
    <definedName name="TOWER_TYP">Weak!$C$2:$E$5</definedName>
    <definedName name="UPGRADE">Data!$B$7:$B$12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J16" i="1"/>
  <c r="C5" i="1" s="1"/>
  <c r="E5" i="1" s="1" a="1"/>
  <c r="E5" i="1" s="1"/>
  <c r="G5" i="1" s="1" a="1"/>
  <c r="G5" i="1" s="1"/>
  <c r="I5" i="1" s="1" a="1"/>
  <c r="I5" i="1" s="1"/>
  <c r="K5" i="1" s="1" a="1"/>
  <c r="K5" i="1" s="1"/>
  <c r="M5" i="1" s="1" a="1"/>
  <c r="M5" i="1" s="1"/>
  <c r="H16" i="1"/>
  <c r="C4" i="1" s="1"/>
  <c r="F16" i="1"/>
  <c r="C3" i="1" s="1"/>
  <c r="C11" i="1" s="1"/>
  <c r="D16" i="1"/>
  <c r="C2" i="1" s="1"/>
  <c r="A4" i="4"/>
  <c r="A5" i="4"/>
  <c r="A3" i="4"/>
  <c r="D14" i="1"/>
  <c r="G9" i="5"/>
  <c r="G4" i="5"/>
  <c r="B2" i="6"/>
  <c r="E11" i="6"/>
  <c r="C2" i="6" s="1"/>
  <c r="B3" i="6"/>
  <c r="A4" i="3"/>
  <c r="A5" i="3"/>
  <c r="A6" i="3"/>
  <c r="A7" i="3"/>
  <c r="A8" i="3"/>
  <c r="A9" i="3"/>
  <c r="A10" i="3"/>
  <c r="A11" i="3"/>
  <c r="A3" i="3"/>
  <c r="D2" i="6" l="1"/>
  <c r="E2" i="6" s="1"/>
  <c r="F2" i="6" s="1"/>
  <c r="G2" i="6" s="1"/>
  <c r="H2" i="6" s="1"/>
  <c r="C14" i="1"/>
  <c r="G20" i="1" s="1"/>
  <c r="C16" i="1" l="1"/>
  <c r="E20" i="1" s="1"/>
  <c r="E21" i="1" l="1"/>
  <c r="I21" i="1" s="1" a="1"/>
  <c r="I21" i="1" s="1"/>
  <c r="E3" i="1" l="1" a="1"/>
  <c r="E3" i="1" s="1"/>
  <c r="E2" i="1" a="1"/>
  <c r="E2" i="1" s="1"/>
  <c r="G2" i="1" s="1" a="1"/>
  <c r="G2" i="1" s="1"/>
  <c r="E4" i="1" a="1"/>
  <c r="E4" i="1" s="1"/>
  <c r="G4" i="1" s="1" a="1"/>
  <c r="G4" i="1" s="1"/>
  <c r="G3" i="1" l="1" a="1"/>
  <c r="G3" i="1" s="1"/>
  <c r="G11" i="1" s="1"/>
  <c r="E11" i="1"/>
  <c r="I4" i="1" a="1"/>
  <c r="I4" i="1" s="1"/>
  <c r="I8" i="1" s="1"/>
  <c r="I2" i="1" a="1"/>
  <c r="I2" i="1" s="1"/>
  <c r="E8" i="1"/>
  <c r="E6" i="1"/>
  <c r="E7" i="1"/>
  <c r="G8" i="1"/>
  <c r="C10" i="1"/>
  <c r="E10" i="1"/>
  <c r="I3" i="1" l="1" a="1"/>
  <c r="I3" i="1" s="1"/>
  <c r="I11" i="1" s="1"/>
  <c r="K4" i="1" a="1"/>
  <c r="K4" i="1" s="1"/>
  <c r="K2" i="1" a="1"/>
  <c r="K2" i="1" s="1"/>
  <c r="G10" i="1"/>
  <c r="G7" i="1"/>
  <c r="G6" i="1"/>
  <c r="K3" i="1" l="1" a="1"/>
  <c r="K3" i="1" s="1"/>
  <c r="K11" i="1" s="1"/>
  <c r="M4" i="1" a="1"/>
  <c r="M4" i="1" s="1"/>
  <c r="M2" i="1" a="1"/>
  <c r="M2" i="1" s="1"/>
  <c r="I10" i="1"/>
  <c r="I6" i="1"/>
  <c r="I7" i="1"/>
  <c r="M3" i="1" l="1" a="1"/>
  <c r="M3" i="1" s="1"/>
  <c r="M11" i="1" s="1"/>
  <c r="K8" i="1"/>
  <c r="M8" i="1"/>
  <c r="K10" i="1"/>
  <c r="K6" i="1"/>
  <c r="K7" i="1"/>
  <c r="M6" i="1" l="1"/>
  <c r="M10" i="1"/>
  <c r="K21" i="1" s="1" a="1"/>
  <c r="K21" i="1" s="1"/>
  <c r="M7" i="1"/>
  <c r="E25" i="1" l="1"/>
  <c r="C25" i="1"/>
  <c r="B22" i="1"/>
  <c r="B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<sst xmlns="http://schemas.openxmlformats.org/spreadsheetml/2006/main" count="196" uniqueCount="92">
  <si>
    <t>Upgrade 1</t>
  </si>
  <si>
    <t>Upgrade 3</t>
  </si>
  <si>
    <t>Upgrade 2</t>
  </si>
  <si>
    <t>Upgrade 4</t>
  </si>
  <si>
    <t>Upgrade 5</t>
  </si>
  <si>
    <t>Stat Tourelle</t>
  </si>
  <si>
    <t>Attack</t>
  </si>
  <si>
    <t>Trap</t>
  </si>
  <si>
    <t>Food</t>
  </si>
  <si>
    <t>Energy</t>
  </si>
  <si>
    <t>Type of tower</t>
  </si>
  <si>
    <t>Reach</t>
  </si>
  <si>
    <t>Attack %</t>
  </si>
  <si>
    <t>FireRate %</t>
  </si>
  <si>
    <t>Reach %</t>
  </si>
  <si>
    <t>Stat</t>
  </si>
  <si>
    <t>Upgrade 0</t>
  </si>
  <si>
    <t>=</t>
  </si>
  <si>
    <t>Damage per seconds</t>
  </si>
  <si>
    <t>+</t>
  </si>
  <si>
    <t>-</t>
  </si>
  <si>
    <t>Upgrade 6</t>
  </si>
  <si>
    <t>Multiplicateur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</si>
  <si>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</si>
  <si>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</si>
  <si>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</si>
  <si>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</si>
  <si>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</si>
  <si>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</si>
  <si>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</si>
  <si>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</si>
  <si>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</si>
  <si>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</si>
  <si>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</si>
  <si>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</si>
  <si>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</si>
  <si>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</si>
  <si>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</si>
  <si>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FUN_ENEMIES</t>
  </si>
  <si>
    <t>Saboteur</t>
  </si>
  <si>
    <t>Intangible</t>
  </si>
  <si>
    <t>Normal</t>
  </si>
  <si>
    <t>Enemy ref</t>
  </si>
  <si>
    <t>Enemy HP</t>
  </si>
  <si>
    <t>Category</t>
  </si>
  <si>
    <t>Traps</t>
  </si>
  <si>
    <t>Enemy type</t>
  </si>
  <si>
    <t>Weak / Resist</t>
  </si>
  <si>
    <t>1_Inse_Norm</t>
  </si>
  <si>
    <t>Weak Mult</t>
  </si>
  <si>
    <t>Value</t>
  </si>
  <si>
    <t>Max Container</t>
  </si>
  <si>
    <t>Contain</t>
  </si>
  <si>
    <t>Tower</t>
  </si>
  <si>
    <t>DPS</t>
  </si>
  <si>
    <t>Upgrades</t>
  </si>
  <si>
    <t xml:space="preserve">Upgrade Max </t>
  </si>
  <si>
    <t>Lv1</t>
  </si>
  <si>
    <t>End Values</t>
  </si>
  <si>
    <t>Atk</t>
  </si>
  <si>
    <t>Spd</t>
  </si>
  <si>
    <t>Start Values</t>
  </si>
  <si>
    <t>Atk Lv Multiplier</t>
  </si>
  <si>
    <t>Spd Lv Multiplier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</si>
  <si>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</si>
  <si>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</si>
  <si>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</si>
  <si>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</si>
  <si>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</si>
  <si>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</si>
  <si>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</si>
  <si>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</si>
  <si>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</si>
  <si>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</si>
  <si>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</si>
  <si>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</si>
  <si>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</si>
  <si>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</si>
  <si>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Lv16</t>
  </si>
  <si>
    <t>Lv17</t>
  </si>
  <si>
    <t>Lv0</t>
  </si>
  <si>
    <t>Proj Attack</t>
  </si>
  <si>
    <t>Total Damage</t>
  </si>
  <si>
    <t>Resistance</t>
  </si>
  <si>
    <t>Speed</t>
  </si>
  <si>
    <t>Stat_Enemy</t>
  </si>
  <si>
    <t>Tower Stat</t>
  </si>
  <si>
    <t>2_Trap</t>
  </si>
  <si>
    <t>Projectil per seconds</t>
  </si>
  <si>
    <t>arrondi #,##</t>
  </si>
  <si>
    <t>List</t>
  </si>
  <si>
    <t>Valeur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</si>
</sst>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16" applyNumberFormat="0" applyFill="0" applyAlignment="0" applyProtection="0"/>
  </cellStyleXfs>
  <cellXfs count="9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2" applyFont="1" applyBorder="1" applyAlignment="1">
      <alignment horizontal="center"/>
    </xf>
    <xf numFmtId="0" fontId="0" fillId="0" borderId="0" xfId="0" applyFont="1" applyBorder="1"/>
    <xf numFmtId="0" fontId="4" fillId="0" borderId="0" xfId="2" applyBorder="1"/>
    <xf numFmtId="0" fontId="4" fillId="0" borderId="0" xfId="2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4" fillId="0" borderId="0" xfId="2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4" fillId="0" borderId="1" xfId="2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10" borderId="0" xfId="0" applyFill="1"/>
    <xf numFmtId="0" fontId="0" fillId="4" borderId="0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2" xfId="2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12" borderId="0" xfId="2" applyFill="1" applyBorder="1" applyAlignment="1">
      <alignment horizontal="center"/>
    </xf>
    <xf numFmtId="0" fontId="4" fillId="8" borderId="0" xfId="2" applyFill="1" applyBorder="1" applyAlignment="1">
      <alignment horizontal="center"/>
    </xf>
    <xf numFmtId="0" fontId="4" fillId="8" borderId="0" xfId="2" applyFont="1" applyFill="1" applyBorder="1" applyAlignment="1">
      <alignment horizontal="center"/>
    </xf>
    <xf numFmtId="0" fontId="4" fillId="12" borderId="0" xfId="2" applyFont="1" applyFill="1" applyBorder="1" applyAlignment="1">
      <alignment horizontal="center"/>
    </xf>
    <xf numFmtId="0" fontId="0" fillId="12" borderId="0" xfId="0" applyFill="1"/>
    <xf numFmtId="0" fontId="0" fillId="8" borderId="0" xfId="0" applyFill="1"/>
    <xf numFmtId="0" fontId="0" fillId="8" borderId="0" xfId="0" applyFill="1" applyBorder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9" fontId="0" fillId="14" borderId="0" xfId="1" applyFont="1" applyFill="1" applyBorder="1" applyAlignment="1">
      <alignment horizontal="center" vertical="center"/>
    </xf>
    <xf numFmtId="9" fontId="0" fillId="13" borderId="0" xfId="1" applyFont="1" applyFill="1" applyBorder="1" applyAlignment="1">
      <alignment horizontal="center" vertical="center"/>
    </xf>
    <xf numFmtId="0" fontId="0" fillId="16" borderId="0" xfId="0" applyFill="1" applyAlignment="1">
      <alignment vertical="center" wrapText="1"/>
    </xf>
    <xf numFmtId="0" fontId="0" fillId="16" borderId="0" xfId="0" applyFill="1" applyAlignment="1">
      <alignment vertical="center"/>
    </xf>
    <xf numFmtId="0" fontId="0" fillId="16" borderId="0" xfId="0" applyFill="1" applyBorder="1" applyAlignment="1">
      <alignment horizontal="center" vertical="center"/>
    </xf>
    <xf numFmtId="0" fontId="0" fillId="16" borderId="0" xfId="1" applyNumberFormat="1" applyFont="1" applyFill="1" applyAlignment="1">
      <alignment horizontal="center" vertical="center"/>
    </xf>
    <xf numFmtId="0" fontId="0" fillId="16" borderId="0" xfId="0" applyFill="1" applyBorder="1" applyAlignment="1">
      <alignment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vertical="center"/>
    </xf>
    <xf numFmtId="0" fontId="0" fillId="16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/>
    </xf>
    <xf numFmtId="0" fontId="0" fillId="5" borderId="0" xfId="0" applyFill="1" applyBorder="1" applyAlignment="1">
      <alignment horizontal="center"/>
    </xf>
    <xf numFmtId="0" fontId="5" fillId="0" borderId="0" xfId="0" applyFont="1" applyBorder="1"/>
    <xf numFmtId="0" fontId="4" fillId="0" borderId="5" xfId="2" applyBorder="1"/>
    <xf numFmtId="0" fontId="4" fillId="0" borderId="6" xfId="2" applyBorder="1" applyAlignment="1">
      <alignment horizontal="center"/>
    </xf>
    <xf numFmtId="0" fontId="4" fillId="0" borderId="6" xfId="2" applyFill="1" applyBorder="1" applyAlignment="1">
      <alignment horizontal="center"/>
    </xf>
    <xf numFmtId="0" fontId="4" fillId="0" borderId="7" xfId="2" applyFill="1" applyBorder="1" applyAlignment="1">
      <alignment horizontal="center"/>
    </xf>
    <xf numFmtId="0" fontId="0" fillId="0" borderId="11" xfId="0" applyBorder="1"/>
    <xf numFmtId="0" fontId="0" fillId="5" borderId="9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5" borderId="14" xfId="0" applyFill="1" applyBorder="1" applyAlignment="1">
      <alignment horizontal="center"/>
    </xf>
    <xf numFmtId="0" fontId="0" fillId="17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left" vertical="center"/>
    </xf>
    <xf numFmtId="0" fontId="0" fillId="18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shrinkToFit="1"/>
    </xf>
    <xf numFmtId="0" fontId="0" fillId="18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17"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66FFFF"/>
      <color rgb="FFFF5050"/>
      <color rgb="FFD1B2E8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0629-180E-4B47-B0E2-4A13C84E293F}">
  <dimension ref="A1:S20"/>
  <sheetViews>
    <sheetView workbookViewId="0">
      <selection activeCell="B2" sqref="B2"/>
    </sheetView>
  </sheetViews>
  <sheetFormatPr baseColWidth="10" defaultRowHeight="15" x14ac:dyDescent="0.25"/>
  <cols>
    <col min="1" max="1" width="13" bestFit="1" customWidth="1"/>
    <col min="4" max="4" width="15.5703125" bestFit="1" customWidth="1"/>
  </cols>
  <sheetData>
    <row r="1" spans="1:19" x14ac:dyDescent="0.25">
      <c r="A1" s="38"/>
      <c r="B1" s="38" t="s">
        <v>80</v>
      </c>
      <c r="C1" s="38" t="s">
        <v>57</v>
      </c>
      <c r="D1" s="38" t="s">
        <v>64</v>
      </c>
      <c r="E1" s="38" t="s">
        <v>65</v>
      </c>
      <c r="F1" s="38" t="s">
        <v>66</v>
      </c>
      <c r="G1" s="38" t="s">
        <v>67</v>
      </c>
      <c r="H1" s="38" t="s">
        <v>68</v>
      </c>
      <c r="I1" s="38" t="s">
        <v>69</v>
      </c>
      <c r="J1" s="38" t="s">
        <v>70</v>
      </c>
      <c r="K1" s="38" t="s">
        <v>71</v>
      </c>
      <c r="L1" s="38" t="s">
        <v>72</v>
      </c>
      <c r="M1" s="38" t="s">
        <v>73</v>
      </c>
      <c r="N1" s="38" t="s">
        <v>74</v>
      </c>
      <c r="O1" s="38" t="s">
        <v>75</v>
      </c>
      <c r="P1" s="38" t="s">
        <v>76</v>
      </c>
      <c r="Q1" s="38" t="s">
        <v>77</v>
      </c>
      <c r="R1" s="38" t="s">
        <v>78</v>
      </c>
      <c r="S1" s="38" t="s">
        <v>79</v>
      </c>
    </row>
    <row r="2" spans="1:19" x14ac:dyDescent="0.25">
      <c r="A2" s="38" t="s">
        <v>59</v>
      </c>
      <c r="B2" s="38">
        <f>B14</f>
        <v>1</v>
      </c>
      <c r="C2" s="38">
        <f>B2+$E$11</f>
        <v>3.6666666666666665</v>
      </c>
      <c r="D2" s="38">
        <f t="shared" ref="D2:H2" si="0">C2+$E$11</f>
        <v>6.333333333333333</v>
      </c>
      <c r="E2" s="38">
        <f t="shared" si="0"/>
        <v>9</v>
      </c>
      <c r="F2" s="38">
        <f t="shared" si="0"/>
        <v>11.666666666666666</v>
      </c>
      <c r="G2" s="38">
        <f t="shared" si="0"/>
        <v>14.333333333333332</v>
      </c>
      <c r="H2" s="38">
        <f t="shared" si="0"/>
        <v>17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</row>
    <row r="3" spans="1:19" x14ac:dyDescent="0.25">
      <c r="A3" s="38" t="s">
        <v>60</v>
      </c>
      <c r="B3" s="38">
        <f>B15</f>
        <v>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</row>
    <row r="10" spans="1:19" x14ac:dyDescent="0.25">
      <c r="A10" s="40"/>
      <c r="B10" s="40"/>
      <c r="C10" s="40"/>
    </row>
    <row r="11" spans="1:19" x14ac:dyDescent="0.25">
      <c r="A11" s="38" t="s">
        <v>56</v>
      </c>
      <c r="B11" s="39">
        <v>6</v>
      </c>
      <c r="C11" s="40"/>
      <c r="D11" t="s">
        <v>62</v>
      </c>
      <c r="E11">
        <f>(B18-B14)/$B$11</f>
        <v>2.6666666666666665</v>
      </c>
    </row>
    <row r="12" spans="1:19" x14ac:dyDescent="0.25">
      <c r="A12" s="40"/>
      <c r="B12" s="40"/>
      <c r="C12" s="40"/>
      <c r="D12" t="s">
        <v>63</v>
      </c>
    </row>
    <row r="13" spans="1:19" x14ac:dyDescent="0.25">
      <c r="A13" s="38" t="s">
        <v>61</v>
      </c>
      <c r="B13" s="38"/>
      <c r="C13" s="40"/>
    </row>
    <row r="14" spans="1:19" x14ac:dyDescent="0.25">
      <c r="A14" s="38" t="s">
        <v>59</v>
      </c>
      <c r="B14" s="39">
        <v>1</v>
      </c>
      <c r="C14" s="40"/>
    </row>
    <row r="15" spans="1:19" x14ac:dyDescent="0.25">
      <c r="A15" s="38" t="s">
        <v>60</v>
      </c>
      <c r="B15" s="39">
        <v>3</v>
      </c>
      <c r="C15" s="40"/>
    </row>
    <row r="16" spans="1:19" x14ac:dyDescent="0.25">
      <c r="A16" s="40"/>
      <c r="B16" s="40"/>
      <c r="C16" s="40"/>
    </row>
    <row r="17" spans="1:3" x14ac:dyDescent="0.25">
      <c r="A17" s="38" t="s">
        <v>58</v>
      </c>
      <c r="B17" s="38"/>
      <c r="C17" s="40"/>
    </row>
    <row r="18" spans="1:3" x14ac:dyDescent="0.25">
      <c r="A18" s="38" t="s">
        <v>59</v>
      </c>
      <c r="B18" s="39">
        <v>17</v>
      </c>
      <c r="C18" s="40"/>
    </row>
    <row r="19" spans="1:3" x14ac:dyDescent="0.25">
      <c r="A19" s="38" t="s">
        <v>60</v>
      </c>
      <c r="B19" s="39">
        <v>27</v>
      </c>
      <c r="C19" s="40"/>
    </row>
    <row r="20" spans="1:3" x14ac:dyDescent="0.25">
      <c r="A20" s="40"/>
      <c r="B20" s="40"/>
      <c r="C20" s="4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V43"/>
  <sheetViews>
    <sheetView tabSelected="1" workbookViewId="0">
      <selection activeCell="Q2" sqref="Q2:R3"/>
    </sheetView>
  </sheetViews>
  <sheetFormatPr baseColWidth="10" defaultRowHeight="15" x14ac:dyDescent="0.25"/>
  <cols>
    <col min="1" max="1" width="11.42578125" style="61"/>
    <col min="2" max="2" width="22.42578125" style="62" customWidth="1"/>
    <col min="3" max="3" width="11.42578125" style="62" customWidth="1"/>
    <col min="4" max="4" width="5.7109375" style="62" customWidth="1"/>
    <col min="5" max="5" width="11.42578125" style="62"/>
    <col min="6" max="6" width="5.7109375" style="62" customWidth="1"/>
    <col min="7" max="7" width="11.42578125" style="62"/>
    <col min="8" max="8" width="5.7109375" style="62" customWidth="1"/>
    <col min="9" max="9" width="11.42578125" style="62"/>
    <col min="10" max="10" width="5.7109375" style="62" customWidth="1"/>
    <col min="11" max="11" width="11.42578125" style="62"/>
    <col min="12" max="12" width="5.7109375" style="62" customWidth="1"/>
    <col min="13" max="13" width="11.42578125" style="62"/>
    <col min="14" max="14" width="5.7109375" style="62" customWidth="1"/>
    <col min="15" max="15" width="13.5703125" style="62" bestFit="1" customWidth="1"/>
    <col min="16" max="16" width="4.28515625" style="62" customWidth="1"/>
    <col min="17" max="17" width="14.28515625" style="66" customWidth="1"/>
    <col min="18" max="18" width="11.42578125" style="62" customWidth="1"/>
    <col min="19" max="19" width="11.42578125" style="66" customWidth="1"/>
    <col min="20" max="16384" width="11.42578125" style="62"/>
  </cols>
  <sheetData>
    <row r="1" spans="1:22" ht="30" customHeight="1" x14ac:dyDescent="0.25">
      <c r="A1" s="41" t="s">
        <v>15</v>
      </c>
      <c r="B1" s="41"/>
      <c r="C1" s="57" t="s">
        <v>16</v>
      </c>
      <c r="D1" s="58"/>
      <c r="E1" s="57" t="s">
        <v>0</v>
      </c>
      <c r="F1" s="58"/>
      <c r="G1" s="57" t="s">
        <v>2</v>
      </c>
      <c r="H1" s="58"/>
      <c r="I1" s="57" t="s">
        <v>1</v>
      </c>
      <c r="J1" s="58"/>
      <c r="K1" s="57" t="s">
        <v>3</v>
      </c>
      <c r="L1" s="58"/>
      <c r="M1" s="57" t="s">
        <v>4</v>
      </c>
      <c r="N1" s="65"/>
      <c r="O1" s="83" t="s">
        <v>22</v>
      </c>
      <c r="Q1" s="85" t="s">
        <v>91</v>
      </c>
      <c r="R1" s="85"/>
    </row>
    <row r="2" spans="1:22" ht="15.75" customHeight="1" x14ac:dyDescent="0.25">
      <c r="A2" s="95" t="s">
        <v>86</v>
      </c>
      <c r="B2" s="81" t="s">
        <v>6</v>
      </c>
      <c r="C2" s="55">
        <f>$D$16</f>
        <v>1</v>
      </c>
      <c r="D2" s="55" t="s">
        <v>19</v>
      </c>
      <c r="E2" s="55" cm="1">
        <f t="array" ref="E2">_xlfn.IFS(D2="+",ROUNDDOWN(C2*$O$2,2),D2="=",C2)</f>
        <v>1.1000000000000001</v>
      </c>
      <c r="F2" s="55" t="s">
        <v>19</v>
      </c>
      <c r="G2" s="55" cm="1">
        <f t="array" ref="G2">_xlfn.IFS(F2="+",ROUNDDOWN(E2*$O$2,2),F2="=",E2)</f>
        <v>1.21</v>
      </c>
      <c r="H2" s="55" t="s">
        <v>19</v>
      </c>
      <c r="I2" s="55" cm="1">
        <f t="array" ref="I2">_xlfn.IFS(H2="+",ROUNDDOWN(G2*$O$2,2),H2="=",G2)</f>
        <v>1.33</v>
      </c>
      <c r="J2" s="55" t="s">
        <v>19</v>
      </c>
      <c r="K2" s="55" cm="1">
        <f t="array" ref="K2">_xlfn.IFS(J2="+",ROUNDDOWN(I2*$O$2,2),J2="=",I2)</f>
        <v>1.46</v>
      </c>
      <c r="L2" s="55" t="s">
        <v>19</v>
      </c>
      <c r="M2" s="55" cm="1">
        <f t="array" ref="M2">_xlfn.IFS(L2="+",ROUNDDOWN(K2*$O$2,2),L2="=",K2)</f>
        <v>1.6</v>
      </c>
      <c r="O2" s="55">
        <v>1.1000000000000001</v>
      </c>
      <c r="Q2" s="86" t="s">
        <v>90</v>
      </c>
      <c r="R2" s="86"/>
      <c r="S2" s="62"/>
    </row>
    <row r="3" spans="1:22" x14ac:dyDescent="0.25">
      <c r="A3" s="95"/>
      <c r="B3" s="41" t="s">
        <v>23</v>
      </c>
      <c r="C3" s="56">
        <f>$F$16</f>
        <v>0.5</v>
      </c>
      <c r="D3" s="56" t="s">
        <v>19</v>
      </c>
      <c r="E3" s="56" cm="1">
        <f t="array" ref="E3">_xlfn.IFS(D3="+",ROUNDDOWN(C3*$O$3,2),D3="=",C3)</f>
        <v>0.45</v>
      </c>
      <c r="F3" s="56" t="s">
        <v>19</v>
      </c>
      <c r="G3" s="56" cm="1">
        <f t="array" ref="G3">_xlfn.IFS(F3="+",ROUNDDOWN(E3*$O$3,2),F3="=",E3)</f>
        <v>0.4</v>
      </c>
      <c r="H3" s="56" t="s">
        <v>19</v>
      </c>
      <c r="I3" s="56" cm="1">
        <f t="array" ref="I3">_xlfn.IFS(H3="+",ROUNDDOWN(G3*$O$3,2),H3="=",G3)</f>
        <v>0.36</v>
      </c>
      <c r="J3" s="56" t="s">
        <v>19</v>
      </c>
      <c r="K3" s="56" cm="1">
        <f t="array" ref="K3">_xlfn.IFS(J3="+",ROUNDDOWN(I3*$O$3,2),J3="=",I3)</f>
        <v>0.32</v>
      </c>
      <c r="L3" s="56" t="s">
        <v>19</v>
      </c>
      <c r="M3" s="56" cm="1">
        <f t="array" ref="M3">_xlfn.IFS(L3="+",ROUNDDOWN(K3*$O$3,2),L3="=",K3)</f>
        <v>0.28000000000000003</v>
      </c>
      <c r="O3" s="56">
        <v>0.9</v>
      </c>
      <c r="Q3" s="86"/>
      <c r="R3" s="86"/>
    </row>
    <row r="4" spans="1:22" x14ac:dyDescent="0.25">
      <c r="A4" s="95"/>
      <c r="B4" s="81" t="s">
        <v>11</v>
      </c>
      <c r="C4" s="55">
        <f>$H$16</f>
        <v>3</v>
      </c>
      <c r="D4" s="55" t="s">
        <v>19</v>
      </c>
      <c r="E4" s="55" cm="1">
        <f t="array" ref="E4">_xlfn.IFS(D4="+",ROUNDDOWN(C4*$O$4,2),D4="=",C4)</f>
        <v>3.75</v>
      </c>
      <c r="F4" s="55" t="s">
        <v>19</v>
      </c>
      <c r="G4" s="55" cm="1">
        <f t="array" ref="G4">_xlfn.IFS(F4="+",ROUNDDOWN(E4*$O$4,2),F4="=",E4)</f>
        <v>4.68</v>
      </c>
      <c r="H4" s="55" t="s">
        <v>19</v>
      </c>
      <c r="I4" s="55" cm="1">
        <f t="array" ref="I4">_xlfn.IFS(H4="+",ROUNDDOWN(G4*$O$4,2),H4="=",G4)</f>
        <v>5.85</v>
      </c>
      <c r="J4" s="55" t="s">
        <v>19</v>
      </c>
      <c r="K4" s="55" cm="1">
        <f t="array" ref="K4">_xlfn.IFS(J4="+",ROUNDDOWN(I4*$O$4,2),J4="=",I4)</f>
        <v>7.31</v>
      </c>
      <c r="L4" s="55" t="s">
        <v>19</v>
      </c>
      <c r="M4" s="55" cm="1">
        <f t="array" ref="M4">_xlfn.IFS(L4="+",ROUNDDOWN(K4*$O$4,2),L4="=",K4)</f>
        <v>9.1300000000000008</v>
      </c>
      <c r="O4" s="55">
        <v>1.25</v>
      </c>
      <c r="S4" s="62"/>
    </row>
    <row r="5" spans="1:22" x14ac:dyDescent="0.25">
      <c r="A5" s="95"/>
      <c r="B5" s="41" t="s">
        <v>52</v>
      </c>
      <c r="C5" s="56">
        <f>$J$16</f>
        <v>15</v>
      </c>
      <c r="D5" s="56" t="s">
        <v>17</v>
      </c>
      <c r="E5" s="56" cm="1">
        <f t="array" ref="E5">_xlfn.IFS(D5="+",ROUNDUP(C5*$O$5,0),D5="=",C5)</f>
        <v>15</v>
      </c>
      <c r="F5" s="56" t="s">
        <v>17</v>
      </c>
      <c r="G5" s="56" cm="1">
        <f t="array" ref="G5">_xlfn.IFS(F5="+",ROUNDUP(E5*$O$5,0),F5="=",E5)</f>
        <v>15</v>
      </c>
      <c r="H5" s="56" t="s">
        <v>17</v>
      </c>
      <c r="I5" s="56" cm="1">
        <f t="array" ref="I5">_xlfn.IFS(H5="+",ROUNDUP(G5*$O$5,0),H5="=",G5)</f>
        <v>15</v>
      </c>
      <c r="J5" s="56" t="s">
        <v>17</v>
      </c>
      <c r="K5" s="56" cm="1">
        <f t="array" ref="K5">_xlfn.IFS(J5="+",ROUNDUP(I5*$O$5,0),J5="=",I5)</f>
        <v>15</v>
      </c>
      <c r="L5" s="56" t="s">
        <v>17</v>
      </c>
      <c r="M5" s="56" cm="1">
        <f t="array" ref="M5">_xlfn.IFS(L5="+",ROUNDUP(K5*$O$5,0),L5="=",K5)</f>
        <v>15</v>
      </c>
      <c r="O5" s="56">
        <v>1.5</v>
      </c>
      <c r="S5" s="62"/>
    </row>
    <row r="6" spans="1:22" x14ac:dyDescent="0.25">
      <c r="A6" s="95"/>
      <c r="B6" s="81" t="s">
        <v>12</v>
      </c>
      <c r="C6" s="60"/>
      <c r="D6" s="60"/>
      <c r="E6" s="60">
        <f>ROUNDDOWN((E2-C2)/C2,2)</f>
        <v>0.1</v>
      </c>
      <c r="F6" s="60"/>
      <c r="G6" s="60">
        <f>ROUNDDOWN((G2-E2)/E2,2)</f>
        <v>0.09</v>
      </c>
      <c r="H6" s="60"/>
      <c r="I6" s="60">
        <f>ROUNDDOWN((I2-G2)/G2,2)</f>
        <v>0.09</v>
      </c>
      <c r="J6" s="60"/>
      <c r="K6" s="60">
        <f>ROUNDDOWN((K2-I2)/I2,2)</f>
        <v>0.09</v>
      </c>
      <c r="L6" s="60"/>
      <c r="M6" s="60">
        <f>ROUNDDOWN((M2-K2)/K2,2)</f>
        <v>0.09</v>
      </c>
      <c r="N6" s="63"/>
      <c r="O6" s="66"/>
      <c r="Q6" s="63"/>
      <c r="S6" s="62"/>
    </row>
    <row r="7" spans="1:22" x14ac:dyDescent="0.25">
      <c r="A7" s="95"/>
      <c r="B7" s="41" t="s">
        <v>13</v>
      </c>
      <c r="C7" s="59"/>
      <c r="D7" s="59"/>
      <c r="E7" s="59">
        <f t="shared" ref="E7:E8" si="0">ROUNDDOWN((E3-C3)/C3,2)</f>
        <v>-0.1</v>
      </c>
      <c r="F7" s="59"/>
      <c r="G7" s="59">
        <f t="shared" ref="G7:G8" si="1">ROUNDDOWN((G3-E3)/E3,2)</f>
        <v>-0.11</v>
      </c>
      <c r="H7" s="59"/>
      <c r="I7" s="59">
        <f t="shared" ref="I7:I8" si="2">ROUNDDOWN((I3-G3)/G3,2)</f>
        <v>-0.1</v>
      </c>
      <c r="J7" s="59"/>
      <c r="K7" s="59">
        <f>ROUNDDOWN((K3-I3)/I3,2)</f>
        <v>-0.11</v>
      </c>
      <c r="L7" s="59"/>
      <c r="M7" s="59">
        <f>ROUNDDOWN((M3-K3)/K3,2)</f>
        <v>-0.12</v>
      </c>
      <c r="N7" s="63"/>
      <c r="O7" s="83" t="s">
        <v>49</v>
      </c>
    </row>
    <row r="8" spans="1:22" x14ac:dyDescent="0.25">
      <c r="A8" s="95"/>
      <c r="B8" s="81" t="s">
        <v>14</v>
      </c>
      <c r="C8" s="60"/>
      <c r="D8" s="60"/>
      <c r="E8" s="60">
        <f t="shared" si="0"/>
        <v>0.25</v>
      </c>
      <c r="F8" s="60"/>
      <c r="G8" s="60">
        <f t="shared" si="1"/>
        <v>0.24</v>
      </c>
      <c r="H8" s="60"/>
      <c r="I8" s="60">
        <f t="shared" si="2"/>
        <v>0.25</v>
      </c>
      <c r="J8" s="60"/>
      <c r="K8" s="60">
        <f>ROUNDDOWN((K4-I4)/I4,2)</f>
        <v>0.24</v>
      </c>
      <c r="L8" s="60"/>
      <c r="M8" s="60">
        <f>ROUNDDOWN((M4-K4)/K4,2)</f>
        <v>0.24</v>
      </c>
      <c r="O8" s="55">
        <v>0.1</v>
      </c>
    </row>
    <row r="9" spans="1:22" ht="15" customHeight="1" x14ac:dyDescent="0.25">
      <c r="A9" s="62"/>
      <c r="Q9" s="62"/>
      <c r="S9" s="62"/>
    </row>
    <row r="10" spans="1:22" x14ac:dyDescent="0.25">
      <c r="A10" s="68"/>
      <c r="B10" s="41" t="s">
        <v>18</v>
      </c>
      <c r="C10" s="55">
        <f>ROUNDDOWN(C2/C3,2)</f>
        <v>2</v>
      </c>
      <c r="D10" s="55"/>
      <c r="E10" s="55">
        <f>ROUNDDOWN(E2/E3,2)</f>
        <v>2.44</v>
      </c>
      <c r="F10" s="55"/>
      <c r="G10" s="55">
        <f>ROUNDDOWN(G2/G3,2)</f>
        <v>3.02</v>
      </c>
      <c r="H10" s="55"/>
      <c r="I10" s="55">
        <f>ROUNDDOWN(I2/I3,2)</f>
        <v>3.69</v>
      </c>
      <c r="J10" s="55"/>
      <c r="K10" s="55">
        <f>ROUNDDOWN(K2/K3,2)</f>
        <v>4.5599999999999996</v>
      </c>
      <c r="L10" s="55"/>
      <c r="M10" s="55">
        <f>ROUNDDOWN(M2/M3,2)</f>
        <v>5.71</v>
      </c>
      <c r="O10" s="83" t="s">
        <v>81</v>
      </c>
    </row>
    <row r="11" spans="1:22" ht="15" customHeight="1" x14ac:dyDescent="0.25">
      <c r="B11" s="41" t="s">
        <v>88</v>
      </c>
      <c r="C11" s="63">
        <f>1/C3</f>
        <v>2</v>
      </c>
      <c r="D11" s="65"/>
      <c r="E11" s="63">
        <f>1/E3</f>
        <v>2.2222222222222223</v>
      </c>
      <c r="F11" s="65"/>
      <c r="G11" s="63">
        <f>1/G3</f>
        <v>2.5</v>
      </c>
      <c r="H11" s="65"/>
      <c r="I11" s="63">
        <f>1/I3</f>
        <v>2.7777777777777777</v>
      </c>
      <c r="J11" s="65"/>
      <c r="K11" s="63">
        <f>1/K3</f>
        <v>3.125</v>
      </c>
      <c r="L11" s="65"/>
      <c r="M11" s="63">
        <f>1/M3</f>
        <v>3.5714285714285712</v>
      </c>
      <c r="O11" s="55">
        <v>10</v>
      </c>
    </row>
    <row r="12" spans="1:22" x14ac:dyDescent="0.25">
      <c r="A12" s="62"/>
      <c r="S12" s="62"/>
    </row>
    <row r="13" spans="1:22" x14ac:dyDescent="0.25">
      <c r="A13" s="62"/>
      <c r="B13" s="69" t="s">
        <v>42</v>
      </c>
      <c r="C13" s="69" t="s">
        <v>46</v>
      </c>
      <c r="D13" s="94" t="s">
        <v>43</v>
      </c>
      <c r="E13" s="94"/>
      <c r="S13" s="62"/>
    </row>
    <row r="14" spans="1:22" x14ac:dyDescent="0.25">
      <c r="A14" s="62"/>
      <c r="B14" s="54" t="s">
        <v>48</v>
      </c>
      <c r="C14" s="55" t="str">
        <f>VLOOKUP($B$14,ENEMIES,3)</f>
        <v>Insect</v>
      </c>
      <c r="D14" s="91">
        <f>VLOOKUP($B$14,ENEMIES,5)</f>
        <v>5</v>
      </c>
      <c r="E14" s="91"/>
      <c r="O14" s="66"/>
    </row>
    <row r="15" spans="1:22" x14ac:dyDescent="0.25">
      <c r="A15" s="62"/>
      <c r="B15" s="53" t="s">
        <v>53</v>
      </c>
      <c r="C15" s="53" t="s">
        <v>44</v>
      </c>
      <c r="D15" s="94" t="s">
        <v>6</v>
      </c>
      <c r="E15" s="94"/>
      <c r="F15" s="94" t="s">
        <v>23</v>
      </c>
      <c r="G15" s="94"/>
      <c r="H15" s="94" t="s">
        <v>11</v>
      </c>
      <c r="I15" s="94"/>
      <c r="J15" s="94" t="s">
        <v>52</v>
      </c>
      <c r="K15" s="94"/>
      <c r="N15" s="63"/>
      <c r="O15" s="66"/>
      <c r="Q15" s="84"/>
      <c r="R15" s="84"/>
      <c r="S15" s="84"/>
      <c r="T15" s="84"/>
      <c r="U15" s="84"/>
      <c r="V15" s="84"/>
    </row>
    <row r="16" spans="1:22" x14ac:dyDescent="0.25">
      <c r="A16" s="62"/>
      <c r="B16" s="54" t="s">
        <v>87</v>
      </c>
      <c r="C16" s="55" t="str">
        <f>VLOOKUP($B$16,TOWER,3)</f>
        <v>Traps</v>
      </c>
      <c r="D16" s="91">
        <f>VLOOKUP($B$16,TOWER,4)</f>
        <v>1</v>
      </c>
      <c r="E16" s="91"/>
      <c r="F16" s="91">
        <f>VLOOKUP($B$16,TOWER,5)</f>
        <v>0.5</v>
      </c>
      <c r="G16" s="91"/>
      <c r="H16" s="91">
        <f>VLOOKUP($B$16,TOWER,6)</f>
        <v>3</v>
      </c>
      <c r="I16" s="91"/>
      <c r="J16" s="91">
        <f>VLOOKUP($B$16,TOWER,7)</f>
        <v>15</v>
      </c>
      <c r="K16" s="91"/>
      <c r="N16" s="63"/>
      <c r="O16" s="66"/>
      <c r="Q16" s="63"/>
      <c r="R16" s="65"/>
      <c r="S16" s="63"/>
      <c r="T16" s="63"/>
      <c r="U16" s="63"/>
      <c r="V16" s="63"/>
    </row>
    <row r="17" spans="1:22" x14ac:dyDescent="0.25">
      <c r="A17" s="62"/>
      <c r="N17" s="63"/>
      <c r="O17" s="66"/>
      <c r="Q17" s="63"/>
      <c r="R17" s="65"/>
      <c r="S17" s="63"/>
      <c r="T17" s="63"/>
      <c r="U17" s="63"/>
      <c r="V17" s="63"/>
    </row>
    <row r="18" spans="1:22" x14ac:dyDescent="0.25">
      <c r="A18" s="62"/>
      <c r="N18" s="63"/>
      <c r="O18" s="66"/>
      <c r="P18" s="63"/>
      <c r="Q18" s="63"/>
      <c r="R18" s="63"/>
      <c r="S18" s="63"/>
      <c r="T18" s="63"/>
      <c r="U18" s="63"/>
      <c r="V18" s="63"/>
    </row>
    <row r="19" spans="1:22" x14ac:dyDescent="0.25">
      <c r="B19" s="89" t="s">
        <v>82</v>
      </c>
      <c r="C19" s="89"/>
      <c r="E19" s="89" t="s">
        <v>47</v>
      </c>
      <c r="F19" s="89"/>
      <c r="G19" s="89"/>
      <c r="H19" s="89"/>
      <c r="I19" s="89"/>
      <c r="K19" s="57" t="s">
        <v>54</v>
      </c>
      <c r="Q19" s="62"/>
      <c r="S19" s="62"/>
    </row>
    <row r="20" spans="1:22" x14ac:dyDescent="0.25">
      <c r="B20" s="91">
        <f>O11*K21</f>
        <v>24.4</v>
      </c>
      <c r="C20" s="91"/>
      <c r="E20" s="91" t="str">
        <f>C16</f>
        <v>Traps</v>
      </c>
      <c r="F20" s="91"/>
      <c r="G20" s="91" t="str">
        <f>C14</f>
        <v>Insect</v>
      </c>
      <c r="H20" s="91"/>
      <c r="I20" s="55" t="s">
        <v>50</v>
      </c>
      <c r="K20" s="82" t="s">
        <v>0</v>
      </c>
      <c r="N20" s="67"/>
      <c r="O20" s="64"/>
    </row>
    <row r="21" spans="1:22" x14ac:dyDescent="0.25">
      <c r="B21" s="89" t="s">
        <v>54</v>
      </c>
      <c r="C21" s="89"/>
      <c r="E21" s="92" t="str">
        <f>HLOOKUP(C16,TOWER_TYP,VLOOKUP(C14,ENEMY_TYP,5,FALSE)+1,FALSE)</f>
        <v>+</v>
      </c>
      <c r="F21" s="92"/>
      <c r="G21" s="92"/>
      <c r="H21" s="92"/>
      <c r="I21" s="93" cm="1">
        <f t="array" ref="I21">_xlfn.IFS(E21="-", 1-O8, E21="=",1,E21="+",1+O8)</f>
        <v>1.1000000000000001</v>
      </c>
      <c r="K21" s="93" cm="1">
        <f t="array" ref="K21">_xlfn.IFS(K20="Upgrade 1",E10,K20="Upgrade 2",G10,K20="Upgrade 3",I10,K20="Upgrade 4",K10,K20="Upgrade 5",M10,K20="Upgrade 6",#REF!)</f>
        <v>2.44</v>
      </c>
      <c r="O21" s="64"/>
      <c r="Q21" s="62"/>
      <c r="S21" s="62"/>
    </row>
    <row r="22" spans="1:22" x14ac:dyDescent="0.25">
      <c r="B22" s="91">
        <f>O11*K21</f>
        <v>24.4</v>
      </c>
      <c r="C22" s="91"/>
      <c r="E22" s="92"/>
      <c r="F22" s="92"/>
      <c r="G22" s="92"/>
      <c r="H22" s="92"/>
      <c r="I22" s="93"/>
      <c r="K22" s="93"/>
      <c r="O22" s="64"/>
      <c r="Q22" s="62"/>
      <c r="S22" s="62"/>
    </row>
    <row r="23" spans="1:22" x14ac:dyDescent="0.25">
      <c r="N23" s="63"/>
      <c r="O23" s="64"/>
      <c r="Q23" s="62"/>
      <c r="S23" s="62"/>
    </row>
    <row r="24" spans="1:22" x14ac:dyDescent="0.25">
      <c r="C24" s="90" t="s">
        <v>89</v>
      </c>
      <c r="D24" s="90"/>
      <c r="E24" s="90" t="s">
        <v>24</v>
      </c>
      <c r="F24" s="90"/>
      <c r="N24" s="63"/>
      <c r="O24" s="64"/>
      <c r="Q24" s="64"/>
      <c r="S24" s="62"/>
    </row>
    <row r="25" spans="1:22" x14ac:dyDescent="0.25">
      <c r="B25" s="57" t="str">
        <f>K20</f>
        <v>Upgrade 1</v>
      </c>
      <c r="C25" s="88">
        <f>ROUNDDOWN($D$14/(K21*$I$21),2)</f>
        <v>1.86</v>
      </c>
      <c r="D25" s="88"/>
      <c r="E25" s="87">
        <f>ROUNDUP($D$14/(K21*$I$21),0)</f>
        <v>2</v>
      </c>
      <c r="F25" s="87"/>
      <c r="N25" s="63"/>
      <c r="O25" s="64"/>
      <c r="Q25" s="64"/>
      <c r="S25" s="62"/>
    </row>
    <row r="26" spans="1:22" x14ac:dyDescent="0.25">
      <c r="N26" s="65"/>
      <c r="O26" s="64"/>
    </row>
    <row r="27" spans="1:22" x14ac:dyDescent="0.25">
      <c r="N27" s="67"/>
      <c r="O27" s="64"/>
    </row>
    <row r="28" spans="1:22" x14ac:dyDescent="0.25">
      <c r="O28" s="64"/>
    </row>
    <row r="29" spans="1:22" x14ac:dyDescent="0.25">
      <c r="O29" s="64"/>
    </row>
    <row r="30" spans="1:22" x14ac:dyDescent="0.25">
      <c r="O30" s="64"/>
    </row>
    <row r="31" spans="1:22" x14ac:dyDescent="0.25">
      <c r="O31" s="64"/>
      <c r="S31" s="62"/>
    </row>
    <row r="32" spans="1:22" x14ac:dyDescent="0.25">
      <c r="O32" s="64"/>
      <c r="S32" s="62"/>
    </row>
    <row r="33" spans="15:19" x14ac:dyDescent="0.25">
      <c r="O33" s="64"/>
      <c r="S33" s="62"/>
    </row>
    <row r="34" spans="15:19" x14ac:dyDescent="0.25">
      <c r="Q34" s="64"/>
    </row>
    <row r="35" spans="15:19" x14ac:dyDescent="0.25">
      <c r="Q35" s="64"/>
    </row>
    <row r="36" spans="15:19" x14ac:dyDescent="0.25">
      <c r="Q36" s="64"/>
    </row>
    <row r="37" spans="15:19" x14ac:dyDescent="0.25">
      <c r="Q37" s="64"/>
    </row>
    <row r="38" spans="15:19" x14ac:dyDescent="0.25">
      <c r="Q38" s="64"/>
    </row>
    <row r="39" spans="15:19" x14ac:dyDescent="0.25">
      <c r="Q39" s="64"/>
    </row>
    <row r="40" spans="15:19" x14ac:dyDescent="0.25">
      <c r="Q40" s="64"/>
    </row>
    <row r="41" spans="15:19" x14ac:dyDescent="0.25">
      <c r="Q41" s="64"/>
    </row>
    <row r="42" spans="15:19" x14ac:dyDescent="0.25">
      <c r="Q42" s="64"/>
    </row>
    <row r="43" spans="15:19" x14ac:dyDescent="0.25">
      <c r="Q43" s="64"/>
    </row>
  </sheetData>
  <mergeCells count="27">
    <mergeCell ref="B19:C19"/>
    <mergeCell ref="B20:C20"/>
    <mergeCell ref="B21:C21"/>
    <mergeCell ref="D13:E13"/>
    <mergeCell ref="D14:E14"/>
    <mergeCell ref="D16:E16"/>
    <mergeCell ref="D15:E15"/>
    <mergeCell ref="H15:I15"/>
    <mergeCell ref="J15:K15"/>
    <mergeCell ref="A2:A8"/>
    <mergeCell ref="F15:G15"/>
    <mergeCell ref="Q1:R1"/>
    <mergeCell ref="Q2:R3"/>
    <mergeCell ref="E25:F25"/>
    <mergeCell ref="C25:D25"/>
    <mergeCell ref="E19:I19"/>
    <mergeCell ref="C24:D24"/>
    <mergeCell ref="E24:F24"/>
    <mergeCell ref="E20:F20"/>
    <mergeCell ref="G20:H20"/>
    <mergeCell ref="E21:H22"/>
    <mergeCell ref="I21:I22"/>
    <mergeCell ref="K21:K22"/>
    <mergeCell ref="B22:C22"/>
    <mergeCell ref="J16:K16"/>
    <mergeCell ref="H16:I16"/>
    <mergeCell ref="F16:G16"/>
  </mergeCells>
  <phoneticPr fontId="1" type="noConversion"/>
  <conditionalFormatting sqref="T17:T18 V17:V18">
    <cfRule type="colorScale" priority="134">
      <colorScale>
        <cfvo type="num" val="1"/>
        <cfvo type="percentile" val="50"/>
        <cfvo type="num" val="10"/>
        <color theme="9"/>
        <color rgb="FFFFEB84"/>
        <color rgb="FFFF3B3B"/>
      </colorScale>
    </cfRule>
  </conditionalFormatting>
  <conditionalFormatting sqref="Q18 C25">
    <cfRule type="colorScale" priority="145">
      <colorScale>
        <cfvo type="min"/>
        <cfvo type="max"/>
        <color rgb="FF63BE7B"/>
        <color rgb="FFFFEF9C"/>
      </colorScale>
    </cfRule>
  </conditionalFormatting>
  <conditionalFormatting sqref="S17:S18">
    <cfRule type="colorScale" priority="147">
      <colorScale>
        <cfvo type="min"/>
        <cfvo type="max"/>
        <color rgb="FF63BE7B"/>
        <color rgb="FFFFEF9C"/>
      </colorScale>
    </cfRule>
  </conditionalFormatting>
  <conditionalFormatting sqref="Q18 C25 S17:S18 U17:U18">
    <cfRule type="colorScale" priority="151">
      <colorScale>
        <cfvo type="min"/>
        <cfvo type="max"/>
        <color rgb="FF63BE7B"/>
        <color rgb="FFFFEF9C"/>
      </colorScale>
    </cfRule>
  </conditionalFormatting>
  <conditionalFormatting sqref="R18 E25">
    <cfRule type="colorScale" priority="157">
      <colorScale>
        <cfvo type="num" val="1"/>
        <cfvo type="percent" val="50"/>
        <cfvo type="num" val="10"/>
        <color theme="9"/>
        <color rgb="FFFFEB84"/>
        <color rgb="FFFF0000"/>
      </colorScale>
    </cfRule>
  </conditionalFormatting>
  <conditionalFormatting sqref="U17:U18">
    <cfRule type="colorScale" priority="159">
      <colorScale>
        <cfvo type="min"/>
        <cfvo type="max"/>
        <color rgb="FF63BE7B"/>
        <color rgb="FFFFEF9C"/>
      </colorScale>
    </cfRule>
  </conditionalFormatting>
  <dataValidations count="5">
    <dataValidation type="list" allowBlank="1" showInputMessage="1" showErrorMessage="1" sqref="B2:B8 B12:B13 B15" xr:uid="{B79DFF3F-F3F2-4D26-BF72-10F2B485B797}">
      <formula1>TowerStat</formula1>
    </dataValidation>
    <dataValidation type="list" allowBlank="1" showInputMessage="1" showErrorMessage="1" sqref="J2:J8 H2:H8 F12 D2:D8 F2:F8 L12:L17 H12 J12 D12 L2:L8" xr:uid="{44475DCD-E93B-4817-AA4F-5E6FBC088EBF}">
      <formula1>SIGN</formula1>
    </dataValidation>
    <dataValidation type="list" allowBlank="1" showInputMessage="1" showErrorMessage="1" sqref="B14" xr:uid="{AFB5BA6A-BBB2-47F1-A8F2-92AD1BD90543}">
      <formula1>CODE_ENEMIES</formula1>
    </dataValidation>
    <dataValidation type="list" allowBlank="1" showInputMessage="1" showErrorMessage="1" sqref="B14" xr:uid="{AD1B0E1A-9992-4005-A59C-05195FE02FED}">
      <formula1>CODE_TOWER</formula1>
    </dataValidation>
    <dataValidation type="list" allowBlank="1" showInputMessage="1" showErrorMessage="1" sqref="K20" xr:uid="{D777C75E-5123-4061-A4DA-FA2F950126E5}">
      <formula1>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1" operator="containsText" id="{F23044F8-4BE4-4A8E-9020-DF254427AB24}">
            <xm:f>NOT(ISERROR(SEARCH("+",E21)))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32" operator="containsText" id="{C77DA782-581F-4D17-A692-70945A61EC64}">
            <xm:f>NOT(ISERROR(SEARCH("=",E21)))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33" operator="containsText" id="{1CADE51D-9651-4C17-992F-2F2A987E0A4C}">
            <xm:f>NOT(ISERROR(SEARCH("-",E21)))</xm:f>
            <xm:f>"-"</xm:f>
            <x14:dxf>
              <fill>
                <patternFill>
                  <bgColor rgb="FFFF5050"/>
                </patternFill>
              </fill>
            </x14:dxf>
          </x14:cfRule>
          <xm:sqref>E21</xm:sqref>
        </x14:conditionalFormatting>
        <x14:conditionalFormatting xmlns:xm="http://schemas.microsoft.com/office/excel/2006/main">
          <x14:cfRule type="containsText" priority="21" operator="containsText" id="{2F31918E-2561-4BE9-A502-75C4B5D293E9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F10 D10 H10 J10 L10 D2:D8 F2:F8 H2:H8 J2:J8 L2:L8</xm:sqref>
        </x14:conditionalFormatting>
        <x14:conditionalFormatting xmlns:xm="http://schemas.microsoft.com/office/excel/2006/main">
          <x14:cfRule type="containsText" priority="11" operator="containsText" id="{241F7492-010D-41DA-8A00-0A007798E9B4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F10 D10 H10 J10 L10 D2:D8 F2:F8 H2:H8 J2:J8 L2:L8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2F9D08-6973-4F62-B950-07ECF8573995}">
          <x14:formula1>
            <xm:f>Tower!$A$3:$A$5</xm:f>
          </x14:formula1>
          <xm:sqref>B16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P11"/>
  <sheetViews>
    <sheetView workbookViewId="0">
      <selection activeCell="A3" sqref="A3:A11"/>
    </sheetView>
  </sheetViews>
  <sheetFormatPr baseColWidth="10" defaultRowHeight="15" x14ac:dyDescent="0.25"/>
  <cols>
    <col min="1" max="1" width="13.5703125" customWidth="1"/>
    <col min="2" max="2" width="5.7109375" customWidth="1"/>
  </cols>
  <sheetData>
    <row r="1" spans="1:16" x14ac:dyDescent="0.25">
      <c r="A1" s="9">
        <v>1</v>
      </c>
      <c r="B1" s="9">
        <v>2</v>
      </c>
      <c r="C1" s="9">
        <v>3</v>
      </c>
      <c r="D1" s="9">
        <v>4</v>
      </c>
      <c r="E1" s="29">
        <v>5</v>
      </c>
      <c r="F1" s="10"/>
      <c r="G1" s="10"/>
      <c r="H1" s="10"/>
      <c r="I1" s="10"/>
      <c r="J1" s="10"/>
      <c r="K1" s="10"/>
      <c r="L1" s="9"/>
      <c r="M1" s="9"/>
      <c r="N1" s="9"/>
      <c r="O1" s="9"/>
    </row>
    <row r="2" spans="1:16" ht="15.75" thickBot="1" x14ac:dyDescent="0.3">
      <c r="A2" s="13" t="s">
        <v>26</v>
      </c>
      <c r="B2" s="14" t="s">
        <v>27</v>
      </c>
      <c r="C2" s="14" t="s">
        <v>28</v>
      </c>
      <c r="D2" s="14" t="s">
        <v>37</v>
      </c>
      <c r="E2" s="24" t="s">
        <v>36</v>
      </c>
      <c r="F2" s="11" t="s">
        <v>35</v>
      </c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1:16" x14ac:dyDescent="0.25">
      <c r="A3" s="1" t="str">
        <f>_xlfn.CONCAT(B3,"_",LEFT(C3,4),"_",LEFT(D3,4))</f>
        <v>1_Inse_Norm</v>
      </c>
      <c r="B3" s="21">
        <v>1</v>
      </c>
      <c r="C3" s="15" t="s">
        <v>31</v>
      </c>
      <c r="D3" s="26" t="s">
        <v>41</v>
      </c>
      <c r="E3" s="30">
        <v>5</v>
      </c>
      <c r="F3" s="33">
        <v>3</v>
      </c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5">
      <c r="A4" s="2" t="str">
        <f t="shared" ref="A4:A11" si="0">_xlfn.CONCAT(B4,"_",LEFT(C4,4),"_",LEFT(D4,4))</f>
        <v>2_Inse_Inta</v>
      </c>
      <c r="B4" s="22">
        <v>2</v>
      </c>
      <c r="C4" s="16" t="s">
        <v>31</v>
      </c>
      <c r="D4" s="27" t="s">
        <v>40</v>
      </c>
      <c r="E4" s="25">
        <v>4</v>
      </c>
      <c r="F4" s="34">
        <v>5</v>
      </c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25">
      <c r="A5" s="2" t="str">
        <f t="shared" si="0"/>
        <v>3_Inse_Sabo</v>
      </c>
      <c r="B5" s="22">
        <v>3</v>
      </c>
      <c r="C5" s="16" t="s">
        <v>31</v>
      </c>
      <c r="D5" s="27" t="s">
        <v>39</v>
      </c>
      <c r="E5" s="25">
        <v>10</v>
      </c>
      <c r="F5" s="19">
        <v>2</v>
      </c>
    </row>
    <row r="6" spans="1:16" x14ac:dyDescent="0.25">
      <c r="A6" s="2" t="str">
        <f t="shared" si="0"/>
        <v>4_Ghos_Norm</v>
      </c>
      <c r="B6" s="22">
        <v>4</v>
      </c>
      <c r="C6" s="16" t="s">
        <v>32</v>
      </c>
      <c r="D6" s="27" t="s">
        <v>41</v>
      </c>
      <c r="E6" s="25">
        <v>5</v>
      </c>
      <c r="F6" s="19">
        <v>3</v>
      </c>
    </row>
    <row r="7" spans="1:16" x14ac:dyDescent="0.25">
      <c r="A7" s="2" t="str">
        <f t="shared" si="0"/>
        <v>5_Ghos_Inta</v>
      </c>
      <c r="B7" s="22">
        <v>5</v>
      </c>
      <c r="C7" s="16" t="s">
        <v>32</v>
      </c>
      <c r="D7" s="27" t="s">
        <v>40</v>
      </c>
      <c r="E7" s="25">
        <v>4</v>
      </c>
      <c r="F7" s="19">
        <v>5</v>
      </c>
    </row>
    <row r="8" spans="1:16" x14ac:dyDescent="0.25">
      <c r="A8" s="2" t="str">
        <f t="shared" si="0"/>
        <v>6_Ghos_Sabo</v>
      </c>
      <c r="B8" s="22">
        <v>6</v>
      </c>
      <c r="C8" s="16" t="s">
        <v>32</v>
      </c>
      <c r="D8" s="27" t="s">
        <v>39</v>
      </c>
      <c r="E8" s="25">
        <v>10</v>
      </c>
      <c r="F8" s="19">
        <v>2</v>
      </c>
    </row>
    <row r="9" spans="1:16" x14ac:dyDescent="0.25">
      <c r="A9" s="2" t="str">
        <f t="shared" si="0"/>
        <v>7_Vege_Norm</v>
      </c>
      <c r="B9" s="22">
        <v>7</v>
      </c>
      <c r="C9" s="16" t="s">
        <v>33</v>
      </c>
      <c r="D9" s="27" t="s">
        <v>41</v>
      </c>
      <c r="E9" s="25">
        <v>5</v>
      </c>
      <c r="F9" s="19">
        <v>3</v>
      </c>
    </row>
    <row r="10" spans="1:16" x14ac:dyDescent="0.25">
      <c r="A10" s="2" t="str">
        <f t="shared" si="0"/>
        <v>8_Vege_Inta</v>
      </c>
      <c r="B10" s="22">
        <v>8</v>
      </c>
      <c r="C10" s="16" t="s">
        <v>33</v>
      </c>
      <c r="D10" s="27" t="s">
        <v>40</v>
      </c>
      <c r="E10" s="25">
        <v>4</v>
      </c>
      <c r="F10" s="19">
        <v>5</v>
      </c>
    </row>
    <row r="11" spans="1:16" ht="15.75" thickBot="1" x14ac:dyDescent="0.3">
      <c r="A11" s="3" t="str">
        <f t="shared" si="0"/>
        <v>9_Vege_Sabo</v>
      </c>
      <c r="B11" s="23">
        <v>9</v>
      </c>
      <c r="C11" s="17" t="s">
        <v>33</v>
      </c>
      <c r="D11" s="28" t="s">
        <v>39</v>
      </c>
      <c r="E11" s="31">
        <v>10</v>
      </c>
      <c r="F11" s="20">
        <v>2</v>
      </c>
    </row>
  </sheetData>
  <dataValidations count="2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FUN_ENEMIES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G11"/>
  <sheetViews>
    <sheetView workbookViewId="0">
      <selection activeCell="G5" sqref="A3:G5"/>
    </sheetView>
  </sheetViews>
  <sheetFormatPr baseColWidth="10" defaultRowHeight="15" x14ac:dyDescent="0.25"/>
  <cols>
    <col min="1" max="1" width="13.85546875" customWidth="1"/>
    <col min="2" max="2" width="5.7109375" customWidth="1"/>
    <col min="3" max="3" width="14.28515625" customWidth="1"/>
    <col min="7" max="7" width="14.28515625" customWidth="1"/>
  </cols>
  <sheetData>
    <row r="1" spans="1:7" ht="15.75" thickBot="1" x14ac:dyDescent="0.3">
      <c r="A1" s="71">
        <v>1</v>
      </c>
      <c r="B1" s="71">
        <v>2</v>
      </c>
      <c r="C1" s="71">
        <v>3</v>
      </c>
      <c r="D1" s="71">
        <v>4</v>
      </c>
      <c r="E1" s="71">
        <v>5</v>
      </c>
      <c r="F1" s="71">
        <v>6</v>
      </c>
      <c r="G1" s="71">
        <v>7</v>
      </c>
    </row>
    <row r="2" spans="1:7" ht="15.75" thickBot="1" x14ac:dyDescent="0.3">
      <c r="A2" s="72" t="s">
        <v>26</v>
      </c>
      <c r="B2" s="73" t="s">
        <v>27</v>
      </c>
      <c r="C2" s="73" t="s">
        <v>28</v>
      </c>
      <c r="D2" s="74" t="s">
        <v>6</v>
      </c>
      <c r="E2" s="74" t="s">
        <v>23</v>
      </c>
      <c r="F2" s="74" t="s">
        <v>29</v>
      </c>
      <c r="G2" s="75" t="s">
        <v>51</v>
      </c>
    </row>
    <row r="3" spans="1:7" x14ac:dyDescent="0.25">
      <c r="A3" s="76" t="str">
        <f>_xlfn.CONCAT(B3,"_",LEFT(C3,4),)</f>
        <v>1_Food</v>
      </c>
      <c r="B3" s="77">
        <v>1</v>
      </c>
      <c r="C3" s="30" t="s">
        <v>8</v>
      </c>
      <c r="D3" s="30">
        <v>2</v>
      </c>
      <c r="E3" s="30">
        <v>1</v>
      </c>
      <c r="F3" s="30">
        <v>3</v>
      </c>
      <c r="G3" s="18">
        <v>15</v>
      </c>
    </row>
    <row r="4" spans="1:7" x14ac:dyDescent="0.25">
      <c r="A4" s="78" t="str">
        <f>_xlfn.CONCAT(B4,"_",LEFT(C4,4),)</f>
        <v>2_Trap</v>
      </c>
      <c r="B4" s="70">
        <v>2</v>
      </c>
      <c r="C4" s="25" t="s">
        <v>45</v>
      </c>
      <c r="D4" s="25">
        <v>1</v>
      </c>
      <c r="E4" s="25">
        <v>0.5</v>
      </c>
      <c r="F4" s="25">
        <v>3</v>
      </c>
      <c r="G4" s="19">
        <v>15</v>
      </c>
    </row>
    <row r="5" spans="1:7" ht="15.75" thickBot="1" x14ac:dyDescent="0.3">
      <c r="A5" s="79" t="str">
        <f>_xlfn.CONCAT(B5,"_",LEFT(C5,4),)</f>
        <v>3_Ener</v>
      </c>
      <c r="B5" s="80">
        <v>3</v>
      </c>
      <c r="C5" s="31" t="s">
        <v>9</v>
      </c>
      <c r="D5" s="31">
        <v>1</v>
      </c>
      <c r="E5" s="31">
        <v>1</v>
      </c>
      <c r="F5" s="31">
        <v>5</v>
      </c>
      <c r="G5" s="20">
        <v>15</v>
      </c>
    </row>
    <row r="6" spans="1:7" x14ac:dyDescent="0.25">
      <c r="A6" s="16"/>
      <c r="B6" s="25"/>
      <c r="C6" s="25"/>
      <c r="D6" s="25"/>
      <c r="E6" s="25"/>
      <c r="F6" s="25"/>
      <c r="G6" s="25"/>
    </row>
    <row r="7" spans="1:7" x14ac:dyDescent="0.25">
      <c r="A7" s="16"/>
      <c r="B7" s="25"/>
      <c r="C7" s="25"/>
      <c r="D7" s="25"/>
      <c r="E7" s="25"/>
      <c r="F7" s="25"/>
      <c r="G7" s="25"/>
    </row>
    <row r="8" spans="1:7" x14ac:dyDescent="0.25">
      <c r="A8" s="16"/>
      <c r="B8" s="25"/>
      <c r="C8" s="25"/>
      <c r="D8" s="25"/>
      <c r="E8" s="25"/>
      <c r="F8" s="25"/>
      <c r="G8" s="25"/>
    </row>
    <row r="9" spans="1:7" x14ac:dyDescent="0.25">
      <c r="A9" s="16"/>
      <c r="B9" s="25"/>
      <c r="C9" s="25"/>
      <c r="D9" s="25"/>
      <c r="E9" s="25"/>
      <c r="F9" s="25"/>
      <c r="G9" s="25"/>
    </row>
    <row r="10" spans="1:7" x14ac:dyDescent="0.25">
      <c r="A10" s="16"/>
      <c r="B10" s="25"/>
      <c r="C10" s="25"/>
      <c r="D10" s="25"/>
      <c r="E10" s="25"/>
      <c r="F10" s="25"/>
      <c r="G10" s="25"/>
    </row>
    <row r="11" spans="1:7" x14ac:dyDescent="0.25">
      <c r="A11" s="16"/>
      <c r="B11" s="25"/>
      <c r="C11" s="25"/>
      <c r="D11" s="25"/>
      <c r="E11" s="25"/>
      <c r="F11" s="25"/>
      <c r="G11" s="25"/>
    </row>
  </sheetData>
  <dataValidations count="1">
    <dataValidation type="list" allowBlank="1" showInputMessage="1" showErrorMessage="1" sqref="C3:C11" xr:uid="{A0725771-D6FB-4BCA-A3AB-AFBEDB867F7D}">
      <formula1>CAT_TOWER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H14"/>
  <sheetViews>
    <sheetView workbookViewId="0">
      <selection activeCell="B7" sqref="B7"/>
    </sheetView>
  </sheetViews>
  <sheetFormatPr baseColWidth="10" defaultRowHeight="15" x14ac:dyDescent="0.25"/>
  <cols>
    <col min="1" max="1" width="2.85546875" customWidth="1"/>
    <col min="2" max="2" width="14.28515625" customWidth="1"/>
    <col min="3" max="3" width="2.85546875" customWidth="1"/>
    <col min="5" max="5" width="2.85546875" customWidth="1"/>
    <col min="6" max="6" width="12.85546875" customWidth="1"/>
    <col min="7" max="7" width="2.85546875" customWidth="1"/>
    <col min="8" max="8" width="14.28515625" customWidth="1"/>
    <col min="9" max="9" width="2.85546875" customWidth="1"/>
    <col min="11" max="11" width="2.85546875" customWidth="1"/>
  </cols>
  <sheetData>
    <row r="1" spans="2:8" ht="15.75" thickBot="1" x14ac:dyDescent="0.3">
      <c r="B1" s="35" t="s">
        <v>10</v>
      </c>
      <c r="D1" s="44" t="s">
        <v>25</v>
      </c>
      <c r="F1" s="35" t="s">
        <v>5</v>
      </c>
      <c r="H1" s="35" t="s">
        <v>34</v>
      </c>
    </row>
    <row r="2" spans="2:8" x14ac:dyDescent="0.25">
      <c r="B2" s="5" t="s">
        <v>7</v>
      </c>
      <c r="C2" s="6"/>
      <c r="D2" s="45" t="s">
        <v>19</v>
      </c>
      <c r="E2" s="6"/>
      <c r="F2" s="7" t="s">
        <v>6</v>
      </c>
      <c r="H2" s="2" t="s">
        <v>31</v>
      </c>
    </row>
    <row r="3" spans="2:8" x14ac:dyDescent="0.25">
      <c r="B3" s="5" t="s">
        <v>8</v>
      </c>
      <c r="C3" s="6"/>
      <c r="D3" s="4" t="s">
        <v>17</v>
      </c>
      <c r="E3" s="6"/>
      <c r="F3" s="5" t="s">
        <v>23</v>
      </c>
      <c r="H3" s="2" t="s">
        <v>32</v>
      </c>
    </row>
    <row r="4" spans="2:8" ht="15.75" thickBot="1" x14ac:dyDescent="0.3">
      <c r="B4" s="8" t="s">
        <v>9</v>
      </c>
      <c r="C4" s="6"/>
      <c r="D4" s="46" t="s">
        <v>20</v>
      </c>
      <c r="E4" s="6"/>
      <c r="F4" s="5" t="s">
        <v>11</v>
      </c>
      <c r="H4" s="3" t="s">
        <v>33</v>
      </c>
    </row>
    <row r="5" spans="2:8" ht="15.75" thickBot="1" x14ac:dyDescent="0.3">
      <c r="B5" s="6"/>
      <c r="C5" s="6"/>
      <c r="E5" s="6"/>
      <c r="F5" s="5" t="s">
        <v>12</v>
      </c>
      <c r="H5" s="24"/>
    </row>
    <row r="6" spans="2:8" ht="15.75" thickBot="1" x14ac:dyDescent="0.3">
      <c r="B6" s="44" t="s">
        <v>55</v>
      </c>
      <c r="C6" s="6"/>
      <c r="D6" s="42"/>
      <c r="E6" s="6"/>
      <c r="F6" s="5" t="s">
        <v>13</v>
      </c>
      <c r="H6" s="35" t="s">
        <v>38</v>
      </c>
    </row>
    <row r="7" spans="2:8" ht="15.75" thickBot="1" x14ac:dyDescent="0.3">
      <c r="B7" s="7" t="s">
        <v>0</v>
      </c>
      <c r="C7" s="6"/>
      <c r="D7" s="43"/>
      <c r="E7" s="6"/>
      <c r="F7" s="8" t="s">
        <v>14</v>
      </c>
      <c r="H7" s="2" t="s">
        <v>41</v>
      </c>
    </row>
    <row r="8" spans="2:8" ht="15.75" thickBot="1" x14ac:dyDescent="0.3">
      <c r="B8" s="5" t="s">
        <v>2</v>
      </c>
      <c r="H8" s="2" t="s">
        <v>40</v>
      </c>
    </row>
    <row r="9" spans="2:8" ht="15.75" thickBot="1" x14ac:dyDescent="0.3">
      <c r="B9" s="5" t="s">
        <v>1</v>
      </c>
      <c r="F9" s="35" t="s">
        <v>30</v>
      </c>
      <c r="H9" s="3" t="s">
        <v>39</v>
      </c>
    </row>
    <row r="10" spans="2:8" ht="15.75" thickBot="1" x14ac:dyDescent="0.3">
      <c r="B10" s="5" t="s">
        <v>3</v>
      </c>
      <c r="F10" s="2" t="s">
        <v>8</v>
      </c>
    </row>
    <row r="11" spans="2:8" ht="15.75" thickBot="1" x14ac:dyDescent="0.3">
      <c r="B11" s="5" t="s">
        <v>4</v>
      </c>
      <c r="F11" s="2" t="s">
        <v>7</v>
      </c>
      <c r="H11" s="35" t="s">
        <v>85</v>
      </c>
    </row>
    <row r="12" spans="2:8" ht="15.75" thickBot="1" x14ac:dyDescent="0.3">
      <c r="B12" s="8" t="s">
        <v>21</v>
      </c>
      <c r="F12" s="3" t="s">
        <v>9</v>
      </c>
      <c r="H12" s="2" t="s">
        <v>83</v>
      </c>
    </row>
    <row r="13" spans="2:8" x14ac:dyDescent="0.25">
      <c r="H13" s="2" t="s">
        <v>36</v>
      </c>
    </row>
    <row r="14" spans="2:8" ht="15.75" thickBot="1" x14ac:dyDescent="0.3">
      <c r="H14" s="3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H10"/>
  <sheetViews>
    <sheetView workbookViewId="0">
      <selection activeCell="G8" sqref="G8"/>
    </sheetView>
  </sheetViews>
  <sheetFormatPr baseColWidth="10" defaultRowHeight="15" x14ac:dyDescent="0.25"/>
  <sheetData>
    <row r="2" spans="2:8" x14ac:dyDescent="0.25">
      <c r="B2" s="16"/>
      <c r="C2" s="47" t="s">
        <v>8</v>
      </c>
      <c r="D2" s="48" t="s">
        <v>9</v>
      </c>
      <c r="E2" s="47" t="s">
        <v>45</v>
      </c>
    </row>
    <row r="3" spans="2:8" x14ac:dyDescent="0.25">
      <c r="B3" s="50" t="s">
        <v>33</v>
      </c>
      <c r="C3" s="32" t="s">
        <v>19</v>
      </c>
      <c r="D3" s="37" t="s">
        <v>20</v>
      </c>
      <c r="E3" s="36" t="s">
        <v>17</v>
      </c>
      <c r="F3">
        <v>1</v>
      </c>
      <c r="G3" s="51" t="s">
        <v>8</v>
      </c>
      <c r="H3" s="52" t="s">
        <v>33</v>
      </c>
    </row>
    <row r="4" spans="2:8" ht="15.75" customHeight="1" x14ac:dyDescent="0.25">
      <c r="B4" s="49" t="s">
        <v>32</v>
      </c>
      <c r="C4" s="36" t="s">
        <v>17</v>
      </c>
      <c r="D4" s="32" t="s">
        <v>19</v>
      </c>
      <c r="E4" s="37" t="s">
        <v>20</v>
      </c>
      <c r="F4">
        <v>2</v>
      </c>
      <c r="G4" s="96" t="str">
        <f>HLOOKUP(G3,C2:E5,VLOOKUP(H3,B3:F5,5,FALSE)+1,FALSE)</f>
        <v>+</v>
      </c>
      <c r="H4" s="96"/>
    </row>
    <row r="5" spans="2:8" x14ac:dyDescent="0.25">
      <c r="B5" s="50" t="s">
        <v>31</v>
      </c>
      <c r="C5" s="37" t="s">
        <v>20</v>
      </c>
      <c r="D5" s="36" t="s">
        <v>17</v>
      </c>
      <c r="E5" s="32" t="s">
        <v>19</v>
      </c>
      <c r="F5">
        <v>3</v>
      </c>
      <c r="G5" s="96"/>
      <c r="H5" s="96"/>
    </row>
    <row r="7" spans="2:8" x14ac:dyDescent="0.25">
      <c r="B7" s="16"/>
      <c r="C7" s="47" t="s">
        <v>31</v>
      </c>
      <c r="D7" s="49" t="s">
        <v>33</v>
      </c>
      <c r="E7" s="47" t="s">
        <v>32</v>
      </c>
    </row>
    <row r="8" spans="2:8" x14ac:dyDescent="0.25">
      <c r="B8" s="50" t="s">
        <v>83</v>
      </c>
      <c r="C8" s="32" t="s">
        <v>17</v>
      </c>
      <c r="D8" s="37" t="s">
        <v>20</v>
      </c>
      <c r="E8" s="36" t="s">
        <v>19</v>
      </c>
      <c r="F8">
        <v>1</v>
      </c>
      <c r="G8" s="51" t="s">
        <v>31</v>
      </c>
      <c r="H8" s="52" t="s">
        <v>83</v>
      </c>
    </row>
    <row r="9" spans="2:8" x14ac:dyDescent="0.25">
      <c r="B9" s="49" t="s">
        <v>36</v>
      </c>
      <c r="C9" s="36" t="s">
        <v>20</v>
      </c>
      <c r="D9" s="32" t="s">
        <v>19</v>
      </c>
      <c r="E9" s="37" t="s">
        <v>17</v>
      </c>
      <c r="F9">
        <v>2</v>
      </c>
      <c r="G9" s="96" t="str">
        <f>HLOOKUP(G8,C7:E10,VLOOKUP(H8,B8:F10,5,FALSE)+1,FALSE)</f>
        <v>=</v>
      </c>
      <c r="H9" s="96"/>
    </row>
    <row r="10" spans="2:8" x14ac:dyDescent="0.25">
      <c r="B10" s="50" t="s">
        <v>84</v>
      </c>
      <c r="C10" s="37" t="s">
        <v>19</v>
      </c>
      <c r="D10" s="36" t="s">
        <v>17</v>
      </c>
      <c r="E10" s="32" t="s">
        <v>20</v>
      </c>
      <c r="F10">
        <v>3</v>
      </c>
      <c r="G10" s="96"/>
      <c r="H10" s="96"/>
    </row>
  </sheetData>
  <mergeCells count="2">
    <mergeCell ref="G4:H5"/>
    <mergeCell ref="G9:H10"/>
  </mergeCells>
  <dataValidations count="4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13</vt:i4>
      </vt:variant>
    </vt:vector>
  </HeadingPairs>
  <TitlesOfParts>
    <vt:vector size="19" baseType="lpstr">
      <vt:lpstr>Feuil1</vt:lpstr>
      <vt:lpstr>TowerStatsCalc</vt:lpstr>
      <vt:lpstr>Enemies</vt:lpstr>
      <vt:lpstr>Tower</vt:lpstr>
      <vt:lpstr>Data</vt:lpstr>
      <vt:lpstr>Weak</vt:lpstr>
      <vt:lpstr>CAT_ENEMIES</vt:lpstr>
      <vt:lpstr>CAT_TOWER</vt:lpstr>
      <vt:lpstr>CODE_ENEMIES</vt:lpstr>
      <vt:lpstr>CODE_TOWER</vt:lpstr>
      <vt:lpstr>ENEMIES</vt:lpstr>
      <vt:lpstr>ENEMY_TYP</vt:lpstr>
      <vt:lpstr>FUN_ENEMIES</vt:lpstr>
      <vt:lpstr>SIGN</vt:lpstr>
      <vt:lpstr>STA_TOWER</vt:lpstr>
      <vt:lpstr>STAT_ENEMY</vt:lpstr>
      <vt:lpstr>TOWER</vt:lpstr>
      <vt:lpstr>TOWER_TYP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Kevin DIJOUX</cp:lastModifiedBy>
  <dcterms:created xsi:type="dcterms:W3CDTF">2022-11-21T13:56:53Z</dcterms:created>
  <dcterms:modified xsi:type="dcterms:W3CDTF">2022-11-23T15:40:07Z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