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D2A5071B-57D3-42ED-B211-DBCBD7407770}" xr6:coauthVersionLast="47" xr6:coauthVersionMax="47" xr10:uidLastSave="{00000000-0000-0000-0000-000000000000}"/>
  <bookViews>
    <workbookView xWindow="-120" yWindow="-120" windowWidth="29040" windowHeight="15720" xr2:uid="{EE4EEEAB-A39E-4793-9971-E358DB8AAF6E}"/>
  </bookViews>
  <sheets>
    <sheet name="TowerStatsCalc" sheetId="1" r:id="rId1"/>
    <sheet name="Factory" sheetId="8" r:id="rId2"/>
    <sheet name="Enemies" sheetId="3" r:id="rId3"/>
    <sheet name="Tower" sheetId="4" r:id="rId4"/>
    <sheet name="TowerUpdate" sheetId="7" r:id="rId5"/>
    <sheet name="Weak" sheetId="5" r:id="rId6"/>
    <sheet name="Data" sheetId="2" r:id="rId7"/>
  </sheets>
  <definedNames>
    <definedName name="CAT_ENEMIES">Data!$H$9:$H$11</definedName>
    <definedName name="CAT_TOWER">Data!$F$10:$F$12</definedName>
    <definedName name="CODE_ENEMIES">Enemies!$A$3:$A$11</definedName>
    <definedName name="CODE_TOWER">Tower!$A$3:$A$11</definedName>
    <definedName name="CODE_UPGRADE">TowerUpdate!$A$3:$A$11</definedName>
    <definedName name="ENEMY">Enemies!$A$3:$H$11</definedName>
    <definedName name="LEVEL_ENEMY">Data!$B$16:$B$21</definedName>
    <definedName name="SIGN">Data!$D$3:$D$6</definedName>
    <definedName name="STAT_ENEMY">Data!$H$3:$H$6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14" i="1"/>
  <c r="Q10" i="1" s="1" a="1"/>
  <c r="Q10" i="1" s="1"/>
  <c r="S10" i="1" s="1" a="1"/>
  <c r="S10" i="1" s="1"/>
  <c r="U10" i="1" s="1" a="1"/>
  <c r="U10" i="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G28" i="1"/>
  <c r="I14" i="7"/>
  <c r="H14" i="7"/>
  <c r="G14" i="7"/>
  <c r="A4" i="7"/>
  <c r="A5" i="7"/>
  <c r="A8" i="7"/>
  <c r="A7" i="7"/>
  <c r="A9" i="7"/>
  <c r="A10" i="7"/>
  <c r="A11" i="7"/>
  <c r="A6" i="7"/>
  <c r="A3" i="7"/>
  <c r="E6" i="1" a="1"/>
  <c r="E6" i="1" s="1"/>
  <c r="G6" i="1" s="1" a="1"/>
  <c r="G6" i="1" s="1"/>
  <c r="K29" i="1" s="1" a="1"/>
  <c r="K29" i="1" s="1"/>
  <c r="O7" i="4" a="1"/>
  <c r="O7" i="4" s="1"/>
  <c r="Q7" i="4" s="1" a="1"/>
  <c r="Q7" i="4" s="1"/>
  <c r="S7" i="4" s="1" a="1"/>
  <c r="S7" i="4" s="1"/>
  <c r="U7" i="4" s="1" a="1"/>
  <c r="U7" i="4" s="1"/>
  <c r="W7" i="4" s="1" a="1"/>
  <c r="W7" i="4" s="1"/>
  <c r="U9" i="3"/>
  <c r="K6" i="3" s="1"/>
  <c r="M6" i="3" s="1" a="1"/>
  <c r="M6" i="3" s="1"/>
  <c r="S9" i="3"/>
  <c r="K5" i="3" s="1"/>
  <c r="M5" i="3" s="1" a="1"/>
  <c r="M5" i="3" s="1"/>
  <c r="Q9" i="3"/>
  <c r="K4" i="3" s="1"/>
  <c r="Q4" i="3" s="1" a="1"/>
  <c r="Q4" i="3" s="1"/>
  <c r="O9" i="3"/>
  <c r="K3" i="3" s="1"/>
  <c r="M9" i="3"/>
  <c r="K9" i="3"/>
  <c r="D17" i="3"/>
  <c r="D18" i="3"/>
  <c r="D16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M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7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O17" i="5" l="1"/>
  <c r="Q12" i="4"/>
  <c r="M3" i="4" s="1"/>
  <c r="O3" i="4" s="1" a="1"/>
  <c r="O3" i="4" s="1"/>
  <c r="Q3" i="4" s="1" a="1"/>
  <c r="Q3" i="4" s="1"/>
  <c r="S3" i="4" s="1" a="1"/>
  <c r="S3" i="4" s="1"/>
  <c r="U3" i="4" s="1" a="1"/>
  <c r="U3" i="4" s="1"/>
  <c r="W3" i="4" s="1" a="1"/>
  <c r="W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6" i="4" s="1" a="1"/>
  <c r="U6" i="4" s="1"/>
  <c r="W6" i="4" s="1" a="1"/>
  <c r="W6" i="4" s="1"/>
  <c r="U12" i="4"/>
  <c r="M5" i="4" s="1"/>
  <c r="O5" i="4" s="1" a="1"/>
  <c r="O5" i="4" s="1"/>
  <c r="Q5" i="4" s="1" a="1"/>
  <c r="Q5" i="4" s="1"/>
  <c r="S5" i="4" s="1" a="1"/>
  <c r="S5" i="4" s="1"/>
  <c r="U5" i="4" s="1" a="1"/>
  <c r="U5" i="4" s="1"/>
  <c r="W5" i="4" s="1" a="1"/>
  <c r="W5" i="4" s="1"/>
  <c r="S12" i="4"/>
  <c r="M4" i="4" s="1"/>
  <c r="O12" i="4"/>
  <c r="M12" i="4"/>
  <c r="Q5" i="3" a="1"/>
  <c r="Q5" i="3" s="1"/>
  <c r="S4" i="3" a="1"/>
  <c r="S4" i="3" s="1"/>
  <c r="O5" i="3" a="1"/>
  <c r="O5" i="3" s="1"/>
  <c r="U5" i="3" a="1"/>
  <c r="U5" i="3" s="1"/>
  <c r="U4" i="3" a="1"/>
  <c r="U4" i="3" s="1"/>
  <c r="S5" i="3" a="1"/>
  <c r="S5" i="3" s="1"/>
  <c r="O6" i="3" a="1"/>
  <c r="O6" i="3" s="1"/>
  <c r="U6" i="3" a="1"/>
  <c r="U6" i="3" s="1"/>
  <c r="M4" i="3" a="1"/>
  <c r="M4" i="3" s="1"/>
  <c r="O4" i="3" a="1"/>
  <c r="O4" i="3" s="1"/>
  <c r="Q6" i="3" a="1"/>
  <c r="Q6" i="3" s="1"/>
  <c r="S6" i="3" a="1"/>
  <c r="S6" i="3" s="1"/>
  <c r="M17" i="1"/>
  <c r="G1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C17" i="1"/>
  <c r="E17" i="1"/>
  <c r="I1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K1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C19" i="1"/>
  <c r="I19" i="1"/>
  <c r="C3" i="1" s="1"/>
  <c r="K19" i="1"/>
  <c r="C4" i="1" s="1"/>
  <c r="E4" i="1" s="1" a="1"/>
  <c r="E4" i="1" s="1"/>
  <c r="E19" i="1"/>
  <c r="G19" i="1"/>
  <c r="C5" i="1"/>
  <c r="G22" i="1" l="1"/>
  <c r="E23" i="1"/>
  <c r="P14" i="5"/>
  <c r="E5" i="1" a="1"/>
  <c r="E5" i="1" s="1"/>
  <c r="G5" i="1" s="1" a="1"/>
  <c r="G5" i="1" s="1"/>
  <c r="K25" i="1" s="1" a="1"/>
  <c r="K25" i="1" s="1"/>
  <c r="C2" i="1"/>
  <c r="E2" i="1" s="1" a="1"/>
  <c r="E2" i="1" s="1"/>
  <c r="G2" i="1" s="1" a="1"/>
  <c r="G2" i="1" s="1"/>
  <c r="O4" i="4" a="1"/>
  <c r="O4" i="4" s="1"/>
  <c r="Q4" i="4" s="1" a="1"/>
  <c r="Q4" i="4" s="1"/>
  <c r="S4" i="4" s="1" a="1"/>
  <c r="S4" i="4" s="1"/>
  <c r="U4" i="4" s="1" a="1"/>
  <c r="U4" i="4" s="1"/>
  <c r="W4" i="4" s="1" a="1"/>
  <c r="W4" i="4" s="1"/>
  <c r="M9" i="4"/>
  <c r="M8" i="4" s="1"/>
  <c r="C8" i="1"/>
  <c r="E3" i="1" a="1"/>
  <c r="E3" i="1" s="1"/>
  <c r="G4" i="1" a="1"/>
  <c r="G4" i="1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23" i="1" a="1"/>
  <c r="M23" i="1" s="1"/>
  <c r="E22" i="1"/>
  <c r="C7" i="1" l="1"/>
  <c r="M14" i="1" a="1"/>
  <c r="M14" i="1" s="1"/>
  <c r="M25" i="1" s="1" a="1"/>
  <c r="M25" i="1" s="1"/>
  <c r="H28" i="1" s="1"/>
  <c r="O9" i="4"/>
  <c r="O8" i="4" s="1"/>
  <c r="G3" i="1" a="1"/>
  <c r="G3" i="1" s="1"/>
  <c r="K27" i="1" s="1" a="1"/>
  <c r="K27" i="1" s="1"/>
  <c r="E8" i="1"/>
  <c r="E7" i="1" s="1"/>
  <c r="Q9" i="4"/>
  <c r="Q8" i="4" s="1"/>
  <c r="I23" i="1" a="1"/>
  <c r="I23" i="1" s="1"/>
  <c r="G8" i="1" l="1"/>
  <c r="G7" i="1" s="1"/>
  <c r="K23" i="1" s="1" a="1"/>
  <c r="K23" i="1" s="1"/>
  <c r="S9" i="4"/>
  <c r="S8" i="4" s="1"/>
  <c r="U9" i="4" l="1"/>
  <c r="U8" i="4" s="1"/>
  <c r="W9" i="4" l="1"/>
  <c r="W8" i="4" s="1"/>
  <c r="G26" i="1" l="1"/>
  <c r="B22" i="1" l="1"/>
  <c r="C27" i="1" s="1"/>
  <c r="E27" i="1" l="1"/>
  <c r="C28" i="1" s="1"/>
  <c r="O3" i="3" a="1"/>
  <c r="O3" i="3" s="1"/>
  <c r="U3" i="3" a="1"/>
  <c r="U3" i="3" s="1"/>
  <c r="S3" i="3" a="1"/>
  <c r="S3" i="3" s="1"/>
  <c r="M3" i="3" a="1"/>
  <c r="M3" i="3" s="1"/>
  <c r="Q3" i="3" a="1"/>
  <c r="Q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<sst xmlns="http://schemas.openxmlformats.org/spreadsheetml/2006/main" count="472" uniqueCount="148">
  <si>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</si>
  <si>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</si>
  <si>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</si>
  <si>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</si>
  <si>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</si>
  <si>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</si>
  <si>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</si>
  <si>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</si>
  <si>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</si>
  <si>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</si>
  <si>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</si>
  <si>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</si>
  <si>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</si>
  <si>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</si>
  <si>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</si>
  <si>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</si>
  <si>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</si>
  <si>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</si>
  <si>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</si>
  <si>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</si>
  <si>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</si>
  <si>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</si>
  <si>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</si>
  <si>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</si>
  <si>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</si>
  <si>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</si>
  <si>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</si>
  <si>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</si>
  <si>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</si>
  <si>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</si>
  <si>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</si>
  <si>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</si>
  <si>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</si>
  <si>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</si>
  <si>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</si>
  <si>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</si>
  <si>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</si>
  <si>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</si>
  <si>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</si>
  <si>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Value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</si>
  <si>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</si>
  <si>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</si>
  <si>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</si>
  <si>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</si>
  <si>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</si>
  <si>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</si>
  <si>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</si>
  <si>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</si>
  <si>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</si>
  <si>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</si>
  <si>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Valeur Ref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</si>
  <si>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</si>
  <si>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</si>
  <si>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</si>
  <si>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</si>
  <si>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</si>
  <si>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</si>
  <si>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</si>
  <si>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</si>
  <si>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</si>
  <si>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</si>
  <si>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</si>
  <si>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</si>
  <si>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</si>
  <si>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</si>
  <si>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</si>
  <si>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</si>
  <si>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</si>
  <si>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</si>
  <si>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</si>
  <si>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</si>
  <si>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</si>
  <si>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</si>
  <si>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</si>
  <si>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</si>
  <si>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</si>
  <si>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</si>
  <si>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</si>
  <si>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</si>
  <si>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</si>
  <si>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</si>
  <si>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</si>
  <si>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</si>
  <si>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</si>
  <si>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</si>
  <si>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</si>
  <si>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</si>
  <si>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</si>
  <si>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</si>
  <si>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</si>
  <si>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</si>
  <si>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</si>
  <si>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</si>
  <si>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</si>
  <si>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</si>
  <si>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</si>
  <si>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</si>
  <si>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</si>
  <si>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</si>
  <si>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</si>
  <si>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</si>
  <si>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</si>
  <si>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</si>
  <si>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</si>
  <si>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</si>
  <si>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</si>
  <si>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</si>
  <si>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</si>
  <si>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</si>
  <si>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</si>
  <si>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</si>
  <si>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</si>
  <si>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</si>
  <si>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</si>
  <si>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</si>
  <si>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</si>
  <si>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</si>
  <si>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</si>
  <si>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</si>
  <si>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</si>
  <si>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</si>
  <si>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</si>
  <si>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</si>
  <si>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</si>
  <si>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</si>
  <si>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</si>
  <si>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</si>
  <si>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</si>
  <si>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</si>
  <si>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</si>
  <si>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</si>
  <si>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</si>
  <si>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</si>
  <si>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</si>
  <si>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</si>
  <si>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</si>
  <si>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</si>
  <si>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</si>
  <si>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</si>
  <si>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</si>
  <si>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</si>
  <si>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</si>
  <si>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</si>
  <si>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</si>
  <si>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</si>
  <si>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5_Ghos_Inta</t>
  </si>
  <si>
    <t>2_Pizz_Mort</t>
  </si>
  <si>
    <t>Tower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</si>
</sst>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12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10" borderId="0" xfId="2" applyFill="1" applyBorder="1" applyAlignment="1">
      <alignment horizontal="center"/>
    </xf>
    <xf numFmtId="0" fontId="4" fillId="7" borderId="0" xfId="2" applyFill="1" applyBorder="1" applyAlignment="1">
      <alignment horizontal="center"/>
    </xf>
    <xf numFmtId="0" fontId="4" fillId="7" borderId="0" xfId="2" applyFont="1" applyFill="1" applyBorder="1" applyAlignment="1">
      <alignment horizontal="center"/>
    </xf>
    <xf numFmtId="0" fontId="4" fillId="10" borderId="0" xfId="2" applyFont="1" applyFill="1" applyBorder="1" applyAlignment="1">
      <alignment horizontal="center"/>
    </xf>
    <xf numFmtId="0" fontId="0" fillId="10" borderId="0" xfId="0" applyFill="1"/>
    <xf numFmtId="0" fontId="0" fillId="7" borderId="0" xfId="0" applyFill="1"/>
    <xf numFmtId="0" fontId="0" fillId="9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1" applyNumberFormat="1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0" fillId="1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4" borderId="0" xfId="0" quotePrefix="1" applyFill="1" applyAlignment="1">
      <alignment horizontal="center" vertical="center"/>
    </xf>
    <xf numFmtId="0" fontId="0" fillId="14" borderId="0" xfId="0" quotePrefix="1" applyFill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4" fillId="14" borderId="1" xfId="2" applyFill="1" applyBorder="1" applyAlignment="1">
      <alignment horizontal="center"/>
    </xf>
    <xf numFmtId="0" fontId="4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5" fillId="14" borderId="0" xfId="0" applyFont="1" applyFill="1"/>
    <xf numFmtId="0" fontId="0" fillId="14" borderId="0" xfId="0" applyFill="1" applyBorder="1" applyAlignment="1">
      <alignment horizontal="center"/>
    </xf>
    <xf numFmtId="0" fontId="6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4" borderId="0" xfId="0" applyFill="1" applyBorder="1" applyAlignment="1">
      <alignment horizontal="center" vertical="center" shrinkToFit="1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11" borderId="0" xfId="0" applyNumberForma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1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/>
    </xf>
    <xf numFmtId="0" fontId="8" fillId="12" borderId="0" xfId="1" applyNumberFormat="1" applyFont="1" applyFill="1" applyBorder="1" applyAlignment="1">
      <alignment horizontal="center" vertical="center"/>
    </xf>
    <xf numFmtId="0" fontId="8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4" fillId="10" borderId="0" xfId="2" applyFont="1" applyFill="1" applyBorder="1" applyAlignment="1">
      <alignment horizontal="right"/>
    </xf>
    <xf numFmtId="0" fontId="4" fillId="7" borderId="0" xfId="2" applyFont="1" applyFill="1" applyBorder="1" applyAlignment="1">
      <alignment horizontal="right"/>
    </xf>
    <xf numFmtId="0" fontId="4" fillId="10" borderId="0" xfId="2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8" fillId="11" borderId="0" xfId="1" quotePrefix="1" applyNumberFormat="1" applyFont="1" applyFill="1" applyBorder="1" applyAlignment="1">
      <alignment horizontal="center" vertical="center"/>
    </xf>
    <xf numFmtId="0" fontId="8" fillId="12" borderId="0" xfId="1" quotePrefix="1" applyNumberFormat="1" applyFont="1" applyFill="1" applyBorder="1" applyAlignment="1">
      <alignment horizontal="center" vertical="center"/>
    </xf>
    <xf numFmtId="0" fontId="11" fillId="14" borderId="0" xfId="0" applyFont="1" applyFill="1" applyAlignment="1">
      <alignment vertical="center"/>
    </xf>
    <xf numFmtId="0" fontId="4" fillId="7" borderId="0" xfId="2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0" fillId="11" borderId="0" xfId="0" applyFill="1"/>
    <xf numFmtId="0" fontId="10" fillId="12" borderId="0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63"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CC99"/>
      <color rgb="FFFF9999"/>
      <color rgb="FFFF3B3B"/>
      <color rgb="FFD1B2E8"/>
      <color rgb="FFFF66FF"/>
      <color rgb="FF66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W44"/>
  <sheetViews>
    <sheetView tabSelected="1" workbookViewId="0">
      <selection activeCell="O10" sqref="O10:P10"/>
    </sheetView>
  </sheetViews>
  <sheetFormatPr baseColWidth="10" defaultRowHeight="15" x14ac:dyDescent="0.25"/>
  <cols>
    <col min="1" max="1" width="11.42578125" style="16"/>
    <col min="2" max="2" width="25.28515625" style="17" bestFit="1" customWidth="1"/>
    <col min="3" max="3" width="11.42578125" style="17" customWidth="1"/>
    <col min="4" max="4" width="5.7109375" style="17" customWidth="1"/>
    <col min="5" max="5" width="11.42578125" style="17"/>
    <col min="6" max="6" width="5.7109375" style="17" customWidth="1"/>
    <col min="7" max="7" width="11.42578125" style="17"/>
    <col min="8" max="8" width="5.7109375" style="17" customWidth="1"/>
    <col min="9" max="9" width="11.42578125" style="17"/>
    <col min="10" max="10" width="5.7109375" style="17" customWidth="1"/>
    <col min="11" max="11" width="11.42578125" style="17"/>
    <col min="12" max="12" width="5.7109375" style="17" customWidth="1"/>
    <col min="13" max="13" width="11.42578125" style="17"/>
    <col min="14" max="14" width="5.7109375" style="17" customWidth="1"/>
    <col min="15" max="15" width="11.42578125" style="17" customWidth="1"/>
    <col min="16" max="16" width="5.7109375" style="17" customWidth="1"/>
    <col min="17" max="17" width="11.42578125" style="20" customWidth="1"/>
    <col min="18" max="18" width="5.7109375" style="17" customWidth="1"/>
    <col min="19" max="19" width="11.42578125" style="20" customWidth="1"/>
    <col min="20" max="20" width="5.7109375" style="17" customWidth="1"/>
    <col min="21" max="21" width="11.42578125" style="17"/>
    <col min="22" max="22" width="5.7109375" style="17" customWidth="1"/>
    <col min="23" max="16384" width="11.42578125" style="17"/>
  </cols>
  <sheetData>
    <row r="1" spans="1:23" ht="30" customHeight="1" x14ac:dyDescent="0.25">
      <c r="A1" s="118" t="s">
        <v>58</v>
      </c>
      <c r="B1" s="118"/>
      <c r="C1" s="115" t="s">
        <v>11</v>
      </c>
      <c r="D1" s="13"/>
      <c r="E1" s="115" t="s">
        <v>0</v>
      </c>
      <c r="F1" s="13"/>
      <c r="G1" s="115" t="s">
        <v>2</v>
      </c>
      <c r="I1" s="101" t="s">
        <v>67</v>
      </c>
      <c r="J1" s="101"/>
      <c r="K1" s="103" t="s">
        <v>38</v>
      </c>
      <c r="L1" s="103"/>
      <c r="M1" s="101" t="s">
        <v>78</v>
      </c>
      <c r="N1" s="101"/>
      <c r="O1" s="103" t="s">
        <v>61</v>
      </c>
      <c r="P1" s="103"/>
      <c r="S1" s="103" t="s">
        <v>50</v>
      </c>
      <c r="T1" s="103"/>
      <c r="U1" s="20"/>
      <c r="V1" s="20"/>
      <c r="W1" s="20"/>
    </row>
    <row r="2" spans="1:23" ht="15.75" customHeight="1" x14ac:dyDescent="0.25">
      <c r="A2" s="119" t="s">
        <v>46</v>
      </c>
      <c r="B2" s="120" t="s">
        <v>5</v>
      </c>
      <c r="C2" s="11">
        <f>$G$19</f>
        <v>4</v>
      </c>
      <c r="D2" s="11" t="s">
        <v>13</v>
      </c>
      <c r="E2" s="11" cm="1">
        <f t="array" ref="E2">_xlfn.IFS(D2="+",ROUNDDOWN(C2*(1+$I$2),2),D2="=",C2)</f>
        <v>5.2</v>
      </c>
      <c r="F2" s="34" t="s">
        <v>13</v>
      </c>
      <c r="G2" s="24" cm="1">
        <f t="array" ref="G2">_xlfn.IFS(F2="+",ROUNDDOWN(E2*(1+$I$2),2),F2="=",E2)</f>
        <v>6.76</v>
      </c>
      <c r="I2" s="90">
        <v>0.3</v>
      </c>
      <c r="J2" s="90"/>
      <c r="K2" s="90">
        <v>0.2</v>
      </c>
      <c r="L2" s="90"/>
      <c r="M2" s="90">
        <v>0.5</v>
      </c>
      <c r="N2" s="90"/>
      <c r="O2" s="73">
        <v>2</v>
      </c>
      <c r="P2" s="73"/>
      <c r="S2" s="72" t="s">
        <v>49</v>
      </c>
      <c r="T2" s="72"/>
      <c r="U2" s="20"/>
      <c r="V2" s="20"/>
      <c r="W2" s="20"/>
    </row>
    <row r="3" spans="1:23" x14ac:dyDescent="0.25">
      <c r="A3" s="119"/>
      <c r="B3" s="121" t="s">
        <v>15</v>
      </c>
      <c r="C3" s="12">
        <f>$I$19</f>
        <v>1</v>
      </c>
      <c r="D3" s="12" t="s">
        <v>13</v>
      </c>
      <c r="E3" s="25" cm="1">
        <f t="array" ref="E3">_xlfn.IFS(D3="+",ROUNDDOWN(C3*(1-$I$3),2),D3="=",C3)</f>
        <v>0.9</v>
      </c>
      <c r="F3" s="35" t="s">
        <v>13</v>
      </c>
      <c r="G3" s="25" cm="1">
        <f t="array" ref="G3">_xlfn.IFS(F3="+",ROUNDDOWN(E3*(1-$I$3),2),F3="=",E3)</f>
        <v>0.81</v>
      </c>
      <c r="I3" s="102">
        <v>0.1</v>
      </c>
      <c r="J3" s="102"/>
      <c r="M3" s="102">
        <v>0.3</v>
      </c>
      <c r="N3" s="102"/>
      <c r="S3" s="72"/>
      <c r="T3" s="72"/>
      <c r="U3" s="20"/>
      <c r="V3" s="20"/>
      <c r="W3" s="20"/>
    </row>
    <row r="4" spans="1:23" x14ac:dyDescent="0.25">
      <c r="A4" s="119"/>
      <c r="B4" s="120" t="s">
        <v>10</v>
      </c>
      <c r="C4" s="34">
        <f>$K$19</f>
        <v>4</v>
      </c>
      <c r="D4" s="34" t="s">
        <v>13</v>
      </c>
      <c r="E4" s="34" cm="1">
        <f t="array" ref="E4">_xlfn.IFS(D4="+",ROUNDDOWN(C4*(1+$I$4),2),D4="=",C4)</f>
        <v>4.4000000000000004</v>
      </c>
      <c r="F4" s="34" t="s">
        <v>13</v>
      </c>
      <c r="G4" s="34" cm="1">
        <f t="array" ref="G4">_xlfn.IFS(F4="+",ROUNDDOWN(E4*(1+$I$4),2),F4="=",E4)</f>
        <v>4.84</v>
      </c>
      <c r="I4" s="90">
        <v>0.1</v>
      </c>
      <c r="J4" s="90"/>
      <c r="M4" s="90">
        <v>0.2</v>
      </c>
      <c r="N4" s="90"/>
      <c r="T4" s="20"/>
      <c r="U4" s="20"/>
      <c r="V4" s="20"/>
      <c r="W4" s="20"/>
    </row>
    <row r="5" spans="1:23" x14ac:dyDescent="0.25">
      <c r="A5" s="119"/>
      <c r="B5" s="121" t="s">
        <v>41</v>
      </c>
      <c r="C5" s="35">
        <f>$M$19</f>
        <v>20</v>
      </c>
      <c r="D5" s="35" t="s">
        <v>13</v>
      </c>
      <c r="E5" s="35" cm="1">
        <f t="array" ref="E5">_xlfn.IFS(D5="+",ROUNDDOWN(C5*(1+$I$5),0),D5="=",C5)</f>
        <v>24</v>
      </c>
      <c r="F5" s="35" t="s">
        <v>13</v>
      </c>
      <c r="G5" s="35" cm="1">
        <f t="array" ref="G5">_xlfn.IFS(F5="+",ROUNDDOWN(E5*(1+$I$5),0),F5="=",E5)</f>
        <v>28</v>
      </c>
      <c r="I5" s="102">
        <v>0.2</v>
      </c>
      <c r="J5" s="102"/>
      <c r="M5" s="102">
        <v>0.5</v>
      </c>
      <c r="N5" s="102"/>
      <c r="T5" s="20"/>
      <c r="U5" s="20"/>
      <c r="V5" s="20"/>
      <c r="W5" s="20"/>
    </row>
    <row r="6" spans="1:23" x14ac:dyDescent="0.25">
      <c r="A6" s="119"/>
      <c r="B6" s="120" t="s">
        <v>80</v>
      </c>
      <c r="C6" s="34">
        <v>10</v>
      </c>
      <c r="D6" s="34" t="s">
        <v>13</v>
      </c>
      <c r="E6" s="34" cm="1">
        <f t="array" ref="E6">_xlfn.IFS(D6="+",ROUNDUP(C6*(1+$I$6),0),D6="=",C6)</f>
        <v>35</v>
      </c>
      <c r="F6" s="34" t="s">
        <v>13</v>
      </c>
      <c r="G6" s="34" cm="1">
        <f t="array" ref="G6">_xlfn.IFS(F6="+",ROUNDUP(E6*(1+$I$6),0),F6="=",E6)</f>
        <v>123</v>
      </c>
      <c r="I6" s="90">
        <v>2.5</v>
      </c>
      <c r="J6" s="90"/>
      <c r="T6" s="20"/>
      <c r="U6" s="20"/>
      <c r="V6" s="20"/>
      <c r="W6" s="20"/>
    </row>
    <row r="7" spans="1:23" x14ac:dyDescent="0.25">
      <c r="A7" s="118" t="s">
        <v>62</v>
      </c>
      <c r="B7" s="118"/>
      <c r="C7" s="64">
        <f>ROUNDDOWN(C2*C8,2)</f>
        <v>4</v>
      </c>
      <c r="D7" s="64"/>
      <c r="E7" s="64">
        <f>ROUNDDOWN(E2*E8,2)</f>
        <v>5.77</v>
      </c>
      <c r="F7" s="64"/>
      <c r="G7" s="64">
        <f>ROUNDDOWN(G2*G8,2)</f>
        <v>8.31</v>
      </c>
      <c r="N7" s="18"/>
      <c r="T7" s="20"/>
      <c r="U7" s="20"/>
      <c r="V7" s="20"/>
      <c r="W7" s="20"/>
    </row>
    <row r="8" spans="1:23" x14ac:dyDescent="0.25">
      <c r="A8" s="122" t="s">
        <v>47</v>
      </c>
      <c r="B8" s="122"/>
      <c r="C8" s="68">
        <f>1/C3</f>
        <v>1</v>
      </c>
      <c r="D8" s="68"/>
      <c r="E8" s="68">
        <f>ROUND(1/E3,2)</f>
        <v>1.1100000000000001</v>
      </c>
      <c r="F8" s="68"/>
      <c r="G8" s="68">
        <f>ROUND(1/G3,2)</f>
        <v>1.23</v>
      </c>
      <c r="N8" s="18"/>
      <c r="T8" s="20"/>
      <c r="U8" s="20"/>
      <c r="V8" s="20"/>
      <c r="W8" s="20"/>
    </row>
    <row r="9" spans="1:23" x14ac:dyDescent="0.25">
      <c r="A9" s="20"/>
      <c r="O9" s="83" t="s">
        <v>99</v>
      </c>
      <c r="P9" s="83"/>
      <c r="Q9" s="83" t="s">
        <v>74</v>
      </c>
      <c r="R9" s="83"/>
      <c r="S9" s="83" t="s">
        <v>104</v>
      </c>
      <c r="T9" s="83"/>
      <c r="U9" s="83" t="s">
        <v>105</v>
      </c>
      <c r="V9" s="83"/>
      <c r="W9" s="20"/>
    </row>
    <row r="10" spans="1:23" ht="15" customHeight="1" x14ac:dyDescent="0.25">
      <c r="C10" s="115" t="s">
        <v>68</v>
      </c>
      <c r="D10" s="13"/>
      <c r="E10" s="115" t="s">
        <v>69</v>
      </c>
      <c r="F10" s="13"/>
      <c r="G10" s="115" t="s">
        <v>70</v>
      </c>
      <c r="H10" s="13"/>
      <c r="I10" s="115" t="s">
        <v>71</v>
      </c>
      <c r="J10" s="13"/>
      <c r="K10" s="115" t="s">
        <v>72</v>
      </c>
      <c r="L10" s="13"/>
      <c r="M10" s="115" t="s">
        <v>73</v>
      </c>
      <c r="O10" s="72">
        <v>1</v>
      </c>
      <c r="P10" s="72"/>
      <c r="Q10" s="107" t="str" cm="1">
        <f t="array" ref="Q10">_xlfn.IFS(O10=0, "=", O10&lt;&gt;0,HLOOKUP(Q9,UPGRADE_STAT,VLOOKUP(O14,UPGRADE_LVL,5,FALSE)+1,FALSE))</f>
        <v>+</v>
      </c>
      <c r="R10" s="107"/>
      <c r="S10" s="107" t="str" cm="1">
        <f t="array" ref="S10">_xlfn.IFS(O10=0, "=", Q10&lt;&gt;0,HLOOKUP(S9,UPGRADE_STAT,VLOOKUP(O14,UPGRADE_LVL,5,FALSE)+1,FALSE))</f>
        <v>=</v>
      </c>
      <c r="T10" s="107"/>
      <c r="U10" s="107" t="str" cm="1">
        <f t="array" ref="U10">_xlfn.IFS(O10=0, "=", S10&lt;&gt;0,HLOOKUP(U9,UPGRADE_STAT,VLOOKUP(O14,UPGRADE_LVL,5,FALSE)+1,FALSE))</f>
        <v>=</v>
      </c>
      <c r="V10" s="107"/>
      <c r="W10" s="20"/>
    </row>
    <row r="11" spans="1:23" ht="15" customHeight="1" x14ac:dyDescent="0.25">
      <c r="A11" s="122" t="s">
        <v>28</v>
      </c>
      <c r="B11" s="122"/>
      <c r="C11" s="28">
        <f>G17</f>
        <v>6</v>
      </c>
      <c r="D11" s="24" t="s">
        <v>13</v>
      </c>
      <c r="E11" s="28" cm="1">
        <f t="array" ref="E11">_xlfn.IFS(D11="+",ROUNDDOWN(C11*(1+$M$2),2),D11="=",C11)</f>
        <v>9</v>
      </c>
      <c r="F11" s="24" t="s">
        <v>13</v>
      </c>
      <c r="G11" s="28" cm="1">
        <f t="array" ref="G11">_xlfn.IFS(F11="+",ROUNDDOWN(E11*(1+$M$2),2),F11="=",E11)</f>
        <v>13.5</v>
      </c>
      <c r="H11" s="24" t="s">
        <v>13</v>
      </c>
      <c r="I11" s="28" cm="1">
        <f t="array" ref="I11">_xlfn.IFS(H11="+",ROUNDDOWN(G11*(1+$M$2),2),H11="=",G11)</f>
        <v>20.25</v>
      </c>
      <c r="J11" s="24" t="s">
        <v>13</v>
      </c>
      <c r="K11" s="28" cm="1">
        <f t="array" ref="K11">_xlfn.IFS(J11="+",ROUNDDOWN(I11*(1+$M$2),2),J11="=",I11)</f>
        <v>30.37</v>
      </c>
      <c r="L11" s="24" t="s">
        <v>13</v>
      </c>
      <c r="M11" s="28" cm="1">
        <f t="array" ref="M11">_xlfn.IFS(L11="+",ROUNDDOWN(K11*(1+$M$2),2),L11="=",K11)</f>
        <v>45.55</v>
      </c>
      <c r="O11" s="77"/>
      <c r="P11" s="77"/>
      <c r="Q11" s="64"/>
      <c r="R11" s="64"/>
      <c r="S11" s="64"/>
      <c r="T11" s="64"/>
      <c r="U11" s="64"/>
      <c r="V11" s="64"/>
      <c r="W11" s="20"/>
    </row>
    <row r="12" spans="1:23" ht="15" customHeight="1" x14ac:dyDescent="0.25">
      <c r="A12" s="118" t="s">
        <v>45</v>
      </c>
      <c r="B12" s="118"/>
      <c r="C12" s="29">
        <f>I17</f>
        <v>5</v>
      </c>
      <c r="D12" s="25" t="s">
        <v>13</v>
      </c>
      <c r="E12" s="29" cm="1">
        <f t="array" ref="E12">_xlfn.IFS(D12="+",ROUNDDOWN(C12*(1+$M$3),2),D12="=",C12)</f>
        <v>6.5</v>
      </c>
      <c r="F12" s="25" t="s">
        <v>13</v>
      </c>
      <c r="G12" s="29" cm="1">
        <f t="array" ref="G12">_xlfn.IFS(F12="+",ROUNDDOWN(E12*(1+$M$3),2),F12="=",E12)</f>
        <v>8.4499999999999993</v>
      </c>
      <c r="H12" s="25" t="s">
        <v>13</v>
      </c>
      <c r="I12" s="29" cm="1">
        <f t="array" ref="I12">_xlfn.IFS(H12="+",ROUNDDOWN(G12*(1+$M$3),2),H12="=",G12)</f>
        <v>10.98</v>
      </c>
      <c r="J12" s="25" t="s">
        <v>13</v>
      </c>
      <c r="K12" s="29" cm="1">
        <f t="array" ref="K12">_xlfn.IFS(J12="+",ROUNDDOWN(I12*(1+$M$3),2),J12="=",I12)</f>
        <v>14.27</v>
      </c>
      <c r="L12" s="25" t="s">
        <v>13</v>
      </c>
      <c r="M12" s="29" cm="1">
        <f t="array" ref="M12">_xlfn.IFS(L12="+",ROUNDDOWN(K12*(1+$M$3),2),L12="=",K12)</f>
        <v>18.55</v>
      </c>
      <c r="T12" s="20"/>
      <c r="U12" s="20"/>
      <c r="V12" s="20"/>
      <c r="W12" s="20"/>
    </row>
    <row r="13" spans="1:23" ht="15" customHeight="1" x14ac:dyDescent="0.25">
      <c r="A13" s="122" t="s">
        <v>74</v>
      </c>
      <c r="B13" s="122"/>
      <c r="C13" s="28">
        <f>K17</f>
        <v>3</v>
      </c>
      <c r="D13" s="24" t="s">
        <v>13</v>
      </c>
      <c r="E13" s="28" cm="1">
        <f t="array" ref="E13">_xlfn.IFS(D13="+",ROUNDUP(C13*(1+$M$4),0),D13="=",C13)</f>
        <v>4</v>
      </c>
      <c r="F13" s="24" t="s">
        <v>13</v>
      </c>
      <c r="G13" s="28" cm="1">
        <f t="array" ref="G13">_xlfn.IFS(F13="+",ROUNDUP(E13*(1+$M$4),0),F13="=",E13)</f>
        <v>5</v>
      </c>
      <c r="H13" s="24" t="s">
        <v>13</v>
      </c>
      <c r="I13" s="28" cm="1">
        <f t="array" ref="I13">_xlfn.IFS(H13="+",ROUNDUP(G13*(1+$M$4),0),H13="=",G13)</f>
        <v>6</v>
      </c>
      <c r="J13" s="24" t="s">
        <v>13</v>
      </c>
      <c r="K13" s="28" cm="1">
        <f t="array" ref="K13">_xlfn.IFS(J13="+",ROUNDUP(I13*(1+$M$4),0),J13="=",I13)</f>
        <v>8</v>
      </c>
      <c r="L13" s="24" t="s">
        <v>13</v>
      </c>
      <c r="M13" s="28" cm="1">
        <f t="array" ref="M13">_xlfn.IFS(L13="+",ROUNDUP(K13*(1+$M$4),0),L13="=",K13)</f>
        <v>10</v>
      </c>
      <c r="O13" s="116" t="s">
        <v>144</v>
      </c>
      <c r="P13" s="116"/>
      <c r="T13" s="20"/>
      <c r="U13" s="20"/>
      <c r="V13" s="20"/>
      <c r="W13" s="20"/>
    </row>
    <row r="14" spans="1:23" x14ac:dyDescent="0.25">
      <c r="A14" s="118" t="s">
        <v>77</v>
      </c>
      <c r="B14" s="118"/>
      <c r="C14" s="64">
        <f>M17</f>
        <v>2</v>
      </c>
      <c r="D14" s="25" t="s">
        <v>13</v>
      </c>
      <c r="E14" s="29" cm="1">
        <f t="array" ref="E14">_xlfn.IFS(D14="+",ROUNDUP(C14*(1+$M$5),0),D14="=",C14)</f>
        <v>3</v>
      </c>
      <c r="F14" s="25" t="s">
        <v>13</v>
      </c>
      <c r="G14" s="29" cm="1">
        <f t="array" ref="G14">_xlfn.IFS(F14="+",ROUNDUP(E14*(1+$M$5),0),F14="=",E14)</f>
        <v>5</v>
      </c>
      <c r="H14" s="25" t="s">
        <v>13</v>
      </c>
      <c r="I14" s="29" cm="1">
        <f t="array" ref="I14">_xlfn.IFS(H14="+",ROUNDUP(G14*(1+$M$5),0),H14="=",G14)</f>
        <v>8</v>
      </c>
      <c r="J14" s="25" t="s">
        <v>13</v>
      </c>
      <c r="K14" s="29" cm="1">
        <f t="array" ref="K14">_xlfn.IFS(J14="+",ROUNDUP(I14*(1+$M$5),0),J14="=",I14)</f>
        <v>12</v>
      </c>
      <c r="L14" s="25" t="s">
        <v>13</v>
      </c>
      <c r="M14" s="29" cm="1">
        <f t="array" ref="M14">_xlfn.IFS(L14="+",ROUNDUP(K14*(1+$M$5),0),L14="=",K14)</f>
        <v>18</v>
      </c>
      <c r="O14" s="77" t="str">
        <f>_xlfn.CONCAT(C19," ",O10)</f>
        <v>Pizza 1</v>
      </c>
      <c r="P14" s="77"/>
    </row>
    <row r="15" spans="1:23" x14ac:dyDescent="0.25">
      <c r="A15" s="17"/>
    </row>
    <row r="16" spans="1:23" x14ac:dyDescent="0.25">
      <c r="A16" s="17"/>
      <c r="B16" s="26" t="s">
        <v>33</v>
      </c>
      <c r="C16" s="26" t="s">
        <v>35</v>
      </c>
      <c r="D16" s="26"/>
      <c r="E16" s="26" t="s">
        <v>57</v>
      </c>
      <c r="F16" s="26"/>
      <c r="G16" s="26" t="s">
        <v>34</v>
      </c>
      <c r="H16" s="26"/>
      <c r="I16" s="26" t="s">
        <v>65</v>
      </c>
      <c r="J16" s="26"/>
      <c r="K16" s="26" t="s">
        <v>66</v>
      </c>
      <c r="L16" s="26"/>
      <c r="M16" s="26" t="s">
        <v>77</v>
      </c>
      <c r="O16" s="116" t="s">
        <v>147</v>
      </c>
      <c r="P16" s="116"/>
      <c r="Q16" s="116"/>
    </row>
    <row r="17" spans="1:20" x14ac:dyDescent="0.25">
      <c r="A17" s="17"/>
      <c r="B17" s="10" t="s">
        <v>145</v>
      </c>
      <c r="C17" s="24" t="str">
        <f>VLOOKUP($B$17,ENEMY,3)</f>
        <v>Ghost</v>
      </c>
      <c r="D17" s="24"/>
      <c r="E17" s="24" t="str">
        <f>VLOOKUP($B$17,ENEMY,4)</f>
        <v>Intangible</v>
      </c>
      <c r="F17" s="24"/>
      <c r="G17" s="24">
        <f>VLOOKUP($B$17,ENEMY,5)</f>
        <v>6</v>
      </c>
      <c r="H17" s="24"/>
      <c r="I17" s="24">
        <f>VLOOKUP($B$17,ENEMY,6)</f>
        <v>5</v>
      </c>
      <c r="J17" s="24"/>
      <c r="K17" s="24">
        <f>VLOOKUP($B$17,ENEMY,7)</f>
        <v>3</v>
      </c>
      <c r="L17" s="24"/>
      <c r="M17" s="24">
        <f>VLOOKUP($B$17,ENEMY,8)</f>
        <v>2</v>
      </c>
      <c r="O17" s="124" t="str">
        <f>_xlfn.CONCAT(C19," ",E19," lvl ",O10)</f>
        <v>Pizza Mortar lvl 1</v>
      </c>
      <c r="P17" s="124"/>
      <c r="Q17" s="124"/>
    </row>
    <row r="18" spans="1:20" x14ac:dyDescent="0.25">
      <c r="A18" s="17"/>
      <c r="B18" s="26" t="s">
        <v>42</v>
      </c>
      <c r="C18" s="26" t="s">
        <v>35</v>
      </c>
      <c r="D18" s="26"/>
      <c r="E18" s="26" t="s">
        <v>57</v>
      </c>
      <c r="F18" s="26"/>
      <c r="G18" s="26" t="s">
        <v>5</v>
      </c>
      <c r="H18" s="26"/>
      <c r="I18" s="26" t="s">
        <v>15</v>
      </c>
      <c r="J18" s="26"/>
      <c r="K18" s="26" t="s">
        <v>10</v>
      </c>
      <c r="L18" s="26"/>
      <c r="M18" s="26" t="s">
        <v>41</v>
      </c>
      <c r="O18" s="124"/>
      <c r="P18" s="124"/>
      <c r="Q18" s="124"/>
    </row>
    <row r="19" spans="1:20" x14ac:dyDescent="0.25">
      <c r="A19" s="17"/>
      <c r="B19" s="10" t="s">
        <v>146</v>
      </c>
      <c r="C19" s="24" t="str">
        <f>VLOOKUP($B$19,TOWER,3)</f>
        <v>Pizza</v>
      </c>
      <c r="D19" s="24"/>
      <c r="E19" s="24" t="str">
        <f>VLOOKUP($B$19,TOWER,4)</f>
        <v>Mortar</v>
      </c>
      <c r="F19" s="24"/>
      <c r="G19" s="24">
        <f>VLOOKUP($B$19,TOWER,5)</f>
        <v>4</v>
      </c>
      <c r="H19" s="24"/>
      <c r="I19" s="24">
        <f>VLOOKUP($B$19,TOWER,6)</f>
        <v>1</v>
      </c>
      <c r="J19" s="24"/>
      <c r="K19" s="24">
        <f>VLOOKUP($B$19,TOWER,7)</f>
        <v>4</v>
      </c>
      <c r="L19" s="24"/>
      <c r="M19" s="24">
        <f>VLOOKUP($B$19,TOWER,9)</f>
        <v>20</v>
      </c>
    </row>
    <row r="21" spans="1:20" ht="15" customHeight="1" x14ac:dyDescent="0.25">
      <c r="B21" s="116" t="s">
        <v>63</v>
      </c>
      <c r="C21" s="116"/>
      <c r="E21" s="116" t="s">
        <v>37</v>
      </c>
      <c r="F21" s="116"/>
      <c r="G21" s="116"/>
      <c r="H21" s="116"/>
      <c r="I21" s="116"/>
      <c r="K21" s="115" t="s">
        <v>43</v>
      </c>
      <c r="M21" s="115" t="s">
        <v>34</v>
      </c>
    </row>
    <row r="22" spans="1:20" ht="15" customHeight="1" x14ac:dyDescent="0.25">
      <c r="B22" s="73">
        <f>ROUND(O2*K23*I23,2)</f>
        <v>8</v>
      </c>
      <c r="C22" s="73"/>
      <c r="E22" s="79" t="str">
        <f>C19</f>
        <v>Pizza</v>
      </c>
      <c r="F22" s="79"/>
      <c r="G22" s="79" t="str">
        <f>C17</f>
        <v>Ghost</v>
      </c>
      <c r="H22" s="79"/>
      <c r="I22" s="66" t="s">
        <v>39</v>
      </c>
      <c r="K22" s="67" t="s">
        <v>11</v>
      </c>
      <c r="L22" s="20"/>
      <c r="M22" s="67" t="s">
        <v>73</v>
      </c>
    </row>
    <row r="23" spans="1:20" ht="15" customHeight="1" x14ac:dyDescent="0.25">
      <c r="E23" s="80" t="str">
        <f>HLOOKUP(C19,WEAK_TOWER,VLOOKUP(C17,WEAK_ENEMY,5,FALSE)+1,FALSE)</f>
        <v>=</v>
      </c>
      <c r="F23" s="80"/>
      <c r="G23" s="80"/>
      <c r="H23" s="80"/>
      <c r="I23" s="64" cm="1">
        <f t="array" ref="I23">_xlfn.IFS(E23="-", 1-K2, E23="=",1,E23="+",1+K2)</f>
        <v>1</v>
      </c>
      <c r="K23" s="64" cm="1">
        <f t="array" ref="K23">_xlfn.IFS(K22="Upgrade 0",C7,K22="Upgrade 1",E7,K22="Upgrade 2",G7)</f>
        <v>4</v>
      </c>
      <c r="L23" s="20"/>
      <c r="M23" s="64" cm="1">
        <f t="array" ref="M23">_xlfn.IFS(M22="LVL 0",C11,M22="LVL 1",E11,M22="LVL 2",G11,M22="LVL 3",I11,M22="LVL 4",K11,M22="LVL 5",M11)</f>
        <v>45.55</v>
      </c>
      <c r="N23" s="18"/>
      <c r="T23" s="33"/>
    </row>
    <row r="24" spans="1:20" ht="15" customHeight="1" x14ac:dyDescent="0.25">
      <c r="K24" s="115" t="s">
        <v>41</v>
      </c>
      <c r="M24" s="115" t="s">
        <v>83</v>
      </c>
      <c r="Q24" s="32"/>
      <c r="R24" s="20"/>
    </row>
    <row r="25" spans="1:20" x14ac:dyDescent="0.25">
      <c r="C25" s="117" t="s">
        <v>76</v>
      </c>
      <c r="D25" s="117"/>
      <c r="E25" s="117"/>
      <c r="F25" s="117"/>
      <c r="G25" s="116" t="s">
        <v>81</v>
      </c>
      <c r="H25" s="116"/>
      <c r="I25" s="116"/>
      <c r="K25" s="64" cm="1">
        <f t="array" ref="K25">_xlfn.IFS(K22="Upgrade 0",C5,K22="Upgrade 1",E5,K22="Upgrade 2",G5)</f>
        <v>20</v>
      </c>
      <c r="M25" s="64" cm="1">
        <f t="array" ref="M25">_xlfn.IFS(M22="LVL 0",C14,M22="LVL 1",E14,M22="LVL 2",G14,M22="LVL 3",I14,M22="LVL 4",K14,M22="LVL 5",M14)</f>
        <v>18</v>
      </c>
    </row>
    <row r="26" spans="1:20" ht="15" customHeight="1" x14ac:dyDescent="0.25">
      <c r="C26" s="116" t="s">
        <v>48</v>
      </c>
      <c r="D26" s="116"/>
      <c r="E26" s="116" t="s">
        <v>16</v>
      </c>
      <c r="F26" s="116"/>
      <c r="G26" s="77" t="str">
        <f>_xlfn.CONCAT(K25*K27," s")</f>
        <v>20 s</v>
      </c>
      <c r="H26" s="77"/>
      <c r="I26" s="77"/>
      <c r="K26" s="115" t="s">
        <v>15</v>
      </c>
    </row>
    <row r="27" spans="1:20" ht="15" customHeight="1" x14ac:dyDescent="0.25">
      <c r="B27" s="116" t="str">
        <f>_xlfn.CONCAT(K22," ",K21)</f>
        <v>Upgrade 0 DPS</v>
      </c>
      <c r="C27" s="74">
        <f>ROUNDDOWN($M$23/B22,2)</f>
        <v>5.69</v>
      </c>
      <c r="D27" s="74"/>
      <c r="E27" s="75">
        <f>ROUNDUP($M$23/B22,0)</f>
        <v>6</v>
      </c>
      <c r="F27" s="75"/>
      <c r="G27" s="115" t="s">
        <v>130</v>
      </c>
      <c r="H27" s="116" t="s">
        <v>85</v>
      </c>
      <c r="I27" s="116"/>
      <c r="K27" s="64" cm="1">
        <f t="array" ref="K27">_xlfn.IFS(K22="Upgrade 0",C3,K22="Upgrade 1",E3,K22="Upgrade 2",G3)</f>
        <v>1</v>
      </c>
      <c r="O27" s="18"/>
    </row>
    <row r="28" spans="1:20" x14ac:dyDescent="0.25">
      <c r="B28" s="116"/>
      <c r="C28" s="77" t="str">
        <f>_xlfn.CONCAT(E27*K27," s")</f>
        <v>6 s</v>
      </c>
      <c r="D28" s="77"/>
      <c r="E28" s="77"/>
      <c r="F28" s="77"/>
      <c r="G28" s="64">
        <f>E6+G6</f>
        <v>158</v>
      </c>
      <c r="H28" s="77">
        <f>ROUNDUP(K29/M25,0)</f>
        <v>1</v>
      </c>
      <c r="I28" s="77"/>
      <c r="K28" s="115" t="s">
        <v>84</v>
      </c>
      <c r="N28" s="18"/>
    </row>
    <row r="29" spans="1:20" x14ac:dyDescent="0.25">
      <c r="K29" s="35" cm="1">
        <f t="array" ref="K29">_xlfn.IFS(K22="Upgrade 0",C6,K22="Upgrade 1",E6,K22="Upgrade 2",G6,K22="Upgrade 3",#REF!,K22="Upgrade 4",K6,K22="Upgrade 5",M6)</f>
        <v>10</v>
      </c>
      <c r="N29" s="18"/>
      <c r="O29" s="21"/>
    </row>
    <row r="33" spans="1:19" x14ac:dyDescent="0.25">
      <c r="O33" s="19"/>
      <c r="S33" s="17"/>
    </row>
    <row r="34" spans="1:19" x14ac:dyDescent="0.25">
      <c r="O34" s="19"/>
      <c r="S34" s="17"/>
    </row>
    <row r="35" spans="1:19" x14ac:dyDescent="0.25">
      <c r="Q35" s="19"/>
    </row>
    <row r="36" spans="1:19" x14ac:dyDescent="0.25">
      <c r="A36" s="16" t="s">
        <v>79</v>
      </c>
      <c r="Q36" s="19"/>
    </row>
    <row r="37" spans="1:19" x14ac:dyDescent="0.25">
      <c r="Q37" s="19"/>
    </row>
    <row r="38" spans="1:19" x14ac:dyDescent="0.25">
      <c r="Q38" s="19"/>
    </row>
    <row r="39" spans="1:19" x14ac:dyDescent="0.25">
      <c r="Q39" s="19"/>
    </row>
    <row r="40" spans="1:19" x14ac:dyDescent="0.25">
      <c r="Q40" s="19"/>
    </row>
    <row r="41" spans="1:19" x14ac:dyDescent="0.25">
      <c r="Q41" s="19"/>
    </row>
    <row r="42" spans="1:19" x14ac:dyDescent="0.25">
      <c r="Q42" s="19"/>
    </row>
    <row r="43" spans="1:19" x14ac:dyDescent="0.25">
      <c r="Q43" s="19"/>
    </row>
    <row r="44" spans="1:19" x14ac:dyDescent="0.25">
      <c r="Q44" s="19"/>
    </row>
  </sheetData>
  <mergeCells count="55">
    <mergeCell ref="O17:Q18"/>
    <mergeCell ref="O16:Q16"/>
    <mergeCell ref="O11:P11"/>
    <mergeCell ref="O13:P13"/>
    <mergeCell ref="O14:P14"/>
    <mergeCell ref="Q9:R9"/>
    <mergeCell ref="S9:T9"/>
    <mergeCell ref="O9:P9"/>
    <mergeCell ref="U9:V9"/>
    <mergeCell ref="O10:P10"/>
    <mergeCell ref="Q10:R10"/>
    <mergeCell ref="S10:T10"/>
    <mergeCell ref="U10:V10"/>
    <mergeCell ref="O1:P1"/>
    <mergeCell ref="O2:P2"/>
    <mergeCell ref="S1:T1"/>
    <mergeCell ref="S2:T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I5:J5"/>
    <mergeCell ref="C28:F28"/>
    <mergeCell ref="B27:B28"/>
    <mergeCell ref="A11:B11"/>
    <mergeCell ref="A12:B12"/>
    <mergeCell ref="A13:B13"/>
    <mergeCell ref="A14:B14"/>
    <mergeCell ref="G22:H22"/>
    <mergeCell ref="E22:F22"/>
    <mergeCell ref="E21:I21"/>
    <mergeCell ref="C25:F25"/>
    <mergeCell ref="G25:I25"/>
    <mergeCell ref="E27:F27"/>
    <mergeCell ref="C27:D27"/>
    <mergeCell ref="G26:I26"/>
    <mergeCell ref="E23:H23"/>
    <mergeCell ref="H27:I27"/>
    <mergeCell ref="C26:D26"/>
    <mergeCell ref="E26:F26"/>
    <mergeCell ref="A2:A6"/>
    <mergeCell ref="A7:B7"/>
    <mergeCell ref="A8:B8"/>
    <mergeCell ref="H28:I28"/>
    <mergeCell ref="A1:B1"/>
    <mergeCell ref="B22:C22"/>
    <mergeCell ref="B21:C21"/>
  </mergeCells>
  <phoneticPr fontId="1" type="noConversion"/>
  <conditionalFormatting sqref="C27">
    <cfRule type="colorScale" priority="159">
      <colorScale>
        <cfvo type="min"/>
        <cfvo type="max"/>
        <color rgb="FF63BE7B"/>
        <color rgb="FFFFEF9C"/>
      </colorScale>
    </cfRule>
  </conditionalFormatting>
  <conditionalFormatting sqref="C27">
    <cfRule type="colorScale" priority="165">
      <colorScale>
        <cfvo type="min"/>
        <cfvo type="max"/>
        <color rgb="FF63BE7B"/>
        <color rgb="FFFFEF9C"/>
      </colorScale>
    </cfRule>
  </conditionalFormatting>
  <conditionalFormatting sqref="E27">
    <cfRule type="colorScale" priority="171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9">
    <dataValidation type="list" allowBlank="1" showInputMessage="1" showErrorMessage="1" sqref="T4:T7" xr:uid="{B79DFF3F-F3F2-4D26-BF72-10F2B485B797}">
      <formula1>TowerStat</formula1>
    </dataValidation>
    <dataValidation type="list" allowBlank="1" showInputMessage="1" showErrorMessage="1" sqref="J11:J14 F2:F8 L11:L14 D2:D8 H11:H14 D11:D14 F11:F14" xr:uid="{44475DCD-E93B-4817-AA4F-5E6FBC088EBF}">
      <formula1>SIGN</formula1>
    </dataValidation>
    <dataValidation type="list" allowBlank="1" showInputMessage="1" showErrorMessage="1" sqref="B17" xr:uid="{AFB5BA6A-BBB2-47F1-A8F2-92AD1BD90543}">
      <formula1>CODE_ENEMIES</formula1>
    </dataValidation>
    <dataValidation type="list" allowBlank="1" showInputMessage="1" showErrorMessage="1" sqref="B17 B19" xr:uid="{AD1B0E1A-9992-4005-A59C-05195FE02FED}">
      <formula1>CODE_TOWER</formula1>
    </dataValidation>
    <dataValidation type="list" allowBlank="1" showInputMessage="1" showErrorMessage="1" sqref="K22" xr:uid="{D777C75E-5123-4061-A4DA-FA2F950126E5}">
      <formula1>UPGRADE</formula1>
    </dataValidation>
    <dataValidation type="list" allowBlank="1" showInputMessage="1" showErrorMessage="1" sqref="A11:A14 T12" xr:uid="{AFA068F4-8100-422E-BD4E-A9DCC0E9320D}">
      <formula1>STAT_ENEMY</formula1>
    </dataValidation>
    <dataValidation type="list" allowBlank="1" showInputMessage="1" showErrorMessage="1" sqref="M22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5" operator="containsText" id="{F23044F8-4BE4-4A8E-9020-DF254427AB24}">
            <xm:f>NOT(ISERROR(SEARCH("+",E23)))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6" operator="containsText" id="{C77DA782-581F-4D17-A692-70945A61EC64}">
            <xm:f>NOT(ISERROR(SEARCH("=",E23)))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47" operator="containsText" id="{1CADE51D-9651-4C17-992F-2F2A987E0A4C}">
            <xm:f>NOT(ISERROR(SEARCH("-",E23)))</xm:f>
            <xm:f>"-"</xm:f>
            <x14:dxf>
              <fill>
                <patternFill>
                  <bgColor rgb="FFFF5050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ontainsText" priority="35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D2:D6 F2:F6</xm:sqref>
        </x14:conditionalFormatting>
        <x14:conditionalFormatting xmlns:xm="http://schemas.microsoft.com/office/excel/2006/main">
          <x14:cfRule type="containsText" priority="25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D2:D6 F2:F6</xm:sqref>
        </x14:conditionalFormatting>
        <x14:conditionalFormatting xmlns:xm="http://schemas.microsoft.com/office/excel/2006/main">
          <x14:cfRule type="containsText" priority="14" operator="containsText" id="{8B3F1571-5951-4242-8292-20FE5C102F5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13" operator="containsText" id="{60A51342-9333-47F9-B7F1-DD2C10483EC5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12" operator="containsText" id="{F111F232-37AE-4C0C-830B-35F78A30E14D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11" operator="containsText" id="{4C16C5E4-43A1-4B74-94C6-C11BD28CD051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10" operator="containsText" id="{2E1252A3-C99D-4F36-A89C-EA432A1B8CF7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9" operator="containsText" id="{C7C9590E-F4D8-4937-8DAA-3FB0B201B8D4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8" operator="containsText" id="{13FC0E2F-C188-4EF0-8386-643FBFEB5E92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7" operator="containsText" id="{BBC8C582-FBF7-4CB8-9A73-25811AD9D1E2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6" operator="containsText" id="{A7445E3F-3833-4014-8466-71A05643C3CE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5" operator="containsText" id="{D4E82E64-C481-45B0-AA7D-688B765F3F1B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1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4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"/>
  <sheetViews>
    <sheetView workbookViewId="0">
      <selection activeCell="B2" sqref="B2"/>
    </sheetView>
  </sheetViews>
  <sheetFormatPr baseColWidth="10" defaultRowHeight="15" x14ac:dyDescent="0.25"/>
  <cols>
    <col min="1" max="1" width="2.85546875" style="123" customWidth="1"/>
    <col min="2" max="16384" width="11.42578125" style="12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topLeftCell="A2" workbookViewId="0">
      <selection activeCell="D14" sqref="D14:D15"/>
    </sheetView>
  </sheetViews>
  <sheetFormatPr baseColWidth="10" defaultRowHeight="15" x14ac:dyDescent="0.25"/>
  <cols>
    <col min="1" max="1" width="14.28515625" style="45" customWidth="1"/>
    <col min="2" max="2" width="5.7109375" style="45" customWidth="1"/>
    <col min="3" max="8" width="11.42578125" style="45"/>
    <col min="9" max="9" width="4.28515625" style="45" customWidth="1"/>
    <col min="10" max="10" width="14.28515625" style="45" customWidth="1"/>
    <col min="11" max="11" width="11.42578125" style="45"/>
    <col min="12" max="12" width="4.28515625" style="45" customWidth="1"/>
    <col min="13" max="13" width="11.42578125" style="45"/>
    <col min="14" max="14" width="4.28515625" style="45" customWidth="1"/>
    <col min="15" max="15" width="11.42578125" style="45"/>
    <col min="16" max="16" width="4.28515625" style="45" customWidth="1"/>
    <col min="17" max="17" width="11.42578125" style="45"/>
    <col min="18" max="18" width="4.28515625" style="45" customWidth="1"/>
    <col min="19" max="19" width="11.42578125" style="45" customWidth="1"/>
    <col min="20" max="20" width="4.28515625" style="45" customWidth="1"/>
    <col min="21" max="21" width="11.42578125" style="45"/>
    <col min="22" max="22" width="4.28515625" style="45" customWidth="1"/>
    <col min="23" max="16384" width="11.42578125" style="45"/>
  </cols>
  <sheetData>
    <row r="1" spans="1:24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>
        <v>7</v>
      </c>
      <c r="H1" s="59">
        <v>8</v>
      </c>
      <c r="I1" s="59"/>
      <c r="J1" s="59">
        <v>1</v>
      </c>
      <c r="K1" s="59">
        <v>2</v>
      </c>
      <c r="L1" s="59">
        <v>3</v>
      </c>
      <c r="M1" s="59">
        <v>4</v>
      </c>
      <c r="N1" s="59">
        <v>5</v>
      </c>
      <c r="O1" s="59">
        <v>6</v>
      </c>
      <c r="P1" s="59">
        <v>7</v>
      </c>
      <c r="Q1" s="59">
        <v>8</v>
      </c>
      <c r="R1" s="59">
        <v>9</v>
      </c>
      <c r="S1" s="59">
        <v>10</v>
      </c>
      <c r="T1" s="59">
        <v>11</v>
      </c>
      <c r="U1" s="59">
        <v>12</v>
      </c>
      <c r="V1" s="59"/>
      <c r="W1" s="59"/>
      <c r="X1" s="59"/>
    </row>
    <row r="2" spans="1:24" ht="30" x14ac:dyDescent="0.25">
      <c r="A2" s="23" t="s">
        <v>18</v>
      </c>
      <c r="B2" s="23" t="s">
        <v>19</v>
      </c>
      <c r="C2" s="23" t="s">
        <v>20</v>
      </c>
      <c r="D2" s="23" t="s">
        <v>29</v>
      </c>
      <c r="E2" s="23" t="s">
        <v>28</v>
      </c>
      <c r="F2" s="23" t="s">
        <v>27</v>
      </c>
      <c r="G2" s="23" t="s">
        <v>64</v>
      </c>
      <c r="H2" s="23" t="s">
        <v>89</v>
      </c>
      <c r="I2" s="61"/>
      <c r="J2" s="65" t="s">
        <v>58</v>
      </c>
      <c r="K2" s="37" t="s">
        <v>68</v>
      </c>
      <c r="L2" s="39"/>
      <c r="M2" s="37" t="s">
        <v>69</v>
      </c>
      <c r="N2" s="39"/>
      <c r="O2" s="37" t="s">
        <v>70</v>
      </c>
      <c r="P2" s="39"/>
      <c r="Q2" s="37" t="s">
        <v>71</v>
      </c>
      <c r="R2" s="39"/>
      <c r="S2" s="37" t="s">
        <v>72</v>
      </c>
      <c r="T2" s="39"/>
      <c r="U2" s="37" t="s">
        <v>73</v>
      </c>
      <c r="V2" s="17"/>
      <c r="W2" s="30" t="s">
        <v>78</v>
      </c>
    </row>
    <row r="3" spans="1:24" x14ac:dyDescent="0.25">
      <c r="A3" s="15" t="str">
        <f>_xlfn.CONCAT(B3,"_",LEFT(C3,4),"_",LEFT(D3,4))</f>
        <v>1_Inse_Norm</v>
      </c>
      <c r="B3" s="27">
        <v>1</v>
      </c>
      <c r="C3" s="15" t="s">
        <v>23</v>
      </c>
      <c r="D3" s="15" t="s">
        <v>32</v>
      </c>
      <c r="E3" s="31">
        <v>10</v>
      </c>
      <c r="F3" s="31">
        <v>3</v>
      </c>
      <c r="G3" s="31">
        <v>5</v>
      </c>
      <c r="H3" s="31">
        <v>5</v>
      </c>
      <c r="I3" s="62"/>
      <c r="J3" s="22" t="s">
        <v>28</v>
      </c>
      <c r="K3" s="28">
        <f>O9</f>
        <v>10</v>
      </c>
      <c r="L3" s="40" t="s">
        <v>13</v>
      </c>
      <c r="M3" s="28" cm="1">
        <f t="array" ref="M3">_xlfn.IFS(L3="+",ROUNDDOWN($K$3 * (1 + W3) ^ 1,2),L3="=",K3)</f>
        <v>15</v>
      </c>
      <c r="N3" s="40" t="s">
        <v>13</v>
      </c>
      <c r="O3" s="28" cm="1">
        <f t="array" ref="O3">_xlfn.IFS(N3="+",ROUNDDOWN($K$3 * (1 + W3) ^ 2,2),N3="=",K3)</f>
        <v>22.5</v>
      </c>
      <c r="P3" s="40" t="s">
        <v>13</v>
      </c>
      <c r="Q3" s="28" cm="1">
        <f t="array" ref="Q3">_xlfn.IFS(P3="+",ROUNDDOWN($K$3 * (1 + W3) ^ 3,2),P3="=",K3)</f>
        <v>33.75</v>
      </c>
      <c r="R3" s="40" t="s">
        <v>13</v>
      </c>
      <c r="S3" s="28" cm="1">
        <f t="array" ref="S3">_xlfn.IFS(R3="+",ROUNDDOWN($K$3 * (1 + W3) ^ 4,2),R3="=",K3)</f>
        <v>50.62</v>
      </c>
      <c r="T3" s="40" t="s">
        <v>13</v>
      </c>
      <c r="U3" s="28" cm="1">
        <f t="array" ref="U3">_xlfn.IFS(R3="+",ROUNDDOWN($K$3 * (1 + W3) ^ 5,2),R3="=",K3)</f>
        <v>75.930000000000007</v>
      </c>
      <c r="V3" s="17"/>
      <c r="W3" s="15">
        <v>0.5</v>
      </c>
    </row>
    <row r="4" spans="1:24" x14ac:dyDescent="0.25">
      <c r="A4" s="14" t="str">
        <f t="shared" ref="A4:A11" si="0">_xlfn.CONCAT(B4,"_",LEFT(C4,4),"_",LEFT(D4,4))</f>
        <v>2_Inse_Inta</v>
      </c>
      <c r="B4" s="27">
        <v>2</v>
      </c>
      <c r="C4" s="14" t="s">
        <v>23</v>
      </c>
      <c r="D4" s="14" t="s">
        <v>31</v>
      </c>
      <c r="E4" s="31">
        <v>6</v>
      </c>
      <c r="F4" s="31">
        <v>5</v>
      </c>
      <c r="G4" s="31">
        <v>3</v>
      </c>
      <c r="H4" s="31">
        <v>2</v>
      </c>
      <c r="I4" s="62"/>
      <c r="J4" s="38" t="s">
        <v>45</v>
      </c>
      <c r="K4" s="29">
        <f>Q9</f>
        <v>3</v>
      </c>
      <c r="L4" s="36" t="s">
        <v>13</v>
      </c>
      <c r="M4" s="29" cm="1">
        <f t="array" ref="M4">_xlfn.IFS(L4="+",ROUND($K$4 * (1 - W4) ^ 1,2),L4="=",K4)</f>
        <v>2.1</v>
      </c>
      <c r="N4" s="36" t="s">
        <v>13</v>
      </c>
      <c r="O4" s="29" cm="1">
        <f t="array" ref="O4">_xlfn.IFS(L4="+",ROUND($K$4 * (1 - W4) ^ 2,2),L4="=",K4)</f>
        <v>1.47</v>
      </c>
      <c r="P4" s="36" t="s">
        <v>13</v>
      </c>
      <c r="Q4" s="29" cm="1">
        <f t="array" ref="Q4">_xlfn.IFS(L4="+",ROUND($K$4 * (1 - W4) ^ 3,2),L4="=",K4)</f>
        <v>1.03</v>
      </c>
      <c r="R4" s="36" t="s">
        <v>13</v>
      </c>
      <c r="S4" s="29" cm="1">
        <f t="array" ref="S4">_xlfn.IFS(L4="+",ROUND($K$4 * (1 - W4) ^ 4,2),L4="=",K4)</f>
        <v>0.72</v>
      </c>
      <c r="T4" s="36" t="s">
        <v>13</v>
      </c>
      <c r="U4" s="29" cm="1">
        <f t="array" ref="U4">_xlfn.IFS(L4="+",ROUND($K$4 * (1 - W4) ^ 5,2),L4="=",K4)</f>
        <v>0.5</v>
      </c>
      <c r="V4" s="17"/>
      <c r="W4" s="14">
        <v>0.3</v>
      </c>
    </row>
    <row r="5" spans="1:24" x14ac:dyDescent="0.25">
      <c r="A5" s="15" t="str">
        <f t="shared" si="0"/>
        <v>3_Inse_Sabo</v>
      </c>
      <c r="B5" s="27">
        <v>3</v>
      </c>
      <c r="C5" s="15" t="s">
        <v>23</v>
      </c>
      <c r="D5" s="15" t="s">
        <v>30</v>
      </c>
      <c r="E5" s="31">
        <v>15</v>
      </c>
      <c r="F5" s="31">
        <v>2</v>
      </c>
      <c r="G5" s="31">
        <v>7.5</v>
      </c>
      <c r="H5" s="31">
        <v>10</v>
      </c>
      <c r="J5" s="22" t="s">
        <v>74</v>
      </c>
      <c r="K5" s="28">
        <f>S9</f>
        <v>5</v>
      </c>
      <c r="L5" s="40" t="s">
        <v>13</v>
      </c>
      <c r="M5" s="28" cm="1">
        <f t="array" ref="M5">_xlfn.IFS(L5="+",ROUNDDOWN($K$5 * (1 + W5) ^ 1,2),L5="=",K5)</f>
        <v>6</v>
      </c>
      <c r="N5" s="40" t="s">
        <v>13</v>
      </c>
      <c r="O5" s="28" cm="1">
        <f t="array" ref="O5">_xlfn.IFS(N5="+",ROUNDDOWN($K$5 * (1 + W5) ^ 2,2),N5="=",K5)</f>
        <v>7.2</v>
      </c>
      <c r="P5" s="40" t="s">
        <v>13</v>
      </c>
      <c r="Q5" s="28" cm="1">
        <f t="array" ref="Q5">_xlfn.IFS(P5="+",ROUNDDOWN($K$5 * (1 + W5) ^ 3,2),P5="=",O5)</f>
        <v>8.64</v>
      </c>
      <c r="R5" s="40" t="s">
        <v>13</v>
      </c>
      <c r="S5" s="28" cm="1">
        <f t="array" ref="S5">_xlfn.IFS(R5="+",ROUNDDOWN($K$5 * (1 + W5) ^ 4,2),R5="=",Q5)</f>
        <v>10.36</v>
      </c>
      <c r="T5" s="40" t="s">
        <v>13</v>
      </c>
      <c r="U5" s="28" cm="1">
        <f t="array" ref="U5">_xlfn.IFS(T5="+",ROUNDDOWN($K$5 * (1 + W5) ^ 5,2),T5="=",S5)</f>
        <v>12.44</v>
      </c>
      <c r="V5" s="17"/>
      <c r="W5" s="15">
        <v>0.2</v>
      </c>
    </row>
    <row r="6" spans="1:24" x14ac:dyDescent="0.25">
      <c r="A6" s="14" t="str">
        <f t="shared" si="0"/>
        <v>4_Ghos_Norm</v>
      </c>
      <c r="B6" s="27">
        <v>4</v>
      </c>
      <c r="C6" s="14" t="s">
        <v>24</v>
      </c>
      <c r="D6" s="14" t="s">
        <v>32</v>
      </c>
      <c r="E6" s="29">
        <f t="shared" ref="E6:E11" si="1">E3</f>
        <v>10</v>
      </c>
      <c r="F6" s="29">
        <f t="shared" ref="F6:H6" si="2">F3</f>
        <v>3</v>
      </c>
      <c r="G6" s="29">
        <f t="shared" si="2"/>
        <v>5</v>
      </c>
      <c r="H6" s="29">
        <f t="shared" si="2"/>
        <v>5</v>
      </c>
      <c r="J6" s="38" t="s">
        <v>77</v>
      </c>
      <c r="K6" s="29">
        <f>U9</f>
        <v>5</v>
      </c>
      <c r="L6" s="36" t="s">
        <v>13</v>
      </c>
      <c r="M6" s="29" cm="1">
        <f t="array" ref="M6">_xlfn.IFS(L6="+",ROUNDDOWN($K$6 * (1 + W6) ^ 1,2),L6="=",K6)</f>
        <v>7.5</v>
      </c>
      <c r="N6" s="36" t="s">
        <v>13</v>
      </c>
      <c r="O6" s="29" cm="1">
        <f t="array" ref="O6">_xlfn.IFS(L6="+",ROUNDDOWN($K$6 * (1 + W6) ^ 2,2),L6="=",K6)</f>
        <v>11.25</v>
      </c>
      <c r="P6" s="36" t="s">
        <v>13</v>
      </c>
      <c r="Q6" s="29" cm="1">
        <f t="array" ref="Q6">_xlfn.IFS(L6="+",ROUNDDOWN($K$6 * (1 + W6) ^ 3,2),L6="=",K6)</f>
        <v>16.87</v>
      </c>
      <c r="R6" s="36" t="s">
        <v>13</v>
      </c>
      <c r="S6" s="29" cm="1">
        <f t="array" ref="S6">_xlfn.IFS(L6="+",ROUNDDOWN($K$6 * (1 + W6) ^ 4,2),L6="=",K6)</f>
        <v>25.31</v>
      </c>
      <c r="T6" s="36" t="s">
        <v>13</v>
      </c>
      <c r="U6" s="29" cm="1">
        <f t="array" ref="U6">_xlfn.IFS(L6="+",ROUNDDOWN($K$6 * (1 + W6) ^ 5,2),L6="=",K6)</f>
        <v>37.96</v>
      </c>
      <c r="V6" s="17"/>
      <c r="W6" s="14">
        <v>0.5</v>
      </c>
    </row>
    <row r="7" spans="1:24" x14ac:dyDescent="0.25">
      <c r="A7" s="15" t="str">
        <f t="shared" si="0"/>
        <v>5_Ghos_Inta</v>
      </c>
      <c r="B7" s="27">
        <v>5</v>
      </c>
      <c r="C7" s="15" t="s">
        <v>24</v>
      </c>
      <c r="D7" s="15" t="s">
        <v>31</v>
      </c>
      <c r="E7" s="28">
        <f t="shared" si="1"/>
        <v>6</v>
      </c>
      <c r="F7" s="28">
        <f t="shared" ref="F7:H7" si="3">F4</f>
        <v>5</v>
      </c>
      <c r="G7" s="28">
        <f t="shared" si="3"/>
        <v>3</v>
      </c>
      <c r="H7" s="28">
        <f t="shared" si="3"/>
        <v>2</v>
      </c>
    </row>
    <row r="8" spans="1:24" x14ac:dyDescent="0.25">
      <c r="A8" s="14" t="str">
        <f t="shared" si="0"/>
        <v>6_Ghos_Sabo</v>
      </c>
      <c r="B8" s="27">
        <v>6</v>
      </c>
      <c r="C8" s="14" t="s">
        <v>24</v>
      </c>
      <c r="D8" s="14" t="s">
        <v>30</v>
      </c>
      <c r="E8" s="29">
        <f t="shared" si="1"/>
        <v>15</v>
      </c>
      <c r="F8" s="29">
        <f t="shared" ref="F8:H8" si="4">F5</f>
        <v>2</v>
      </c>
      <c r="G8" s="29">
        <f t="shared" si="4"/>
        <v>7.5</v>
      </c>
      <c r="H8" s="29">
        <f t="shared" si="4"/>
        <v>10</v>
      </c>
      <c r="J8" s="26" t="s">
        <v>33</v>
      </c>
      <c r="K8" s="89" t="s">
        <v>35</v>
      </c>
      <c r="L8" s="89"/>
      <c r="M8" s="89" t="s">
        <v>57</v>
      </c>
      <c r="N8" s="89"/>
      <c r="O8" s="89" t="s">
        <v>34</v>
      </c>
      <c r="P8" s="89"/>
      <c r="Q8" s="26" t="s">
        <v>65</v>
      </c>
      <c r="R8" s="26"/>
      <c r="S8" s="26" t="s">
        <v>66</v>
      </c>
      <c r="T8" s="26"/>
      <c r="U8" s="26" t="s">
        <v>77</v>
      </c>
    </row>
    <row r="9" spans="1:24" x14ac:dyDescent="0.25">
      <c r="A9" s="15" t="str">
        <f t="shared" si="0"/>
        <v>7_Vege_Norm</v>
      </c>
      <c r="B9" s="27">
        <v>7</v>
      </c>
      <c r="C9" s="15" t="s">
        <v>25</v>
      </c>
      <c r="D9" s="15" t="s">
        <v>32</v>
      </c>
      <c r="E9" s="28">
        <f t="shared" si="1"/>
        <v>10</v>
      </c>
      <c r="F9" s="28">
        <f t="shared" ref="F9:H9" si="5">F6</f>
        <v>3</v>
      </c>
      <c r="G9" s="28">
        <f t="shared" si="5"/>
        <v>5</v>
      </c>
      <c r="H9" s="28">
        <f t="shared" si="5"/>
        <v>5</v>
      </c>
      <c r="J9" s="10" t="s">
        <v>94</v>
      </c>
      <c r="K9" s="88" t="str">
        <f>VLOOKUP($J$9,ENEMY,3)</f>
        <v>Insect</v>
      </c>
      <c r="L9" s="88"/>
      <c r="M9" s="88" t="str">
        <f>VLOOKUP($J$9,ENEMY,4)</f>
        <v>Normal</v>
      </c>
      <c r="N9" s="88"/>
      <c r="O9" s="68">
        <f>VLOOKUP($J$9,ENEMY,5)</f>
        <v>10</v>
      </c>
      <c r="P9" s="40"/>
      <c r="Q9" s="40">
        <f>VLOOKUP($J$9,ENEMY,6)</f>
        <v>3</v>
      </c>
      <c r="R9" s="40"/>
      <c r="S9" s="40">
        <f>VLOOKUP($J$9,ENEMY,7)</f>
        <v>5</v>
      </c>
      <c r="T9" s="40"/>
      <c r="U9" s="40">
        <f>VLOOKUP($J$9,ENEMY,8)</f>
        <v>5</v>
      </c>
    </row>
    <row r="10" spans="1:24" x14ac:dyDescent="0.25">
      <c r="A10" s="14" t="str">
        <f t="shared" si="0"/>
        <v>8_Vege_Inta</v>
      </c>
      <c r="B10" s="27">
        <v>8</v>
      </c>
      <c r="C10" s="14" t="s">
        <v>25</v>
      </c>
      <c r="D10" s="14" t="s">
        <v>31</v>
      </c>
      <c r="E10" s="29">
        <f t="shared" si="1"/>
        <v>6</v>
      </c>
      <c r="F10" s="29">
        <f t="shared" ref="F10:H10" si="6">F7</f>
        <v>5</v>
      </c>
      <c r="G10" s="29">
        <f t="shared" si="6"/>
        <v>3</v>
      </c>
      <c r="H10" s="29">
        <f t="shared" si="6"/>
        <v>2</v>
      </c>
    </row>
    <row r="11" spans="1:24" x14ac:dyDescent="0.25">
      <c r="A11" s="15" t="str">
        <f t="shared" si="0"/>
        <v>9_Vege_Sabo</v>
      </c>
      <c r="B11" s="27">
        <v>9</v>
      </c>
      <c r="C11" s="15" t="s">
        <v>25</v>
      </c>
      <c r="D11" s="15" t="s">
        <v>30</v>
      </c>
      <c r="E11" s="28">
        <f t="shared" si="1"/>
        <v>15</v>
      </c>
      <c r="F11" s="28">
        <f t="shared" ref="F11:H11" si="7">F8</f>
        <v>2</v>
      </c>
      <c r="G11" s="28">
        <f t="shared" si="7"/>
        <v>7.5</v>
      </c>
      <c r="H11" s="28">
        <f t="shared" si="7"/>
        <v>10</v>
      </c>
    </row>
    <row r="12" spans="1:24" x14ac:dyDescent="0.25">
      <c r="B12" s="60"/>
    </row>
    <row r="13" spans="1:24" x14ac:dyDescent="0.25">
      <c r="C13" s="76" t="s">
        <v>90</v>
      </c>
      <c r="D13" s="76"/>
    </row>
    <row r="14" spans="1:24" x14ac:dyDescent="0.25">
      <c r="C14" s="82" t="s">
        <v>93</v>
      </c>
      <c r="D14" s="82" t="s">
        <v>95</v>
      </c>
    </row>
    <row r="15" spans="1:24" x14ac:dyDescent="0.25">
      <c r="C15" s="82"/>
      <c r="D15" s="82"/>
    </row>
    <row r="16" spans="1:24" x14ac:dyDescent="0.25">
      <c r="C16" s="28">
        <f>E3*F3</f>
        <v>30</v>
      </c>
      <c r="D16" s="28">
        <f>G3/E3</f>
        <v>0.5</v>
      </c>
      <c r="J16" s="87"/>
    </row>
    <row r="17" spans="3:4" x14ac:dyDescent="0.25">
      <c r="C17" s="29">
        <f>E4*F4</f>
        <v>30</v>
      </c>
      <c r="D17" s="29">
        <f>G4/E4</f>
        <v>0.5</v>
      </c>
    </row>
    <row r="18" spans="3:4" x14ac:dyDescent="0.25">
      <c r="C18" s="28">
        <f>E5*F5</f>
        <v>30</v>
      </c>
      <c r="D18" s="28">
        <f>G5/E5</f>
        <v>0.5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I4" sqref="I4"/>
    </sheetView>
  </sheetViews>
  <sheetFormatPr baseColWidth="10" defaultRowHeight="15" x14ac:dyDescent="0.25"/>
  <cols>
    <col min="1" max="1" width="14.28515625" style="45" customWidth="1"/>
    <col min="2" max="2" width="5.7109375" style="45" customWidth="1"/>
    <col min="3" max="3" width="11.42578125" style="45" customWidth="1"/>
    <col min="4" max="6" width="11.42578125" style="45"/>
    <col min="7" max="9" width="11.42578125" style="45" customWidth="1"/>
    <col min="10" max="10" width="4.28515625" style="45" customWidth="1"/>
    <col min="11" max="11" width="11.42578125" style="45"/>
    <col min="12" max="12" width="11.42578125" style="45" customWidth="1"/>
    <col min="13" max="13" width="11.42578125" style="45"/>
    <col min="14" max="14" width="4.28515625" style="45" customWidth="1"/>
    <col min="15" max="15" width="11.42578125" style="45" customWidth="1"/>
    <col min="16" max="16" width="4.28515625" style="45" customWidth="1"/>
    <col min="17" max="17" width="11.42578125" style="45"/>
    <col min="18" max="18" width="4.28515625" style="45" customWidth="1"/>
    <col min="19" max="19" width="11.42578125" style="45"/>
    <col min="20" max="20" width="4.28515625" style="45" customWidth="1"/>
    <col min="21" max="21" width="11.42578125" style="45"/>
    <col min="22" max="22" width="4.28515625" style="45" customWidth="1"/>
    <col min="23" max="23" width="11.42578125" style="45"/>
    <col min="24" max="24" width="4.28515625" style="45" customWidth="1"/>
    <col min="25" max="25" width="11.42578125" style="45"/>
    <col min="26" max="26" width="4.28515625" style="45" customWidth="1"/>
    <col min="27" max="16384" width="11.42578125" style="45"/>
  </cols>
  <sheetData>
    <row r="1" spans="1:26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>
        <v>7</v>
      </c>
      <c r="H1" s="59">
        <v>8</v>
      </c>
      <c r="I1" s="59">
        <v>9</v>
      </c>
      <c r="M1" s="45">
        <v>1</v>
      </c>
      <c r="N1" s="45">
        <v>2</v>
      </c>
      <c r="O1" s="45">
        <v>3</v>
      </c>
      <c r="P1" s="45">
        <v>4</v>
      </c>
      <c r="Q1" s="45">
        <v>5</v>
      </c>
      <c r="R1" s="45">
        <v>6</v>
      </c>
      <c r="S1" s="45">
        <v>7</v>
      </c>
      <c r="T1" s="45">
        <v>8</v>
      </c>
      <c r="U1" s="45">
        <v>9</v>
      </c>
      <c r="V1" s="45">
        <v>10</v>
      </c>
      <c r="W1" s="45">
        <v>11</v>
      </c>
      <c r="X1" s="45">
        <v>12</v>
      </c>
      <c r="Y1" s="45">
        <v>13</v>
      </c>
    </row>
    <row r="2" spans="1:26" ht="30" customHeight="1" x14ac:dyDescent="0.25">
      <c r="A2" s="37" t="s">
        <v>18</v>
      </c>
      <c r="B2" s="37" t="s">
        <v>19</v>
      </c>
      <c r="C2" s="37" t="s">
        <v>20</v>
      </c>
      <c r="D2" s="37" t="s">
        <v>51</v>
      </c>
      <c r="E2" s="37" t="s">
        <v>5</v>
      </c>
      <c r="F2" s="37" t="s">
        <v>15</v>
      </c>
      <c r="G2" s="37" t="s">
        <v>21</v>
      </c>
      <c r="H2" s="63" t="s">
        <v>40</v>
      </c>
      <c r="I2" s="63" t="s">
        <v>82</v>
      </c>
      <c r="K2" s="78" t="s">
        <v>58</v>
      </c>
      <c r="L2" s="78"/>
      <c r="M2" s="42" t="s">
        <v>11</v>
      </c>
      <c r="N2" s="44"/>
      <c r="O2" s="42" t="s">
        <v>0</v>
      </c>
      <c r="P2" s="44"/>
      <c r="Q2" s="42" t="s">
        <v>2</v>
      </c>
      <c r="R2" s="44"/>
      <c r="S2" s="42" t="s">
        <v>1</v>
      </c>
      <c r="T2" s="44"/>
      <c r="U2" s="42" t="s">
        <v>3</v>
      </c>
      <c r="V2" s="44"/>
      <c r="W2" s="42" t="s">
        <v>4</v>
      </c>
      <c r="Y2" s="30" t="s">
        <v>67</v>
      </c>
    </row>
    <row r="3" spans="1:26" x14ac:dyDescent="0.25">
      <c r="A3" s="15" t="str">
        <f>_xlfn.CONCAT(B3,"_",LEFT(C3,4),"_",(LEFT(D3,4)))</f>
        <v>1_Pizz_Snip</v>
      </c>
      <c r="B3" s="27">
        <v>1</v>
      </c>
      <c r="C3" s="15" t="s">
        <v>123</v>
      </c>
      <c r="D3" s="15" t="s">
        <v>52</v>
      </c>
      <c r="E3" s="31">
        <v>6</v>
      </c>
      <c r="F3" s="31">
        <v>1.5</v>
      </c>
      <c r="G3" s="31">
        <v>5</v>
      </c>
      <c r="H3" s="31">
        <v>10</v>
      </c>
      <c r="I3" s="31">
        <v>20</v>
      </c>
      <c r="K3" s="81" t="s">
        <v>46</v>
      </c>
      <c r="L3" s="69" t="s">
        <v>5</v>
      </c>
      <c r="M3" s="71">
        <f>$Q$12</f>
        <v>6</v>
      </c>
      <c r="N3" s="41" t="s">
        <v>13</v>
      </c>
      <c r="O3" s="41" cm="1">
        <f t="array" ref="O3">_xlfn.IFS(N3="+",ROUNDDOWN(M3*(1+$Y$3),2),N3="=",M3)</f>
        <v>7.8</v>
      </c>
      <c r="P3" s="41" t="s">
        <v>13</v>
      </c>
      <c r="Q3" s="41" cm="1">
        <f t="array" ref="Q3">_xlfn.IFS(P3="+",ROUNDDOWN(O3*(1+$Y$3),2),P3="=",O3)</f>
        <v>10.14</v>
      </c>
      <c r="R3" s="41" t="s">
        <v>13</v>
      </c>
      <c r="S3" s="41" cm="1">
        <f t="array" ref="S3">_xlfn.IFS(R3="+",ROUNDDOWN(Q3*(1+$Y$3),2),R3="=",Q3)</f>
        <v>13.18</v>
      </c>
      <c r="T3" s="41" t="s">
        <v>13</v>
      </c>
      <c r="U3" s="41" cm="1">
        <f t="array" ref="U3">_xlfn.IFS(T3="+",ROUNDDOWN(S3*(1+$Y$3),2),T3="=",S3)</f>
        <v>17.13</v>
      </c>
      <c r="V3" s="41" t="s">
        <v>13</v>
      </c>
      <c r="W3" s="41" cm="1">
        <f t="array" ref="W3">_xlfn.IFS(V3="+",ROUNDDOWN(U3*(1+$Y$3),2),V3="=",U3)</f>
        <v>22.26</v>
      </c>
      <c r="Y3" s="15">
        <v>0.3</v>
      </c>
    </row>
    <row r="4" spans="1:26" x14ac:dyDescent="0.25">
      <c r="A4" s="14" t="str">
        <f>_xlfn.CONCAT(B4,"_",LEFT(C4,4),"_",(LEFT(D4,4)))</f>
        <v>2_Pizz_Mort</v>
      </c>
      <c r="B4" s="27">
        <v>2</v>
      </c>
      <c r="C4" s="14" t="s">
        <v>123</v>
      </c>
      <c r="D4" s="14" t="s">
        <v>54</v>
      </c>
      <c r="E4" s="31">
        <v>4</v>
      </c>
      <c r="F4" s="31">
        <v>1</v>
      </c>
      <c r="G4" s="31">
        <v>4</v>
      </c>
      <c r="H4" s="31">
        <v>15</v>
      </c>
      <c r="I4" s="29">
        <f>I3</f>
        <v>20</v>
      </c>
      <c r="K4" s="81"/>
      <c r="L4" s="70" t="s">
        <v>15</v>
      </c>
      <c r="M4" s="43">
        <f>$S$12</f>
        <v>1.5</v>
      </c>
      <c r="N4" s="43" t="s">
        <v>13</v>
      </c>
      <c r="O4" s="43" cm="1">
        <f t="array" ref="O4">_xlfn.IFS(N4="+",ROUNDDOWN(M4*(1-$Y$4),2),N4="=",M4)</f>
        <v>1.2</v>
      </c>
      <c r="P4" s="43" t="s">
        <v>13</v>
      </c>
      <c r="Q4" s="43" cm="1">
        <f t="array" ref="Q4">_xlfn.IFS(P4="+",ROUNDDOWN(O4*(1-$Y$4),2),P4="=",O4)</f>
        <v>0.96</v>
      </c>
      <c r="R4" s="43" t="s">
        <v>13</v>
      </c>
      <c r="S4" s="43" cm="1">
        <f t="array" ref="S4">_xlfn.IFS(R4="+",ROUNDDOWN(Q4*(1-$Y$4),2),R4="=",Q4)</f>
        <v>0.76</v>
      </c>
      <c r="T4" s="43" t="s">
        <v>13</v>
      </c>
      <c r="U4" s="43" cm="1">
        <f t="array" ref="U4">_xlfn.IFS(T4="+",ROUNDDOWN(S4*(1-$Y$4),2),T4="=",S4)</f>
        <v>0.6</v>
      </c>
      <c r="V4" s="43" t="s">
        <v>13</v>
      </c>
      <c r="W4" s="43" cm="1">
        <f t="array" ref="W4">_xlfn.IFS(V4="+",ROUNDDOWN(U4*(1-$Y$4),2),V4="=",U4)</f>
        <v>0.48</v>
      </c>
      <c r="Y4" s="14">
        <v>0.2</v>
      </c>
    </row>
    <row r="5" spans="1:26" x14ac:dyDescent="0.25">
      <c r="A5" s="15" t="str">
        <f>_xlfn.CONCAT(B5,"_",LEFT(C5,4),"_",(LEFT(D5,4)))</f>
        <v>3_Pizz_Cano</v>
      </c>
      <c r="B5" s="27">
        <v>3</v>
      </c>
      <c r="C5" s="15" t="s">
        <v>123</v>
      </c>
      <c r="D5" s="15" t="s">
        <v>53</v>
      </c>
      <c r="E5" s="31">
        <v>3</v>
      </c>
      <c r="F5" s="31">
        <v>0.75</v>
      </c>
      <c r="G5" s="31">
        <v>3.5</v>
      </c>
      <c r="H5" s="31">
        <v>20</v>
      </c>
      <c r="I5" s="28">
        <f>I3</f>
        <v>20</v>
      </c>
      <c r="K5" s="81"/>
      <c r="L5" s="69" t="s">
        <v>10</v>
      </c>
      <c r="M5" s="41">
        <f>$U$12</f>
        <v>5</v>
      </c>
      <c r="N5" s="41" t="s">
        <v>13</v>
      </c>
      <c r="O5" s="41" cm="1">
        <f t="array" ref="O5">_xlfn.IFS(N5="+",ROUNDDOWN(M5*(1+$Y$5),2),N5="=",M5)</f>
        <v>5.5</v>
      </c>
      <c r="P5" s="41" t="s">
        <v>13</v>
      </c>
      <c r="Q5" s="41" cm="1">
        <f t="array" ref="Q5">_xlfn.IFS(P5="+",ROUNDDOWN(O5*(1+$Y$5),2),P5="=",O5)</f>
        <v>6.05</v>
      </c>
      <c r="R5" s="41" t="s">
        <v>13</v>
      </c>
      <c r="S5" s="41" cm="1">
        <f t="array" ref="S5">_xlfn.IFS(R5="+",ROUNDDOWN(Q5*(1+$Y$5),2),R5="=",Q5)</f>
        <v>6.65</v>
      </c>
      <c r="T5" s="41" t="s">
        <v>13</v>
      </c>
      <c r="U5" s="41" cm="1">
        <f t="array" ref="U5">_xlfn.IFS(T5="+",ROUNDDOWN(S5*(1+$Y$5),2),T5="=",S5)</f>
        <v>7.31</v>
      </c>
      <c r="V5" s="41" t="s">
        <v>13</v>
      </c>
      <c r="W5" s="41" cm="1">
        <f t="array" ref="W5">_xlfn.IFS(V5="+",ROUNDDOWN(U5*(1+$Y$5),2),V5="=",U5)</f>
        <v>8.0399999999999991</v>
      </c>
      <c r="Y5" s="15">
        <v>0.1</v>
      </c>
    </row>
    <row r="6" spans="1:26" x14ac:dyDescent="0.25">
      <c r="A6" s="14" t="str">
        <f>_xlfn.CONCAT(B6,"_",LEFT(C6,4),"_",(LEFT(D6,4)))</f>
        <v>4_Trap_Snip</v>
      </c>
      <c r="B6" s="27">
        <v>4</v>
      </c>
      <c r="C6" s="14" t="s">
        <v>36</v>
      </c>
      <c r="D6" s="14" t="s">
        <v>52</v>
      </c>
      <c r="E6" s="29">
        <f>E3</f>
        <v>6</v>
      </c>
      <c r="F6" s="29">
        <f>F3</f>
        <v>1.5</v>
      </c>
      <c r="G6" s="29">
        <f>G3</f>
        <v>5</v>
      </c>
      <c r="H6" s="29">
        <f>H3</f>
        <v>10</v>
      </c>
      <c r="I6" s="29">
        <f>I3</f>
        <v>20</v>
      </c>
      <c r="K6" s="81"/>
      <c r="L6" s="70" t="s">
        <v>41</v>
      </c>
      <c r="M6" s="43">
        <f>$W$12</f>
        <v>10</v>
      </c>
      <c r="N6" s="43" t="s">
        <v>13</v>
      </c>
      <c r="O6" s="43" cm="1">
        <f t="array" ref="O6">_xlfn.IFS(N6="+",ROUNDDOWN(M6*(1+$Y$6),0),N6="=",M6)</f>
        <v>12</v>
      </c>
      <c r="P6" s="43" t="s">
        <v>13</v>
      </c>
      <c r="Q6" s="43" cm="1">
        <f t="array" ref="Q6">_xlfn.IFS(P6="+",ROUNDDOWN(O6*(1+$Y$6),0),P6="=",O6)</f>
        <v>14</v>
      </c>
      <c r="R6" s="43" t="s">
        <v>13</v>
      </c>
      <c r="S6" s="43" cm="1">
        <f t="array" ref="S6">_xlfn.IFS(R6="+",ROUNDDOWN(Q6*(1+$Y$6),0),R6="=",Q6)</f>
        <v>16</v>
      </c>
      <c r="T6" s="43" t="s">
        <v>13</v>
      </c>
      <c r="U6" s="43" cm="1">
        <f t="array" ref="U6">_xlfn.IFS(T6="+",ROUNDDOWN(S6*(1+$Y$6),0),T6="=",S6)</f>
        <v>19</v>
      </c>
      <c r="V6" s="43" t="s">
        <v>13</v>
      </c>
      <c r="W6" s="43" cm="1">
        <f t="array" ref="W6">_xlfn.IFS(V6="+",ROUNDDOWN(U6*(1+$Y$6),0),V6="=",U6)</f>
        <v>22</v>
      </c>
      <c r="Y6" s="14">
        <v>0.2</v>
      </c>
    </row>
    <row r="7" spans="1:26" x14ac:dyDescent="0.25">
      <c r="A7" s="15" t="str">
        <f>_xlfn.CONCAT(B7,"_",LEFT(C7,4),"_",(LEFT(D7,4)))</f>
        <v>5_Trap_Mort</v>
      </c>
      <c r="B7" s="27">
        <v>5</v>
      </c>
      <c r="C7" s="15" t="s">
        <v>36</v>
      </c>
      <c r="D7" s="15" t="s">
        <v>54</v>
      </c>
      <c r="E7" s="28">
        <f>E4</f>
        <v>4</v>
      </c>
      <c r="F7" s="28">
        <f>F4</f>
        <v>1</v>
      </c>
      <c r="G7" s="28">
        <f>G4</f>
        <v>4</v>
      </c>
      <c r="H7" s="28">
        <f>H4</f>
        <v>15</v>
      </c>
      <c r="I7" s="28">
        <f>I3</f>
        <v>20</v>
      </c>
      <c r="K7" s="81"/>
      <c r="L7" s="69" t="s">
        <v>80</v>
      </c>
      <c r="M7" s="41">
        <v>10</v>
      </c>
      <c r="N7" s="41" t="s">
        <v>13</v>
      </c>
      <c r="O7" s="41" cm="1">
        <f t="array" ref="O7">_xlfn.IFS(N7="+",ROUNDUP(M7*(1+$Y$7),0),N7="=",M7)</f>
        <v>30</v>
      </c>
      <c r="P7" s="41" t="s">
        <v>13</v>
      </c>
      <c r="Q7" s="41" cm="1">
        <f t="array" ref="Q7">_xlfn.IFS(P7="+",ROUNDUP(O7*(1+$Y$7),0),P7="=",O7)</f>
        <v>90</v>
      </c>
      <c r="R7" s="41" t="s">
        <v>13</v>
      </c>
      <c r="S7" s="41" cm="1">
        <f t="array" ref="S7">_xlfn.IFS(R7="+",ROUNDUP(Q7*(1+$Y$7),0),R7="=",Q7)</f>
        <v>270</v>
      </c>
      <c r="T7" s="41" t="s">
        <v>13</v>
      </c>
      <c r="U7" s="41" cm="1">
        <f t="array" ref="U7">_xlfn.IFS(T7="+",ROUNDUP(S7*(1+$Y$7),0),T7="=",S7)</f>
        <v>810</v>
      </c>
      <c r="V7" s="41" t="s">
        <v>13</v>
      </c>
      <c r="W7" s="41" cm="1">
        <f t="array" ref="W7">_xlfn.IFS(V7="+",ROUNDUP(U7*(1+$Y$7),0),V7="=",U7)</f>
        <v>2430</v>
      </c>
      <c r="Y7" s="15">
        <v>2</v>
      </c>
    </row>
    <row r="8" spans="1:26" x14ac:dyDescent="0.25">
      <c r="A8" s="14" t="str">
        <f>_xlfn.CONCAT(B8,"_",LEFT(C8,4),"_",(LEFT(D8,4)))</f>
        <v>6_Trap_Cano</v>
      </c>
      <c r="B8" s="27">
        <v>6</v>
      </c>
      <c r="C8" s="14" t="s">
        <v>36</v>
      </c>
      <c r="D8" s="14" t="s">
        <v>53</v>
      </c>
      <c r="E8" s="29">
        <f>E5</f>
        <v>3</v>
      </c>
      <c r="F8" s="29">
        <f>F5</f>
        <v>0.75</v>
      </c>
      <c r="G8" s="29">
        <f>G5</f>
        <v>3.5</v>
      </c>
      <c r="H8" s="29">
        <f>H5</f>
        <v>20</v>
      </c>
      <c r="I8" s="29">
        <f>I3</f>
        <v>20</v>
      </c>
      <c r="K8" s="84" t="s">
        <v>62</v>
      </c>
      <c r="L8" s="84"/>
      <c r="M8" s="41">
        <f>ROUNDDOWN(M3*M9,2)</f>
        <v>3.96</v>
      </c>
      <c r="N8" s="41"/>
      <c r="O8" s="41">
        <f>ROUNDDOWN(O3*O9,2)</f>
        <v>6.47</v>
      </c>
      <c r="P8" s="41"/>
      <c r="Q8" s="41">
        <f>ROUNDDOWN(Q3*Q9,2)</f>
        <v>10.54</v>
      </c>
      <c r="R8" s="41"/>
      <c r="S8" s="41">
        <f>ROUNDDOWN(S3*S9,2)</f>
        <v>17.39</v>
      </c>
      <c r="T8" s="41"/>
      <c r="U8" s="41">
        <f>ROUNDDOWN(U3*U9,2)</f>
        <v>28.6</v>
      </c>
      <c r="V8" s="41"/>
      <c r="W8" s="41">
        <f>ROUNDDOWN(W3*W9,2)</f>
        <v>46.3</v>
      </c>
    </row>
    <row r="9" spans="1:26" x14ac:dyDescent="0.25">
      <c r="A9" s="15" t="str">
        <f>_xlfn.CONCAT(B9,"_",LEFT(C9,4),"_",(LEFT(D9,4)))</f>
        <v>7_Ener_Snip</v>
      </c>
      <c r="B9" s="27">
        <v>7</v>
      </c>
      <c r="C9" s="15" t="s">
        <v>8</v>
      </c>
      <c r="D9" s="15" t="s">
        <v>52</v>
      </c>
      <c r="E9" s="28">
        <f>E3</f>
        <v>6</v>
      </c>
      <c r="F9" s="28">
        <f>F3</f>
        <v>1.5</v>
      </c>
      <c r="G9" s="28">
        <f>G3</f>
        <v>5</v>
      </c>
      <c r="H9" s="28">
        <f>H3</f>
        <v>10</v>
      </c>
      <c r="I9" s="28">
        <f>I3</f>
        <v>20</v>
      </c>
      <c r="K9" s="85" t="s">
        <v>47</v>
      </c>
      <c r="L9" s="85"/>
      <c r="M9" s="43">
        <f>ROUNDDOWN(1/M4,2)</f>
        <v>0.66</v>
      </c>
      <c r="N9" s="43"/>
      <c r="O9" s="43">
        <f>ROUND(1/O4,2)</f>
        <v>0.83</v>
      </c>
      <c r="P9" s="43"/>
      <c r="Q9" s="43">
        <f>ROUND(1/Q4,2)</f>
        <v>1.04</v>
      </c>
      <c r="R9" s="43"/>
      <c r="S9" s="43">
        <f>ROUND(1/S4,2)</f>
        <v>1.32</v>
      </c>
      <c r="T9" s="43"/>
      <c r="U9" s="43">
        <f>ROUND(1/U4,2)</f>
        <v>1.67</v>
      </c>
      <c r="V9" s="43"/>
      <c r="W9" s="43">
        <f>ROUND(1/W4,2)</f>
        <v>2.08</v>
      </c>
    </row>
    <row r="10" spans="1:26" x14ac:dyDescent="0.25">
      <c r="A10" s="14" t="str">
        <f>_xlfn.CONCAT(B10,"_",LEFT(C10,4),"_",(LEFT(D10,4)))</f>
        <v>8_Ener_Mort</v>
      </c>
      <c r="B10" s="27">
        <v>8</v>
      </c>
      <c r="C10" s="14" t="s">
        <v>8</v>
      </c>
      <c r="D10" s="14" t="s">
        <v>54</v>
      </c>
      <c r="E10" s="29">
        <f>E4</f>
        <v>4</v>
      </c>
      <c r="F10" s="29">
        <f>F4</f>
        <v>1</v>
      </c>
      <c r="G10" s="29">
        <f>G4</f>
        <v>4</v>
      </c>
      <c r="H10" s="29">
        <f>H4</f>
        <v>15</v>
      </c>
      <c r="I10" s="29">
        <f>I3</f>
        <v>20</v>
      </c>
    </row>
    <row r="11" spans="1:26" x14ac:dyDescent="0.25">
      <c r="A11" s="15" t="str">
        <f>_xlfn.CONCAT(B11,"_",LEFT(C11,4),"_",(LEFT(D11,4)))</f>
        <v>9_Ener_Cano</v>
      </c>
      <c r="B11" s="27">
        <v>9</v>
      </c>
      <c r="C11" s="15" t="s">
        <v>8</v>
      </c>
      <c r="D11" s="15" t="s">
        <v>53</v>
      </c>
      <c r="E11" s="28">
        <f>E5</f>
        <v>3</v>
      </c>
      <c r="F11" s="28">
        <f>F5</f>
        <v>0.75</v>
      </c>
      <c r="G11" s="28">
        <f>G5</f>
        <v>3.5</v>
      </c>
      <c r="H11" s="28">
        <f>H5</f>
        <v>20</v>
      </c>
      <c r="I11" s="28">
        <f>I3</f>
        <v>20</v>
      </c>
      <c r="K11" s="83" t="s">
        <v>42</v>
      </c>
      <c r="L11" s="83"/>
      <c r="M11" s="83" t="s">
        <v>35</v>
      </c>
      <c r="N11" s="83"/>
      <c r="O11" s="83" t="s">
        <v>57</v>
      </c>
      <c r="P11" s="83"/>
      <c r="Q11" s="83" t="s">
        <v>5</v>
      </c>
      <c r="R11" s="83"/>
      <c r="S11" s="83" t="s">
        <v>15</v>
      </c>
      <c r="T11" s="83"/>
      <c r="U11" s="83" t="s">
        <v>10</v>
      </c>
      <c r="V11" s="83"/>
      <c r="W11" s="83" t="s">
        <v>41</v>
      </c>
      <c r="X11" s="83"/>
      <c r="Y11" s="83" t="s">
        <v>96</v>
      </c>
      <c r="Z11" s="83"/>
    </row>
    <row r="12" spans="1:26" x14ac:dyDescent="0.25">
      <c r="K12" s="72" t="s">
        <v>143</v>
      </c>
      <c r="L12" s="72"/>
      <c r="M12" s="73" t="str">
        <f>VLOOKUP($K$12,TOWER,3)</f>
        <v>Pizza</v>
      </c>
      <c r="N12" s="73"/>
      <c r="O12" s="73" t="str">
        <f>VLOOKUP($K$12,TOWER,4)</f>
        <v>Snipe</v>
      </c>
      <c r="P12" s="73"/>
      <c r="Q12" s="73">
        <f>VLOOKUP($K$12,TOWER,5)</f>
        <v>6</v>
      </c>
      <c r="R12" s="73"/>
      <c r="S12" s="73">
        <f>VLOOKUP($K$12,TOWER,6)</f>
        <v>1.5</v>
      </c>
      <c r="T12" s="73"/>
      <c r="U12" s="73">
        <f>VLOOKUP($K$12,TOWER,7)</f>
        <v>5</v>
      </c>
      <c r="V12" s="73"/>
      <c r="W12" s="73">
        <f>VLOOKUP($K$12,TOWER,8)</f>
        <v>10</v>
      </c>
      <c r="X12" s="73"/>
      <c r="Y12" s="73">
        <f>VLOOKUP($K$12,TOWER,9)</f>
        <v>20</v>
      </c>
      <c r="Z12" s="73"/>
    </row>
    <row r="13" spans="1:26" x14ac:dyDescent="0.25">
      <c r="C13" s="76" t="s">
        <v>90</v>
      </c>
      <c r="D13" s="76"/>
    </row>
    <row r="14" spans="1:26" x14ac:dyDescent="0.25">
      <c r="C14" s="82" t="s">
        <v>92</v>
      </c>
      <c r="D14" s="82" t="s">
        <v>91</v>
      </c>
    </row>
    <row r="15" spans="1:26" x14ac:dyDescent="0.25">
      <c r="C15" s="82"/>
      <c r="D15" s="82"/>
    </row>
    <row r="16" spans="1:26" x14ac:dyDescent="0.25">
      <c r="C16" s="28">
        <f>E3/F3</f>
        <v>4</v>
      </c>
      <c r="D16" s="28">
        <f>H3*F3</f>
        <v>15</v>
      </c>
    </row>
    <row r="17" spans="3:4" x14ac:dyDescent="0.25">
      <c r="C17" s="29">
        <f>E4/F4</f>
        <v>4</v>
      </c>
      <c r="D17" s="29">
        <f>H4*F4</f>
        <v>15</v>
      </c>
    </row>
    <row r="18" spans="3:4" x14ac:dyDescent="0.25">
      <c r="C18" s="28">
        <f>E5/F5</f>
        <v>4</v>
      </c>
      <c r="D18" s="28">
        <f>H5*F5</f>
        <v>15</v>
      </c>
    </row>
  </sheetData>
  <mergeCells count="23"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3:T10 V3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P3:P7 R3:R7 T3:T7 V3:V7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P3:P7 R3:R7 T3:T7 V3:V7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G3" sqref="G3:I11"/>
    </sheetView>
  </sheetViews>
  <sheetFormatPr baseColWidth="10" defaultRowHeight="15" x14ac:dyDescent="0.25"/>
  <cols>
    <col min="1" max="4" width="11.42578125" style="45"/>
    <col min="5" max="5" width="28.5703125" style="45" customWidth="1"/>
    <col min="6" max="6" width="35.7109375" style="45" customWidth="1"/>
    <col min="7" max="9" width="11.42578125" style="45"/>
    <col min="10" max="12" width="14.28515625" style="45" customWidth="1"/>
    <col min="13" max="16384" width="11.42578125" style="45"/>
  </cols>
  <sheetData>
    <row r="1" spans="1:12" x14ac:dyDescent="0.25">
      <c r="A1" s="91" t="s">
        <v>97</v>
      </c>
      <c r="B1" s="91" t="s">
        <v>19</v>
      </c>
      <c r="C1" s="91" t="s">
        <v>98</v>
      </c>
      <c r="D1" s="91" t="s">
        <v>99</v>
      </c>
      <c r="E1" s="91" t="s">
        <v>100</v>
      </c>
      <c r="F1" s="91" t="s">
        <v>101</v>
      </c>
      <c r="G1" s="92" t="s">
        <v>102</v>
      </c>
      <c r="H1" s="93"/>
      <c r="I1" s="94"/>
      <c r="J1" s="95" t="s">
        <v>103</v>
      </c>
      <c r="K1" s="95"/>
      <c r="L1" s="95"/>
    </row>
    <row r="2" spans="1:12" x14ac:dyDescent="0.25">
      <c r="A2" s="91"/>
      <c r="B2" s="91"/>
      <c r="C2" s="91"/>
      <c r="D2" s="91"/>
      <c r="E2" s="91"/>
      <c r="F2" s="91"/>
      <c r="G2" s="96" t="s">
        <v>74</v>
      </c>
      <c r="H2" s="96" t="s">
        <v>104</v>
      </c>
      <c r="I2" s="96" t="s">
        <v>105</v>
      </c>
      <c r="J2" s="96" t="s">
        <v>106</v>
      </c>
      <c r="K2" s="96" t="s">
        <v>107</v>
      </c>
      <c r="L2" s="96" t="s">
        <v>108</v>
      </c>
    </row>
    <row r="3" spans="1:12" ht="45" customHeight="1" x14ac:dyDescent="0.25">
      <c r="A3" s="29" t="str">
        <f>_xlfn.CONCAT(B3,"_",LEFT(C3,3), "_",D3)</f>
        <v>1_Tra_1</v>
      </c>
      <c r="B3" s="29">
        <v>1</v>
      </c>
      <c r="C3" s="29" t="s">
        <v>36</v>
      </c>
      <c r="D3" s="29">
        <v>1</v>
      </c>
      <c r="E3" s="29" t="s">
        <v>109</v>
      </c>
      <c r="F3" s="99" t="s">
        <v>110</v>
      </c>
      <c r="G3" s="97" t="s">
        <v>12</v>
      </c>
      <c r="H3" s="97" t="s">
        <v>13</v>
      </c>
      <c r="I3" s="97" t="s">
        <v>12</v>
      </c>
      <c r="J3" s="29"/>
      <c r="K3" s="29"/>
      <c r="L3" s="29"/>
    </row>
    <row r="4" spans="1:12" ht="45" customHeight="1" x14ac:dyDescent="0.25">
      <c r="A4" s="28" t="str">
        <f t="shared" ref="A4:A11" si="0">_xlfn.CONCAT(B4,"_",LEFT(C4,3), "_",D4)</f>
        <v>2_Tra_2a</v>
      </c>
      <c r="B4" s="28">
        <v>2</v>
      </c>
      <c r="C4" s="28" t="s">
        <v>36</v>
      </c>
      <c r="D4" s="28" t="s">
        <v>111</v>
      </c>
      <c r="E4" s="28" t="s">
        <v>112</v>
      </c>
      <c r="F4" s="100" t="s">
        <v>113</v>
      </c>
      <c r="G4" s="98" t="s">
        <v>14</v>
      </c>
      <c r="H4" s="111" t="s">
        <v>114</v>
      </c>
      <c r="I4" s="98" t="s">
        <v>12</v>
      </c>
      <c r="J4" s="28"/>
      <c r="K4" s="28"/>
      <c r="L4" s="28"/>
    </row>
    <row r="5" spans="1:12" ht="45" customHeight="1" x14ac:dyDescent="0.25">
      <c r="A5" s="29" t="str">
        <f t="shared" si="0"/>
        <v>3_Tra_2b</v>
      </c>
      <c r="B5" s="29">
        <v>3</v>
      </c>
      <c r="C5" s="29" t="s">
        <v>36</v>
      </c>
      <c r="D5" s="29" t="s">
        <v>115</v>
      </c>
      <c r="E5" s="29" t="s">
        <v>116</v>
      </c>
      <c r="F5" s="99" t="s">
        <v>117</v>
      </c>
      <c r="G5" s="97" t="s">
        <v>14</v>
      </c>
      <c r="H5" s="97" t="s">
        <v>12</v>
      </c>
      <c r="I5" s="112" t="s">
        <v>114</v>
      </c>
      <c r="J5" s="29"/>
      <c r="K5" s="29"/>
      <c r="L5" s="29"/>
    </row>
    <row r="6" spans="1:12" ht="45" customHeight="1" x14ac:dyDescent="0.25">
      <c r="A6" s="28" t="str">
        <f t="shared" si="0"/>
        <v>4_Ene_1</v>
      </c>
      <c r="B6" s="28">
        <v>4</v>
      </c>
      <c r="C6" s="28" t="s">
        <v>8</v>
      </c>
      <c r="D6" s="28">
        <v>1</v>
      </c>
      <c r="E6" s="28" t="s">
        <v>118</v>
      </c>
      <c r="F6" s="100" t="s">
        <v>110</v>
      </c>
      <c r="G6" s="98" t="s">
        <v>13</v>
      </c>
      <c r="H6" s="98" t="s">
        <v>12</v>
      </c>
      <c r="I6" s="98" t="s">
        <v>12</v>
      </c>
      <c r="J6" s="28"/>
      <c r="K6" s="28"/>
      <c r="L6" s="28"/>
    </row>
    <row r="7" spans="1:12" ht="45" customHeight="1" x14ac:dyDescent="0.25">
      <c r="A7" s="29" t="str">
        <f t="shared" si="0"/>
        <v>5_Ene_2a</v>
      </c>
      <c r="B7" s="29">
        <v>5</v>
      </c>
      <c r="C7" s="29" t="s">
        <v>8</v>
      </c>
      <c r="D7" s="29" t="s">
        <v>111</v>
      </c>
      <c r="E7" s="29" t="s">
        <v>119</v>
      </c>
      <c r="F7" s="99" t="s">
        <v>120</v>
      </c>
      <c r="G7" s="97" t="s">
        <v>14</v>
      </c>
      <c r="H7" s="97" t="s">
        <v>12</v>
      </c>
      <c r="I7" s="112" t="s">
        <v>114</v>
      </c>
      <c r="J7" s="29"/>
      <c r="K7" s="29"/>
      <c r="L7" s="29"/>
    </row>
    <row r="8" spans="1:12" ht="45" customHeight="1" x14ac:dyDescent="0.25">
      <c r="A8" s="28" t="str">
        <f t="shared" si="0"/>
        <v>6_Ene_2b</v>
      </c>
      <c r="B8" s="28">
        <v>6</v>
      </c>
      <c r="C8" s="28" t="s">
        <v>8</v>
      </c>
      <c r="D8" s="28" t="s">
        <v>115</v>
      </c>
      <c r="E8" s="28" t="s">
        <v>121</v>
      </c>
      <c r="F8" s="100" t="s">
        <v>122</v>
      </c>
      <c r="G8" s="111" t="s">
        <v>114</v>
      </c>
      <c r="H8" s="98" t="s">
        <v>14</v>
      </c>
      <c r="I8" s="98" t="s">
        <v>12</v>
      </c>
      <c r="J8" s="28"/>
      <c r="K8" s="28"/>
      <c r="L8" s="28"/>
    </row>
    <row r="9" spans="1:12" ht="45" customHeight="1" x14ac:dyDescent="0.25">
      <c r="A9" s="29" t="str">
        <f t="shared" si="0"/>
        <v>7_Piz_1</v>
      </c>
      <c r="B9" s="29">
        <v>7</v>
      </c>
      <c r="C9" s="29" t="s">
        <v>123</v>
      </c>
      <c r="D9" s="29">
        <v>1</v>
      </c>
      <c r="E9" s="29" t="s">
        <v>123</v>
      </c>
      <c r="F9" s="99" t="s">
        <v>110</v>
      </c>
      <c r="G9" s="97" t="s">
        <v>13</v>
      </c>
      <c r="H9" s="97" t="s">
        <v>12</v>
      </c>
      <c r="I9" s="97" t="s">
        <v>12</v>
      </c>
      <c r="J9" s="29"/>
      <c r="K9" s="29"/>
      <c r="L9" s="29"/>
    </row>
    <row r="10" spans="1:12" ht="45" customHeight="1" x14ac:dyDescent="0.25">
      <c r="A10" s="28" t="str">
        <f t="shared" si="0"/>
        <v>8_Piz_2a</v>
      </c>
      <c r="B10" s="28">
        <v>8</v>
      </c>
      <c r="C10" s="28" t="s">
        <v>123</v>
      </c>
      <c r="D10" s="28" t="s">
        <v>111</v>
      </c>
      <c r="E10" s="28" t="s">
        <v>124</v>
      </c>
      <c r="F10" s="100" t="s">
        <v>125</v>
      </c>
      <c r="G10" s="98" t="s">
        <v>114</v>
      </c>
      <c r="H10" s="98" t="s">
        <v>14</v>
      </c>
      <c r="I10" s="98" t="s">
        <v>12</v>
      </c>
      <c r="J10" s="28"/>
      <c r="K10" s="28"/>
      <c r="L10" s="28"/>
    </row>
    <row r="11" spans="1:12" ht="45" customHeight="1" x14ac:dyDescent="0.25">
      <c r="A11" s="29" t="str">
        <f>_xlfn.CONCAT(B11,"_",LEFT(C11,3), "_",D11)</f>
        <v>9_Piz_2b</v>
      </c>
      <c r="B11" s="29">
        <v>9</v>
      </c>
      <c r="C11" s="29" t="s">
        <v>123</v>
      </c>
      <c r="D11" s="29" t="s">
        <v>115</v>
      </c>
      <c r="E11" s="29" t="s">
        <v>126</v>
      </c>
      <c r="F11" s="99" t="s">
        <v>127</v>
      </c>
      <c r="G11" s="97" t="s">
        <v>12</v>
      </c>
      <c r="H11" s="97" t="s">
        <v>114</v>
      </c>
      <c r="I11" s="97" t="s">
        <v>14</v>
      </c>
      <c r="J11" s="29"/>
      <c r="K11" s="29"/>
      <c r="L11" s="29"/>
    </row>
    <row r="13" spans="1:12" x14ac:dyDescent="0.25">
      <c r="G13" s="89" t="s">
        <v>74</v>
      </c>
      <c r="H13" s="89" t="s">
        <v>104</v>
      </c>
      <c r="I13" s="89" t="s">
        <v>128</v>
      </c>
    </row>
    <row r="14" spans="1:12" x14ac:dyDescent="0.25">
      <c r="F14" s="72" t="s">
        <v>129</v>
      </c>
      <c r="G14" s="73" t="str">
        <f>VLOOKUP($F$14,TOWER_UPGRADE,7)</f>
        <v>-</v>
      </c>
      <c r="H14" s="73" t="str">
        <f>VLOOKUP($F$14,TOWER_UPGRADE,8)</f>
        <v>++</v>
      </c>
      <c r="I14" s="73" t="str">
        <f>VLOOKUP($F$14,TOWER_UPGRADE,9)</f>
        <v>=</v>
      </c>
    </row>
    <row r="15" spans="1:12" x14ac:dyDescent="0.25">
      <c r="F15" s="72"/>
      <c r="G15" s="73"/>
      <c r="H15" s="73"/>
      <c r="I15" s="73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workbookViewId="0">
      <selection activeCell="C14" sqref="C14:E22"/>
    </sheetView>
  </sheetViews>
  <sheetFormatPr baseColWidth="10" defaultRowHeight="15" x14ac:dyDescent="0.25"/>
  <cols>
    <col min="1" max="1" width="2.85546875" style="45" customWidth="1"/>
    <col min="2" max="16384" width="11.42578125" style="45"/>
  </cols>
  <sheetData>
    <row r="2" spans="2:16" x14ac:dyDescent="0.25">
      <c r="B2" s="46"/>
      <c r="C2" s="4" t="s">
        <v>123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45">
        <v>1</v>
      </c>
      <c r="G3" s="8" t="s">
        <v>123</v>
      </c>
      <c r="H3" s="9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45">
        <v>2</v>
      </c>
      <c r="G4" s="86" t="str">
        <f>HLOOKUP(G3,C2:E5,VLOOKUP(H3,B3:F5,5,FALSE)+1,FALSE)</f>
        <v>+</v>
      </c>
      <c r="H4" s="86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45">
        <v>3</v>
      </c>
      <c r="G5" s="86"/>
      <c r="H5" s="86"/>
    </row>
    <row r="7" spans="2:16" x14ac:dyDescent="0.25">
      <c r="B7" s="46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44</v>
      </c>
      <c r="C8" s="1" t="s">
        <v>12</v>
      </c>
      <c r="D8" s="3" t="s">
        <v>14</v>
      </c>
      <c r="E8" s="2" t="s">
        <v>13</v>
      </c>
      <c r="F8" s="45">
        <v>1</v>
      </c>
      <c r="G8" s="8" t="s">
        <v>23</v>
      </c>
      <c r="H8" s="9" t="s">
        <v>44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45">
        <v>2</v>
      </c>
      <c r="G9" s="86" t="str">
        <f>HLOOKUP(G8,C7:E10,VLOOKUP(H8,B8:F10,5,FALSE)+1,FALSE)</f>
        <v>=</v>
      </c>
      <c r="H9" s="86"/>
    </row>
    <row r="10" spans="2:16" x14ac:dyDescent="0.25">
      <c r="B10" s="7" t="s">
        <v>45</v>
      </c>
      <c r="C10" s="3" t="s">
        <v>13</v>
      </c>
      <c r="D10" s="2" t="s">
        <v>12</v>
      </c>
      <c r="E10" s="1" t="s">
        <v>14</v>
      </c>
      <c r="F10" s="45">
        <v>3</v>
      </c>
      <c r="G10" s="86"/>
      <c r="H10" s="86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06" t="s">
        <v>102</v>
      </c>
      <c r="D12" s="106"/>
      <c r="E12" s="106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74</v>
      </c>
      <c r="D13" s="6" t="s">
        <v>104</v>
      </c>
      <c r="E13" s="4" t="s">
        <v>105</v>
      </c>
      <c r="J13" s="4" t="s">
        <v>14</v>
      </c>
      <c r="K13" s="4" t="s">
        <v>12</v>
      </c>
      <c r="L13" s="4" t="s">
        <v>13</v>
      </c>
      <c r="M13" s="4" t="s">
        <v>114</v>
      </c>
      <c r="O13" s="106" t="s">
        <v>141</v>
      </c>
      <c r="P13" s="106"/>
    </row>
    <row r="14" spans="2:16" ht="15" customHeight="1" x14ac:dyDescent="0.25">
      <c r="B14" s="104" t="s">
        <v>131</v>
      </c>
      <c r="C14" s="1" t="s">
        <v>12</v>
      </c>
      <c r="D14" s="3" t="s">
        <v>13</v>
      </c>
      <c r="E14" s="2" t="s">
        <v>12</v>
      </c>
      <c r="F14" s="45">
        <v>1</v>
      </c>
      <c r="G14" s="4" t="s">
        <v>74</v>
      </c>
      <c r="H14" s="6" t="s">
        <v>137</v>
      </c>
      <c r="J14" s="87">
        <f>COUNTIF(C14:E14,"=-")</f>
        <v>0</v>
      </c>
      <c r="K14" s="87">
        <f>COUNTIF(C14:E14,"==")</f>
        <v>2</v>
      </c>
      <c r="L14" s="87">
        <f>COUNTIF(C14:E14,"=+")</f>
        <v>1</v>
      </c>
      <c r="M14" s="87">
        <f>COUNTIF(C14:E14,"=++")</f>
        <v>0</v>
      </c>
      <c r="O14" s="45">
        <f>$J$10*J14+$K$10*K14+$L$10*L14+$M$10*M14</f>
        <v>7</v>
      </c>
      <c r="P14" s="114">
        <f>ROUND(AVERAGE(O14:O22),0)</f>
        <v>7</v>
      </c>
    </row>
    <row r="15" spans="2:16" ht="15" customHeight="1" x14ac:dyDescent="0.25">
      <c r="B15" s="105" t="s">
        <v>132</v>
      </c>
      <c r="C15" s="2" t="s">
        <v>14</v>
      </c>
      <c r="D15" s="1" t="s">
        <v>114</v>
      </c>
      <c r="E15" s="3" t="s">
        <v>12</v>
      </c>
      <c r="F15" s="45">
        <v>2</v>
      </c>
      <c r="G15" s="108" t="str">
        <f>HLOOKUP(G14,C13:E22,VLOOKUP(H14,B14:F22,5,FALSE)+1,FALSE)</f>
        <v>+</v>
      </c>
      <c r="H15" s="108"/>
      <c r="J15" s="87">
        <f t="shared" ref="J15:J22" si="0">COUNTIF(C15:E15,"=-")</f>
        <v>1</v>
      </c>
      <c r="K15" s="87">
        <f t="shared" ref="K15:K22" si="1">COUNTIF(C15:E15,"==")</f>
        <v>1</v>
      </c>
      <c r="L15" s="87">
        <f t="shared" ref="L15:L22" si="2">COUNTIF(C15:E15,"=+")</f>
        <v>0</v>
      </c>
      <c r="M15" s="87">
        <f t="shared" ref="M15:M22" si="3">COUNTIF(C15:E15,"=++")</f>
        <v>1</v>
      </c>
      <c r="O15" s="45">
        <f t="shared" ref="O15:O22" si="4">$J$10*J15+$K$10*K15+$L$10*L15+$M$10*M15</f>
        <v>7</v>
      </c>
      <c r="P15" s="114"/>
    </row>
    <row r="16" spans="2:16" ht="15" customHeight="1" x14ac:dyDescent="0.25">
      <c r="B16" s="104" t="s">
        <v>133</v>
      </c>
      <c r="C16" s="3" t="s">
        <v>14</v>
      </c>
      <c r="D16" s="2" t="s">
        <v>12</v>
      </c>
      <c r="E16" s="1" t="s">
        <v>114</v>
      </c>
      <c r="F16" s="45">
        <v>3</v>
      </c>
      <c r="G16" s="108"/>
      <c r="H16" s="108"/>
      <c r="J16" s="87">
        <f t="shared" si="0"/>
        <v>1</v>
      </c>
      <c r="K16" s="87">
        <f t="shared" si="1"/>
        <v>1</v>
      </c>
      <c r="L16" s="87">
        <f t="shared" si="2"/>
        <v>0</v>
      </c>
      <c r="M16" s="87">
        <f>COUNTIF(C16:E16,"=++")</f>
        <v>1</v>
      </c>
      <c r="O16" s="45">
        <f t="shared" si="4"/>
        <v>7</v>
      </c>
      <c r="P16" s="114"/>
    </row>
    <row r="17" spans="2:16" ht="15" customHeight="1" x14ac:dyDescent="0.25">
      <c r="B17" s="105" t="s">
        <v>134</v>
      </c>
      <c r="C17" s="1" t="s">
        <v>13</v>
      </c>
      <c r="D17" s="3" t="s">
        <v>12</v>
      </c>
      <c r="E17" s="2" t="s">
        <v>12</v>
      </c>
      <c r="F17" s="45">
        <v>4</v>
      </c>
      <c r="J17" s="87">
        <f t="shared" si="0"/>
        <v>0</v>
      </c>
      <c r="K17" s="87">
        <f t="shared" si="1"/>
        <v>2</v>
      </c>
      <c r="L17" s="87">
        <f t="shared" si="2"/>
        <v>1</v>
      </c>
      <c r="M17" s="87">
        <f t="shared" si="3"/>
        <v>0</v>
      </c>
      <c r="O17" s="45">
        <f t="shared" si="4"/>
        <v>7</v>
      </c>
      <c r="P17" s="114"/>
    </row>
    <row r="18" spans="2:16" ht="15" customHeight="1" x14ac:dyDescent="0.25">
      <c r="B18" s="104" t="s">
        <v>135</v>
      </c>
      <c r="C18" s="2" t="s">
        <v>14</v>
      </c>
      <c r="D18" s="1" t="s">
        <v>12</v>
      </c>
      <c r="E18" s="3" t="s">
        <v>114</v>
      </c>
      <c r="F18" s="45">
        <v>5</v>
      </c>
      <c r="J18" s="87">
        <f t="shared" si="0"/>
        <v>1</v>
      </c>
      <c r="K18" s="87">
        <f t="shared" si="1"/>
        <v>1</v>
      </c>
      <c r="L18" s="87">
        <f t="shared" si="2"/>
        <v>0</v>
      </c>
      <c r="M18" s="87">
        <f t="shared" si="3"/>
        <v>1</v>
      </c>
      <c r="O18" s="45">
        <f t="shared" si="4"/>
        <v>7</v>
      </c>
      <c r="P18" s="114"/>
    </row>
    <row r="19" spans="2:16" ht="15" customHeight="1" x14ac:dyDescent="0.25">
      <c r="B19" s="105" t="s">
        <v>136</v>
      </c>
      <c r="C19" s="109" t="s">
        <v>114</v>
      </c>
      <c r="D19" s="2" t="s">
        <v>14</v>
      </c>
      <c r="E19" s="1" t="s">
        <v>12</v>
      </c>
      <c r="F19" s="45">
        <v>6</v>
      </c>
      <c r="J19" s="87">
        <f t="shared" si="0"/>
        <v>1</v>
      </c>
      <c r="K19" s="87">
        <f t="shared" si="1"/>
        <v>1</v>
      </c>
      <c r="L19" s="87">
        <f t="shared" si="2"/>
        <v>0</v>
      </c>
      <c r="M19" s="87">
        <f t="shared" si="3"/>
        <v>1</v>
      </c>
      <c r="O19" s="45">
        <f t="shared" si="4"/>
        <v>7</v>
      </c>
      <c r="P19" s="114"/>
    </row>
    <row r="20" spans="2:16" ht="15" customHeight="1" x14ac:dyDescent="0.25">
      <c r="B20" s="104" t="s">
        <v>137</v>
      </c>
      <c r="C20" s="1" t="s">
        <v>13</v>
      </c>
      <c r="D20" s="3" t="s">
        <v>12</v>
      </c>
      <c r="E20" s="2" t="s">
        <v>12</v>
      </c>
      <c r="F20" s="45">
        <v>7</v>
      </c>
      <c r="J20" s="87">
        <f t="shared" si="0"/>
        <v>0</v>
      </c>
      <c r="K20" s="87">
        <f t="shared" si="1"/>
        <v>2</v>
      </c>
      <c r="L20" s="87">
        <f t="shared" si="2"/>
        <v>1</v>
      </c>
      <c r="M20" s="87">
        <f t="shared" si="3"/>
        <v>0</v>
      </c>
      <c r="O20" s="45">
        <f t="shared" si="4"/>
        <v>7</v>
      </c>
      <c r="P20" s="114"/>
    </row>
    <row r="21" spans="2:16" ht="15" customHeight="1" x14ac:dyDescent="0.25">
      <c r="B21" s="105" t="s">
        <v>138</v>
      </c>
      <c r="C21" s="2" t="s">
        <v>114</v>
      </c>
      <c r="D21" s="1" t="s">
        <v>14</v>
      </c>
      <c r="E21" s="3" t="s">
        <v>12</v>
      </c>
      <c r="F21" s="45">
        <v>8</v>
      </c>
      <c r="J21" s="87">
        <f t="shared" si="0"/>
        <v>1</v>
      </c>
      <c r="K21" s="87">
        <f t="shared" si="1"/>
        <v>1</v>
      </c>
      <c r="L21" s="87">
        <f t="shared" si="2"/>
        <v>0</v>
      </c>
      <c r="M21" s="87">
        <f t="shared" si="3"/>
        <v>1</v>
      </c>
      <c r="O21" s="45">
        <f t="shared" si="4"/>
        <v>7</v>
      </c>
      <c r="P21" s="114"/>
    </row>
    <row r="22" spans="2:16" ht="15" customHeight="1" x14ac:dyDescent="0.25">
      <c r="B22" s="104" t="s">
        <v>139</v>
      </c>
      <c r="C22" s="3" t="s">
        <v>12</v>
      </c>
      <c r="D22" s="2" t="s">
        <v>114</v>
      </c>
      <c r="E22" s="1" t="s">
        <v>14</v>
      </c>
      <c r="F22" s="45">
        <v>9</v>
      </c>
      <c r="J22" s="87">
        <f t="shared" si="0"/>
        <v>1</v>
      </c>
      <c r="K22" s="87">
        <f t="shared" si="1"/>
        <v>1</v>
      </c>
      <c r="L22" s="87">
        <f t="shared" si="2"/>
        <v>0</v>
      </c>
      <c r="M22" s="87">
        <f t="shared" si="3"/>
        <v>1</v>
      </c>
      <c r="O22" s="45">
        <f t="shared" si="4"/>
        <v>7</v>
      </c>
      <c r="P22" s="114"/>
    </row>
    <row r="24" spans="2:16" x14ac:dyDescent="0.25">
      <c r="B24" s="104" t="s">
        <v>14</v>
      </c>
      <c r="C24" s="87">
        <f>COUNTIF(C14:C22,"=-")</f>
        <v>3</v>
      </c>
      <c r="D24" s="87">
        <f t="shared" ref="D24:E24" si="5">COUNTIF(D14:D22,"=-")</f>
        <v>2</v>
      </c>
      <c r="E24" s="87">
        <f t="shared" si="5"/>
        <v>1</v>
      </c>
    </row>
    <row r="25" spans="2:16" x14ac:dyDescent="0.25">
      <c r="B25" s="105" t="s">
        <v>12</v>
      </c>
      <c r="C25" s="87">
        <f>COUNTIF(C14:C22,"==")</f>
        <v>2</v>
      </c>
      <c r="D25" s="87">
        <f t="shared" ref="D25:E25" si="6">COUNTIF(D14:D22,"==")</f>
        <v>4</v>
      </c>
      <c r="E25" s="87">
        <f t="shared" si="6"/>
        <v>6</v>
      </c>
    </row>
    <row r="26" spans="2:16" x14ac:dyDescent="0.25">
      <c r="B26" s="104" t="s">
        <v>13</v>
      </c>
      <c r="C26" s="87">
        <f>COUNTIF(C14:C22,"=+")</f>
        <v>2</v>
      </c>
      <c r="D26" s="87">
        <f t="shared" ref="D26:E26" si="7">COUNTIF(D14:D22,"=+")</f>
        <v>1</v>
      </c>
      <c r="E26" s="87">
        <f t="shared" si="7"/>
        <v>0</v>
      </c>
    </row>
    <row r="27" spans="2:16" x14ac:dyDescent="0.25">
      <c r="B27" s="105" t="s">
        <v>114</v>
      </c>
      <c r="C27" s="87">
        <f>COUNTIF(C14:C22,"=++")</f>
        <v>2</v>
      </c>
      <c r="D27" s="87">
        <f t="shared" ref="D27:E27" si="8">COUNTIF(D14:D22,"=++")</f>
        <v>2</v>
      </c>
      <c r="E27" s="87">
        <f t="shared" si="8"/>
        <v>2</v>
      </c>
    </row>
    <row r="29" spans="2:16" x14ac:dyDescent="0.25">
      <c r="C29" s="45">
        <f>$J$10*C24+$K$10*C25+$L$10*C26+$M$10*C27</f>
        <v>21</v>
      </c>
      <c r="D29" s="45">
        <f t="shared" ref="D29:E29" si="9">$J$10*D24+$K$10*D25+$L$10*D26+$M$10*D27</f>
        <v>21</v>
      </c>
      <c r="E29" s="45">
        <f t="shared" si="9"/>
        <v>21</v>
      </c>
    </row>
    <row r="30" spans="2:16" ht="15" customHeight="1" x14ac:dyDescent="0.25">
      <c r="C30" s="114">
        <f>ROUND(AVERAGE(C29:E29),0)</f>
        <v>21</v>
      </c>
      <c r="D30" s="114"/>
      <c r="E30" s="114"/>
    </row>
    <row r="31" spans="2:16" ht="15" customHeight="1" x14ac:dyDescent="0.25">
      <c r="C31" s="106" t="s">
        <v>141</v>
      </c>
      <c r="D31" s="106"/>
      <c r="E31" s="106"/>
    </row>
    <row r="32" spans="2:16" ht="15" customHeight="1" x14ac:dyDescent="0.25">
      <c r="C32" s="113"/>
    </row>
    <row r="33" spans="3:3" ht="15" customHeight="1" x14ac:dyDescent="0.25">
      <c r="C33" s="113"/>
    </row>
    <row r="34" spans="3:3" ht="15" customHeight="1" x14ac:dyDescent="0.25">
      <c r="C34" s="113"/>
    </row>
    <row r="35" spans="3:3" ht="15" customHeight="1" x14ac:dyDescent="0.25">
      <c r="C35" s="113"/>
    </row>
    <row r="36" spans="3:3" ht="15" customHeight="1" x14ac:dyDescent="0.25">
      <c r="C36" s="113"/>
    </row>
    <row r="37" spans="3:3" ht="15" customHeight="1" x14ac:dyDescent="0.25">
      <c r="C37" s="113"/>
    </row>
    <row r="38" spans="3:3" ht="15" customHeight="1" x14ac:dyDescent="0.25">
      <c r="C38" s="113"/>
    </row>
  </sheetData>
  <mergeCells count="8">
    <mergeCell ref="C30:E30"/>
    <mergeCell ref="C31:E31"/>
    <mergeCell ref="G4:H5"/>
    <mergeCell ref="G9:H10"/>
    <mergeCell ref="C12:E12"/>
    <mergeCell ref="G15:H16"/>
    <mergeCell ref="P14:P22"/>
    <mergeCell ref="O13:P13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J32"/>
  <sheetViews>
    <sheetView workbookViewId="0">
      <selection activeCell="B29" sqref="B29"/>
    </sheetView>
  </sheetViews>
  <sheetFormatPr baseColWidth="10" defaultRowHeight="15" x14ac:dyDescent="0.25"/>
  <cols>
    <col min="1" max="1" width="2.85546875" style="45" customWidth="1"/>
    <col min="2" max="2" width="21.42578125" style="45" customWidth="1"/>
    <col min="3" max="3" width="2.85546875" style="45" customWidth="1"/>
    <col min="4" max="4" width="21.42578125" style="45" customWidth="1"/>
    <col min="5" max="5" width="2.85546875" style="45" customWidth="1"/>
    <col min="6" max="6" width="21.42578125" style="45" customWidth="1"/>
    <col min="7" max="7" width="2.85546875" style="45" customWidth="1"/>
    <col min="8" max="8" width="21.42578125" style="45" customWidth="1"/>
    <col min="9" max="9" width="2.85546875" style="45" customWidth="1"/>
    <col min="10" max="10" width="21.42578125" style="45" customWidth="1"/>
    <col min="11" max="11" width="2.85546875" style="45" customWidth="1"/>
    <col min="12" max="16384" width="11.42578125" style="45"/>
  </cols>
  <sheetData>
    <row r="1" spans="2:10" ht="15" customHeight="1" thickBot="1" x14ac:dyDescent="0.3"/>
    <row r="2" spans="2:10" ht="15.75" thickBot="1" x14ac:dyDescent="0.3">
      <c r="B2" s="47" t="s">
        <v>9</v>
      </c>
      <c r="D2" s="47" t="s">
        <v>17</v>
      </c>
      <c r="F2" s="47" t="s">
        <v>86</v>
      </c>
      <c r="H2" s="47" t="s">
        <v>60</v>
      </c>
      <c r="J2" s="47" t="s">
        <v>87</v>
      </c>
    </row>
    <row r="3" spans="2:10" x14ac:dyDescent="0.25">
      <c r="B3" s="49" t="s">
        <v>6</v>
      </c>
      <c r="C3" s="50"/>
      <c r="D3" s="110" t="s">
        <v>114</v>
      </c>
      <c r="E3" s="50"/>
      <c r="F3" s="51" t="s">
        <v>5</v>
      </c>
      <c r="H3" s="52" t="s">
        <v>28</v>
      </c>
      <c r="J3" s="52" t="s">
        <v>45</v>
      </c>
    </row>
    <row r="4" spans="2:10" x14ac:dyDescent="0.25">
      <c r="B4" s="49" t="s">
        <v>7</v>
      </c>
      <c r="C4" s="50"/>
      <c r="D4" s="53" t="s">
        <v>13</v>
      </c>
      <c r="E4" s="50"/>
      <c r="F4" s="49" t="s">
        <v>15</v>
      </c>
      <c r="H4" s="52" t="s">
        <v>45</v>
      </c>
      <c r="J4" s="52" t="s">
        <v>88</v>
      </c>
    </row>
    <row r="5" spans="2:10" ht="15.75" thickBot="1" x14ac:dyDescent="0.3">
      <c r="B5" s="54" t="s">
        <v>8</v>
      </c>
      <c r="C5" s="50"/>
      <c r="D5" s="53" t="s">
        <v>12</v>
      </c>
      <c r="E5" s="50"/>
      <c r="F5" s="49" t="s">
        <v>10</v>
      </c>
      <c r="H5" s="52" t="s">
        <v>74</v>
      </c>
      <c r="J5" s="56" t="s">
        <v>41</v>
      </c>
    </row>
    <row r="6" spans="2:10" ht="15.75" thickBot="1" x14ac:dyDescent="0.3">
      <c r="B6" s="50"/>
      <c r="C6" s="50"/>
      <c r="D6" s="55" t="s">
        <v>14</v>
      </c>
      <c r="E6" s="50"/>
      <c r="F6" s="49" t="s">
        <v>41</v>
      </c>
      <c r="H6" s="56" t="s">
        <v>77</v>
      </c>
    </row>
    <row r="7" spans="2:10" ht="15.75" thickBot="1" x14ac:dyDescent="0.3">
      <c r="B7" s="48" t="s">
        <v>59</v>
      </c>
      <c r="C7" s="50"/>
      <c r="E7" s="50"/>
      <c r="F7" s="54" t="s">
        <v>80</v>
      </c>
    </row>
    <row r="8" spans="2:10" ht="15.75" thickBot="1" x14ac:dyDescent="0.3">
      <c r="B8" s="51" t="s">
        <v>11</v>
      </c>
      <c r="C8" s="50"/>
      <c r="D8" s="57"/>
      <c r="E8" s="50"/>
      <c r="H8" s="47" t="s">
        <v>26</v>
      </c>
    </row>
    <row r="9" spans="2:10" ht="15.75" thickBot="1" x14ac:dyDescent="0.3">
      <c r="B9" s="49" t="s">
        <v>0</v>
      </c>
      <c r="F9" s="47" t="s">
        <v>22</v>
      </c>
      <c r="H9" s="52" t="s">
        <v>23</v>
      </c>
    </row>
    <row r="10" spans="2:10" x14ac:dyDescent="0.25">
      <c r="B10" s="49" t="s">
        <v>2</v>
      </c>
      <c r="F10" s="52" t="s">
        <v>123</v>
      </c>
      <c r="H10" s="52" t="s">
        <v>24</v>
      </c>
    </row>
    <row r="11" spans="2:10" ht="15.75" thickBot="1" x14ac:dyDescent="0.3">
      <c r="B11" s="49" t="s">
        <v>1</v>
      </c>
      <c r="F11" s="52" t="s">
        <v>36</v>
      </c>
      <c r="H11" s="56" t="s">
        <v>25</v>
      </c>
    </row>
    <row r="12" spans="2:10" ht="15.75" thickBot="1" x14ac:dyDescent="0.3">
      <c r="B12" s="49" t="s">
        <v>3</v>
      </c>
      <c r="F12" s="56" t="s">
        <v>8</v>
      </c>
    </row>
    <row r="13" spans="2:10" ht="15.75" thickBot="1" x14ac:dyDescent="0.3">
      <c r="B13" s="54" t="s">
        <v>4</v>
      </c>
      <c r="H13" s="47" t="s">
        <v>55</v>
      </c>
    </row>
    <row r="14" spans="2:10" ht="15.75" thickBot="1" x14ac:dyDescent="0.3">
      <c r="F14" s="47" t="s">
        <v>56</v>
      </c>
      <c r="H14" s="52" t="s">
        <v>32</v>
      </c>
    </row>
    <row r="15" spans="2:10" ht="15.75" thickBot="1" x14ac:dyDescent="0.3">
      <c r="B15" s="48" t="s">
        <v>75</v>
      </c>
      <c r="F15" s="58" t="s">
        <v>52</v>
      </c>
      <c r="H15" s="52" t="s">
        <v>31</v>
      </c>
    </row>
    <row r="16" spans="2:10" ht="15.75" thickBot="1" x14ac:dyDescent="0.3">
      <c r="B16" s="51" t="s">
        <v>68</v>
      </c>
      <c r="F16" s="52" t="s">
        <v>54</v>
      </c>
      <c r="H16" s="56" t="s">
        <v>30</v>
      </c>
    </row>
    <row r="17" spans="2:6" ht="15.75" thickBot="1" x14ac:dyDescent="0.3">
      <c r="B17" s="49" t="s">
        <v>69</v>
      </c>
      <c r="F17" s="56" t="s">
        <v>53</v>
      </c>
    </row>
    <row r="18" spans="2:6" x14ac:dyDescent="0.25">
      <c r="B18" s="49" t="s">
        <v>70</v>
      </c>
    </row>
    <row r="19" spans="2:6" x14ac:dyDescent="0.25">
      <c r="B19" s="49" t="s">
        <v>71</v>
      </c>
    </row>
    <row r="20" spans="2:6" x14ac:dyDescent="0.25">
      <c r="B20" s="49" t="s">
        <v>72</v>
      </c>
    </row>
    <row r="21" spans="2:6" ht="15.75" thickBot="1" x14ac:dyDescent="0.3">
      <c r="B21" s="54" t="s">
        <v>73</v>
      </c>
    </row>
    <row r="22" spans="2:6" ht="15.75" thickBot="1" x14ac:dyDescent="0.3"/>
    <row r="23" spans="2:6" ht="15.75" thickBot="1" x14ac:dyDescent="0.3">
      <c r="B23" s="47" t="s">
        <v>140</v>
      </c>
    </row>
    <row r="24" spans="2:6" x14ac:dyDescent="0.25">
      <c r="B24" s="52" t="s">
        <v>74</v>
      </c>
    </row>
    <row r="25" spans="2:6" x14ac:dyDescent="0.25">
      <c r="B25" s="52" t="s">
        <v>104</v>
      </c>
    </row>
    <row r="26" spans="2:6" ht="15.75" thickBot="1" x14ac:dyDescent="0.3">
      <c r="B26" s="56" t="s">
        <v>105</v>
      </c>
    </row>
    <row r="27" spans="2:6" ht="15.75" thickBot="1" x14ac:dyDescent="0.3"/>
    <row r="28" spans="2:6" ht="15.75" thickBot="1" x14ac:dyDescent="0.3">
      <c r="B28" s="47" t="s">
        <v>142</v>
      </c>
    </row>
    <row r="29" spans="2:6" x14ac:dyDescent="0.25">
      <c r="B29" s="49">
        <v>0</v>
      </c>
    </row>
    <row r="30" spans="2:6" x14ac:dyDescent="0.25">
      <c r="B30" s="49">
        <v>1</v>
      </c>
    </row>
    <row r="31" spans="2:6" x14ac:dyDescent="0.25">
      <c r="B31" s="49" t="s">
        <v>111</v>
      </c>
    </row>
    <row r="32" spans="2:6" ht="15.75" thickBot="1" x14ac:dyDescent="0.3">
      <c r="B32" s="5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24</vt:i4>
      </vt:variant>
    </vt:vector>
  </HeadingPairs>
  <TitlesOfParts>
    <vt:vector size="31" baseType="lpstr">
      <vt:lpstr>TowerStatsCalc</vt:lpstr>
      <vt:lpstr>Factory</vt:lpstr>
      <vt:lpstr>Enemies</vt:lpstr>
      <vt:lpstr>Tower</vt:lpstr>
      <vt:lpstr>TowerUpdate</vt:lpstr>
      <vt:lpstr>Weak</vt:lpstr>
      <vt:lpstr>Data</vt:lpstr>
      <vt:lpstr>CAT_ENEMIES</vt:lpstr>
      <vt:lpstr>CAT_TOWER</vt:lpstr>
      <vt:lpstr>CODE_ENEMIES</vt:lpstr>
      <vt:lpstr>CODE_TOWER</vt:lpstr>
      <vt:lpstr>CODE_UPGRADE</vt:lpstr>
      <vt:lpstr>ENEMY</vt:lpstr>
      <vt:lpstr>LEVEL_ENEMY</vt:lpstr>
      <vt:lpstr>SIGN</vt:lpstr>
      <vt:lpstr>STAT_ENEMY</vt:lpstr>
      <vt:lpstr>STAT_TOWER</vt:lpstr>
      <vt:lpstr>STAT_TRAIN</vt:lpstr>
      <vt:lpstr>STATS_TYPTOWER</vt:lpstr>
      <vt:lpstr>TOWER</vt:lpstr>
      <vt:lpstr>TOWER_LVL2</vt:lpstr>
      <vt:lpstr>TOWER_UPGRADE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2022-11-28T15:16:29Z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