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han Folder\SEMUA TUGAS PENDIDIKAN\Kuliah\Semester 3\Statistika Probabilitas 1\Tugas2\"/>
    </mc:Choice>
  </mc:AlternateContent>
  <xr:revisionPtr revIDLastSave="0" documentId="13_ncr:1_{AADA9A04-A903-40F1-A8DE-4D5AE0A0F31E}" xr6:coauthVersionLast="47" xr6:coauthVersionMax="47" xr10:uidLastSave="{00000000-0000-0000-0000-000000000000}"/>
  <bookViews>
    <workbookView xWindow="28680" yWindow="-120" windowWidth="29040" windowHeight="15720" xr2:uid="{4CFC2357-F663-472B-AD99-404B4CD38154}"/>
  </bookViews>
  <sheets>
    <sheet name="Data tunggal" sheetId="1" r:id="rId1"/>
    <sheet name="Data Kelompok Hakim" sheetId="2" r:id="rId2"/>
    <sheet name="Data Kelompok Fatan" sheetId="4" r:id="rId3"/>
  </sheets>
  <externalReferences>
    <externalReference r:id="rId4"/>
  </externalReferences>
  <definedNames>
    <definedName name="_xlchart.v1.0" hidden="1">[1]Sheet1!$F$42:$F$46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24" i="1"/>
  <c r="R23" i="1"/>
  <c r="R22" i="1"/>
  <c r="R21" i="1"/>
  <c r="R20" i="1"/>
  <c r="R19" i="1"/>
  <c r="O24" i="1"/>
  <c r="O17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D33" i="1"/>
  <c r="O12" i="1"/>
  <c r="O11" i="1"/>
  <c r="O13" i="1" s="1"/>
  <c r="K27" i="1"/>
  <c r="K24" i="1"/>
  <c r="K12" i="1"/>
  <c r="K11" i="1"/>
  <c r="K21" i="1"/>
  <c r="E2" i="4"/>
  <c r="E3" i="4"/>
  <c r="J3" i="4"/>
  <c r="E4" i="4"/>
  <c r="E5" i="4" s="1"/>
  <c r="E6" i="4" s="1"/>
  <c r="E7" i="4" s="1"/>
  <c r="E8" i="4" s="1"/>
  <c r="E9" i="4" s="1"/>
  <c r="E10" i="4" s="1"/>
  <c r="E11" i="4" s="1"/>
  <c r="J7" i="4"/>
  <c r="J8" i="4"/>
  <c r="J2" i="4" s="1"/>
  <c r="D12" i="4"/>
  <c r="J13" i="4"/>
  <c r="N13" i="4"/>
  <c r="A14" i="4"/>
  <c r="B14" i="4" s="1"/>
  <c r="J14" i="4"/>
  <c r="A15" i="4"/>
  <c r="B15" i="4" s="1"/>
  <c r="J15" i="4"/>
  <c r="A16" i="4"/>
  <c r="B16" i="4"/>
  <c r="J16" i="4"/>
  <c r="N14" i="4" s="1"/>
  <c r="N15" i="4" s="1"/>
  <c r="A17" i="4"/>
  <c r="B17" i="4" s="1"/>
  <c r="A18" i="4"/>
  <c r="B18" i="4"/>
  <c r="A19" i="4"/>
  <c r="B19" i="4"/>
  <c r="A20" i="4"/>
  <c r="B20" i="4"/>
  <c r="A21" i="4"/>
  <c r="B21" i="4"/>
  <c r="J21" i="4"/>
  <c r="J23" i="4" s="1"/>
  <c r="A22" i="4"/>
  <c r="B22" i="4"/>
  <c r="A23" i="4"/>
  <c r="B23" i="4"/>
  <c r="J27" i="4"/>
  <c r="J28" i="4"/>
  <c r="J29" i="4"/>
  <c r="B24" i="4" l="1"/>
  <c r="F16" i="4" s="1"/>
  <c r="C22" i="4"/>
  <c r="D22" i="4" s="1"/>
  <c r="C14" i="4"/>
  <c r="D14" i="4" s="1"/>
  <c r="C17" i="4"/>
  <c r="D17" i="4" s="1"/>
  <c r="C15" i="4"/>
  <c r="D15" i="4" s="1"/>
  <c r="F35" i="2"/>
  <c r="F34" i="2"/>
  <c r="F27" i="2"/>
  <c r="F26" i="2"/>
  <c r="F24" i="2"/>
  <c r="F25" i="2" s="1"/>
  <c r="J22" i="2"/>
  <c r="D16" i="2"/>
  <c r="F14" i="2"/>
  <c r="G13" i="2"/>
  <c r="F13" i="2"/>
  <c r="F12" i="2"/>
  <c r="F11" i="2"/>
  <c r="F10" i="2"/>
  <c r="F9" i="2"/>
  <c r="G9" i="2" s="1"/>
  <c r="F8" i="2"/>
  <c r="G8" i="2" s="1"/>
  <c r="F7" i="2"/>
  <c r="E7" i="2"/>
  <c r="E8" i="2" s="1"/>
  <c r="E9" i="2" s="1"/>
  <c r="E10" i="2" s="1"/>
  <c r="E11" i="2" s="1"/>
  <c r="E12" i="2" s="1"/>
  <c r="E13" i="2" s="1"/>
  <c r="E14" i="2" s="1"/>
  <c r="F6" i="2"/>
  <c r="E6" i="2"/>
  <c r="F5" i="2"/>
  <c r="C20" i="4" l="1"/>
  <c r="D20" i="4" s="1"/>
  <c r="C18" i="4"/>
  <c r="D18" i="4" s="1"/>
  <c r="C16" i="4"/>
  <c r="D16" i="4" s="1"/>
  <c r="D24" i="4" s="1"/>
  <c r="F19" i="4" s="1"/>
  <c r="F20" i="4" s="1"/>
  <c r="C21" i="4"/>
  <c r="D21" i="4" s="1"/>
  <c r="C23" i="4"/>
  <c r="D23" i="4" s="1"/>
  <c r="C19" i="4"/>
  <c r="D19" i="4" s="1"/>
  <c r="F39" i="2"/>
  <c r="F28" i="2"/>
  <c r="G10" i="2"/>
  <c r="G6" i="2"/>
  <c r="G11" i="2"/>
  <c r="G7" i="2"/>
  <c r="G12" i="2"/>
  <c r="G5" i="2"/>
  <c r="F36" i="2"/>
  <c r="G14" i="2"/>
  <c r="G16" i="2" l="1"/>
  <c r="F20" i="2" l="1"/>
  <c r="J25" i="2"/>
  <c r="K18" i="1"/>
  <c r="K13" i="1"/>
  <c r="E33" i="1"/>
  <c r="H13" i="2" l="1"/>
  <c r="I13" i="2" s="1"/>
  <c r="H8" i="2"/>
  <c r="I8" i="2" s="1"/>
  <c r="H11" i="2"/>
  <c r="I11" i="2" s="1"/>
  <c r="H12" i="2"/>
  <c r="I12" i="2" s="1"/>
  <c r="H5" i="2"/>
  <c r="I5" i="2" s="1"/>
  <c r="I16" i="2" s="1"/>
  <c r="J26" i="2" s="1"/>
  <c r="H14" i="2"/>
  <c r="I14" i="2" s="1"/>
  <c r="H6" i="2"/>
  <c r="I6" i="2" s="1"/>
  <c r="H10" i="2"/>
  <c r="I10" i="2" s="1"/>
  <c r="H7" i="2"/>
  <c r="I7" i="2" s="1"/>
  <c r="H9" i="2"/>
  <c r="I9" i="2" s="1"/>
</calcChain>
</file>

<file path=xl/sharedStrings.xml><?xml version="1.0" encoding="utf-8"?>
<sst xmlns="http://schemas.openxmlformats.org/spreadsheetml/2006/main" count="201" uniqueCount="142">
  <si>
    <t>Tahun</t>
  </si>
  <si>
    <t>Frekuensi</t>
  </si>
  <si>
    <t>total</t>
  </si>
  <si>
    <t>HAMPARAN</t>
  </si>
  <si>
    <t>MAX</t>
  </si>
  <si>
    <t>MIN</t>
  </si>
  <si>
    <t>HASIL</t>
  </si>
  <si>
    <t>SIMPANGAN QUARTIL</t>
  </si>
  <si>
    <t>Q1</t>
  </si>
  <si>
    <t>Q3</t>
  </si>
  <si>
    <t>SIMPANGAN RATA-RATA</t>
  </si>
  <si>
    <t>VARIANCE</t>
  </si>
  <si>
    <t>STANDART DEVIASI</t>
  </si>
  <si>
    <t>DAFFA</t>
  </si>
  <si>
    <t>FREKUENSI</t>
  </si>
  <si>
    <t>DANIEL</t>
  </si>
  <si>
    <t>Mean</t>
  </si>
  <si>
    <t>LETAK DESIL</t>
  </si>
  <si>
    <t>13.2</t>
  </si>
  <si>
    <t>Hasil</t>
  </si>
  <si>
    <t>DESIL KE-6</t>
  </si>
  <si>
    <t>Median</t>
  </si>
  <si>
    <t>LETAK PERSENTIL</t>
  </si>
  <si>
    <t>14.3</t>
  </si>
  <si>
    <t>PERSENTIL KE-65</t>
  </si>
  <si>
    <t>Modus</t>
  </si>
  <si>
    <t>JANGKAUAN</t>
  </si>
  <si>
    <t>PERBEDAAN</t>
  </si>
  <si>
    <t>Quartile</t>
  </si>
  <si>
    <t>NILAI MINIMUM</t>
  </si>
  <si>
    <t>MEAN</t>
  </si>
  <si>
    <t>IQR</t>
  </si>
  <si>
    <t>TUGAS</t>
  </si>
  <si>
    <t>MODUS</t>
  </si>
  <si>
    <t>BOXPLOT</t>
  </si>
  <si>
    <t>SIMPANGAN RATA"</t>
  </si>
  <si>
    <t>NILAI UANG DOLAR</t>
  </si>
  <si>
    <t>FREKUENSI (Fi)</t>
  </si>
  <si>
    <t>FREKENSI KUMULATIF (FK)</t>
  </si>
  <si>
    <t>Xi</t>
  </si>
  <si>
    <t>Fi Xi</t>
  </si>
  <si>
    <r>
      <t>|Xi - X̅</t>
    </r>
    <r>
      <rPr>
        <b/>
        <sz val="11"/>
        <color theme="0"/>
        <rFont val="Calibri"/>
        <family val="2"/>
      </rPr>
      <t xml:space="preserve"> |</t>
    </r>
  </si>
  <si>
    <r>
      <t>Fi |Xi - X</t>
    </r>
    <r>
      <rPr>
        <sz val="11"/>
        <color theme="0"/>
        <rFont val="Calibri"/>
        <family val="2"/>
      </rPr>
      <t>̅</t>
    </r>
    <r>
      <rPr>
        <sz val="11"/>
        <color theme="0"/>
        <rFont val="Calibri"/>
        <family val="2"/>
        <scheme val="minor"/>
      </rPr>
      <t xml:space="preserve"> |</t>
    </r>
  </si>
  <si>
    <t>-</t>
  </si>
  <si>
    <t>∑Fi</t>
  </si>
  <si>
    <t>∑FiXi</t>
  </si>
  <si>
    <t>∑Fi |Xi - X̅ |</t>
  </si>
  <si>
    <t>∑FiXi / ∑Fi</t>
  </si>
  <si>
    <t>Kuartil 1</t>
  </si>
  <si>
    <t>Kuartil 2</t>
  </si>
  <si>
    <t>Hamparan</t>
  </si>
  <si>
    <t>Q3 - Q1</t>
  </si>
  <si>
    <t xml:space="preserve">Nilai modus ada di kelas 0,59 - 43.11 </t>
  </si>
  <si>
    <t>L</t>
  </si>
  <si>
    <t>TB</t>
  </si>
  <si>
    <t>SIMPANGAN RATA-RATA (SR)</t>
  </si>
  <si>
    <t>C</t>
  </si>
  <si>
    <t>Panjang Kelas (TA - TB)</t>
  </si>
  <si>
    <r>
      <t>X</t>
    </r>
    <r>
      <rPr>
        <sz val="11"/>
        <color theme="1"/>
        <rFont val="Calibri"/>
        <family val="2"/>
      </rPr>
      <t>̅̅</t>
    </r>
  </si>
  <si>
    <t>FiXi / Fi</t>
  </si>
  <si>
    <t>D1</t>
  </si>
  <si>
    <t>Fi kelas - Fi sebelum</t>
  </si>
  <si>
    <t>SR</t>
  </si>
  <si>
    <t>(Fi |Xi - X̅ |) / Fi</t>
  </si>
  <si>
    <t>D2</t>
  </si>
  <si>
    <t>Fi kelas - Fi sesudah</t>
  </si>
  <si>
    <t>L0 + C (D1 / (D1+D2))</t>
  </si>
  <si>
    <t>DESIL KE - 6</t>
  </si>
  <si>
    <t xml:space="preserve"> </t>
  </si>
  <si>
    <t>iN</t>
  </si>
  <si>
    <t>Desil Ke * Total Fi</t>
  </si>
  <si>
    <t>H</t>
  </si>
  <si>
    <t>Panjang kelas (TA - TB)</t>
  </si>
  <si>
    <t>F</t>
  </si>
  <si>
    <t>Frekuensi kelas</t>
  </si>
  <si>
    <t>CF</t>
  </si>
  <si>
    <t>FK Sebelumnya</t>
  </si>
  <si>
    <t>D-6</t>
  </si>
  <si>
    <t>L + (H/F) * ((iN/10) - CF)</t>
  </si>
  <si>
    <t xml:space="preserve"> Min</t>
  </si>
  <si>
    <t>Nilai Minimum</t>
  </si>
  <si>
    <t>Nilai Tengah</t>
  </si>
  <si>
    <t>Max</t>
  </si>
  <si>
    <t>Nilai Maksimum</t>
  </si>
  <si>
    <t>Bp + p ((1/2.n - F ) / f)</t>
  </si>
  <si>
    <t>n</t>
  </si>
  <si>
    <t>jumlah data</t>
  </si>
  <si>
    <t>Bb</t>
  </si>
  <si>
    <t xml:space="preserve">batas bawah </t>
  </si>
  <si>
    <t>p</t>
  </si>
  <si>
    <t>interval</t>
  </si>
  <si>
    <t>frekuensi komulatif sebelum frekuensi median</t>
  </si>
  <si>
    <t>f</t>
  </si>
  <si>
    <t>frekuensi median</t>
  </si>
  <si>
    <t>1/2 . N</t>
  </si>
  <si>
    <t>kelas median</t>
  </si>
  <si>
    <t>quartil</t>
  </si>
  <si>
    <t>simpangan kuartil</t>
  </si>
  <si>
    <t>q1</t>
  </si>
  <si>
    <t>1/4*n</t>
  </si>
  <si>
    <t>bbQi + ((i/4 * n - fkjs)/fqi)*p</t>
  </si>
  <si>
    <t>q3</t>
  </si>
  <si>
    <t>3/4*n</t>
  </si>
  <si>
    <t>Qd</t>
  </si>
  <si>
    <t>1/2 * (Q3 - Q1)</t>
  </si>
  <si>
    <t>Persentil</t>
  </si>
  <si>
    <t>Pi</t>
  </si>
  <si>
    <t>i/100 * n</t>
  </si>
  <si>
    <t>P65</t>
  </si>
  <si>
    <t>b + I *((i*n/100 -F)/f)</t>
  </si>
  <si>
    <t>Jangkauan</t>
  </si>
  <si>
    <t>data awal</t>
  </si>
  <si>
    <t>(43,11 - 0,59)/2</t>
  </si>
  <si>
    <t>data akhir</t>
  </si>
  <si>
    <t>(421,99 - 379,89)/2</t>
  </si>
  <si>
    <t>Jawaban:</t>
  </si>
  <si>
    <t>F Komulatif</t>
  </si>
  <si>
    <t>Tugas</t>
  </si>
  <si>
    <t>b) median</t>
  </si>
  <si>
    <t>d) quartil 1 dan quartil 3</t>
  </si>
  <si>
    <t>f) persentil ke-65</t>
  </si>
  <si>
    <t>h) jangkauan</t>
  </si>
  <si>
    <t>j) simpangan Kuartil</t>
  </si>
  <si>
    <t>l) variance</t>
  </si>
  <si>
    <t>xi</t>
  </si>
  <si>
    <t>xi .fi</t>
  </si>
  <si>
    <t>(xi - mean)^2</t>
  </si>
  <si>
    <t>(xi - mean)^2 * xi</t>
  </si>
  <si>
    <t>(mean)</t>
  </si>
  <si>
    <t>variansi</t>
  </si>
  <si>
    <t xml:space="preserve">standar deviasi </t>
  </si>
  <si>
    <t>Total</t>
  </si>
  <si>
    <t>letak median</t>
  </si>
  <si>
    <t>nilai median</t>
  </si>
  <si>
    <t>posisi 11 karena ganjil datanya</t>
  </si>
  <si>
    <t>Letak Modus</t>
  </si>
  <si>
    <t>frekuensi paling banyak adalah 2018</t>
  </si>
  <si>
    <t>HAFIDZ</t>
  </si>
  <si>
    <t xml:space="preserve"> jumlah game yang support mac dari tahun 1998 - 2019</t>
  </si>
  <si>
    <t>persentase harga pada tahun 1997 - 2019</t>
  </si>
  <si>
    <t>Letak</t>
  </si>
  <si>
    <t>Nilai nya sama dengan hamparan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</si>
</sst>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E0FB"/>
        <bgColor indexed="64"/>
      </patternFill>
    </fill>
    <fill>
      <patternFill patternType="solid">
        <fgColor rgb="FFB0D9B1"/>
        <bgColor indexed="64"/>
      </patternFill>
    </fill>
    <fill>
      <patternFill patternType="solid">
        <fgColor rgb="FFF5E8B7"/>
        <bgColor indexed="64"/>
      </patternFill>
    </fill>
    <fill>
      <patternFill patternType="solid">
        <fgColor rgb="FFDFCCFB"/>
        <bgColor indexed="64"/>
      </patternFill>
    </fill>
    <fill>
      <patternFill patternType="solid">
        <fgColor rgb="FFFACBEA"/>
        <bgColor indexed="64"/>
      </patternFill>
    </fill>
    <fill>
      <patternFill patternType="solid">
        <fgColor rgb="FFEBEF9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9" fillId="4" borderId="11" xfId="0" applyFont="1" applyFill="1" applyBorder="1" applyAlignment="1">
      <alignment wrapText="1"/>
    </xf>
    <xf numFmtId="0" fontId="10" fillId="0" borderId="11" xfId="0" applyFont="1" applyBorder="1" applyAlignment="1">
      <alignment horizontal="right" wrapText="1"/>
    </xf>
    <xf numFmtId="0" fontId="11" fillId="0" borderId="9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1" fontId="12" fillId="5" borderId="14" xfId="0" applyNumberFormat="1" applyFont="1" applyFill="1" applyBorder="1" applyAlignment="1">
      <alignment horizontal="center" vertical="center"/>
    </xf>
    <xf numFmtId="1" fontId="12" fillId="6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2" fontId="12" fillId="8" borderId="14" xfId="0" applyNumberFormat="1" applyFont="1" applyFill="1" applyBorder="1" applyAlignment="1">
      <alignment horizontal="center" vertical="center"/>
    </xf>
    <xf numFmtId="1" fontId="0" fillId="9" borderId="14" xfId="0" applyNumberFormat="1" applyFill="1" applyBorder="1" applyAlignment="1">
      <alignment horizontal="center" vertical="center"/>
    </xf>
    <xf numFmtId="4" fontId="0" fillId="10" borderId="15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12" borderId="0" xfId="0" applyNumberFormat="1" applyFont="1" applyFill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4" fontId="1" fillId="0" borderId="2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1" xfId="0" applyBorder="1"/>
    <xf numFmtId="0" fontId="0" fillId="13" borderId="1" xfId="0" applyFill="1" applyBorder="1"/>
    <xf numFmtId="3" fontId="0" fillId="0" borderId="1" xfId="0" applyNumberFormat="1" applyBorder="1"/>
    <xf numFmtId="0" fontId="0" fillId="2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7" borderId="15" xfId="0" applyFill="1" applyBorder="1"/>
    <xf numFmtId="0" fontId="1" fillId="13" borderId="1" xfId="0" applyFont="1" applyFill="1" applyBorder="1" applyAlignment="1">
      <alignment horizontal="center"/>
    </xf>
    <xf numFmtId="3" fontId="1" fillId="13" borderId="1" xfId="0" applyNumberFormat="1" applyFont="1" applyFill="1" applyBorder="1" applyAlignment="1">
      <alignment horizontal="center"/>
    </xf>
    <xf numFmtId="0" fontId="0" fillId="13" borderId="15" xfId="0" applyFill="1" applyBorder="1"/>
    <xf numFmtId="0" fontId="1" fillId="0" borderId="1" xfId="0" applyFont="1" applyBorder="1" applyAlignment="1">
      <alignment horizontal="center"/>
    </xf>
    <xf numFmtId="0" fontId="0" fillId="2" borderId="15" xfId="0" applyFill="1" applyBorder="1"/>
    <xf numFmtId="0" fontId="0" fillId="15" borderId="15" xfId="0" applyFill="1" applyBorder="1"/>
    <xf numFmtId="0" fontId="0" fillId="16" borderId="15" xfId="0" applyFill="1" applyBorder="1"/>
    <xf numFmtId="0" fontId="0" fillId="14" borderId="15" xfId="0" applyFill="1" applyBorder="1"/>
    <xf numFmtId="0" fontId="0" fillId="11" borderId="15" xfId="0" applyFill="1" applyBorder="1"/>
    <xf numFmtId="3" fontId="0" fillId="0" borderId="0" xfId="0" applyNumberFormat="1" applyAlignment="1">
      <alignment horizontal="center"/>
    </xf>
    <xf numFmtId="0" fontId="0" fillId="11" borderId="0" xfId="0" applyFill="1"/>
    <xf numFmtId="0" fontId="0" fillId="0" borderId="2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1" fillId="10" borderId="17" xfId="0" applyNumberFormat="1" applyFont="1" applyFill="1" applyBorder="1" applyAlignment="1">
      <alignment horizontal="center" vertical="center"/>
    </xf>
    <xf numFmtId="1" fontId="1" fillId="10" borderId="18" xfId="0" applyNumberFormat="1" applyFont="1" applyFill="1" applyBorder="1" applyAlignment="1">
      <alignment horizontal="center" vertical="center"/>
    </xf>
    <xf numFmtId="1" fontId="1" fillId="10" borderId="19" xfId="0" applyNumberFormat="1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" fillId="5" borderId="18" xfId="0" applyNumberFormat="1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  <xf numFmtId="1" fontId="1" fillId="9" borderId="17" xfId="0" applyNumberFormat="1" applyFont="1" applyFill="1" applyBorder="1" applyAlignment="1">
      <alignment horizontal="center" vertical="center"/>
    </xf>
    <xf numFmtId="1" fontId="1" fillId="9" borderId="18" xfId="0" applyNumberFormat="1" applyFont="1" applyFill="1" applyBorder="1" applyAlignment="1">
      <alignment horizontal="center" vertical="center"/>
    </xf>
    <xf numFmtId="1" fontId="1" fillId="9" borderId="19" xfId="0" applyNumberFormat="1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25" xfId="0" applyFont="1" applyBorder="1" applyAlignment="1">
      <alignment horizontal="center" wrapText="1"/>
    </xf>
    <xf numFmtId="0" fontId="17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15" fillId="3" borderId="29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3" borderId="3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wrapText="1"/>
    </xf>
    <xf numFmtId="0" fontId="11" fillId="0" borderId="31" xfId="0" applyFont="1" applyBorder="1" applyAlignment="1">
      <alignment horizontal="center" wrapText="1"/>
    </xf>
    <xf numFmtId="0" fontId="11" fillId="0" borderId="32" xfId="0" applyFont="1" applyBorder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B4413B66-48AC-4616-B825-16B423A199D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399827</xdr:colOff>
      <xdr:row>24</xdr:row>
      <xdr:rowOff>168087</xdr:rowOff>
    </xdr:from>
    <xdr:to>
      <xdr:col>22</xdr:col>
      <xdr:colOff>173174</xdr:colOff>
      <xdr:row>41</xdr:row>
      <xdr:rowOff>92784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AD42BE-E352-4880-B493-2A342CC51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1915" y="6039969"/>
          <a:ext cx="4894211" cy="3085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11906</xdr:colOff>
      <xdr:row>30</xdr:row>
      <xdr:rowOff>11903</xdr:rowOff>
    </xdr:from>
    <xdr:ext cx="4155280" cy="10120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840346-355E-41B7-9054-B69C1842E1D9}"/>
            </a:ext>
          </a:extLst>
        </xdr:cNvPr>
        <xdr:cNvSpPr txBox="1"/>
      </xdr:nvSpPr>
      <xdr:spPr>
        <a:xfrm>
          <a:off x="1589246" y="10298903"/>
          <a:ext cx="4155280" cy="101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ID" sz="1100">
              <a:latin typeface="+mn-lt"/>
              <a:cs typeface="Arial" panose="020B0604020202020204" pitchFamily="34" charset="0"/>
            </a:rPr>
            <a:t>menentukan letak desil-6</a:t>
          </a:r>
          <a:r>
            <a:rPr lang="en-ID" sz="1100" baseline="0">
              <a:latin typeface="+mn-lt"/>
              <a:cs typeface="Arial" panose="020B0604020202020204" pitchFamily="34" charset="0"/>
            </a:rPr>
            <a:t> dengan rumus iN/10,</a:t>
          </a:r>
        </a:p>
        <a:p>
          <a:pPr algn="l">
            <a:lnSpc>
              <a:spcPct val="150000"/>
            </a:lnSpc>
          </a:pPr>
          <a:r>
            <a:rPr lang="en-ID" sz="1100" baseline="0">
              <a:latin typeface="+mn-lt"/>
              <a:cs typeface="Arial" panose="020B0604020202020204" pitchFamily="34" charset="0"/>
            </a:rPr>
            <a:t>iN/10 = 6 * 21.476 / 10 = </a:t>
          </a:r>
          <a:r>
            <a:rPr lang="en-ID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12.885,6.</a:t>
          </a:r>
          <a:r>
            <a:rPr lang="en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>
              <a:latin typeface="+mn-lt"/>
              <a:cs typeface="Arial" panose="020B0604020202020204" pitchFamily="34" charset="0"/>
            </a:rPr>
            <a:t>Frekuensi</a:t>
          </a:r>
          <a:r>
            <a:rPr lang="en-ID" sz="1100" baseline="0">
              <a:latin typeface="+mn-lt"/>
              <a:cs typeface="Arial" panose="020B0604020202020204" pitchFamily="34" charset="0"/>
            </a:rPr>
            <a:t> kumulatif terdekat dari </a:t>
          </a:r>
          <a:r>
            <a:rPr lang="en-ID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12.885,6</a:t>
          </a:r>
          <a:r>
            <a:rPr lang="en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>
              <a:latin typeface="+mn-lt"/>
              <a:cs typeface="Arial" panose="020B0604020202020204" pitchFamily="34" charset="0"/>
            </a:rPr>
            <a:t>adalah </a:t>
          </a:r>
          <a:r>
            <a:rPr lang="en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21.365,</a:t>
          </a:r>
          <a:r>
            <a:rPr lang="en-ID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jadi desil-6 terletak di  kelas 0,59 - 43.11 </a:t>
          </a:r>
          <a:endParaRPr lang="en-ID" sz="1100">
            <a:latin typeface="+mn-lt"/>
            <a:cs typeface="Arial" panose="020B0604020202020204" pitchFamily="34" charset="0"/>
          </a:endParaRPr>
        </a:p>
      </xdr:txBody>
    </xdr:sp>
    <xdr:clientData/>
  </xdr:oneCellAnchor>
  <xdr:twoCellAnchor>
    <xdr:from>
      <xdr:col>6</xdr:col>
      <xdr:colOff>212989</xdr:colOff>
      <xdr:row>39</xdr:row>
      <xdr:rowOff>309826</xdr:rowOff>
    </xdr:from>
    <xdr:to>
      <xdr:col>9</xdr:col>
      <xdr:colOff>362478</xdr:colOff>
      <xdr:row>57</xdr:row>
      <xdr:rowOff>19844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81004A-8BAC-4846-BD27-D85672971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5954" y="13684831"/>
              <a:ext cx="4407164" cy="5876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ffa\Downloads\Statpro%20Tugas%202%20Hak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2">
          <cell r="F42">
            <v>0.58899999999999997</v>
          </cell>
        </row>
        <row r="43">
          <cell r="F43">
            <v>10.77</v>
          </cell>
        </row>
        <row r="44">
          <cell r="F44">
            <v>21.46</v>
          </cell>
        </row>
        <row r="45">
          <cell r="F45">
            <v>32.14</v>
          </cell>
        </row>
        <row r="46">
          <cell r="F46">
            <v>421.99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38BA-31BB-4903-A224-D46488105830}">
  <dimension ref="C7:S48"/>
  <sheetViews>
    <sheetView tabSelected="1" topLeftCell="B7" zoomScale="85" zoomScaleNormal="85" workbookViewId="0">
      <selection activeCell="L35" sqref="L35"/>
    </sheetView>
  </sheetViews>
  <sheetFormatPr defaultRowHeight="14.4" x14ac:dyDescent="0.3"/>
  <cols>
    <col min="4" max="4" width="26.6640625" customWidth="1"/>
    <col min="5" max="5" width="31" customWidth="1"/>
    <col min="10" max="10" width="11.21875" bestFit="1" customWidth="1"/>
    <col min="11" max="11" width="14.21875" customWidth="1"/>
    <col min="15" max="15" width="20" customWidth="1"/>
    <col min="18" max="18" width="19.33203125" customWidth="1"/>
    <col min="19" max="19" width="11.44140625" bestFit="1" customWidth="1"/>
  </cols>
  <sheetData>
    <row r="7" spans="4:19" ht="15" thickBot="1" x14ac:dyDescent="0.35">
      <c r="D7" s="139" t="s">
        <v>138</v>
      </c>
      <c r="E7" s="139"/>
    </row>
    <row r="8" spans="4:19" ht="15" thickBot="1" x14ac:dyDescent="0.35">
      <c r="D8" s="139"/>
      <c r="E8" s="139"/>
      <c r="J8" s="78" t="s">
        <v>13</v>
      </c>
      <c r="K8" s="78"/>
      <c r="N8" s="119" t="s">
        <v>137</v>
      </c>
      <c r="O8" s="120"/>
      <c r="P8" s="8"/>
      <c r="Q8" s="74" t="s">
        <v>15</v>
      </c>
      <c r="R8" s="75"/>
      <c r="S8" s="8"/>
    </row>
    <row r="9" spans="4:19" ht="15" thickBot="1" x14ac:dyDescent="0.35">
      <c r="D9" s="139"/>
      <c r="E9" s="139"/>
      <c r="J9" s="79"/>
      <c r="K9" s="79"/>
      <c r="N9" s="121"/>
      <c r="O9" s="122"/>
      <c r="P9" s="8"/>
      <c r="Q9" s="76"/>
      <c r="R9" s="77"/>
      <c r="S9" s="8"/>
    </row>
    <row r="10" spans="4:19" ht="28.2" thickBot="1" x14ac:dyDescent="0.35">
      <c r="D10" s="140"/>
      <c r="E10" s="140"/>
      <c r="J10" s="73" t="s">
        <v>3</v>
      </c>
      <c r="K10" s="73"/>
      <c r="N10" s="125" t="s">
        <v>16</v>
      </c>
      <c r="O10" s="126"/>
      <c r="P10" s="10"/>
      <c r="Q10" s="11" t="s">
        <v>17</v>
      </c>
      <c r="R10" s="12" t="s">
        <v>18</v>
      </c>
      <c r="S10" s="8"/>
    </row>
    <row r="11" spans="4:19" ht="28.2" thickBot="1" x14ac:dyDescent="0.35">
      <c r="D11" s="2" t="s">
        <v>0</v>
      </c>
      <c r="E11" s="2" t="s">
        <v>1</v>
      </c>
      <c r="J11" s="3" t="s">
        <v>5</v>
      </c>
      <c r="K11" s="3">
        <f>MIN(D12:D32)</f>
        <v>1998</v>
      </c>
      <c r="N11" s="127" t="s">
        <v>85</v>
      </c>
      <c r="O11" s="127">
        <f>COUNT(D12:D32)</f>
        <v>21</v>
      </c>
      <c r="P11" s="123"/>
      <c r="Q11" s="11" t="s">
        <v>20</v>
      </c>
      <c r="R11" s="12">
        <v>2011</v>
      </c>
      <c r="S11" s="8"/>
    </row>
    <row r="12" spans="4:19" ht="15" thickBot="1" x14ac:dyDescent="0.35">
      <c r="D12" s="3">
        <v>1998</v>
      </c>
      <c r="E12" s="3">
        <v>1</v>
      </c>
      <c r="F12" s="1">
        <v>1</v>
      </c>
      <c r="J12" s="3" t="s">
        <v>4</v>
      </c>
      <c r="K12" s="3">
        <f>MAX(D12:D32)</f>
        <v>2019</v>
      </c>
      <c r="N12" s="128" t="s">
        <v>131</v>
      </c>
      <c r="O12" s="128">
        <f>SUM(D12:D32)</f>
        <v>42185</v>
      </c>
      <c r="P12" s="124"/>
      <c r="Q12" s="9"/>
      <c r="R12" s="9"/>
      <c r="S12" s="8"/>
    </row>
    <row r="13" spans="4:19" ht="42" thickBot="1" x14ac:dyDescent="0.35">
      <c r="D13" s="3">
        <v>1999</v>
      </c>
      <c r="E13" s="3">
        <v>2</v>
      </c>
      <c r="F13" s="1">
        <f>SUM(E12:E13)</f>
        <v>3</v>
      </c>
      <c r="J13" s="3" t="s">
        <v>6</v>
      </c>
      <c r="K13" s="3">
        <f>K12-K11</f>
        <v>21</v>
      </c>
      <c r="N13" s="3" t="s">
        <v>19</v>
      </c>
      <c r="O13" s="3">
        <f>O12/O11</f>
        <v>2008.8095238095239</v>
      </c>
      <c r="P13" s="123"/>
      <c r="Q13" s="11" t="s">
        <v>22</v>
      </c>
      <c r="R13" s="12" t="s">
        <v>23</v>
      </c>
      <c r="S13" s="8"/>
    </row>
    <row r="14" spans="4:19" ht="28.2" thickBot="1" x14ac:dyDescent="0.35">
      <c r="D14" s="3">
        <v>2000</v>
      </c>
      <c r="E14" s="3">
        <v>2</v>
      </c>
      <c r="F14" s="1">
        <f>SUM(E12:E14)</f>
        <v>5</v>
      </c>
      <c r="P14" s="10"/>
      <c r="Q14" s="11" t="s">
        <v>24</v>
      </c>
      <c r="R14" s="12">
        <v>2012</v>
      </c>
      <c r="S14" s="8"/>
    </row>
    <row r="15" spans="4:19" ht="26.4" thickBot="1" x14ac:dyDescent="0.35">
      <c r="D15" s="3">
        <v>2001</v>
      </c>
      <c r="E15" s="3">
        <v>2</v>
      </c>
      <c r="F15" s="1">
        <f>SUM(E12:E15)</f>
        <v>7</v>
      </c>
      <c r="J15" s="73" t="s">
        <v>7</v>
      </c>
      <c r="K15" s="73"/>
      <c r="N15" s="134" t="s">
        <v>21</v>
      </c>
      <c r="O15" s="134"/>
      <c r="P15" s="124"/>
      <c r="Q15" s="9"/>
      <c r="R15" s="9"/>
      <c r="S15" s="8"/>
    </row>
    <row r="16" spans="4:19" ht="29.4" thickBot="1" x14ac:dyDescent="0.35">
      <c r="D16" s="3">
        <v>2003</v>
      </c>
      <c r="E16" s="3">
        <v>2</v>
      </c>
      <c r="F16" s="1">
        <f>SUM(E12:E16)</f>
        <v>9</v>
      </c>
      <c r="J16" s="3" t="s">
        <v>8</v>
      </c>
      <c r="K16" s="3">
        <v>2004</v>
      </c>
      <c r="N16" s="132" t="s">
        <v>132</v>
      </c>
      <c r="O16" s="132" t="s">
        <v>134</v>
      </c>
      <c r="P16" s="123"/>
      <c r="Q16" s="149" t="s">
        <v>140</v>
      </c>
      <c r="R16" s="129" t="s">
        <v>141</v>
      </c>
      <c r="S16" s="8"/>
    </row>
    <row r="17" spans="4:19" ht="29.4" thickBot="1" x14ac:dyDescent="0.35">
      <c r="D17" s="3">
        <v>2004</v>
      </c>
      <c r="E17" s="3">
        <v>5</v>
      </c>
      <c r="F17" s="1">
        <f>SUM(E12:E17)</f>
        <v>14</v>
      </c>
      <c r="J17" s="3" t="s">
        <v>9</v>
      </c>
      <c r="K17" s="3">
        <v>2014</v>
      </c>
      <c r="N17" s="133" t="s">
        <v>133</v>
      </c>
      <c r="O17" s="3">
        <f>MEDIAN(D12:D32)</f>
        <v>2009</v>
      </c>
      <c r="P17" s="124"/>
      <c r="Q17" s="150" t="s">
        <v>26</v>
      </c>
      <c r="R17" s="151">
        <f>K13</f>
        <v>21</v>
      </c>
      <c r="S17" s="8"/>
    </row>
    <row r="18" spans="4:19" ht="15" thickBot="1" x14ac:dyDescent="0.35">
      <c r="D18" s="3">
        <v>2005</v>
      </c>
      <c r="E18" s="3">
        <v>2</v>
      </c>
      <c r="F18" s="1">
        <f>SUM(E12:E18)</f>
        <v>16</v>
      </c>
      <c r="J18" s="3" t="s">
        <v>6</v>
      </c>
      <c r="K18" s="3">
        <f>K17-K16</f>
        <v>10</v>
      </c>
      <c r="P18" s="8"/>
      <c r="Q18" s="9"/>
      <c r="R18" s="147" t="s">
        <v>27</v>
      </c>
      <c r="S18" s="143"/>
    </row>
    <row r="19" spans="4:19" ht="42" thickBot="1" x14ac:dyDescent="0.35">
      <c r="D19" s="3">
        <v>2006</v>
      </c>
      <c r="E19" s="3">
        <v>14</v>
      </c>
      <c r="F19" s="1">
        <f>SUM(E12:E19)</f>
        <v>30</v>
      </c>
      <c r="N19" s="130" t="s">
        <v>25</v>
      </c>
      <c r="O19" s="131"/>
      <c r="P19" s="10"/>
      <c r="Q19" s="146" t="s">
        <v>29</v>
      </c>
      <c r="R19" s="148">
        <f>K11</f>
        <v>1998</v>
      </c>
      <c r="S19" s="144"/>
    </row>
    <row r="20" spans="4:19" ht="29.4" thickBot="1" x14ac:dyDescent="0.35">
      <c r="D20" s="3">
        <v>2007</v>
      </c>
      <c r="E20" s="3">
        <v>11</v>
      </c>
      <c r="F20" s="1">
        <f>SUM(E12:E20)</f>
        <v>41</v>
      </c>
      <c r="J20" s="73" t="s">
        <v>10</v>
      </c>
      <c r="K20" s="73"/>
      <c r="N20" s="127" t="s">
        <v>135</v>
      </c>
      <c r="O20" s="127" t="s">
        <v>136</v>
      </c>
      <c r="P20" s="123"/>
      <c r="Q20" s="146" t="s">
        <v>8</v>
      </c>
      <c r="R20" s="148">
        <f>O24</f>
        <v>2004</v>
      </c>
      <c r="S20" s="144"/>
    </row>
    <row r="21" spans="4:19" ht="15" thickBot="1" x14ac:dyDescent="0.35">
      <c r="D21" s="3">
        <v>2008</v>
      </c>
      <c r="E21" s="3">
        <v>11</v>
      </c>
      <c r="F21" s="1">
        <f>SUM(E12:E21)</f>
        <v>52</v>
      </c>
      <c r="J21" s="3" t="s">
        <v>6</v>
      </c>
      <c r="K21" s="3">
        <f>AVERAGE(ABS(D12:D32-AVERAGE(D12:D32)))</f>
        <v>0.80952380952385283</v>
      </c>
      <c r="N21" s="3" t="s">
        <v>19</v>
      </c>
      <c r="O21" s="3">
        <v>2018</v>
      </c>
      <c r="P21" s="123"/>
      <c r="Q21" s="146" t="s">
        <v>30</v>
      </c>
      <c r="R21" s="148">
        <f>O13</f>
        <v>2008.8095238095239</v>
      </c>
      <c r="S21" s="144"/>
    </row>
    <row r="22" spans="4:19" ht="15" thickBot="1" x14ac:dyDescent="0.35">
      <c r="D22" s="3">
        <v>2009</v>
      </c>
      <c r="E22" s="3">
        <v>67</v>
      </c>
      <c r="F22" s="1">
        <f>SUM(E12:E22)</f>
        <v>119</v>
      </c>
      <c r="P22" s="10"/>
      <c r="Q22" s="146" t="s">
        <v>9</v>
      </c>
      <c r="R22" s="148">
        <f>O25</f>
        <v>2014</v>
      </c>
      <c r="S22" s="144"/>
    </row>
    <row r="23" spans="4:19" ht="26.4" thickBot="1" x14ac:dyDescent="0.35">
      <c r="D23" s="3">
        <v>2010</v>
      </c>
      <c r="E23" s="3">
        <v>62</v>
      </c>
      <c r="F23" s="1">
        <f>SUM(E12:E23)</f>
        <v>181</v>
      </c>
      <c r="J23" s="73" t="s">
        <v>11</v>
      </c>
      <c r="K23" s="73"/>
      <c r="N23" s="134" t="s">
        <v>28</v>
      </c>
      <c r="O23" s="134"/>
      <c r="P23" s="123"/>
      <c r="Q23" s="146" t="s">
        <v>4</v>
      </c>
      <c r="R23" s="148">
        <f>K12</f>
        <v>2019</v>
      </c>
      <c r="S23" s="144"/>
    </row>
    <row r="24" spans="4:19" ht="15" thickBot="1" x14ac:dyDescent="0.35">
      <c r="D24" s="3">
        <v>2011</v>
      </c>
      <c r="E24" s="3">
        <v>70</v>
      </c>
      <c r="F24" s="1">
        <f>SUM(E12:E24)</f>
        <v>251</v>
      </c>
      <c r="J24" s="5" t="s">
        <v>6</v>
      </c>
      <c r="K24" s="5">
        <f>_xlfn.VAR.S(D12:D32)</f>
        <v>42.061904761904763</v>
      </c>
      <c r="N24" s="137" t="s">
        <v>8</v>
      </c>
      <c r="O24" s="138">
        <f>2004</f>
        <v>2004</v>
      </c>
      <c r="P24" s="10"/>
      <c r="Q24" s="146" t="s">
        <v>31</v>
      </c>
      <c r="R24" s="148">
        <f>K18</f>
        <v>10</v>
      </c>
      <c r="S24" s="145"/>
    </row>
    <row r="25" spans="4:19" ht="15" thickBot="1" x14ac:dyDescent="0.35">
      <c r="D25" s="3">
        <v>2012</v>
      </c>
      <c r="E25" s="3">
        <v>133</v>
      </c>
      <c r="F25" s="1">
        <f>SUM(E12:E25)</f>
        <v>384</v>
      </c>
      <c r="N25" s="13" t="s">
        <v>9</v>
      </c>
      <c r="O25" s="14">
        <v>2014</v>
      </c>
    </row>
    <row r="26" spans="4:19" x14ac:dyDescent="0.3">
      <c r="D26" s="3">
        <v>2013</v>
      </c>
      <c r="E26" s="3">
        <v>217</v>
      </c>
      <c r="F26" s="1">
        <f>SUM(E12:E26)</f>
        <v>601</v>
      </c>
      <c r="J26" s="73" t="s">
        <v>12</v>
      </c>
      <c r="K26" s="73"/>
    </row>
    <row r="27" spans="4:19" x14ac:dyDescent="0.3">
      <c r="D27" s="3">
        <v>2014</v>
      </c>
      <c r="E27" s="3">
        <v>666</v>
      </c>
      <c r="F27" s="1">
        <f>SUM(E12:E27)</f>
        <v>1267</v>
      </c>
      <c r="J27" s="5" t="s">
        <v>6</v>
      </c>
      <c r="K27" s="5">
        <f>_xlfn.STDEV.S(D12:D32)</f>
        <v>6.4855149958892824</v>
      </c>
    </row>
    <row r="28" spans="4:19" x14ac:dyDescent="0.3">
      <c r="D28" s="3">
        <v>2015</v>
      </c>
      <c r="E28" s="3">
        <v>1128</v>
      </c>
      <c r="F28" s="1">
        <f>SUM(E12:E28)</f>
        <v>2395</v>
      </c>
    </row>
    <row r="29" spans="4:19" x14ac:dyDescent="0.3">
      <c r="D29" s="3">
        <v>2016</v>
      </c>
      <c r="E29" s="3">
        <v>1504</v>
      </c>
      <c r="F29" s="1">
        <f>SUM(E12:E29)</f>
        <v>3899</v>
      </c>
    </row>
    <row r="30" spans="4:19" x14ac:dyDescent="0.3">
      <c r="D30" s="3">
        <v>2017</v>
      </c>
      <c r="E30" s="3">
        <v>1739</v>
      </c>
      <c r="F30" s="1">
        <f>SUM(E12:E30)</f>
        <v>5638</v>
      </c>
    </row>
    <row r="31" spans="4:19" x14ac:dyDescent="0.3">
      <c r="D31" s="3">
        <v>2018</v>
      </c>
      <c r="E31" s="3">
        <v>1964</v>
      </c>
      <c r="F31" s="1">
        <f>SUM(E12:E31)</f>
        <v>7602</v>
      </c>
      <c r="J31" s="135"/>
      <c r="K31" s="135"/>
      <c r="L31" s="135"/>
      <c r="M31" s="135"/>
    </row>
    <row r="32" spans="4:19" x14ac:dyDescent="0.3">
      <c r="D32" s="3">
        <v>2019</v>
      </c>
      <c r="E32" s="3">
        <v>450</v>
      </c>
      <c r="F32" s="1">
        <f>SUM(E12:E32)</f>
        <v>8052</v>
      </c>
      <c r="J32" s="135"/>
      <c r="K32" s="135"/>
      <c r="L32" s="135"/>
      <c r="M32" s="135"/>
    </row>
    <row r="33" spans="3:13" ht="18" x14ac:dyDescent="0.3">
      <c r="C33" s="4" t="s">
        <v>2</v>
      </c>
      <c r="D33" s="4">
        <f>SUM(D12:D32)</f>
        <v>42185</v>
      </c>
      <c r="E33" s="4">
        <f>SUM(E12:E32)</f>
        <v>8052</v>
      </c>
      <c r="J33" s="135"/>
      <c r="K33" s="135"/>
      <c r="L33" s="135"/>
      <c r="M33" s="135"/>
    </row>
    <row r="34" spans="3:13" x14ac:dyDescent="0.3">
      <c r="J34" s="136"/>
      <c r="K34" s="136"/>
      <c r="L34" s="135"/>
      <c r="M34" s="135"/>
    </row>
    <row r="35" spans="3:13" x14ac:dyDescent="0.3">
      <c r="J35" s="135"/>
      <c r="K35" s="135"/>
      <c r="L35" s="135"/>
      <c r="M35" s="135"/>
    </row>
    <row r="36" spans="3:13" x14ac:dyDescent="0.3">
      <c r="J36" s="135"/>
      <c r="K36" s="135"/>
      <c r="L36" s="135"/>
      <c r="M36" s="135"/>
    </row>
    <row r="37" spans="3:13" x14ac:dyDescent="0.3">
      <c r="J37" s="136"/>
      <c r="K37" s="136"/>
      <c r="L37" s="135"/>
      <c r="M37" s="135"/>
    </row>
    <row r="39" spans="3:13" x14ac:dyDescent="0.3">
      <c r="D39" s="6"/>
      <c r="E39" s="6"/>
    </row>
    <row r="40" spans="3:13" ht="15" thickBot="1" x14ac:dyDescent="0.35">
      <c r="D40" s="1"/>
      <c r="E40" s="1"/>
    </row>
    <row r="41" spans="3:13" ht="15" thickBot="1" x14ac:dyDescent="0.35">
      <c r="D41" s="1"/>
      <c r="E41" s="1"/>
      <c r="J41" s="8"/>
      <c r="K41" s="8"/>
    </row>
    <row r="42" spans="3:13" ht="15" thickBot="1" x14ac:dyDescent="0.35">
      <c r="D42" s="1"/>
      <c r="E42" s="1"/>
      <c r="J42" s="8"/>
      <c r="K42" s="8"/>
    </row>
    <row r="43" spans="3:13" x14ac:dyDescent="0.3">
      <c r="D43" s="1"/>
      <c r="E43" s="1"/>
    </row>
    <row r="44" spans="3:13" x14ac:dyDescent="0.3">
      <c r="D44" s="1"/>
      <c r="E44" s="1"/>
    </row>
    <row r="45" spans="3:13" x14ac:dyDescent="0.3">
      <c r="D45" s="1"/>
      <c r="E45" s="1"/>
    </row>
    <row r="46" spans="3:13" x14ac:dyDescent="0.3">
      <c r="D46" s="6"/>
      <c r="E46" s="6"/>
    </row>
    <row r="48" spans="3:13" x14ac:dyDescent="0.3">
      <c r="D48" s="1"/>
      <c r="E48" s="1"/>
    </row>
  </sheetData>
  <mergeCells count="14">
    <mergeCell ref="D7:E10"/>
    <mergeCell ref="J26:K26"/>
    <mergeCell ref="Q8:R9"/>
    <mergeCell ref="N10:O10"/>
    <mergeCell ref="N15:O15"/>
    <mergeCell ref="N19:O19"/>
    <mergeCell ref="R18:S18"/>
    <mergeCell ref="N23:O23"/>
    <mergeCell ref="J8:K9"/>
    <mergeCell ref="J10:K10"/>
    <mergeCell ref="J15:K15"/>
    <mergeCell ref="J20:K20"/>
    <mergeCell ref="J23:K23"/>
    <mergeCell ref="N8:O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9B5D-FB19-4B2F-A55E-BE7A37F39621}">
  <dimension ref="A1:P46"/>
  <sheetViews>
    <sheetView zoomScale="70" zoomScaleNormal="70" workbookViewId="0">
      <selection activeCell="D10" sqref="D10"/>
    </sheetView>
  </sheetViews>
  <sheetFormatPr defaultColWidth="9.109375" defaultRowHeight="27" customHeight="1" x14ac:dyDescent="0.3"/>
  <cols>
    <col min="1" max="1" width="15.77734375" style="23" customWidth="1"/>
    <col min="2" max="2" width="11.5546875" style="1" customWidth="1"/>
    <col min="3" max="3" width="17.44140625" style="23" customWidth="1"/>
    <col min="4" max="4" width="27.77734375" style="24" customWidth="1"/>
    <col min="5" max="5" width="30.44140625" style="24" customWidth="1"/>
    <col min="6" max="6" width="20.6640625" style="25" customWidth="1"/>
    <col min="7" max="7" width="20.6640625" style="23" customWidth="1"/>
    <col min="8" max="10" width="20.6640625" style="1" customWidth="1"/>
    <col min="11" max="14" width="9.109375" style="1"/>
    <col min="15" max="15" width="25.6640625" style="1" customWidth="1"/>
    <col min="16" max="16" width="10.6640625" style="24" customWidth="1"/>
    <col min="17" max="18" width="9.109375" style="1" customWidth="1"/>
    <col min="19" max="16384" width="9.109375" style="1"/>
  </cols>
  <sheetData>
    <row r="1" spans="1:16" s="21" customFormat="1" ht="27" customHeight="1" x14ac:dyDescent="0.3">
      <c r="A1" s="95" t="s">
        <v>32</v>
      </c>
      <c r="B1" s="96"/>
      <c r="C1" s="96"/>
      <c r="D1" s="15" t="s">
        <v>30</v>
      </c>
      <c r="E1" s="16" t="s">
        <v>33</v>
      </c>
      <c r="F1" s="17" t="s">
        <v>20</v>
      </c>
      <c r="G1" s="18" t="s">
        <v>34</v>
      </c>
      <c r="H1" s="19" t="s">
        <v>3</v>
      </c>
      <c r="I1" s="20" t="s">
        <v>35</v>
      </c>
      <c r="P1" s="22"/>
    </row>
    <row r="2" spans="1:16" ht="27" customHeight="1" x14ac:dyDescent="0.3">
      <c r="A2" s="141" t="s">
        <v>139</v>
      </c>
      <c r="B2" s="141"/>
      <c r="C2" s="141"/>
      <c r="D2" s="141"/>
      <c r="E2" s="141"/>
      <c r="F2" s="141"/>
      <c r="G2" s="141"/>
      <c r="H2" s="141"/>
      <c r="I2" s="141"/>
    </row>
    <row r="3" spans="1:16" ht="27" customHeight="1" x14ac:dyDescent="0.3">
      <c r="A3" s="142"/>
      <c r="B3" s="142"/>
      <c r="C3" s="142"/>
      <c r="D3" s="142"/>
      <c r="E3" s="142"/>
      <c r="F3" s="142"/>
      <c r="G3" s="142"/>
      <c r="H3" s="142"/>
      <c r="I3" s="142"/>
    </row>
    <row r="4" spans="1:16" ht="27" customHeight="1" x14ac:dyDescent="0.3">
      <c r="A4" s="97" t="s">
        <v>36</v>
      </c>
      <c r="B4" s="98"/>
      <c r="C4" s="97"/>
      <c r="D4" s="27" t="s">
        <v>37</v>
      </c>
      <c r="E4" s="27" t="s">
        <v>38</v>
      </c>
      <c r="F4" s="28" t="s">
        <v>39</v>
      </c>
      <c r="G4" s="28" t="s">
        <v>40</v>
      </c>
      <c r="H4" s="26" t="s">
        <v>41</v>
      </c>
      <c r="I4" s="29" t="s">
        <v>42</v>
      </c>
    </row>
    <row r="5" spans="1:16" ht="27" customHeight="1" x14ac:dyDescent="0.3">
      <c r="A5" s="30">
        <v>0.58899999999999997</v>
      </c>
      <c r="B5" s="1" t="s">
        <v>43</v>
      </c>
      <c r="C5" s="31">
        <v>43.107999999999997</v>
      </c>
      <c r="D5" s="32">
        <v>21365</v>
      </c>
      <c r="E5" s="32">
        <v>21365</v>
      </c>
      <c r="F5" s="33">
        <f t="shared" ref="F5:F14" si="0">(A5+C5)/2</f>
        <v>21.848499999999998</v>
      </c>
      <c r="G5" s="33">
        <f t="shared" ref="G5:G14" si="1">D5*F5</f>
        <v>466793.20249999996</v>
      </c>
      <c r="H5" s="33">
        <f>ABS(F5-J25)</f>
        <v>0.28532201061650397</v>
      </c>
      <c r="I5" s="33">
        <f>D5*H5</f>
        <v>6095.9047568216074</v>
      </c>
    </row>
    <row r="6" spans="1:16" ht="27" customHeight="1" x14ac:dyDescent="0.3">
      <c r="A6" s="30">
        <v>43.107999999999997</v>
      </c>
      <c r="B6" s="1" t="s">
        <v>43</v>
      </c>
      <c r="C6" s="31">
        <v>85.206000000000003</v>
      </c>
      <c r="D6" s="32">
        <v>98</v>
      </c>
      <c r="E6" s="32">
        <f>E5+D6</f>
        <v>21463</v>
      </c>
      <c r="F6" s="33">
        <f t="shared" si="0"/>
        <v>64.156999999999996</v>
      </c>
      <c r="G6" s="33">
        <f t="shared" si="1"/>
        <v>6287.3859999999995</v>
      </c>
      <c r="H6" s="33">
        <f>ABS(F6-J25)</f>
        <v>42.023177989383498</v>
      </c>
      <c r="I6" s="33">
        <f t="shared" ref="I6:I14" si="2">D6*H6</f>
        <v>4118.2714429595826</v>
      </c>
    </row>
    <row r="7" spans="1:16" ht="27" customHeight="1" x14ac:dyDescent="0.3">
      <c r="A7" s="30">
        <v>85.206000000000003</v>
      </c>
      <c r="B7" s="1" t="s">
        <v>43</v>
      </c>
      <c r="C7" s="31">
        <v>127.304</v>
      </c>
      <c r="D7" s="32">
        <v>3</v>
      </c>
      <c r="E7" s="32">
        <f>E6+D7</f>
        <v>21466</v>
      </c>
      <c r="F7" s="33">
        <f t="shared" si="0"/>
        <v>106.255</v>
      </c>
      <c r="G7" s="33">
        <f t="shared" si="1"/>
        <v>318.76499999999999</v>
      </c>
      <c r="H7" s="33">
        <f>ABS(F7-J25)</f>
        <v>84.121177989383497</v>
      </c>
      <c r="I7" s="33">
        <f t="shared" si="2"/>
        <v>252.36353396815048</v>
      </c>
    </row>
    <row r="8" spans="1:16" ht="27" customHeight="1" x14ac:dyDescent="0.3">
      <c r="A8" s="30">
        <v>127.304</v>
      </c>
      <c r="B8" s="1" t="s">
        <v>43</v>
      </c>
      <c r="C8" s="31">
        <v>169.40199999999999</v>
      </c>
      <c r="D8" s="32">
        <v>7</v>
      </c>
      <c r="E8" s="32">
        <f t="shared" ref="E8:E14" si="3">E7+D8</f>
        <v>21473</v>
      </c>
      <c r="F8" s="33">
        <f t="shared" si="0"/>
        <v>148.35300000000001</v>
      </c>
      <c r="G8" s="33">
        <f t="shared" si="1"/>
        <v>1038.471</v>
      </c>
      <c r="H8" s="33">
        <f>ABS(F8-J25)</f>
        <v>126.21917798938351</v>
      </c>
      <c r="I8" s="33">
        <f t="shared" si="2"/>
        <v>883.53424592568456</v>
      </c>
    </row>
    <row r="9" spans="1:16" ht="27" customHeight="1" x14ac:dyDescent="0.3">
      <c r="A9" s="30">
        <v>169.40199999999999</v>
      </c>
      <c r="B9" s="1" t="s">
        <v>43</v>
      </c>
      <c r="C9" s="31">
        <v>211.5</v>
      </c>
      <c r="D9" s="32">
        <v>1</v>
      </c>
      <c r="E9" s="32">
        <f t="shared" si="3"/>
        <v>21474</v>
      </c>
      <c r="F9" s="33">
        <f t="shared" si="0"/>
        <v>190.45099999999999</v>
      </c>
      <c r="G9" s="33">
        <f t="shared" si="1"/>
        <v>190.45099999999999</v>
      </c>
      <c r="H9" s="33">
        <f>ABS(F9-J25)</f>
        <v>168.31717798938348</v>
      </c>
      <c r="I9" s="33">
        <f t="shared" si="2"/>
        <v>168.31717798938348</v>
      </c>
    </row>
    <row r="10" spans="1:16" ht="27" customHeight="1" x14ac:dyDescent="0.3">
      <c r="A10" s="30">
        <v>211.5</v>
      </c>
      <c r="B10" s="1" t="s">
        <v>43</v>
      </c>
      <c r="C10" s="31">
        <v>253.59800000000001</v>
      </c>
      <c r="D10" s="32">
        <v>0</v>
      </c>
      <c r="E10" s="32">
        <f t="shared" si="3"/>
        <v>21474</v>
      </c>
      <c r="F10" s="33">
        <f t="shared" si="0"/>
        <v>232.54900000000001</v>
      </c>
      <c r="G10" s="32">
        <f t="shared" si="1"/>
        <v>0</v>
      </c>
      <c r="H10" s="33">
        <f>ABS(F10-J25)</f>
        <v>210.41517798938349</v>
      </c>
      <c r="I10" s="3">
        <f t="shared" si="2"/>
        <v>0</v>
      </c>
    </row>
    <row r="11" spans="1:16" ht="27" customHeight="1" x14ac:dyDescent="0.3">
      <c r="A11" s="30">
        <v>253.59800000000001</v>
      </c>
      <c r="B11" s="1" t="s">
        <v>43</v>
      </c>
      <c r="C11" s="31">
        <v>295.69600000000003</v>
      </c>
      <c r="D11" s="32">
        <v>0</v>
      </c>
      <c r="E11" s="32">
        <f t="shared" si="3"/>
        <v>21474</v>
      </c>
      <c r="F11" s="33">
        <f t="shared" si="0"/>
        <v>274.64700000000005</v>
      </c>
      <c r="G11" s="32">
        <f t="shared" si="1"/>
        <v>0</v>
      </c>
      <c r="H11" s="33">
        <f>ABS(F11-J25)</f>
        <v>252.51317798938354</v>
      </c>
      <c r="I11" s="3">
        <f t="shared" si="2"/>
        <v>0</v>
      </c>
    </row>
    <row r="12" spans="1:16" ht="27" customHeight="1" x14ac:dyDescent="0.3">
      <c r="A12" s="30">
        <v>295.69600000000003</v>
      </c>
      <c r="B12" s="1" t="s">
        <v>43</v>
      </c>
      <c r="C12" s="31">
        <v>337.79399999999998</v>
      </c>
      <c r="D12" s="32">
        <v>1</v>
      </c>
      <c r="E12" s="32">
        <f t="shared" si="3"/>
        <v>21475</v>
      </c>
      <c r="F12" s="33">
        <f t="shared" si="0"/>
        <v>316.745</v>
      </c>
      <c r="G12" s="33">
        <f t="shared" si="1"/>
        <v>316.745</v>
      </c>
      <c r="H12" s="33">
        <f>ABS(F12-J25)</f>
        <v>294.61117798938352</v>
      </c>
      <c r="I12" s="33">
        <f t="shared" si="2"/>
        <v>294.61117798938352</v>
      </c>
    </row>
    <row r="13" spans="1:16" ht="27" customHeight="1" x14ac:dyDescent="0.3">
      <c r="A13" s="30">
        <v>337.79399999999998</v>
      </c>
      <c r="B13" s="1" t="s">
        <v>43</v>
      </c>
      <c r="C13" s="31">
        <v>379.892</v>
      </c>
      <c r="D13" s="32">
        <v>0</v>
      </c>
      <c r="E13" s="32">
        <f t="shared" si="3"/>
        <v>21475</v>
      </c>
      <c r="F13" s="33">
        <f t="shared" si="0"/>
        <v>358.84299999999996</v>
      </c>
      <c r="G13" s="32">
        <f t="shared" si="1"/>
        <v>0</v>
      </c>
      <c r="H13" s="33">
        <f>ABS(F13-J25)</f>
        <v>336.70917798938348</v>
      </c>
      <c r="I13" s="3">
        <f t="shared" si="2"/>
        <v>0</v>
      </c>
    </row>
    <row r="14" spans="1:16" ht="27" customHeight="1" x14ac:dyDescent="0.3">
      <c r="A14" s="30">
        <v>379.892</v>
      </c>
      <c r="B14" s="34" t="s">
        <v>43</v>
      </c>
      <c r="C14" s="31">
        <v>421.99</v>
      </c>
      <c r="D14" s="32">
        <v>1</v>
      </c>
      <c r="E14" s="32">
        <f t="shared" si="3"/>
        <v>21476</v>
      </c>
      <c r="F14" s="33">
        <f t="shared" si="0"/>
        <v>400.94100000000003</v>
      </c>
      <c r="G14" s="33">
        <f t="shared" si="1"/>
        <v>400.94100000000003</v>
      </c>
      <c r="H14" s="33">
        <f>ABS(F14-J25)</f>
        <v>378.80717798938355</v>
      </c>
      <c r="I14" s="33">
        <f t="shared" si="2"/>
        <v>378.80717798938355</v>
      </c>
    </row>
    <row r="15" spans="1:16" ht="27" customHeight="1" x14ac:dyDescent="0.3">
      <c r="D15" s="35" t="s">
        <v>44</v>
      </c>
      <c r="G15" s="35" t="s">
        <v>45</v>
      </c>
      <c r="I15" s="35" t="s">
        <v>46</v>
      </c>
    </row>
    <row r="16" spans="1:16" ht="27" customHeight="1" x14ac:dyDescent="0.3">
      <c r="D16" s="36">
        <f>SUM(D5:D14)</f>
        <v>21476</v>
      </c>
      <c r="G16" s="35">
        <f>SUM(G5:G14)</f>
        <v>475345.96149999998</v>
      </c>
      <c r="I16" s="35">
        <f>SUM(I5:I14)</f>
        <v>12191.809513643177</v>
      </c>
    </row>
    <row r="19" spans="4:10" ht="27" customHeight="1" x14ac:dyDescent="0.3">
      <c r="D19" s="99" t="s">
        <v>30</v>
      </c>
      <c r="E19" s="100"/>
      <c r="F19" s="101"/>
      <c r="H19" s="102" t="s">
        <v>3</v>
      </c>
      <c r="I19" s="103"/>
      <c r="J19" s="104"/>
    </row>
    <row r="20" spans="4:10" ht="27" customHeight="1" x14ac:dyDescent="0.3">
      <c r="D20" s="37" t="s">
        <v>16</v>
      </c>
      <c r="E20" s="38" t="s">
        <v>47</v>
      </c>
      <c r="F20" s="39">
        <f>G16/D16</f>
        <v>22.133822010616502</v>
      </c>
      <c r="H20" s="40" t="s">
        <v>8</v>
      </c>
      <c r="I20" s="24" t="s">
        <v>48</v>
      </c>
      <c r="J20" s="41">
        <v>10.77</v>
      </c>
    </row>
    <row r="21" spans="4:10" ht="27" customHeight="1" x14ac:dyDescent="0.3">
      <c r="D21" s="1"/>
      <c r="E21" s="1"/>
      <c r="F21" s="24"/>
      <c r="H21" s="40" t="s">
        <v>9</v>
      </c>
      <c r="I21" s="24" t="s">
        <v>49</v>
      </c>
      <c r="J21" s="41">
        <v>32.14</v>
      </c>
    </row>
    <row r="22" spans="4:10" ht="27" customHeight="1" x14ac:dyDescent="0.3">
      <c r="D22" s="80" t="s">
        <v>33</v>
      </c>
      <c r="E22" s="81"/>
      <c r="F22" s="82"/>
      <c r="H22" s="42" t="s">
        <v>50</v>
      </c>
      <c r="I22" s="43" t="s">
        <v>51</v>
      </c>
      <c r="J22" s="44">
        <f>J21-J20</f>
        <v>21.37</v>
      </c>
    </row>
    <row r="23" spans="4:10" ht="27" customHeight="1" x14ac:dyDescent="0.3">
      <c r="D23" s="83" t="s">
        <v>52</v>
      </c>
      <c r="E23" s="84"/>
      <c r="F23" s="85"/>
      <c r="H23" s="24"/>
      <c r="I23" s="24"/>
      <c r="J23" s="25"/>
    </row>
    <row r="24" spans="4:10" ht="27" customHeight="1" x14ac:dyDescent="0.3">
      <c r="D24" s="45" t="s">
        <v>53</v>
      </c>
      <c r="E24" s="1" t="s">
        <v>54</v>
      </c>
      <c r="F24" s="46">
        <f>A5-0.5</f>
        <v>8.8999999999999968E-2</v>
      </c>
      <c r="H24" s="86" t="s">
        <v>55</v>
      </c>
      <c r="I24" s="87"/>
      <c r="J24" s="88"/>
    </row>
    <row r="25" spans="4:10" ht="27" customHeight="1" x14ac:dyDescent="0.3">
      <c r="D25" s="45" t="s">
        <v>56</v>
      </c>
      <c r="E25" s="1" t="s">
        <v>57</v>
      </c>
      <c r="F25" s="46">
        <f>(C5+0.5)-F24</f>
        <v>43.518999999999998</v>
      </c>
      <c r="H25" s="40" t="s">
        <v>58</v>
      </c>
      <c r="I25" s="24" t="s">
        <v>59</v>
      </c>
      <c r="J25" s="47">
        <f>G16/D16</f>
        <v>22.133822010616502</v>
      </c>
    </row>
    <row r="26" spans="4:10" ht="27" customHeight="1" x14ac:dyDescent="0.3">
      <c r="D26" s="45" t="s">
        <v>60</v>
      </c>
      <c r="E26" s="1" t="s">
        <v>61</v>
      </c>
      <c r="F26" s="46">
        <f>D5-0</f>
        <v>21365</v>
      </c>
      <c r="H26" s="42" t="s">
        <v>62</v>
      </c>
      <c r="I26" s="43" t="s">
        <v>63</v>
      </c>
      <c r="J26" s="44">
        <f>I16/D16</f>
        <v>0.56769461322607451</v>
      </c>
    </row>
    <row r="27" spans="4:10" ht="27" customHeight="1" x14ac:dyDescent="0.3">
      <c r="D27" s="45" t="s">
        <v>64</v>
      </c>
      <c r="E27" s="1" t="s">
        <v>65</v>
      </c>
      <c r="F27" s="46">
        <f>D5-D6</f>
        <v>21267</v>
      </c>
    </row>
    <row r="28" spans="4:10" ht="27" customHeight="1" x14ac:dyDescent="0.3">
      <c r="D28" s="37" t="s">
        <v>25</v>
      </c>
      <c r="E28" s="48" t="s">
        <v>66</v>
      </c>
      <c r="F28" s="39">
        <f>F24+F25*(F26/(F26+F27))</f>
        <v>21.898519492400073</v>
      </c>
    </row>
    <row r="29" spans="4:10" ht="27" customHeight="1" x14ac:dyDescent="0.3">
      <c r="D29" s="1"/>
      <c r="E29" s="1"/>
      <c r="F29" s="24"/>
    </row>
    <row r="30" spans="4:10" ht="27" customHeight="1" x14ac:dyDescent="0.3">
      <c r="D30" s="89" t="s">
        <v>67</v>
      </c>
      <c r="E30" s="90"/>
      <c r="F30" s="91"/>
    </row>
    <row r="31" spans="4:10" ht="27" customHeight="1" x14ac:dyDescent="0.3">
      <c r="D31" s="83"/>
      <c r="E31" s="84"/>
      <c r="F31" s="85"/>
    </row>
    <row r="32" spans="4:10" ht="27" customHeight="1" x14ac:dyDescent="0.3">
      <c r="D32" s="83"/>
      <c r="E32" s="84"/>
      <c r="F32" s="85"/>
    </row>
    <row r="33" spans="4:13" ht="27" customHeight="1" x14ac:dyDescent="0.3">
      <c r="D33" s="83"/>
      <c r="E33" s="84"/>
      <c r="F33" s="85"/>
      <c r="M33" s="1" t="s">
        <v>68</v>
      </c>
    </row>
    <row r="34" spans="4:13" ht="27" customHeight="1" x14ac:dyDescent="0.3">
      <c r="D34" s="45" t="s">
        <v>69</v>
      </c>
      <c r="E34" s="1" t="s">
        <v>70</v>
      </c>
      <c r="F34" s="46">
        <f>6 + 21476</f>
        <v>21482</v>
      </c>
    </row>
    <row r="35" spans="4:13" ht="27" customHeight="1" x14ac:dyDescent="0.3">
      <c r="D35" s="45" t="s">
        <v>53</v>
      </c>
      <c r="E35" s="1" t="s">
        <v>54</v>
      </c>
      <c r="F35" s="46">
        <f>A5-0.5</f>
        <v>8.8999999999999968E-2</v>
      </c>
    </row>
    <row r="36" spans="4:13" ht="27" customHeight="1" x14ac:dyDescent="0.3">
      <c r="D36" s="45" t="s">
        <v>71</v>
      </c>
      <c r="E36" s="1" t="s">
        <v>72</v>
      </c>
      <c r="F36" s="46">
        <f>(C5+0.5)-F35</f>
        <v>43.518999999999998</v>
      </c>
    </row>
    <row r="37" spans="4:13" ht="27" customHeight="1" x14ac:dyDescent="0.3">
      <c r="D37" s="45" t="s">
        <v>73</v>
      </c>
      <c r="E37" s="1" t="s">
        <v>74</v>
      </c>
      <c r="F37" s="46">
        <v>21365</v>
      </c>
    </row>
    <row r="38" spans="4:13" ht="27" customHeight="1" x14ac:dyDescent="0.3">
      <c r="D38" s="45" t="s">
        <v>75</v>
      </c>
      <c r="E38" s="1" t="s">
        <v>76</v>
      </c>
      <c r="F38" s="46">
        <v>0</v>
      </c>
    </row>
    <row r="39" spans="4:13" ht="27" customHeight="1" x14ac:dyDescent="0.3">
      <c r="D39" s="37" t="s">
        <v>77</v>
      </c>
      <c r="E39" s="48" t="s">
        <v>78</v>
      </c>
      <c r="F39" s="39">
        <f>F35+(F36/F37) * ((F34/10) - F38)</f>
        <v>4.4647320758249478</v>
      </c>
    </row>
    <row r="40" spans="4:13" ht="27" customHeight="1" x14ac:dyDescent="0.3">
      <c r="D40" s="1"/>
      <c r="E40" s="1"/>
      <c r="F40" s="24"/>
    </row>
    <row r="41" spans="4:13" ht="27" customHeight="1" x14ac:dyDescent="0.3">
      <c r="D41" s="92" t="s">
        <v>34</v>
      </c>
      <c r="E41" s="93"/>
      <c r="F41" s="94"/>
    </row>
    <row r="42" spans="4:13" ht="27" customHeight="1" x14ac:dyDescent="0.3">
      <c r="D42" s="45" t="s">
        <v>79</v>
      </c>
      <c r="E42" s="1" t="s">
        <v>80</v>
      </c>
      <c r="F42" s="41">
        <v>0.58899999999999997</v>
      </c>
    </row>
    <row r="43" spans="4:13" ht="27" customHeight="1" x14ac:dyDescent="0.3">
      <c r="D43" s="45" t="s">
        <v>8</v>
      </c>
      <c r="E43" s="1" t="s">
        <v>48</v>
      </c>
      <c r="F43" s="41">
        <v>10.77</v>
      </c>
    </row>
    <row r="44" spans="4:13" ht="27" customHeight="1" x14ac:dyDescent="0.3">
      <c r="D44" s="45" t="s">
        <v>21</v>
      </c>
      <c r="E44" s="1" t="s">
        <v>81</v>
      </c>
      <c r="F44" s="41">
        <v>21.46</v>
      </c>
    </row>
    <row r="45" spans="4:13" ht="27" customHeight="1" x14ac:dyDescent="0.3">
      <c r="D45" s="45" t="s">
        <v>9</v>
      </c>
      <c r="E45" s="1" t="s">
        <v>49</v>
      </c>
      <c r="F45" s="41">
        <v>32.14</v>
      </c>
    </row>
    <row r="46" spans="4:13" ht="27" customHeight="1" x14ac:dyDescent="0.3">
      <c r="D46" s="49" t="s">
        <v>82</v>
      </c>
      <c r="E46" s="34" t="s">
        <v>83</v>
      </c>
      <c r="F46" s="50">
        <v>421.99</v>
      </c>
    </row>
  </sheetData>
  <mergeCells count="11">
    <mergeCell ref="H19:J19"/>
    <mergeCell ref="A2:I3"/>
    <mergeCell ref="D41:F41"/>
    <mergeCell ref="A1:C1"/>
    <mergeCell ref="A4:C4"/>
    <mergeCell ref="D19:F19"/>
    <mergeCell ref="D22:F22"/>
    <mergeCell ref="D23:F23"/>
    <mergeCell ref="H24:J24"/>
    <mergeCell ref="D30:F30"/>
    <mergeCell ref="D31:F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A09-D8B2-4D5B-952A-BC6F1D98C4BC}">
  <dimension ref="A1:N29"/>
  <sheetViews>
    <sheetView zoomScale="90" zoomScaleNormal="90" workbookViewId="0">
      <selection activeCell="G25" sqref="G25"/>
    </sheetView>
  </sheetViews>
  <sheetFormatPr defaultRowHeight="14.4" x14ac:dyDescent="0.3"/>
  <cols>
    <col min="1" max="1" width="10.109375" customWidth="1"/>
    <col min="2" max="2" width="13.109375" customWidth="1"/>
    <col min="3" max="3" width="16.109375" customWidth="1"/>
    <col min="4" max="4" width="24.44140625" style="7" customWidth="1"/>
    <col min="5" max="5" width="14.88671875" customWidth="1"/>
    <col min="6" max="6" width="23" customWidth="1"/>
    <col min="7" max="7" width="24.88671875" customWidth="1"/>
    <col min="8" max="8" width="10.5546875" customWidth="1"/>
    <col min="9" max="9" width="42.44140625" customWidth="1"/>
    <col min="10" max="10" width="16" customWidth="1"/>
    <col min="13" max="13" width="30.109375" customWidth="1"/>
    <col min="14" max="14" width="18.109375" customWidth="1"/>
  </cols>
  <sheetData>
    <row r="1" spans="1:14" x14ac:dyDescent="0.3">
      <c r="A1" s="111" t="s">
        <v>36</v>
      </c>
      <c r="B1" s="111"/>
      <c r="C1" s="111"/>
      <c r="D1" s="58" t="s">
        <v>14</v>
      </c>
      <c r="E1" s="59" t="s">
        <v>116</v>
      </c>
      <c r="F1" s="60" t="s">
        <v>117</v>
      </c>
      <c r="H1" s="112" t="s">
        <v>21</v>
      </c>
      <c r="I1" s="112"/>
      <c r="J1" s="112"/>
    </row>
    <row r="2" spans="1:14" x14ac:dyDescent="0.3">
      <c r="A2" s="61">
        <v>0.59</v>
      </c>
      <c r="B2" s="61" t="s">
        <v>43</v>
      </c>
      <c r="C2" s="61">
        <v>43.11</v>
      </c>
      <c r="D2" s="62">
        <v>21365</v>
      </c>
      <c r="E2" s="53">
        <f>D2</f>
        <v>21365</v>
      </c>
      <c r="F2" s="63" t="s">
        <v>118</v>
      </c>
      <c r="H2" s="51" t="s">
        <v>21</v>
      </c>
      <c r="I2" s="51" t="s">
        <v>84</v>
      </c>
      <c r="J2" s="52">
        <f>J4+J5*((J8-J6)/J7)</f>
        <v>21.460454481628833</v>
      </c>
    </row>
    <row r="3" spans="1:14" x14ac:dyDescent="0.3">
      <c r="A3" s="64">
        <v>43.11</v>
      </c>
      <c r="B3" s="64" t="s">
        <v>43</v>
      </c>
      <c r="C3" s="64">
        <v>85.21</v>
      </c>
      <c r="D3" s="64">
        <v>98</v>
      </c>
      <c r="E3" s="53">
        <f>D2+D3</f>
        <v>21463</v>
      </c>
      <c r="F3" s="65" t="s">
        <v>119</v>
      </c>
      <c r="H3" s="51" t="s">
        <v>85</v>
      </c>
      <c r="I3" s="51" t="s">
        <v>86</v>
      </c>
      <c r="J3" s="53">
        <f>SUM(D2:D11)</f>
        <v>21476</v>
      </c>
    </row>
    <row r="4" spans="1:14" x14ac:dyDescent="0.3">
      <c r="A4" s="64">
        <v>85.21</v>
      </c>
      <c r="B4" s="64" t="s">
        <v>43</v>
      </c>
      <c r="C4" s="64">
        <v>127.3</v>
      </c>
      <c r="D4" s="64">
        <v>3</v>
      </c>
      <c r="E4" s="53">
        <f>E3+D4</f>
        <v>21466</v>
      </c>
      <c r="F4" s="66" t="s">
        <v>120</v>
      </c>
      <c r="H4" s="51" t="s">
        <v>87</v>
      </c>
      <c r="I4" s="51" t="s">
        <v>88</v>
      </c>
      <c r="J4" s="51">
        <v>0.09</v>
      </c>
    </row>
    <row r="5" spans="1:14" x14ac:dyDescent="0.3">
      <c r="A5" s="64">
        <v>127.3</v>
      </c>
      <c r="B5" s="64" t="s">
        <v>43</v>
      </c>
      <c r="C5" s="64">
        <v>169.4</v>
      </c>
      <c r="D5" s="64">
        <v>7</v>
      </c>
      <c r="E5" s="53">
        <f>E4+D5</f>
        <v>21473</v>
      </c>
      <c r="F5" s="67" t="s">
        <v>121</v>
      </c>
      <c r="H5" s="51" t="s">
        <v>89</v>
      </c>
      <c r="I5" s="51" t="s">
        <v>90</v>
      </c>
      <c r="J5" s="51">
        <v>42.52</v>
      </c>
    </row>
    <row r="6" spans="1:14" x14ac:dyDescent="0.3">
      <c r="A6" s="64">
        <v>169.4</v>
      </c>
      <c r="B6" s="64" t="s">
        <v>43</v>
      </c>
      <c r="C6" s="64">
        <v>211.5</v>
      </c>
      <c r="D6" s="64">
        <v>1</v>
      </c>
      <c r="E6" s="53">
        <f>E5+D6</f>
        <v>21474</v>
      </c>
      <c r="F6" s="68" t="s">
        <v>122</v>
      </c>
      <c r="H6" s="51" t="s">
        <v>73</v>
      </c>
      <c r="I6" s="51" t="s">
        <v>91</v>
      </c>
      <c r="J6" s="51">
        <v>0</v>
      </c>
    </row>
    <row r="7" spans="1:14" x14ac:dyDescent="0.3">
      <c r="A7" s="64">
        <v>211.5</v>
      </c>
      <c r="B7" s="64" t="s">
        <v>43</v>
      </c>
      <c r="C7" s="64">
        <v>253.6</v>
      </c>
      <c r="D7" s="64">
        <v>0</v>
      </c>
      <c r="E7" s="53">
        <f>E6+D7</f>
        <v>21474</v>
      </c>
      <c r="F7" s="69" t="s">
        <v>123</v>
      </c>
      <c r="H7" s="51" t="s">
        <v>92</v>
      </c>
      <c r="I7" s="51" t="s">
        <v>93</v>
      </c>
      <c r="J7" s="53">
        <f>D2</f>
        <v>21365</v>
      </c>
    </row>
    <row r="8" spans="1:14" x14ac:dyDescent="0.3">
      <c r="A8" s="64">
        <v>253.6</v>
      </c>
      <c r="B8" s="64" t="s">
        <v>43</v>
      </c>
      <c r="C8" s="64">
        <v>295.7</v>
      </c>
      <c r="D8" s="64">
        <v>0</v>
      </c>
      <c r="E8" s="53">
        <f>E7</f>
        <v>21474</v>
      </c>
      <c r="H8" s="51" t="s">
        <v>94</v>
      </c>
      <c r="I8" s="51" t="s">
        <v>95</v>
      </c>
      <c r="J8" s="51">
        <f>1/2*J3</f>
        <v>10738</v>
      </c>
    </row>
    <row r="9" spans="1:14" x14ac:dyDescent="0.3">
      <c r="A9" s="64">
        <v>295.7</v>
      </c>
      <c r="B9" s="64" t="s">
        <v>43</v>
      </c>
      <c r="C9" s="64">
        <v>337.79</v>
      </c>
      <c r="D9" s="64">
        <v>1</v>
      </c>
      <c r="E9" s="53">
        <f>E8+D9</f>
        <v>21475</v>
      </c>
    </row>
    <row r="10" spans="1:14" x14ac:dyDescent="0.3">
      <c r="A10" s="64">
        <v>337.79</v>
      </c>
      <c r="B10" s="64" t="s">
        <v>43</v>
      </c>
      <c r="C10" s="64">
        <v>379.89</v>
      </c>
      <c r="D10" s="64">
        <v>0</v>
      </c>
      <c r="E10" s="53">
        <f>E9</f>
        <v>21475</v>
      </c>
    </row>
    <row r="11" spans="1:14" x14ac:dyDescent="0.3">
      <c r="A11" s="64">
        <v>379.89</v>
      </c>
      <c r="B11" s="64" t="s">
        <v>43</v>
      </c>
      <c r="C11" s="64">
        <v>421.99</v>
      </c>
      <c r="D11" s="64">
        <v>1</v>
      </c>
      <c r="E11" s="53">
        <f>E10+D11</f>
        <v>21476</v>
      </c>
    </row>
    <row r="12" spans="1:14" x14ac:dyDescent="0.3">
      <c r="C12" s="7"/>
      <c r="D12" s="70">
        <f>SUM(D2:D11)</f>
        <v>21476</v>
      </c>
      <c r="H12" s="113" t="s">
        <v>96</v>
      </c>
      <c r="I12" s="114"/>
      <c r="J12" s="115"/>
      <c r="L12" s="108" t="s">
        <v>97</v>
      </c>
      <c r="M12" s="109"/>
      <c r="N12" s="110"/>
    </row>
    <row r="13" spans="1:14" x14ac:dyDescent="0.3">
      <c r="A13" s="59" t="s">
        <v>124</v>
      </c>
      <c r="B13" s="59" t="s">
        <v>125</v>
      </c>
      <c r="C13" s="59" t="s">
        <v>126</v>
      </c>
      <c r="D13" s="59" t="s">
        <v>127</v>
      </c>
      <c r="H13" s="51" t="s">
        <v>98</v>
      </c>
      <c r="I13" s="51" t="s">
        <v>99</v>
      </c>
      <c r="J13" s="51">
        <f>1/4*J3</f>
        <v>5369</v>
      </c>
      <c r="L13" s="51" t="s">
        <v>8</v>
      </c>
      <c r="M13" s="51" t="s">
        <v>100</v>
      </c>
      <c r="N13" s="51">
        <f>J15</f>
        <v>10.775227240814417</v>
      </c>
    </row>
    <row r="14" spans="1:14" x14ac:dyDescent="0.3">
      <c r="A14" s="5">
        <f xml:space="preserve"> (43.11 - 0.59)/2</f>
        <v>21.259999999999998</v>
      </c>
      <c r="B14" s="5">
        <f>A14*D2</f>
        <v>454219.89999999997</v>
      </c>
      <c r="C14" s="5">
        <f>(A14-F16)^2</f>
        <v>8.0281295955360221E-6</v>
      </c>
      <c r="D14" s="5">
        <f t="shared" ref="D14:D23" si="0">C14*A14</f>
        <v>1.7067803520109582E-4</v>
      </c>
      <c r="H14" s="51" t="s">
        <v>101</v>
      </c>
      <c r="I14" s="51" t="s">
        <v>102</v>
      </c>
      <c r="J14" s="51">
        <f>3/4*J3</f>
        <v>16107</v>
      </c>
      <c r="L14" s="51" t="s">
        <v>9</v>
      </c>
      <c r="M14" s="51" t="s">
        <v>100</v>
      </c>
      <c r="N14" s="51">
        <f>J16</f>
        <v>32.14568172244325</v>
      </c>
    </row>
    <row r="15" spans="1:14" x14ac:dyDescent="0.3">
      <c r="A15" s="5">
        <f>(C3 -A3)/2</f>
        <v>21.049999999999997</v>
      </c>
      <c r="B15" s="5">
        <f>A15*D3</f>
        <v>2062.8999999999996</v>
      </c>
      <c r="C15" s="5">
        <f>(A15-F16)^2</f>
        <v>4.5298054205214648E-2</v>
      </c>
      <c r="D15" s="5">
        <f t="shared" si="0"/>
        <v>0.95352404101976818</v>
      </c>
      <c r="H15" s="51" t="s">
        <v>8</v>
      </c>
      <c r="I15" s="51" t="s">
        <v>100</v>
      </c>
      <c r="J15" s="54">
        <f>J4+((J13-0)/D2)*J5</f>
        <v>10.775227240814417</v>
      </c>
      <c r="L15" s="51" t="s">
        <v>103</v>
      </c>
      <c r="M15" s="51" t="s">
        <v>104</v>
      </c>
      <c r="N15" s="55">
        <f xml:space="preserve"> 1/2 * (N14 - N13)</f>
        <v>10.685227240814417</v>
      </c>
    </row>
    <row r="16" spans="1:14" x14ac:dyDescent="0.3">
      <c r="A16" s="5">
        <f>(C4-A4)/2</f>
        <v>21.045000000000002</v>
      </c>
      <c r="B16" s="5">
        <f>A16*D5</f>
        <v>147.315</v>
      </c>
      <c r="C16" s="5">
        <f>(A16-F16)^2</f>
        <v>4.7451388159394071E-2</v>
      </c>
      <c r="D16" s="5">
        <f t="shared" si="0"/>
        <v>0.99861446381444829</v>
      </c>
      <c r="E16" t="s">
        <v>128</v>
      </c>
      <c r="F16">
        <f>B24/D12</f>
        <v>21.262833395418138</v>
      </c>
      <c r="H16" s="51" t="s">
        <v>9</v>
      </c>
      <c r="I16" s="51" t="s">
        <v>100</v>
      </c>
      <c r="J16" s="54">
        <f>J4+((J14-0)/D2)*J5</f>
        <v>32.14568172244325</v>
      </c>
    </row>
    <row r="17" spans="1:10" x14ac:dyDescent="0.3">
      <c r="A17" s="5">
        <f>(C5-A5)/2</f>
        <v>21.050000000000004</v>
      </c>
      <c r="B17" s="5">
        <f>A17*D5</f>
        <v>147.35000000000002</v>
      </c>
      <c r="C17" s="5">
        <f>(A17-F16)^2</f>
        <v>4.5298054205211623E-2</v>
      </c>
      <c r="D17" s="5">
        <f t="shared" si="0"/>
        <v>0.95352404101970489</v>
      </c>
    </row>
    <row r="18" spans="1:10" x14ac:dyDescent="0.3">
      <c r="A18" s="5">
        <f xml:space="preserve"> (C6-A6)/2</f>
        <v>21.049999999999997</v>
      </c>
      <c r="B18" s="5">
        <f>A18*D6</f>
        <v>21.049999999999997</v>
      </c>
      <c r="C18" s="5">
        <f>(A18-F16)^2</f>
        <v>4.5298054205214648E-2</v>
      </c>
      <c r="D18" s="5">
        <f t="shared" si="0"/>
        <v>0.95352404101976818</v>
      </c>
    </row>
    <row r="19" spans="1:10" x14ac:dyDescent="0.3">
      <c r="A19" s="5">
        <f>(C7-A7)/2</f>
        <v>21.049999999999997</v>
      </c>
      <c r="B19" s="5">
        <f>D7*A19</f>
        <v>0</v>
      </c>
      <c r="C19" s="5">
        <f>(A19-F16)^2</f>
        <v>4.5298054205214648E-2</v>
      </c>
      <c r="D19" s="5">
        <f t="shared" si="0"/>
        <v>0.95352404101976818</v>
      </c>
      <c r="E19" s="71" t="s">
        <v>129</v>
      </c>
      <c r="F19" s="71">
        <f>D24/(D12-1)</f>
        <v>4.038215549616894E-4</v>
      </c>
    </row>
    <row r="20" spans="1:10" x14ac:dyDescent="0.3">
      <c r="A20" s="5">
        <f>(C8-A8)/2</f>
        <v>21.049999999999997</v>
      </c>
      <c r="B20" s="5">
        <f>A20*D8</f>
        <v>0</v>
      </c>
      <c r="C20" s="5">
        <f>(A20-F16)^2</f>
        <v>4.5298054205214648E-2</v>
      </c>
      <c r="D20" s="5">
        <f t="shared" si="0"/>
        <v>0.95352404101976818</v>
      </c>
      <c r="E20" s="71" t="s">
        <v>130</v>
      </c>
      <c r="F20" s="71">
        <f>SQRT(F19)</f>
        <v>2.0095311765725096E-2</v>
      </c>
      <c r="H20" s="116" t="s">
        <v>105</v>
      </c>
      <c r="I20" s="117"/>
      <c r="J20" s="118"/>
    </row>
    <row r="21" spans="1:10" x14ac:dyDescent="0.3">
      <c r="A21" s="5">
        <f>(C9-A9)/2</f>
        <v>21.045000000000016</v>
      </c>
      <c r="B21" s="5">
        <f>A21*D9</f>
        <v>21.045000000000016</v>
      </c>
      <c r="C21" s="5">
        <f>(A21-F16)^2</f>
        <v>4.7451388159387882E-2</v>
      </c>
      <c r="D21" s="5">
        <f t="shared" si="0"/>
        <v>0.99861446381431873</v>
      </c>
      <c r="H21" s="51" t="s">
        <v>106</v>
      </c>
      <c r="I21" s="51" t="s">
        <v>107</v>
      </c>
      <c r="J21" s="51">
        <f>65/100 * J3</f>
        <v>13959.4</v>
      </c>
    </row>
    <row r="22" spans="1:10" x14ac:dyDescent="0.3">
      <c r="A22" s="5">
        <f>(C10-A10)/2</f>
        <v>21.049999999999983</v>
      </c>
      <c r="B22" s="5">
        <f>A22*D10</f>
        <v>0</v>
      </c>
      <c r="C22" s="5">
        <f>(A22-F16)^2</f>
        <v>4.5298054205220692E-2</v>
      </c>
      <c r="D22" s="5">
        <f t="shared" si="0"/>
        <v>0.95352404101989474</v>
      </c>
      <c r="H22" s="51"/>
      <c r="I22" s="51"/>
      <c r="J22" s="51"/>
    </row>
    <row r="23" spans="1:10" x14ac:dyDescent="0.3">
      <c r="A23" s="5">
        <f>(C11-A11)/2</f>
        <v>21.050000000000011</v>
      </c>
      <c r="B23" s="5">
        <f>A23*D11</f>
        <v>21.050000000000011</v>
      </c>
      <c r="C23" s="5">
        <f>(A23-F16)^2</f>
        <v>4.5298054205208597E-2</v>
      </c>
      <c r="D23" s="5">
        <f t="shared" si="0"/>
        <v>0.9535240410196415</v>
      </c>
      <c r="H23" s="51" t="s">
        <v>108</v>
      </c>
      <c r="I23" s="51" t="s">
        <v>109</v>
      </c>
      <c r="J23" s="56">
        <f xml:space="preserve"> J4 + J5* ((J21 - 0)/D2)</f>
        <v>27.871590826117487</v>
      </c>
    </row>
    <row r="24" spans="1:10" x14ac:dyDescent="0.3">
      <c r="B24" s="72">
        <f>SUM(B14:B23)</f>
        <v>456640.60999999993</v>
      </c>
      <c r="D24" s="7">
        <f>SUM(D14:D23)</f>
        <v>8.6720678928022803</v>
      </c>
    </row>
    <row r="26" spans="1:10" x14ac:dyDescent="0.3">
      <c r="H26" s="105" t="s">
        <v>110</v>
      </c>
      <c r="I26" s="106"/>
      <c r="J26" s="107"/>
    </row>
    <row r="27" spans="1:10" x14ac:dyDescent="0.3">
      <c r="H27" s="51" t="s">
        <v>111</v>
      </c>
      <c r="I27" s="51" t="s">
        <v>112</v>
      </c>
      <c r="J27" s="51">
        <f xml:space="preserve"> (43.11 - 0.59)/2</f>
        <v>21.259999999999998</v>
      </c>
    </row>
    <row r="28" spans="1:10" x14ac:dyDescent="0.3">
      <c r="H28" s="51" t="s">
        <v>113</v>
      </c>
      <c r="I28" s="51" t="s">
        <v>114</v>
      </c>
      <c r="J28" s="51">
        <f xml:space="preserve"> (421.99 - 379.89)/2</f>
        <v>21.050000000000011</v>
      </c>
    </row>
    <row r="29" spans="1:10" x14ac:dyDescent="0.3">
      <c r="H29" s="51"/>
      <c r="I29" s="51" t="s">
        <v>115</v>
      </c>
      <c r="J29" s="57">
        <f xml:space="preserve"> J27 -J28</f>
        <v>0.20999999999998664</v>
      </c>
    </row>
  </sheetData>
  <mergeCells count="6">
    <mergeCell ref="H26:J26"/>
    <mergeCell ref="L12:N12"/>
    <mergeCell ref="A1:C1"/>
    <mergeCell ref="H1:J1"/>
    <mergeCell ref="H12:J12"/>
    <mergeCell ref="H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tunggal</vt:lpstr>
      <vt:lpstr>Data Kelompok Hakim</vt:lpstr>
      <vt:lpstr>Data Kelompok Fatan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Fathan</dc:creator>
  <cp:lastModifiedBy>Daffa Fathan</cp:lastModifiedBy>
  <dcterms:created xsi:type="dcterms:W3CDTF">2023-10-08T15:26:04Z</dcterms:created>
  <dcterms:modified xsi:type="dcterms:W3CDTF">2023-10-11T15:52:30Z</dcterms:modified>
</cp:coreProperties>
</file>