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4"/>
    <sheet state="visible" name="test de drogas parlamentarios" sheetId="2" r:id="rId5"/>
    <sheet state="visible" name="&quot;prueba&quot;&quot;drogas&quot;&quot;parlamentarios" sheetId="3" r:id="rId6"/>
    <sheet state="visible" name="&quot;test&quot;&quot;drogas&quot;&quot;parlamentarios&quot;" sheetId="4" r:id="rId7"/>
  </sheets>
  <definedNames>
    <definedName hidden="1" localSheetId="0" name="_xlnm._FilterDatabase">consolidado!$A$1:$J$130</definedName>
    <definedName hidden="1" localSheetId="0" name="Z_701C9FD6_8769_40B1_AD3E_48179B0C1386_.wvu.FilterData">consolidado!$A$1:$J$130</definedName>
  </definedNames>
  <calcPr/>
  <customWorkbookViews>
    <customWorkbookView activeSheetId="0" maximized="1" windowHeight="0" windowWidth="0" guid="{701C9FD6-8769-40B1-AD3E-48179B0C1386}" name="Filtro 1"/>
  </customWorkbookViews>
  <extLst>
    <ext uri="GoogleSheetsCustomDataVersion1">
      <go:sheetsCustomData xmlns:go="http://customooxmlschemas.google.com/" r:id="rId8" roundtripDataSignature="AMtx7miyjOmyvqHzSU9DTlYIGNT9pz0c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======
ID#AAAAlD3nncU
Andrés González Santa Cruz    (2022-12-04 18:05:06)
SIRVE PARA CONTEXTUALIZAR</t>
      </text>
    </comment>
  </commentList>
  <extLst>
    <ext uri="GoogleSheetsCustomDataVersion1">
      <go:sheetsCustomData xmlns:go="http://customooxmlschemas.google.com/" r:id="rId1" roundtripDataSignature="AMtx7mjAuDjgBDKzUoDr5RRt+A6rI5I7c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======
ID#AAAAkdPzb0E
Andrés González Santa Cruz    (2022-12-04 04:30:47)
=filter(C:C,D:D&gt;18)</t>
      </text>
    </comment>
  </commentList>
  <extLst>
    <ext uri="GoogleSheetsCustomDataVersion1">
      <go:sheetsCustomData xmlns:go="http://customooxmlschemas.google.com/" r:id="rId1" roundtripDataSignature="AMtx7mjAz0/4Aol+VOTRKsfI3LGSmgY/gw=="/>
    </ext>
  </extLst>
</comments>
</file>

<file path=xl/sharedStrings.xml><?xml version="1.0" encoding="utf-8"?>
<sst xmlns="http://schemas.openxmlformats.org/spreadsheetml/2006/main" count="1718" uniqueCount="387">
  <si>
    <t>tipo</t>
  </si>
  <si>
    <t>fecha</t>
  </si>
  <si>
    <t>PORTADA</t>
  </si>
  <si>
    <t>crit_busq</t>
  </si>
  <si>
    <t>fuente</t>
  </si>
  <si>
    <t>OBS</t>
  </si>
  <si>
    <t>LINK</t>
  </si>
  <si>
    <t>esta_en_2</t>
  </si>
  <si>
    <t>esta_en_3</t>
  </si>
  <si>
    <t>esta_en_1</t>
  </si>
  <si>
    <t>Test de drogas: segundo grupo de diputados no arroja positivos y dos parlamentarias no se presentaron a la muestra</t>
  </si>
  <si>
    <t>https://www.latercera.com/politica/noticia/test-de-drogas-segundo-grupo-de-diputados-no-arroja-positivos-y-dos-parlamentarias-no-se-presentaron-a-la-muestra/JXVENHZ23NF5RNM77M63HIAR4Q/</t>
  </si>
  <si>
    <t>Sin positivos el segundo test de drogas a diputados: Fries y Gazmuri se negaron al examen</t>
  </si>
  <si>
    <t>https://www.biobiochile.cl/noticias/nacional/chile/2022/11/15/sin-positivos-segundo-test-de-drogas-a-diputados-fries-y-gazmuri-se-negaron-a-practicarse-el-examen.shtml</t>
  </si>
  <si>
    <t>DESCARTAR, NO EXISTEN DECLARACIONES DIRECTAS O INDIRECTAS</t>
  </si>
  <si>
    <t>Diputado Becker da negativo a test de drogas: llamó a transparentar los resultados ante la opini&amp;oac...</t>
  </si>
  <si>
    <t>https://araucanianoticias.cl/2022/diputado-becker-da-negativo-a-test-de-drogas-llam-a-transparentar-los-resultados-ante-la-opinin-pblica/1115225168</t>
  </si>
  <si>
    <t>Test de drogas a diputados: resultados de los primeros exámenes se conocerán este lunes</t>
  </si>
  <si>
    <t>https://www.latercera.com/politica/noticia/test-de-drogas-a-diputados-resultados-de-los-primeros-examenes-se-conoceran-este-lunes/5UJA3WMAFZBHPB3FKRAYHRULDM/</t>
  </si>
  <si>
    <t>Revisa la lista: Cámara sortea a los primeros 78 diputados que deberán someterse a test de drogas</t>
  </si>
  <si>
    <t>https://www.biobiochile.cl/noticias/nacional/chile/2022/08/17/revisa-la-lista-camara-sortea-a-los-primeros-78-diputados-que-deberan-someterse-a-test-de-drogas.shtml</t>
  </si>
  <si>
    <t>Comenzó aplicación de test de drogas a parlamentarios: resultados demorarán entre 10 a 15 días</t>
  </si>
  <si>
    <t>https://www.elmostrador.cl/dia/2022/08/22/comenzo-aplicacion-de-test-de-drogas-a-parlamentarios-resultados-demoraran-entre-10-a-15-dias/</t>
  </si>
  <si>
    <t>Suspenso en la Cámara: resultados de primeros test de drogas a diputados se conocerán el próximo lunes</t>
  </si>
  <si>
    <t>https://www.latercera.com/la-tercera-pm/noticia/suspenso-en-la-camara-resultados-de-primeros-test-de-drogas-a-diputados-se-conoceran-el-proximo-lunes/2EKDDZKERFDVHEZKY3CDJEEQHQ/</t>
  </si>
  <si>
    <t>Un amigo sorpresivo en la corte: INDH sale en defensa de diputadas que se rebelaron al test de drogas</t>
  </si>
  <si>
    <t>https://www.latercera.com/politica/noticia/un-amigo-sorpresivo-en-la-corte-indh-sale-en-defensa-de-diputadas-que-se-rebelaron-al-test-de-drogas/OHVWTM4CYNAFJCWYLVDPMMRHB4/</t>
  </si>
  <si>
    <t>Cámara aprueba test de drogas a diputados: iniciativa incluye que resultados sean públicos y elimina inhabilidades directas</t>
  </si>
  <si>
    <t>https://www.latercera.com/politica/noticia/camara-aprueba-test-de-drogas-a-diputados-iniciativa-incluye-que-resultados-sean-publicos-y-elimina-inhabilidades/S2YPOAAR55B3DBFA4WA23XCB7Q/</t>
  </si>
  <si>
    <t>"Necesario", "show" y "extenderlo al Gobierno": las reacciones de parlamentarios al test de drogas</t>
  </si>
  <si>
    <t>https://www.biobiochile.cl/noticias/nacional/chile/2022/08/18/necesario-show-y-extenderlo-al-gobierno-las-reacciones-de-parlamentarios-al-test-de-drogas.shtml</t>
  </si>
  <si>
    <t>Un test que incomoda: las jugadas que barajan los diputados para impedir que se publiquen los resultados de examen de drogas</t>
  </si>
  <si>
    <t>https://www.latercera.com/la-tercera-pm/noticia/un-test-que-incomoda-las-jugadas-que-barajan-los-diputados-para-impedir-que-se-publiquen-los-resultados-de-examen-de-drogas/DBQTJXCV6RE2FEBDQWOHBU2BMM/</t>
  </si>
  <si>
    <t>Test de drogas a diputados avanza en la Cámara: propuesta incluye inhabilidades y alza de secreto bancario</t>
  </si>
  <si>
    <t>https://www.latercera.com/politica/noticia/camara-discute-iniciativa-para-aplicar-test-de-drogas-a-diputados/77F7OIULPRHTZIGZ6E4CGVWSFA/</t>
  </si>
  <si>
    <t>Test de drogas: diputados oficialistas acusan maniobra política de la oposición</t>
  </si>
  <si>
    <t>https://www.biobiochile.cl/noticias/nacional/chile/2022/08/29/test-de-drogas-diputados-oficialistas-acusan-maniobra-politica-de-la-oposicion.shtml</t>
  </si>
  <si>
    <t>El test de drogas (y la ofensiva de la UDI y Jiles) que incomoda a la Cámara de Diputados</t>
  </si>
  <si>
    <t>https://www.latercera.com/la-tercera-pm/noticia/el-test-de-drogas-y-la-ofensiva-de-la-udi-y-jiles-que-incomoda-a-la-camara-de-diputados/OKARUP5GCFHGDGQMDZNQWANZRE/</t>
  </si>
  <si>
    <t>Columna de Pablo Carvacho: Test de drogas para parlamentarios</t>
  </si>
  <si>
    <t>https://www.latercera.com/la-tercera-sabado/noticia/columna-de-pablo-carvacho-test-de-drogas-para-parlamentarios/OE4Z4QHLYNAYLPH2MJFXQXRK5A/</t>
  </si>
  <si>
    <t>DESCARTAR, DECLARACIONES DE OTROS ACTORES</t>
  </si>
  <si>
    <t>Test de drogas para diputados: ¿Cómo funciona el examen de pelo para detectar el consumo?</t>
  </si>
  <si>
    <t>https://www.pauta.cl/factchecking/el-contestadog/test-de-pelo-drogas-camara-diputados-efectividad</t>
  </si>
  <si>
    <t>SACAR, FACT-CHECKING</t>
  </si>
  <si>
    <t>Corte de Apelaciones de Valparaíso da luz verde a difusión de resultados de test de drogas a diputados</t>
  </si>
  <si>
    <t>https://www.latercera.com/politica/noticia/corte-de-apelaciones-de-valparaiso-da-luz-verde-a-difusion-de-resultados-de-test-de-drogas-a-diputados/6E6OYPCLAFGXZFYXN7E2J2HGII/</t>
  </si>
  <si>
    <t>Test de drogas a políticos: un tema que causa polémica en el mundo</t>
  </si>
  <si>
    <t>https://www.latercera.com/la-tercera-sabado/noticia/test-de-drogas-a-politicos-un-tema-que-causa-polemica-en-el-mundo/QOA3MRXHWRBRVJYBPRHBK4D32M/</t>
  </si>
  <si>
    <t>SACAR, INTERNACIONAL</t>
  </si>
  <si>
    <t>Test de drogas: Cámara Baja extiende plazo para que 78 parlamentarios sorteados se realicen examen</t>
  </si>
  <si>
    <t>https://www.biobiochile.cl/noticias/nacional/chile/2022/08/31/test-de-drogas-camara-baja-extiende-plazo-para-que-78-parlamentarios-sorteados-se-realicen-examen.shtml</t>
  </si>
  <si>
    <t>Jorge Schaulsohn y test de drogas: “Es patético que los parlamentarios se presten para este show”</t>
  </si>
  <si>
    <t>https://www.ex-ante.cl/jorge-schaulsohn-y-test-de-drogas-es-patetico-que-los-parlamentarios-se-presten-para-este-show/</t>
  </si>
  <si>
    <t>Test de drogas en Cámara Baja: el debate sobre si la medida invade el derecho a la vida privada</t>
  </si>
  <si>
    <t>https://www.biobiochile.cl/noticias/nacional/chile/2022/08/21/test-de-drogas-en-camara-baja-el-debate-sobre-si-la-medida-invade-el-derecho-a-la-vida-privada.shtml</t>
  </si>
  <si>
    <t>Test de drogas: diputadas que no se realizaron la prueba entregaron sus descargos en la comisión de Ética de la Cámara</t>
  </si>
  <si>
    <t>https://www.latercera.com/politica/noticia/test-de-drogas-diputados-que-no-se-realizaron-la-prueba-entregaron-sus-descargos-en-la-comision-de-etica-de-la-camara/OFVJEWUTUNHSHNPCUN4FC33M5E/</t>
  </si>
  <si>
    <t>Comisión de Ética de la Cámara no llega a acuerdo en las sanciones para diputados que no se realizaron el test de drogas</t>
  </si>
  <si>
    <t>https://www.latercera.com/politica/noticia/comision-de-etica-de-la-camara-no-llega-a-acuerdo-en-las-sanciones-para-diputados-que-no-se-realizaron-el-test-de-drogas/NSXOHZOK4VHUBDKYIKSVXZR7IA/</t>
  </si>
  <si>
    <t>Test de drogas: ¿Influye el consumo de sustancias de los parlamentarios?</t>
  </si>
  <si>
    <t>https://www.concierto.cl/2022/08/test-de-drogas-a-parlamentarios-como-afecta-el-consumo-de-sustancias-en-el-congreso/</t>
  </si>
  <si>
    <t>El trance incómodo del Frente Amplio frente al test de drogas</t>
  </si>
  <si>
    <t>https://www.latercera.com/earlyaccess/noticia/el-trance-incomodo-del-frente-amplio-frente-al-test-de-drogas/HXD5TZWCTJG6XORTOEQYRCYJ6U/</t>
  </si>
  <si>
    <t>SACAR, EARLY ACCESS</t>
  </si>
  <si>
    <t>Corte Suprema declara admisible recurso contra test de drogas a parlamentarios</t>
  </si>
  <si>
    <t>https://www.adnradio.cl/nacional/2022/09/16/corte-suprema-declara-admisible-recurso-contra-test-de-drogas-a-parlamentarios.html</t>
  </si>
  <si>
    <t>POCA INFO REF O ESCRITA</t>
  </si>
  <si>
    <t>Informe expone accionar de la ultraderecha en Twitter para magnificar resultados del test de droga a Diputados</t>
  </si>
  <si>
    <t>https://www.elmostrador.cl/dia/2022/09/30/informe-expone-accionar-de-la-ultraderecha-en-twitter-para-magnificar-resultados-del-test-de-droga-a-diputados/</t>
  </si>
  <si>
    <t>Pamela Jiles por test de drogas a parlamentarios: “Noto un sospechoso nerviosismo ¿Qué ocultan?”</t>
  </si>
  <si>
    <t>https://www.adnradio.cl/nacional/2022/06/16/pamela-jiles-por-test-de-drogas-a-parlamentarios-noto-un-sospechoso-nerviosismo-que-ocultan.html</t>
  </si>
  <si>
    <t>Diputada Flores (RN) y test de drogas: "El que consume droga, debiera perder su cargo"</t>
  </si>
  <si>
    <t>https://www.pauta.cl/politica/camila-flores-rn-test-de-drogas-diputados-consumo-droga</t>
  </si>
  <si>
    <t>Diputada Riquelme (Ind-FA) piensa no realizarse test de drogas: acusa "vulneración de derechos"</t>
  </si>
  <si>
    <t>https://www.biobiochile.cl/noticias/nacional/chile/2022/08/17/diputada-riquelme-piensa-no-realizarse-test-de-drogas-acusa-vulneracion-de-derechos.shtml</t>
  </si>
  <si>
    <t>Sofía Salas: ¿Publicidad necesaria o show mediático?</t>
  </si>
  <si>
    <t>https://ellibero.cl/opinion/publicidad-necesaria-o-show-mediatico/</t>
  </si>
  <si>
    <t>Test de drogas a diputados y cambios al uso recreacional de la marihuana prenden el debate</t>
  </si>
  <si>
    <t>https://www.eldesconcierto.cl/reportajes/2022/10/09/test-de-drogas-a-diputados-y-cambios-al-uso-recreacional-de-la-marihuana-prenden-el-debate.html</t>
  </si>
  <si>
    <t>Test de drogas en el Congreso: Corte de Apelaciones da golpe a diputadas oficialistas</t>
  </si>
  <si>
    <t>https://www.eldesconcierto.cl/nacional/2022/09/27/test-de-drogas-en-el-congreso-corte-de-apelaciones-da-golpe-a-parlamentarias-oficialistas.html</t>
  </si>
  <si>
    <t>Test de drogas en el Congreso: reglamento fue aprobado en general en la Cámara</t>
  </si>
  <si>
    <t>https://www.24horas.cl/actualidad/politica/test-de-drogas-en-el-congreso-reglamento-fue-aprobado-en-general</t>
  </si>
  <si>
    <t>SACAR, AUDIOVISUAL</t>
  </si>
  <si>
    <t>“Los tengo identificados”: Doctora Cordero arremete contra parlamentarios por test de drogas</t>
  </si>
  <si>
    <t>https://www.adnradio.cl/espectaculos/2022/07/14/los-tengo-identificados-doctora-cordero-arremete-contra-parlamentarios-por-test-de-drogas.html</t>
  </si>
  <si>
    <t>Los diputados chilenos dieron negativo en el test de drogas</t>
  </si>
  <si>
    <t>https://www.heraldo.es/noticias/internacional/2022/09/28/diputados-chilenos-dieron-negativo-test-drogas-1602449.html</t>
  </si>
  <si>
    <t>Presupuesto 2022: Cámara de Diputados aprueba indicación de la UDI que destina recursos para test de drogas a parlamentarios</t>
  </si>
  <si>
    <t>https://www.elmostrador.cl/dia/2021/11/04/presupuesto-2022-camara-de-diputados-aprueba-indicacion-de-la-udi-que-destina-recursos-para-test-de-drogas-a-parlamentarios/</t>
  </si>
  <si>
    <t>Primera ministra de Finlandia da negativo en test de drogas realizado tras polémico vídeo</t>
  </si>
  <si>
    <t>https://www.elmostrador.cl/dia/2022/08/22/primera-ministra-de-finlandia-da-negativo-en-test-de-drogas-realizado-tras-polemico-video/</t>
  </si>
  <si>
    <t>[VIDEO] 78 diputados fueron sorteados para inédito test de drogas en el Congreso</t>
  </si>
  <si>
    <t>https://www.t13.cl/videos/politica/video-78-diputados-fueron-sorteados-inedito-test-drogas-congreso</t>
  </si>
  <si>
    <t>Parlamentarios se refieren a test de drogas en el Congreso</t>
  </si>
  <si>
    <t>https://www.13.cl/programas/tu-dia/noticias/parlamentarios-se-refieren-a-test-de-drogas-en-el-congreso</t>
  </si>
  <si>
    <t>Proponen realizar test de drogas y alcohol a personas que trabajan con menores de edad</t>
  </si>
  <si>
    <t>https://www.eldinamo.cl/politica/Proponen-realizar-test-de-drogas-y-alcohol-a-personas-que-trabajan-con-menores-de-edad-20221010-0010.html</t>
  </si>
  <si>
    <t>NO ES DIRECTAMENTE LA LEY</t>
  </si>
  <si>
    <t>“No solo no me avergüenzo…”: diputada Gazmuri reconoció consumo de cannabis y lanzó dura crítica al test de drogas en la Cámara</t>
  </si>
  <si>
    <t>https://www.theclinic.cl/2022/08/01/diputada-ana-maria-gazmuri-consumo-cannabis-critica-test-drogas-camara/</t>
  </si>
  <si>
    <t>Avanza proyecto que busca hacer test de drogas a parlamentarios</t>
  </si>
  <si>
    <t>https://www.concierto.cl/2022/06/avanza-en-el-congreso-proyecto-de-ley-que-busca-hacer-test-de-drogas-a-parlamentarios/</t>
  </si>
  <si>
    <t>ENTREVISTA, PERO RESUMEN, DEJAR; DESCARTAR, DECLARACIONES DE OTROS ACTORES</t>
  </si>
  <si>
    <t>Requisitos para ser parlamentario</t>
  </si>
  <si>
    <t>https://elpinguino.com/noticia/2022/11/13/requisitos-para-ser-parlamentario</t>
  </si>
  <si>
    <t>VER SI ES DUPLICADO. OPINION</t>
  </si>
  <si>
    <t>Ana María Gazmuri por proyecto de test de drogas en Cámara; "Va en la dirección equivocada"</t>
  </si>
  <si>
    <t>https://www.24horas.cl/programas/noticias-24/ana-maria-gazmuri-por-proyecto-de-test-de-drogas-en-camara-va-direccion-equivocada</t>
  </si>
  <si>
    <t>Diputado Barria pide aplicar "test psiquiátrico" a parlamentarios tras agresión de De la Carrera</t>
  </si>
  <si>
    <t>https://www.biobiochile.cl/noticias/nacional/region-de-los-lagos/2022/08/31/diputado-barria-pide-aplicar-test-psiquiatrico-a-parlamentarios-tras-agresion-de-de-la-carrera.shtml</t>
  </si>
  <si>
    <t>Corte de Valparaíso rechaza solicitud de dictar orden de no innovar por test de drogas a diputados. - Diario Constitucional</t>
  </si>
  <si>
    <t>https://www.diarioconstitucional.cl/2022/09/27/corte-de-valparaiso-rechaza-solicitud-de-dictar-orden-de-no-innovar-por-test-de-drogas-a-diputados/</t>
  </si>
  <si>
    <t>VER SI ES DUPLICADO; DESCARTAR, NO EXISTEN DECLARACIONES DIRECTAS O INDIRECTAS</t>
  </si>
  <si>
    <t>“No hagan la cimarra”: De la Carrera y su provocador tuit a diputados frenteamplistas tras ser sorteados a test de drogas</t>
  </si>
  <si>
    <t>https://www.publimetro.cl/social/2022/08/17/no-hagan-la-cimarra-de-la-carrera-y-su-provocador-tuit-a-diputados-frenteamplistas-tras-ser-sorteados-a-test-de-drogas/</t>
  </si>
  <si>
    <t>Urruticoechea tilda de "imprudente" recurso presentado por diputadas en contra de test de drogas</t>
  </si>
  <si>
    <t>https://www.biobiochile.cl/noticias/nacional/region-del-bio-bio/2022/09/20/urritiacoechea-tilda-de-imprudente-recurso-presentado-por-diputadas-en-contra-de-test-de-drogas.shtml</t>
  </si>
  <si>
    <t>Diputados UDI: "El INDH se transformó en un problema para la democracia cuando fue capturado por el PC y el FA"</t>
  </si>
  <si>
    <t>https://www.adprensa.cl/politica/diputados-udi-el-indh-se-transformo-en-un-problema-para-la-democracia-cuando-fue-capturado-por-el-pc-y-el-fa/</t>
  </si>
  <si>
    <t>Diputada Paula Labra (RN-IND) se ofrece voluntaria a hacer el test de droga ante negativa de algunos parlamentarios de cumplir con requerimiento</t>
  </si>
  <si>
    <t>https://www.adprensa.cl/politica/diputada-paula-labra-rn-ind-se-ofrece-voluntaria-a-hacer-el-test-de-droga-ante-negativa-de-algunos-parlamentarios-de-cumplir-con-requerimiento/</t>
  </si>
  <si>
    <t>Diputado Felipe Donoso exige al Gobierno que se aplique test de drogas a funcionarios del poder Legislativo y Ejecutivo</t>
  </si>
  <si>
    <t>https://vivimoslanoticia.cl/noticias/actualidad/politica/2022/06/20/diputado-felipe-donoso-exige-al-gobierno-que-se-aplique-test-de-drogas-a-funcionarios-del-poder-legislativo-y-ejecutivo/</t>
  </si>
  <si>
    <t>“Le rogaría que me explicara…”: la dura pregunta que José Luis Repenning le arrojó a Camila Flores por debate sobre test de drogas a diputados</t>
  </si>
  <si>
    <t>https://www.theclinic.cl/2022/08/18/jose-luis-repenning-intercambio-camila-flores-test-drogas/</t>
  </si>
  <si>
    <t>Doctora Cordero cuestionó test de drogas a parlamentarios: “Está todo arreglado”</t>
  </si>
  <si>
    <t>https://www.duplos.cl/tendencias/doctora-cordero-cuestiono-test-de-drogas-a-parlamentarios-esta-todo-arreglado/72578/2022/10/07/</t>
  </si>
  <si>
    <t>Diputada Pamela Jiles: "No puede haber plata mejor gastada que para saber si tenemos narcodiputados"</t>
  </si>
  <si>
    <t>https://www.biobiochile.cl/biobiotv/programas/podria-ser-peor/2022/07/14/diputada-pamela-jiles-no-puede-haber-plata-mejor-gastada-que-para-saber-si-tenemos-narcodiputados.shtml</t>
  </si>
  <si>
    <t>Cristian Camargo, director del Laboratorio de Análisis Antidoping : “Alguien que es adicto a una droga es fácil de corromper”</t>
  </si>
  <si>
    <t>https://www.latercera.com/la-tercera-sabado/noticia/cristian-camargo-director-del-laboratorio-de-analisis-antidoping-alguien-que-es-adicto-a-una-droga-es-facil-de-corromper/FZPC7CX3SRDZBDZ3FLVKNYMI5A/</t>
  </si>
  <si>
    <t>Corte Suprema admite recurso contra Test de Drogas en la Cámara de Diputadas y Diputados</t>
  </si>
  <si>
    <t>https://www.revistadefrente.cl/corte-suprema-admite-recurso-contra-test-de-drogas-en-la-camara-de-diputadas-y-diputados/</t>
  </si>
  <si>
    <t>Diputado Gaspar Rivas (PDG) critica posturas de los sectores políticos de la Cámara acerca del test de drogas</t>
  </si>
  <si>
    <t>https://g5noticias.cl/2022/07/13/diputado-gaspar-rivas-pdg-critica-posturas-de-los-sectores-politicos-de-la-camara-acerca-del-test-de-drogas/</t>
  </si>
  <si>
    <t>Ciber acoso y hostigamiento a diputadas por test de Drogas: ¿Cuál es el límite de la persecución anti narcóticos dentro de la Cámara?</t>
  </si>
  <si>
    <t>https://www.elciudadano.com/actualidad/ciber-acoso-y-hostigamiento-a-diputadas-por-test-de-drogas-cual-es-el-limite-de-la-persecucion-anti-narcoticos-dentro-de-la-camara/09/29/</t>
  </si>
  <si>
    <t>OPINION. PERO TIENE DECLARACIONES</t>
  </si>
  <si>
    <t>Radio Bío Bío | Entrevista a Aleida Kulikoff, académica y toxicóloga de la Escuela de Química y Farmacia UNAB</t>
  </si>
  <si>
    <t>https://noticias.unab.cl/radio-bio-bio-entrevista-a-aleida-kulikoff-academica-y-toxicologa-de-la-escuela-de-quimica-y-farmacia-unab/</t>
  </si>
  <si>
    <t>VER SI ES DUPLICADO. ENTREVISTA A EXPERTO; DESCARTAR, DECLARACIONES DE OTROS ACTORES</t>
  </si>
  <si>
    <t>«Evitamos bajar a los genitales»: la singular anécdota del diputado Romero al tomarse muestra de pelo para el examen de drogas</t>
  </si>
  <si>
    <t>https://www.theclinic.cl/2022/09/28/anecdota-diputado-leonidas-romero-muestra-pelo-examen-drogas/</t>
  </si>
  <si>
    <t>¿Qué dice la ley (y el reglamento de la Cámara) sobre el consumo de alcohol en el trabajo?</t>
  </si>
  <si>
    <t>https://www.t13.cl/noticia/politica/nacional/que-dice-ley-y-reglamento-camara-consumo-alcohol-trabajo-18-08-2022</t>
  </si>
  <si>
    <t>Cámara sortea a los primeros parlamentarios para iniciar test de drogas. - Diario Constitucional</t>
  </si>
  <si>
    <t>https://www.diarioconstitucional.cl/2022/08/18/camara-sortea-a-los-primeros-parlamentarios-para-iniciar-test-de-drogas/</t>
  </si>
  <si>
    <t>Emilia Schneider se refirió a su adicción a las drogas en la adolescencia: "Consumí muchas sustancias pelig...</t>
  </si>
  <si>
    <t>https://www.eldinamo.cl/pais/Emilia-Schneider-se-refirio-a-su-adiccion-a-las-drogas-en-la-adolescencia-Consumi-muchas-sustancias-peligrosas-20221022-0014.html</t>
  </si>
  <si>
    <t>"No voy a satanizar el consumo de drogas": José Antonio Neme admitió haber probado marihuana</t>
  </si>
  <si>
    <t>https://www.eldinamo.cl/entretencion/No-voy-a-satanizar-el-consumo-de-drogas-Jose-Antonio-Neme-admitio-haber-probado-marihuana-20220616-0028.html</t>
  </si>
  <si>
    <t>Francisco Pulgar es el primer diputado del Maule que se someterse al test de drogas</t>
  </si>
  <si>
    <t>https://vivimoslanoticia.cl/noticias/actualidad/politica/2022/08/24/francisco-pulgar-es-el-primer-diputado-del-maule-que-se-someterse-al-test-de-drogas/</t>
  </si>
  <si>
    <t>La polémica entre Kast y Sáez por el consumo de marihuana del diputado RD</t>
  </si>
  <si>
    <t>https://www.eldinamo.cl/politica/La-polemica-entre-Kast-y-Saez-por-el-consumo-de-marihuana-del-diputado-RD-20220731-0010.html</t>
  </si>
  <si>
    <t>[VIDEO] Diputados deberán someterse a test de drogas</t>
  </si>
  <si>
    <t>https://www.t13.cl/videos/politica/diputados-deberan-someterse-test-drogas</t>
  </si>
  <si>
    <t>Juan Antonio Coloma (UDI): "Quisimos agregar una reforma que obligue a los ministro y al Presidente a realizarse el test de droga"</t>
  </si>
  <si>
    <t>https://www.24horas.cl/programas/noticias-24/juan-antonio-coloma-udi-quisimos-agregar-una-reforma-que-obligue-test-droga</t>
  </si>
  <si>
    <t>Cuatro detenidos en taller clandestino que modificaba armas en La Pintana</t>
  </si>
  <si>
    <t>https://www.maray.cl/cuatro-detenidos-en-taller-clandestino-que-modificaba-armas-en-la-pintana/</t>
  </si>
  <si>
    <t>SACAR, NO RELACIONADO</t>
  </si>
  <si>
    <t>Diputado Coloma pide darle urgencia a proyecto de ley que extiende a otros poderes del Estado el test antidrogas</t>
  </si>
  <si>
    <t>https://www.publimetro.cl/noticias/2022/08/18/diputado-coloma-pide-darle-urgencia-a-proyecto-de-ley-que-extiende-a-otros-poderes-del-estado-el-test-antidrogas/</t>
  </si>
  <si>
    <t>El Senado vetó los controles de droga como los que pide Vox para no ofender a los parlamentarios</t>
  </si>
  <si>
    <t>https://www.abc.es/espana/comunidad-valenciana/abci-senado-veto-controles-droga-pide-para-no-ofender-parlamentarios-202006161733_noticia.html</t>
  </si>
  <si>
    <t>63 diputados confesaron que consumieron algún tipo de drogas alguna vez</t>
  </si>
  <si>
    <t>https://www.cnnchile.com/pais/63-diputados-confesaron-que-consumieron-algun-tipo-de-drogas-alguna-vez_20190506/</t>
  </si>
  <si>
    <t>Vendían en el persa Biobío: Detienen a narcotraficantes que importaban droga desde Cali</t>
  </si>
  <si>
    <t>https://www.t13.cl/noticia/nacional/detienen-miembros-narcos-colombianos-droga-cali-persa-biobio-23-08-2022</t>
  </si>
  <si>
    <t>SACAR, NO RELACIONADO (2022-12-27)</t>
  </si>
  <si>
    <t>Por controversiales dichos, diputado Gonzalo de la Carrera será llevado al Tribunal de Ética de la Cámara</t>
  </si>
  <si>
    <t>https://www.elmostrador.cl/dia/2022/08/18/por-controversiales-dichos-diputado-gonzalo-de-la-carrera-sera-llevado-al-tribunal-de-etica-de-la-camara/</t>
  </si>
  <si>
    <t>Jefe de la Bancada Republicana y llamado de Vallejo a que oposición se ponga de acuerdo por Plebiscito: "Dejen de intervenir en un proceso democrático que nos pertenece a todos"</t>
  </si>
  <si>
    <t>https://partidorepublicanodechile.cl/jefe-de-la-bancada-republicana-y-llamado-de-vallejo-a-que-oposicion-se-ponga-de-acuerdo-por-plebiscito-dejen-de-intervenir-en-un-proceso-democratico-que-nos-pertenece-a-todos/</t>
  </si>
  <si>
    <t>Debutó este lunes la rendición de la PAES en todo Chile, examen que reemplaza a la PDT de transición y a la antigua PSU</t>
  </si>
  <si>
    <t>https://publimicro.cl/debuto-este-lunes-la-rendicion-de-la-paes-en-todo-chile-examen-que-reemplaza-a-la-pdt-de-transicion-y-a-la-antigua-psu/</t>
  </si>
  <si>
    <t>Presupuesto 2023: Gobierno lo presentará esta semana al Congreso</t>
  </si>
  <si>
    <t>https://www.elmostrador.cl/dia/2022/09/26/presupuesto-2023-gobierno-lo-presentara-esta-semana-al-congreso/</t>
  </si>
  <si>
    <t>Debía vigilar a narcos y era uno de ellos: así operaba funcionario de gobierno condenado por tráfico</t>
  </si>
  <si>
    <t>https://www.t13.cl/noticia/nacional/debia-vigilar-narcos-era-uno-asi-operaba-funcionario-gobierno-condenado-trafico-28-09-2022</t>
  </si>
  <si>
    <t>El tenso cruce entre Karol Cariola y Pamela Jiles</t>
  </si>
  <si>
    <t>https://www.t13.cl/noticia/politica/sexto-retiro-cruce-karol-cariola-y-pamela-jiles-04-07-2022</t>
  </si>
  <si>
    <t>“Como somos mujeres podemos, hemos aprendido a hacer varias cosas a la vez”: la respuesta de Tohá a diputados que reclamaron no ser escuchados en la Cámara</t>
  </si>
  <si>
    <t>https://www.latercera.com/politica/noticia/como-somos-mujeres-hemos-aprendido-a-hacer-varias-cosas-a-la-vez-la-respuesta-de-toha-a-diputados-que-reclamaron-no-ser-escuchados-en-la-camara/433TGBRNGBCURLMX57VBHIY6WY/</t>
  </si>
  <si>
    <t>Cámara denuncia amenazas contra diputados por continuidad del proceso constituyente</t>
  </si>
  <si>
    <t>https://www.eldinamo.cl/politica/Camara-denuncia-amenazas-contra-diputados-por-continuidad-del-proceso-constituyente-20220911-0001.html</t>
  </si>
  <si>
    <t>Los otros políticos que han vinculado a parlamentarios con el consumo de drogas</t>
  </si>
  <si>
    <t>https://www.latercera.com/politica/noticia/los-otros-politicos-vinculado-parlamentarios-consumo-drogas/860612/</t>
  </si>
  <si>
    <t>Moller &amp; Pérez-Cotapos presenta: Presidente de la Cámara de Diputados por dichos de Boric si gana el Rechazo: "Ninguno puede imponer su posición"</t>
  </si>
  <si>
    <t>https://ellibero.cl/newsletter/moller-perez-cotapos-presenta-presidente-de-la-camara-de-diputados-por-dichos-de-boric-si-gana-el-rechazo-ninguno-puede-imponer-su-posicion/</t>
  </si>
  <si>
    <t>A un acuerdo total habrían llegado gremio de camioneros y el Gobierno, con lo cual se pone fin al paro en todo Chile</t>
  </si>
  <si>
    <t>https://publimicro.cl/a-un-acuerdo-total-habrian-llegado-gremio-de-camioneros-y-el-gobierno-con-lo-cual-se-pone-fin-al-paro-en-todo-chile/</t>
  </si>
  <si>
    <t>Bulnes: Equipo municipal se sometió a examen de detección de drogas</t>
  </si>
  <si>
    <t>https://www.ladiscusion.cl/bulnes-equipo-municipal-se-sometio-a-examen-de-deteccion-de-drogas/</t>
  </si>
  <si>
    <t>NO RELACIONADO PERO TIENE UNA FRASE</t>
  </si>
  <si>
    <t>Organización Mundial de la salud le asignó un nuevo nombre a la Viruela del Mono para evitar burlas y comentarios racistas</t>
  </si>
  <si>
    <t>https://publimicro.cl/organizacion-mundial-de-la-salud-le-asigno-un-nuevo-nombre-a-la-viruela-del-mono-para-evitar-burlas-y-comentarios-racistas/</t>
  </si>
  <si>
    <t>Saludo a la bandera</t>
  </si>
  <si>
    <t>https://www.latercera.com/opinion/noticia/saludo-a-la-bandera/VAU6NHMQIVBPFIWGX6SIDJRKSM/</t>
  </si>
  <si>
    <t>COVID-19: Casos confirmados disminuyen 16% en los últimos 7 días. Este domingo se reportaron 4.077 nuevos contagios y 20 fallecidos</t>
  </si>
  <si>
    <t>https://publimicro.cl/covid-19-casos-confirmados-disminuyen-16-en-los-ultimos-7-dias-este-domingo-se-reportaron-4-077-nuevos-contagios-y-20-fallecidos/</t>
  </si>
  <si>
    <t>Diputada Camila Flores, reconoce que se sorprendió gratamente con el apoyo de Irina Karamanos, tras sufrir “violencia ginecológica en el parto”, que la tuvo hospitalizada por semanas</t>
  </si>
  <si>
    <t>https://publimicro.cl/diputada-camila-flores-reconoce-que-se-sorprendio-gratamente-con-el-apoyo-de-irina-karamanos-tras-sufrir-violencia-ginecologica-en-el-parto-que-la-tuvo-hospitalizada-por-semanas/</t>
  </si>
  <si>
    <t>Diputado Francisco Pulgar y test de drogas: “Es un gran paso en materia de transparencia”</t>
  </si>
  <si>
    <t>https://vivimoslanoticia.cl/noticias/actualidad/politica/2022/09/28/diputado-francisco-pulgar-y-test-de-drogas-es-un-gran-paso-en-materia-de-transparencia/</t>
  </si>
  <si>
    <t>Nelson Ávila, agricultor y escritor: “Fui tildado como el niño símbolo de la cannabis, pero las veces que consumí fueron muy esporádicas”</t>
  </si>
  <si>
    <t>https://www.theclinic.cl/2022/10/01/entrevista-canalla-nelson-avila-agricultor-escritor/</t>
  </si>
  <si>
    <t>ENTREVISTA; DESCARTAR, DECLARACIONES DE OTROS ACTORES</t>
  </si>
  <si>
    <t>Florcita, drogas y prejuicios: "Piensan que la gente de izquierda se mete cualquier cosa a la boca"</t>
  </si>
  <si>
    <t>https://www.latercera.com/la-tercera-pm/noticia/florcita-drogas-y-prejuicios-piensan-que-la-gente-de-izquierda-se-mete-cualquier-cosa-a-la-boca/600542/</t>
  </si>
  <si>
    <t>DESCARTAR, DECLARACIONES DE OTROS ACTORES (2022-12-28)</t>
  </si>
  <si>
    <t>TPP11: Senado votará este miércoles el tratado a pesar de resistencia oficialista</t>
  </si>
  <si>
    <t>https://www.latercera.com/politica/noticia/tpp11-senado-votara-este-miercoles-el-tratado-a-pesar-de-resistencia-oficialista/KW4JULCXQ5B7ZNRHKXVIWRCMJI/</t>
  </si>
  <si>
    <t>Wladimir Pizarro Baltras, el operador político narco que ahora RN desconoce</t>
  </si>
  <si>
    <t>https://www.elmostrador.cl/noticias/pais/2022/09/21/wladimir-pizarro-baltras-el-operador-politico-narco-que-rn-desconoce/</t>
  </si>
  <si>
    <t>Boric se molestó con la prensa por pregunta sobre fecha del test de drogas: "Basta de instalar mentiras"</t>
  </si>
  <si>
    <t>https://www.lanacion.cl/boric-se-molesto-con-la-prensa-por-pregunta-sobre-fecha-del-test-de-drogas-basta-de-instalar-mentiras/</t>
  </si>
  <si>
    <t>Ipsos: Confianza de los consumidores chilenos vuelve a bajar durante noviembre</t>
  </si>
  <si>
    <t>https://publimicro.cl/ipsos-confianza-de-los-consumidores-chilenos-vuelve-a-bajar-durante-noviembre/</t>
  </si>
  <si>
    <t>Paro de camioneros: Fantasma de desabastecimiento o menores productos, sumado a posibles aumentos de precios, intimida transversalmente</t>
  </si>
  <si>
    <t>https://publimicro.cl/paro-de-camioneros-fantasma-de-desabastecimiento-o-menores-productos-sumado-a-posibles-aumentos-de-precios-intimida-transversalmente/</t>
  </si>
  <si>
    <t>Presidente de la Cámara realizó convocatoria para "retomar y dar continuidad a la mesa de conversación constitucional"</t>
  </si>
  <si>
    <t>https://www.meganoticias.cl/nacional/393826-diputado-raul-soto-convoca-retomar-conversacion-constitucional-22-10-2022.html</t>
  </si>
  <si>
    <t>Chile impulsa el primer Foro Anual Sobre Defensoras y Defensores de DDHH en Asuntos Ambientales</t>
  </si>
  <si>
    <t>https://publimicro.cl/chile-impulsa-el-primer-foro-anual-sobre-defensoras-y-defensores-de-ddhh-en-asuntos-ambientales/</t>
  </si>
  <si>
    <t>Columna de Diana Aurenque: La era de las drogas</t>
  </si>
  <si>
    <t>https://www.latercera.com/opinion/noticia/columna-de-diana-aurenque-la-era-de-las-drogas/CBER3EK6ABCGTKVDXBW4YTJBLM/</t>
  </si>
  <si>
    <t>OPINION. NO LO ABORDA DIRECTAMENTE PERO DEJAR; DESCARTAR, DECLARACIONES DE OTROS ACTORES</t>
  </si>
  <si>
    <t xml:space="preserve">11/15/2022	</t>
  </si>
  <si>
    <t>Diputados chilenos dan negativo a segundo test de drogas</t>
  </si>
  <si>
    <t>https://www.swissinfo.ch/spa/chile-parlamento_diputados-chilenos-dan-negativo-a-segundo-test-de-drogas/48058682</t>
  </si>
  <si>
    <t>09/28/2022</t>
  </si>
  <si>
    <t>Ningún diputado dio positivo a polémico test de drogas: tres se negaron a practicarse el examen</t>
  </si>
  <si>
    <t>https://www.biobiochile.cl/noticias/nacional/chile/2022/09/28/ningun-diputado-habria-dado-positivo-a-drogas-duras-tras-someterse-a-test-tres-se-negaron-al-examen.shtml</t>
  </si>
  <si>
    <t>07/13/2022</t>
  </si>
  <si>
    <t>Resultados serán públicos: Cámara aprueba aplicar test de droga aleatorios a diputados</t>
  </si>
  <si>
    <t>https://www.biobiochile.cl/noticias/nacional/chile/2022/07/13/resultados-seran-publicos-camara-aprueba-aplicar-test-de-droga-aleatorios-a-diputados.shtml</t>
  </si>
  <si>
    <t>11/15/2022</t>
  </si>
  <si>
    <t>SWI swissinfo.ch en españolHace 14 días</t>
  </si>
  <si>
    <t>VER SI ES DUPLICADO</t>
  </si>
  <si>
    <t>08/18/2022</t>
  </si>
  <si>
    <t>Primera diputada que no quiere realizarse test de drogas: “El procedimiento ha infringido nuestra privacidad”</t>
  </si>
  <si>
    <t>https://www.publimetro.cl/noticias/2022/08/18/primera-diputada-que-no-quiere-realizarse-test-de-drogas-el-procedimiento-ha-infringido-nuestra-privacidad/</t>
  </si>
  <si>
    <t>11/25/2022</t>
  </si>
  <si>
    <t>Escáner a José Morales: ¿Qué piensa el candidato a fiscal nacional?</t>
  </si>
  <si>
    <t>https://www.latercera.com/la-tercera-sabado/noticia/escaner-a-jose-morales-que-piensa-el-candidato-a-fiscal-nacional/WJHF3UQUWJENLIXOVLRVOXR22Q/</t>
  </si>
  <si>
    <t>Diputado Sáez reafirma su consumo de marihuana y dice que test de drogas es “pirotecnia propagandística”</t>
  </si>
  <si>
    <t>https://www.eldinamo.cl/politica/Diputado-Saez-reafirma-su-consumo-de-marihuana-y-dice-que-test-de-drogas-es-pirotecnia-propagandistica-20220818-0016.html</t>
  </si>
  <si>
    <t>08/30/2022</t>
  </si>
  <si>
    <t>Diputados de la región de Antofagasta se sometieron a test de drogas</t>
  </si>
  <si>
    <t>https://www.antofagasta.tv/antofagasta/test-de-drogas-a-tres-parlamentario-de-la-region-de-antofagasta/2022/08/30/630e908ffa49d5000a5b50ba</t>
  </si>
  <si>
    <t>09/27/2022</t>
  </si>
  <si>
    <t>VER SI ES DUPLICADO. Venía como "Noticias Universidad Andrés Bello"</t>
  </si>
  <si>
    <t>TURQUÍIA Ankara: El líder de la oposición es la primera víctima de la ley de desinformación</t>
  </si>
  <si>
    <t>https://www.asianews.it/noticias-es/Ankara:-El-l%C3%ADder-de-la-oposici%C3%B3n-es-la-primera-v%C3%ADctima-de-la-ley-de-desinformaci%C3%B3n-57027.html</t>
  </si>
  <si>
    <t>Diputada Gazmuri: "También fumo y no me avergüenzo, cultivo plantas en mi casa"</t>
  </si>
  <si>
    <t>https://cooperativa.cl/noticias/sociedad/salud/drogas/diputada-gazmuri-tambien-fumo-y-no-me-averguenzo-cultivo-plantas-en/2022-08-01/085841.html</t>
  </si>
  <si>
    <t>08/22/2022</t>
  </si>
  <si>
    <t>El PSOE y sus socios parlamentarios acuerdan sustituir las multas por consumir droga en la calle por “actividades de reeducación”</t>
  </si>
  <si>
    <t>https://elpais.com/espana/2022-09-22/el-psoe-y-sus-socios-parlamentarios-acuerdan-sustituir-las-multas-por-consumir-droga-en-la-calle-por-actividades-de-reeducacion.html</t>
  </si>
  <si>
    <t>08/19/2022</t>
  </si>
  <si>
    <t>La primera ministra de Finlandia se somete a un test de drogas para "limpiar su reputación"</t>
  </si>
  <si>
    <t>https://www.elnacional.cat/es/internacional/primera-ministra-finlandia-somete-test-drogas-limpiar-reputacion_871104_102.html</t>
  </si>
  <si>
    <t>Diputados amenazan con instancias internacionales si se publican resultados de test de drogas</t>
  </si>
  <si>
    <t>https://www.eldinamo.cl/politica/Diputados-amenazan-con-instancias-internacionales-si-se-publican-resultados-de-test-de-drogas-20220927-0035.html</t>
  </si>
  <si>
    <t>06/28/2022</t>
  </si>
  <si>
    <t>Comisión rechaza que resultados de test de drogas a los parlamentarios sean públicos</t>
  </si>
  <si>
    <t>https://www.t13.cl/noticia/politica/comision-rechaza-resultados-test-drogas-parlamentarios-sean-publicos-28-06-2022</t>
  </si>
  <si>
    <t>La Cámara de Diputados aprueba realizar test de drogas a diputados</t>
  </si>
  <si>
    <t>https://www.pauta.cl/nacional/test-droga-camara-aprobacion-diputados-congreso-aprueba</t>
  </si>
  <si>
    <t>11/13/2022</t>
  </si>
  <si>
    <t>11/16/2022</t>
  </si>
  <si>
    <t>Segundo grupo de diputados dio negativo a test de drogas</t>
  </si>
  <si>
    <t>https://laprensaaustral.cl/2022/11/16/segundo-grupo-de-diputados-dio-negativo-a-test-de-drogas/</t>
  </si>
  <si>
    <t>07/19/2022</t>
  </si>
  <si>
    <t>Hackeo al EMCO: Consejo para la Transparencia da 10 días hábiles para entregar antecedentes</t>
  </si>
  <si>
    <t>https://www.t13.cl/noticia/nacional/hackeo-emco-consejo-transparencia-10-dias-habiles-entregar-antecedentes-28-09-2022</t>
  </si>
  <si>
    <t>Diputado Soto por dichos de Presidente Boric sobre “redundancia” de plebiscito de entrada ante eventual triunfo del Rechazo: “Ninguno puede imponer su posición”</t>
  </si>
  <si>
    <t>https://www.elmostrador.cl/dia/2022/08/22/diputado-soto-por-dichos-de-presidente-boric-sobre-redundancia-de-plebiscito-de-entrada-ante-eventual-triunfo-del-rechazo-ninguno-puede-imponer-su-posicion/</t>
  </si>
  <si>
    <t>09/29/2022</t>
  </si>
  <si>
    <t>Marihuana y cocaína: Estudio revela aumento en el consumo de estas drogas</t>
  </si>
  <si>
    <t>https://www.futuro.cl/2022/09/marihuana-y-cocaina-estudio-revela-aumento-en-el-consumo-de-estas-drogas/</t>
  </si>
  <si>
    <t>Gobierno ingresa proyecto para expulsar a extranjeros condenados por ley de drogas</t>
  </si>
  <si>
    <t>https://www.eldinamo.cl/pais/Gobierno-ingresa-proyecto-para-expulsar-a-extranjeros-condenados-por-ley-de-drogas-20221011-0046.html</t>
  </si>
  <si>
    <t>10/28/2022</t>
  </si>
  <si>
    <t>Encuesta Criteria: Chilenos se inclinan en un 70% más por la seguridad que por sobre libertad, a la cual le dan sólo un 32% de valor por estos días</t>
  </si>
  <si>
    <t>https://publimicro.cl/encuesta-criteria-chilenos-se-inclinan-en-un-70-mas-por-la-seguridad-que-por-sobre-libertad-a-la-cual-le-dan-solo-un-32-de-valor-por-estos-dias/</t>
  </si>
  <si>
    <t>07/18/2017</t>
  </si>
  <si>
    <t>Lily Pérez quiere que políticos y jueces se hagan test de drogas: "No podemos estar sujetos a la presión de un dealer"</t>
  </si>
  <si>
    <t>https://pousta.com/lily-perez-drogas/</t>
  </si>
  <si>
    <t>08/13/2022</t>
  </si>
  <si>
    <t>Senado de la República aprueba que una persona pueda plantar en su casa diez matas de marihuana</t>
  </si>
  <si>
    <t>https://www.observador.cl/senado-de-la-republica-aprueba-que-una-persona-pueda-plantar-en-su-casa-diez-matas-de-marihuana/</t>
  </si>
  <si>
    <t>10/14/2022</t>
  </si>
  <si>
    <t>Descontrolada reacción: Gaspar Rivas fue expulsado de la mesa paralela por ataque de furia</t>
  </si>
  <si>
    <t>https://www.chilevision.cl/contigo-en-la-manana/politica/descontrolada-reaccion-gaspar-rivas-fue-expulsado-de-la-mesa-paralela</t>
  </si>
  <si>
    <t>08/23/2022</t>
  </si>
  <si>
    <t>Isabel Berríos: la primera mujer entrenadora de fútbol profesional en Chile</t>
  </si>
  <si>
    <t>https://www.elmostrador.cl/braga/2022/08/23/isabel-berrios-la-primera-mujer-entrenadora-de-futbol-profesional-en-chile/</t>
  </si>
  <si>
    <t>ENLACE (https://news.google.com/search?q=test%20de%20drogas%20parlamentarios&amp;hl=es-419&amp;gl=CL&amp;ceid=CL%3Aes-419) (29-11-2020)</t>
  </si>
  <si>
    <t>La Tercera</t>
  </si>
  <si>
    <t>vinculos</t>
  </si>
  <si>
    <t>length</t>
  </si>
  <si>
    <t>Hace 15 días</t>
  </si>
  <si>
    <t>bookmark_border</t>
  </si>
  <si>
    <t>share</t>
  </si>
  <si>
    <t>more_vert</t>
  </si>
  <si>
    <t>BioBioChileHace 14 días</t>
  </si>
  <si>
    <t>Ver cobertura completa</t>
  </si>
  <si>
    <t>keyboard_arrow_up</t>
  </si>
  <si>
    <t>Araucanía Noticias</t>
  </si>
  <si>
    <t>Hace 14 días</t>
  </si>
  <si>
    <t>BioBioChile</t>
  </si>
  <si>
    <t>El Mostrador</t>
  </si>
  <si>
    <t>Hace 22 días</t>
  </si>
  <si>
    <r>
      <rPr>
        <rFont val="Roboto"/>
        <color theme="1"/>
        <sz val="11.0"/>
      </rPr>
      <t>26 ago</t>
    </r>
    <r>
      <rPr>
        <rFont val="Roboto"/>
        <b/>
        <color theme="1"/>
        <sz val="11.0"/>
      </rPr>
      <t>Opinión</t>
    </r>
  </si>
  <si>
    <t>pauta</t>
  </si>
  <si>
    <t>Ex-Ante</t>
  </si>
  <si>
    <t>Radio Concierto</t>
  </si>
  <si>
    <t>ADN Chile</t>
  </si>
  <si>
    <t>El Líbero</t>
  </si>
  <si>
    <r>
      <rPr>
        <rFont val="Roboto"/>
        <color theme="1"/>
        <sz val="11.0"/>
      </rPr>
      <t>26 ago</t>
    </r>
    <r>
      <rPr>
        <rFont val="Roboto"/>
        <b/>
        <color theme="1"/>
        <sz val="11.0"/>
      </rPr>
      <t>Opinión</t>
    </r>
  </si>
  <si>
    <t>El Desconcierto</t>
  </si>
  <si>
    <t>24Horas.cl</t>
  </si>
  <si>
    <t>Canal 13</t>
  </si>
  <si>
    <t>El Pingüino</t>
  </si>
  <si>
    <t>Hace 16 días</t>
  </si>
  <si>
    <t>AdPrensa</t>
  </si>
  <si>
    <t>Hace 10 días</t>
  </si>
  <si>
    <t>Revista De Frente</t>
  </si>
  <si>
    <t>G5noticias</t>
  </si>
  <si>
    <t>El Ciudadano</t>
  </si>
  <si>
    <t>Noticias Universidad Andrés Bello</t>
  </si>
  <si>
    <t>Radio Maray</t>
  </si>
  <si>
    <t>Hace 12 horas</t>
  </si>
  <si>
    <t>CNN Chile</t>
  </si>
  <si>
    <t>Partido Republicano</t>
  </si>
  <si>
    <t>Hace 20 horas</t>
  </si>
  <si>
    <t>La Discusión</t>
  </si>
  <si>
    <t>Hace 19 horas</t>
  </si>
  <si>
    <r>
      <rPr>
        <rFont val="Roboto"/>
        <color theme="1"/>
        <sz val="11.0"/>
      </rPr>
      <t>22 jul</t>
    </r>
    <r>
      <rPr>
        <rFont val="Roboto"/>
        <b/>
        <color theme="1"/>
        <sz val="11.0"/>
      </rPr>
      <t>Opinión</t>
    </r>
  </si>
  <si>
    <t>Ayer</t>
  </si>
  <si>
    <t>La Nación (Chile)</t>
  </si>
  <si>
    <t>Hace 2 días</t>
  </si>
  <si>
    <r>
      <rPr>
        <rFont val="Roboto"/>
        <color theme="1"/>
        <sz val="11.0"/>
      </rPr>
      <t>17 jun</t>
    </r>
    <r>
      <rPr>
        <rFont val="Roboto"/>
        <b/>
        <color theme="1"/>
        <sz val="11.0"/>
      </rPr>
      <t>Opinión</t>
    </r>
  </si>
  <si>
    <t>https://news.google.com/search?q=%22prueba%22%20%22drogas%22%20%22parlamentarios%22&amp;hl=es-419&amp;gl=CL&amp;ceid=CL%3Aes-419</t>
  </si>
  <si>
    <t/>
  </si>
  <si>
    <t>Test de drogas: ningún diputado arrojó resultado positivo y tres no se hicieron la prueba</t>
  </si>
  <si>
    <t>44832</t>
  </si>
  <si>
    <t>BioBioChile28 sept</t>
  </si>
  <si>
    <t>Test de drogas en el Congreso de Chile: los parlamentarios se someten a análisis del pelo para detectar consumo</t>
  </si>
  <si>
    <t>44790</t>
  </si>
  <si>
    <t>44795</t>
  </si>
  <si>
    <t>44824</t>
  </si>
  <si>
    <t>44755</t>
  </si>
  <si>
    <t>44802</t>
  </si>
  <si>
    <t>44799</t>
  </si>
  <si>
    <t>44853</t>
  </si>
  <si>
    <t>44791</t>
  </si>
  <si>
    <t>44756</t>
  </si>
  <si>
    <t>44860</t>
  </si>
  <si>
    <t>44804</t>
  </si>
  <si>
    <t>Hace 4 días</t>
  </si>
  <si>
    <t>44831</t>
  </si>
  <si>
    <t>44803</t>
  </si>
  <si>
    <t>44761</t>
  </si>
  <si>
    <t>44728</t>
  </si>
  <si>
    <t>AsiaNews</t>
  </si>
  <si>
    <t>Hace 25 días</t>
  </si>
  <si>
    <t>Cooperativa.cl</t>
  </si>
  <si>
    <t>44774</t>
  </si>
  <si>
    <t>44825</t>
  </si>
  <si>
    <t>44792</t>
  </si>
  <si>
    <t>https://news.google.com/search?q=test%20de%20drogas%20parlamentarios&amp;hl=es-419&amp;gl=CL&amp;ceid=CL%3Aes-419</t>
  </si>
  <si>
    <t>Test de drogas en el Congreso: todos los parlamentarios examinados dieron negativo</t>
  </si>
  <si>
    <t>La Tercera26 sept</t>
  </si>
  <si>
    <r>
      <rPr>
        <rFont val="Roboto"/>
        <color theme="1"/>
        <sz val="11.0"/>
      </rPr>
      <t>26 ago</t>
    </r>
    <r>
      <rPr>
        <rFont val="Roboto"/>
        <b/>
        <color theme="1"/>
        <sz val="11.0"/>
      </rPr>
      <t>Opinión</t>
    </r>
  </si>
  <si>
    <r>
      <rPr>
        <rFont val="Roboto"/>
        <color theme="1"/>
        <sz val="11.0"/>
      </rPr>
      <t>26 ago</t>
    </r>
    <r>
      <rPr>
        <rFont val="Roboto"/>
        <b/>
        <color theme="1"/>
        <sz val="11.0"/>
      </rPr>
      <t>Opinión</t>
    </r>
  </si>
  <si>
    <t>La Prensa Austral</t>
  </si>
  <si>
    <t>Hace 13 días</t>
  </si>
  <si>
    <t>Radio Futuro</t>
  </si>
  <si>
    <t>Pousta</t>
  </si>
  <si>
    <t>El Observador</t>
  </si>
  <si>
    <t>Chilevision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</si>
</sst>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2">
    <font>
      <sz val="11.0"/>
      <color theme="1"/>
      <name val="Calibri"/>
      <scheme val="minor"/>
    </font>
    <font>
      <sz val="7.0"/>
      <color theme="1"/>
      <name val="Calibri"/>
      <scheme val="minor"/>
    </font>
    <font>
      <color theme="1"/>
      <name val="Calibri"/>
      <scheme val="minor"/>
    </font>
    <font>
      <sz val="7.0"/>
      <color theme="1"/>
      <name val="Calibri"/>
    </font>
    <font>
      <b/>
      <sz val="7.0"/>
      <color theme="1"/>
      <name val="Calibri"/>
      <scheme val="minor"/>
    </font>
    <font>
      <sz val="11.0"/>
      <color rgb="FF000000"/>
      <name val="Arial"/>
    </font>
    <font>
      <sz val="7.0"/>
    </font>
    <font>
      <b/>
      <sz val="11.0"/>
      <color theme="1"/>
      <name val="Calibri"/>
    </font>
    <font>
      <u/>
      <sz val="11.0"/>
      <color theme="10"/>
      <name val="Calibri"/>
    </font>
    <font>
      <b/>
      <color theme="1"/>
      <name val="Calibri"/>
      <scheme val="minor"/>
    </font>
    <font>
      <u/>
      <sz val="11.0"/>
      <color theme="10"/>
      <name val="Calibri"/>
    </font>
    <font>
      <sz val="11.0"/>
      <color rgb="FF000000"/>
      <name val="Inconsolata"/>
    </font>
    <font>
      <sz val="11.0"/>
      <color theme="1"/>
      <name val="Roboto"/>
    </font>
    <font>
      <sz val="11.0"/>
      <color rgb="FFBDC1C6"/>
      <name val="Mate"/>
    </font>
    <font>
      <sz val="11.0"/>
      <color theme="1"/>
      <name val="Calibri"/>
    </font>
    <font>
      <u/>
      <sz val="11.0"/>
      <color theme="10"/>
      <name val="Calibri"/>
    </font>
    <font>
      <sz val="11.0"/>
      <color rgb="FFDADCE0"/>
      <name val="Mate"/>
    </font>
    <font>
      <sz val="11.0"/>
      <color rgb="FF8AB4F8"/>
      <name val="Calibri"/>
    </font>
    <font>
      <u/>
      <color rgb="FF0000FF"/>
    </font>
    <font>
      <sz val="11.0"/>
      <color rgb="FF000000"/>
      <name val="Calibri"/>
    </font>
    <font>
      <u/>
      <sz val="11.0"/>
      <color rgb="FF000000"/>
      <name val="Inconsolata"/>
    </font>
    <font>
      <sz val="18.0"/>
      <color rgb="FFBDC1C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4" xfId="0" applyFont="1" applyNumberFormat="1"/>
    <xf borderId="0" fillId="0" fontId="4" numFmtId="0" xfId="0" applyFont="1"/>
    <xf borderId="0" fillId="0" fontId="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Font="1"/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center" wrapText="1"/>
    </xf>
    <xf borderId="0" fillId="3" fontId="11" numFmtId="0" xfId="0" applyFill="1" applyFont="1"/>
    <xf borderId="0" fillId="0" fontId="12" numFmtId="0" xfId="0" applyAlignment="1" applyFont="1">
      <alignment vertical="center"/>
    </xf>
    <xf borderId="1" fillId="4" fontId="13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0" fillId="0" fontId="12" numFmtId="16" xfId="0" applyAlignment="1" applyFont="1" applyNumberFormat="1">
      <alignment vertical="center"/>
    </xf>
    <xf borderId="0" fillId="0" fontId="14" numFmtId="0" xfId="0" applyAlignment="1" applyFont="1">
      <alignment vertical="center"/>
    </xf>
    <xf borderId="0" fillId="0" fontId="18" numFmtId="0" xfId="0" applyFont="1"/>
    <xf borderId="0" fillId="0" fontId="17" numFmtId="0" xfId="0" applyAlignment="1" applyFont="1">
      <alignment vertical="center"/>
    </xf>
    <xf borderId="0" fillId="0" fontId="12" numFmtId="15" xfId="0" applyAlignment="1" applyFont="1" applyNumberFormat="1">
      <alignment vertical="center"/>
    </xf>
    <xf borderId="0" fillId="0" fontId="19" numFmtId="0" xfId="0" applyAlignment="1" applyFont="1">
      <alignment shrinkToFit="0" vertical="center" wrapText="1"/>
    </xf>
    <xf borderId="0" fillId="3" fontId="11" numFmtId="0" xfId="0" applyAlignment="1" applyFont="1">
      <alignment readingOrder="0"/>
    </xf>
    <xf borderId="0" fillId="3" fontId="20" numFmtId="0" xfId="0" applyFont="1"/>
    <xf borderId="0" fillId="0" fontId="2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google.com/articles/CAIiEJtmJN8GjbZJKe1gFAKzlKIqMwgEKioIACIQVGcsbw39Ucci0s30uaM2FSoUCAoiEFRnLG8N_VHHItLN9LmjNhUwgpT2Bg?uo=CAUiigFodHRwczovL3d3dy5lbGRpbmFtby5jbC9wb2xpdGljYS9Qcm9wb25lbi1yZWFsaXphci10ZXN0LWRlLWRyb2dhcy15LWFsY29ob2wtYS1wZXJzb25hcy1xdWUtdHJhYmFqYW4tY29uLW1lbm9yZXMtZGUtZWRhZC0yMDIyMTAxMC0wMDEwLmh0bWzSAQA&amp;hl=es-419&amp;gl=CL&amp;ceid=CL%3Aes-419" TargetMode="External"/><Relationship Id="rId42" Type="http://schemas.openxmlformats.org/officeDocument/2006/relationships/hyperlink" Target="https://news.google.com/articles/CBMid2h0dHBzOi8vd3d3LmNvbmNpZXJ0by5jbC8yMDIyLzA2L2F2YW56YS1lbi1lbC1jb25ncmVzby1wcm95ZWN0by1kZS1sZXktcXVlLWJ1c2NhLWhhY2VyLXRlc3QtZGUtZHJvZ2FzLWEtcGFybGFtZW50YXJpb3Mv0gF7aHR0cHM6Ly93d3cuY29uY2llcnRvLmNsLzIwMjIvMDYvYXZhbnphLWVuLWVsLWNvbmdyZXNvLXByb3llY3RvLWRlLWxleS1xdWUtYnVzY2EtaGFjZXItdGVzdC1kZS1kcm9nYXMtYS1wYXJsYW1lbnRhcmlvcy9hbXAv?hl=es-419&amp;gl=CL&amp;ceid=CL%3Aes-419" TargetMode="External"/><Relationship Id="rId41" Type="http://schemas.openxmlformats.org/officeDocument/2006/relationships/hyperlink" Target="https://news.google.com/articles/CBMia2h0dHBzOi8vd3d3LnRoZWNsaW5pYy5jbC8yMDIyLzA4LzAxL2RpcHV0YWRhLWFuYS1tYXJpYS1nYXptdXJpLWNvbnN1bW8tY2FubmFiaXMtY3JpdGljYS10ZXN0LWRyb2dhcy1jYW1hcmEv0gFvaHR0cHM6Ly93d3cudGhlY2xpbmljLmNsLzIwMjIvMDgvMDEvZGlwdXRhZGEtYW5hLW1hcmlhLWdhem11cmktY29uc3Vtby1jYW5uYWJpcy1jcml0aWNhLXRlc3QtZHJvZ2FzLWNhbWFyYS9hbXAv?hl=es-419&amp;gl=CL&amp;ceid=CL%3Aes-419" TargetMode="External"/><Relationship Id="rId44" Type="http://schemas.openxmlformats.org/officeDocument/2006/relationships/hyperlink" Target="https://news.google.com/articles/CBMisAFodHRwczovL3d3dy5iaW9iaW9jaGlsZS5jbC9ub3RpY2lhcy9uYWNpb25hbC9yZWdpb24tZGUtbG9zLWxhZ29zLzIwMjIvMDgvMzEvZGlwdXRhZG8tYmFycmlhLXBpZGUtYXBsaWNhci10ZXN0LXBzaXF1aWF0cmljby1hLXBhcmxhbWVudGFyaW9zLXRyYXMtYWdyZXNpb24tZGUtZGUtbGEtY2FycmVyYS5zaHRtbNIBtAFodHRwczovL3d3dy5iaW9iaW9jaGlsZS5jbC9ub3RpY2lhcy9uYWNpb25hbC9yZWdpb24tZGUtbG9zLWxhZ29zLzIwMjIvMDgvMzEvYW1wL2RpcHV0YWRvLWJhcnJpYS1waWRlLWFwbGljYXItdGVzdC1wc2lxdWlhdHJpY28tYS1wYXJsYW1lbnRhcmlvcy10cmFzLWFncmVzaW9uLWRlLWRlLWxhLWNhcnJlcmEuc2h0bWw?hl=es-419&amp;gl=CL&amp;ceid=CL%3Aes-419" TargetMode="External"/><Relationship Id="rId43" Type="http://schemas.openxmlformats.org/officeDocument/2006/relationships/hyperlink" Target="https://news.google.com/articles/CBMif2h0dHBzOi8vd3d3LjI0aG9yYXMuY2wvcHJvZ3JhbWFzL25vdGljaWFzLTI0L2FuYS1tYXJpYS1nYXptdXJpLXBvci1wcm95ZWN0by1kZS10ZXN0LWRlLWRyb2dhcy1lbi1jYW1hcmEtdmEtZGlyZWNjaW9uLWVxdWl2b2NhZGHSAX9odHRwczovL2FtcC4yNGhvcmFzLmNsL3Byb2dyYW1hcy9ub3RpY2lhcy0yNC9hbmEtbWFyaWEtZ2F6bXVyaS1wb3ItcHJveWVjdG8tZGUtdGVzdC1kZS1kcm9nYXMtZW4tY2FtYXJhLXZhLWRpcmVjY2lvbi1lcXVpdm9jYWRh?hl=es-419&amp;gl=CL&amp;ceid=CL%3Aes-419" TargetMode="External"/><Relationship Id="rId46" Type="http://schemas.openxmlformats.org/officeDocument/2006/relationships/hyperlink" Target="https://news.google.com/articles/CAIiEIPapeqMNwW_7guancqxj1kqGQgEKhAIACoHCAow7qmcCzCCtLQDMNvEggc?uo=CAUiowFodHRwczovL3d3dy5wdWJsaW1ldHJvLmNsL3NvY2lhbC8yMDIyLzA4LzE3L25vLWhhZ2FuLWxhLWNpbWFycmEtZGUtbGEtY2FycmVyYS15LXN1LXByb3ZvY2Fkb3ItdHVpdC1hLWRpcHV0YWRvcy1mcmVudGVhbXBsaXN0YXMtdHJhcy1zZXItc29ydGVhZG9zLWEtdGVzdC1kZS1kcm9nYXMv0gEA&amp;hl=es-419&amp;gl=CL&amp;ceid=CL%3Aes-419" TargetMode="External"/><Relationship Id="rId45" Type="http://schemas.openxmlformats.org/officeDocument/2006/relationships/hyperlink" Target="https://news.google.com/articles/CBMikgFodHRwczovL3d3dy5kaWFyaW9jb25zdGl0dWNpb25hbC5jbC8yMDIyLzA5LzI3L2NvcnRlLWRlLXZhbHBhcmFpc28tcmVjaGF6YS1zb2xpY2l0dWQtZGUtZGljdGFyLW9yZGVuLWRlLW5vLWlubm92YXItcG9yLXRlc3QtZGUtZHJvZ2FzLWEtZGlwdXRhZG9zL9IBAA?hl=es-419&amp;gl=CL&amp;ceid=CL%3Aes-419" TargetMode="External"/><Relationship Id="rId107" Type="http://schemas.openxmlformats.org/officeDocument/2006/relationships/image" Target="../media/image1.png"/><Relationship Id="rId106" Type="http://schemas.openxmlformats.org/officeDocument/2006/relationships/image" Target="../media/image2.png"/><Relationship Id="rId105" Type="http://schemas.openxmlformats.org/officeDocument/2006/relationships/image" Target="../media/image8.png"/><Relationship Id="rId104" Type="http://schemas.openxmlformats.org/officeDocument/2006/relationships/image" Target="../media/image9.jpg"/><Relationship Id="rId109" Type="http://schemas.openxmlformats.org/officeDocument/2006/relationships/image" Target="../media/image12.png"/><Relationship Id="rId108" Type="http://schemas.openxmlformats.org/officeDocument/2006/relationships/image" Target="../media/image14.png"/><Relationship Id="rId48" Type="http://schemas.openxmlformats.org/officeDocument/2006/relationships/hyperlink" Target="https://news.google.com/articles/CBMisAFodHRwczovL3d3dy5hZHByZW5zYS5jbC9wb2xpdGljYS9kaXB1dGFkYS1wYXVsYS1sYWJyYS1ybi1pbmQtc2Utb2ZyZWNlLXZvbHVudGFyaWEtYS1oYWNlci1lbC10ZXN0LWRlLWRyb2dhLWFudGUtbmVnYXRpdmEtZGUtYWxndW5vcy1wYXJsYW1lbnRhcmlvcy1kZS1jdW1wbGlyLWNvbi1yZXF1ZXJpbWllbnRvL9IBAA?hl=es-419&amp;gl=CL&amp;ceid=CL%3Aes-419" TargetMode="External"/><Relationship Id="rId47" Type="http://schemas.openxmlformats.org/officeDocument/2006/relationships/hyperlink" Target="https://news.google.com/articles/CBMisAFodHRwczovL3d3dy5iaW9iaW9jaGlsZS5jbC9ub3RpY2lhcy9uYWNpb25hbC9yZWdpb24tZGVsLWJpby1iaW8vMjAyMi8wOS8yMC91cnJpdGlhY29lY2hlYS10aWxkYS1kZS1pbXBydWRlbnRlLXJlY3Vyc28tcHJlc2VudGFkby1wb3ItZGlwdXRhZGFzLWVuLWNvbnRyYS1kZS10ZXN0LWRlLWRyb2dhcy5zaHRtbNIBtAFodHRwczovL3d3dy5iaW9iaW9jaGlsZS5jbC9ub3RpY2lhcy9uYWNpb25hbC9yZWdpb24tZGVsLWJpby1iaW8vMjAyMi8wOS8yMC9hbXAvdXJyaXRpYWNvZWNoZWEtdGlsZGEtZGUtaW1wcnVkZW50ZS1yZWN1cnNvLXByZXNlbnRhZG8tcG9yLWRpcHV0YWRhcy1lbi1jb250cmEtZGUtdGVzdC1kZS1kcm9nYXMuc2h0bWw?hl=es-419&amp;gl=CL&amp;ceid=CL%3Aes-419" TargetMode="External"/><Relationship Id="rId49" Type="http://schemas.openxmlformats.org/officeDocument/2006/relationships/hyperlink" Target="https://news.google.com/articles/CAIiEKDmpLcsVPpIyp9r-qayTcMqGQgEKhAIACoHCAowtaiWCzCoza0DMM6k7wY?uo=CAUivAFodHRwczovL3Zpdmltb3NsYW5vdGljaWEuY2wvbm90aWNpYXMvYWN0dWFsaWRhZC9wb2xpdGljYS8yMDIyLzA2LzIwL2RpcHV0YWRvLWZlbGlwZS1kb25vc28tZXhpZ2UtYWwtZ29iaWVybm8tcXVlLXNlLWFwbGlxdWUtdGVzdC1kZS1kcm9nYXMtYS1mdW5jaW9uYXJpb3MtZGVsLXBvZGVyLWxlZ2lzbGF0aXZvLXktZWplY3V0aXZvL9IBAA&amp;hl=es-419&amp;gl=CL&amp;ceid=CL%3Aes-419" TargetMode="External"/><Relationship Id="rId103" Type="http://schemas.openxmlformats.org/officeDocument/2006/relationships/image" Target="../media/image4.png"/><Relationship Id="rId102" Type="http://schemas.openxmlformats.org/officeDocument/2006/relationships/image" Target="../media/image3.png"/><Relationship Id="rId101" Type="http://schemas.openxmlformats.org/officeDocument/2006/relationships/image" Target="../media/image19.png"/><Relationship Id="rId100" Type="http://schemas.openxmlformats.org/officeDocument/2006/relationships/image" Target="../media/image5.png"/><Relationship Id="rId31" Type="http://schemas.openxmlformats.org/officeDocument/2006/relationships/hyperlink" Target="https://news.google.com/articles/CBMikwFodHRwczovL3d3dy5lbGRlc2NvbmNpZXJ0by5jbC9yZXBvcnRhamVzLzIwMjIvMTAvMDkvdGVzdC1kZS1kcm9nYXMtYS1kaXB1dGFkb3MteS1jYW1iaW9zLWFsLXVzby1yZWNyZWFjaW9uYWwtZGUtbGEtbWFyaWh1YW5hLXByZW5kZW4tZWwtZGViYXRlLmh0bWzSAQA?hl=es-419&amp;gl=CL&amp;ceid=CL%3Aes-419" TargetMode="External"/><Relationship Id="rId30" Type="http://schemas.openxmlformats.org/officeDocument/2006/relationships/hyperlink" Target="https://news.google.com/articles/CBMiQmh0dHBzOi8vZWxsaWJlcm8uY2wvb3Bpbmlvbi9wdWJsaWNpZGFkLW5lY2VzYXJpYS1vLXNob3ctbWVkaWF0aWNvL9IBAA?hl=es-419&amp;gl=CL&amp;ceid=CL%3Aes-419" TargetMode="External"/><Relationship Id="rId33" Type="http://schemas.openxmlformats.org/officeDocument/2006/relationships/hyperlink" Target="https://news.google.com/articles/CBMia2h0dHBzOi8vd3d3LjI0aG9yYXMuY2wvYWN0dWFsaWRhZC9wb2xpdGljYS90ZXN0LWRlLWRyb2dhcy1lbi1lbC1jb25ncmVzby1yZWdsYW1lbnRvLWZ1ZS1hcHJvYmFkby1lbi1nZW5lcmFs0gFraHR0cHM6Ly9hbXAuMjRob3Jhcy5jbC9hY3R1YWxpZGFkL3BvbGl0aWNhL3Rlc3QtZGUtZHJvZ2FzLWVuLWVsLWNvbmdyZXNvLXJlZ2xhbWVudG8tZnVlLWFwcm9iYWRvLWVuLWdlbmVyYWw?hl=es-419&amp;gl=CL&amp;ceid=CL%3Aes-419" TargetMode="External"/><Relationship Id="rId32" Type="http://schemas.openxmlformats.org/officeDocument/2006/relationships/hyperlink" Target="https://news.google.com/articles/CBMikAFodHRwczovL3d3dy5lbGRlc2NvbmNpZXJ0by5jbC9uYWNpb25hbC8yMDIyLzA5LzI3L3Rlc3QtZGUtZHJvZ2FzLWVuLWVsLWNvbmdyZXNvLWNvcnRlLWRlLWFwZWxhY2lvbmVzLWRhLWdvbHBlLWEtcGFybGFtZW50YXJpYXMtb2ZpY2lhbGlzdGFzLmh0bWzSAQA?hl=es-419&amp;gl=CL&amp;ceid=CL%3Aes-419" TargetMode="External"/><Relationship Id="rId35" Type="http://schemas.openxmlformats.org/officeDocument/2006/relationships/hyperlink" Target="https://news.google.com/articles/CAIiENGXiPIaj2SaxNbkbXzBMw8qMwgEKioIACIQ4UImbQs-dUT3WEeojnol4yoUCAoiEOFCJm0LPnVE91hHqI56JeMwgsPHBg?uo=CAUidGh0dHBzOi8vd3d3LmhlcmFsZG8uZXMvbm90aWNpYXMvaW50ZXJuYWNpb25hbC8yMDIyLzA5LzI4L2RpcHV0YWRvcy1jaGlsZW5vcy1kaWVyb24tbmVnYXRpdm8tdGVzdC1kcm9nYXMtMTYwMjQ0OS5odG1s0gEA&amp;hl=es-419&amp;gl=CL&amp;ceid=CL%3Aes-419" TargetMode="External"/><Relationship Id="rId34" Type="http://schemas.openxmlformats.org/officeDocument/2006/relationships/hyperlink" Target="https://news.google.com/articles/CBMijgFodHRwczovL3d3dy5hZG5yYWRpby5jbC9lc3BlY3RhY3Vsb3MvMjAyMi8wNy8xNC9sb3MtdGVuZ28taWRlbnRpZmljYWRvcy1kb2N0b3JhLWNvcmRlcm8tYXJyZW1ldGUtY29udHJhLXBhcmxhbWVudGFyaW9zLXBvci10ZXN0LWRlLWRyb2dhcy5odG1s0gGUAWh0dHBzOi8vd3d3LmFkbnJhZGlvLmNsL2VzcGVjdGFjdWxvcy8yMDIyLzA3LzE0L2xvcy10ZW5nby1pZGVudGlmaWNhZG9zLWRvY3RvcmEtY29yZGVyby1hcnJlbWV0ZS1jb250cmEtcGFybGFtZW50YXJpb3MtcG9yLXRlc3QtZGUtZHJvZ2FzLmh0bWw_YW1wPTE?hl=es-419&amp;gl=CL&amp;ceid=CL%3Aes-419" TargetMode="External"/><Relationship Id="rId37" Type="http://schemas.openxmlformats.org/officeDocument/2006/relationships/hyperlink" Target="https://news.google.com/articles/CBMiggFodHRwczovL20uZWxtb3N0cmFkb3IuY2wvZGlhLzIwMjIvMDgvMjIvcHJpbWVyYS1taW5pc3RyYS1kZS1maW5sYW5kaWEtZGEtbmVnYXRpdm8tZW4tdGVzdC1kZS1kcm9nYXMtcmVhbGl6YWRvLXRyYXMtcG9sZW1pY28tdmlkZW8v0gEA?hl=es-419&amp;gl=CL&amp;ceid=CL%3Aes-419" TargetMode="External"/><Relationship Id="rId36" Type="http://schemas.openxmlformats.org/officeDocument/2006/relationships/hyperlink" Target="https://news.google.com/articles/CBMipAFodHRwczovL20uZWxtb3N0cmFkb3IuY2wvZGlhLzIwMjEvMTEvMDQvcHJlc3VwdWVzdG8tMjAyMi1jYW1hcmEtZGUtZGlwdXRhZG9zLWFwcnVlYmEtaW5kaWNhY2lvbi1kZS1sYS11ZGktcXVlLWRlc3RpbmEtcmVjdXJzb3MtcGFyYS10ZXN0LWRlLWRyb2dhcy1hLXBhcmxhbWVudGFyaW9zL9IBAA?hl=es-419&amp;gl=CL&amp;ceid=CL%3Aes-419" TargetMode="External"/><Relationship Id="rId39" Type="http://schemas.openxmlformats.org/officeDocument/2006/relationships/hyperlink" Target="https://news.google.com/articles/CAIiEKLW5ehN49_0_E1F3bP3SUgqMwgEKioIACIQ60V96zQIqyo0PPcLTMHd8ioUCAoiEOtFfes0CKsqNDz3C0zB3fIw8Y-IBw?uo=CAUiZmh0dHBzOi8vd3d3LjEzLmNsL3Byb2dyYW1hcy90dS1kaWEvbm90aWNpYXMvcGFybGFtZW50YXJpb3Mtc2UtcmVmaWVyZW4tYS10ZXN0LWRlLWRyb2dhcy1lbi1lbC1jb25ncmVzb9IBAA&amp;hl=es-419&amp;gl=CL&amp;ceid=CL%3Aes-419" TargetMode="External"/><Relationship Id="rId38" Type="http://schemas.openxmlformats.org/officeDocument/2006/relationships/hyperlink" Target="https://news.google.com/articles/CAIiELTiXNR_wJX2t2jyO5BfPQIqMwgEKioIACIQ6COHnlHU784dI_DRPTSJdioUCAoiEOgjh55R1O_OHSPw0T00iXYwgcqIBw?uo=CAUiY2h0dHBzOi8vd3d3LnQxMy5jbC92aWRlb3MvcG9saXRpY2EvdmlkZW8tNzgtZGlwdXRhZG9zLWZ1ZXJvbi1zb3J0ZWFkb3MtaW5lZGl0by10ZXN0LWRyb2dhcy1jb25ncmVzb9IBAA&amp;hl=es-419&amp;gl=CL&amp;ceid=CL%3Aes-419" TargetMode="External"/><Relationship Id="rId20" Type="http://schemas.openxmlformats.org/officeDocument/2006/relationships/hyperlink" Target="https://news.google.com/articles/CBMiogFodHRwczovL3d3dy5iaW9iaW9jaGlsZS5jbC9ub3RpY2lhcy9uYWNpb25hbC9jaGlsZS8yMDIyLzA4LzIxL3Rlc3QtZGUtZHJvZ2FzLWVuLWNhbWFyYS1iYWphLWVsLWRlYmF0ZS1zb2JyZS1zaS1sYS1tZWRpZGEtaW52YWRlLWVsLWRlcmVjaG8tYS1sYS12aWRhLXByaXZhZGEuc2h0bWzSAaYBaHR0cHM6Ly93d3cuYmlvYmlvY2hpbGUuY2wvbm90aWNpYXMvbmFjaW9uYWwvY2hpbGUvMjAyMi8wOC8yMS9hbXAvdGVzdC1kZS1kcm9nYXMtZW4tY2FtYXJhLWJhamEtZWwtZGViYXRlLXNvYnJlLXNpLWxhLW1lZGlkYS1pbnZhZGUtZWwtZGVyZWNoby1hLWxhLXZpZGEtcHJpdmFkYS5zaHRtbA?hl=es-419&amp;gl=CL&amp;ceid=CL%3Aes-419" TargetMode="External"/><Relationship Id="rId22" Type="http://schemas.openxmlformats.org/officeDocument/2006/relationships/hyperlink" Target="https://news.google.com/articles/CAIiEGw26FCI2G4rH04p1uLkhbUqGQgEKhAIACoHCAow292WCzCehK4DMJD3ywY?uo=CAUivwFodHRwczovL3d3dy5sYXRlcmNlcmEuY29tL3BvbGl0aWNhL25vdGljaWEvY29taXNpb24tZGUtZXRpY2EtZGUtbGEtY2FtYXJhLW5vLWxsZWdhLWEtYWN1ZXJkby1lbi1sYXMtc2FuY2lvbmVzLXBhcmEtZGlwdXRhZG9zLXF1ZS1uby1zZS1yZWFsaXphcm9uLWVsLXRlc3QtZGUtZHJvZ2FzL05TWE9IWk9LNFZIVUJES1lJS1NWWFpSN0lBL9IBAA&amp;hl=es-419&amp;gl=CL&amp;ceid=CL%3Aes-419" TargetMode="External"/><Relationship Id="rId21" Type="http://schemas.openxmlformats.org/officeDocument/2006/relationships/hyperlink" Target="https://news.google.com/articles/CAIiELiqL-aQMceDR4BtBaKAtycqGQgEKhAIACoHCAow292WCzCehK4DMJD3ywY?uo=CAUivAFodHRwczovL3d3dy5sYXRlcmNlcmEuY29tL3BvbGl0aWNhL25vdGljaWEvdGVzdC1kZS1kcm9nYXMtZGlwdXRhZG9zLXF1ZS1uby1zZS1yZWFsaXphcm9uLWxhLXBydWViYS1lbnRyZWdhcm9uLXN1cy1kZXNjYXJnb3MtZW4tbGEtY29taXNpb24tZGUtZXRpY2EtZGUtbGEtY2FtYXJhL09GVkpFV1VUVU5IU0hOUENVTjRGQzMzTTVFL9IBAA&amp;hl=es-419&amp;gl=CL&amp;ceid=CL%3Aes-419" TargetMode="External"/><Relationship Id="rId24" Type="http://schemas.openxmlformats.org/officeDocument/2006/relationships/hyperlink" Target="https://news.google.com/articles/CAIiEGg7ssmAU7h1BbQYxqGvoy8qGQgEKhAIACoHCAow292WCzCehK4DMJD3ywY?uo=CAUihwFodHRwczovL3d3dy5sYXRlcmNlcmEuY29tL2Vhcmx5YWNjZXNzL25vdGljaWEvZWwtdHJhbmNlLWluY29tb2RvLWRlbC1mcmVudGUtYW1wbGlvLWZyZW50ZS1hbC10ZXN0LWRlLWRyb2dhcy9IWEQ1VFpXQ1RKRzZYT1JUT0VRWVJDWUo2VS_SAQA&amp;hl=es-419&amp;gl=CL&amp;ceid=CL%3Aes-419" TargetMode="External"/><Relationship Id="rId23" Type="http://schemas.openxmlformats.org/officeDocument/2006/relationships/hyperlink" Target="https://news.google.com/articles/CBMidWh0dHBzOi8vd3d3LmNvbmNpZXJ0by5jbC8yMDIyLzA4L3Rlc3QtZGUtZHJvZ2FzLWEtcGFybGFtZW50YXJpb3MtY29tby1hZmVjdGEtZWwtY29uc3Vtby1kZS1zdXN0YW5jaWFzLWVuLWVsLWNvbmdyZXNvL9IBeWh0dHBzOi8vd3d3LmNvbmNpZXJ0by5jbC8yMDIyLzA4L3Rlc3QtZGUtZHJvZ2FzLWEtcGFybGFtZW50YXJpb3MtY29tby1hZmVjdGEtZWwtY29uc3Vtby1kZS1zdXN0YW5jaWFzLWVuLWVsLWNvbmdyZXNvL2FtcC8?hl=es-419&amp;gl=CL&amp;ceid=CL%3Aes-419" TargetMode="External"/><Relationship Id="rId26" Type="http://schemas.openxmlformats.org/officeDocument/2006/relationships/hyperlink" Target="https://news.google.com/articles/CBMilwFodHRwczovL20uZWxtb3N0cmFkb3IuY2wvZGlhLzIwMjIvMDkvMzAvaW5mb3JtZS1leHBvbmUtYWNjaW9uYXItZGUtbGEtdWx0cmFkZXJlY2hhLWVuLXR3aXR0ZXItcGFyYS1tYWduaWZpY2FyLXJlc3VsdGFkb3MtZGVsLXRlc3QtZGUtZHJvZ2EtYS1kaXB1dGFkb3Mv0gEA?hl=es-419&amp;gl=CL&amp;ceid=CL%3Aes-419" TargetMode="External"/><Relationship Id="rId25" Type="http://schemas.openxmlformats.org/officeDocument/2006/relationships/hyperlink" Target="https://news.google.com/articles/CBMif2h0dHBzOi8vd3d3LmFkbnJhZGlvLmNsL25hY2lvbmFsLzIwMjIvMDkvMTYvY29ydGUtc3VwcmVtYS1kZWNsYXJhLWFkbWlzaWJsZS1yZWN1cnNvLWNvbnRyYS10ZXN0LWRlLWRyb2dhcy1hLXBhcmxhbWVudGFyaW9zLmh0bWzSAYUBaHR0cHM6Ly93d3cuYWRucmFkaW8uY2wvbmFjaW9uYWwvMjAyMi8wOS8xNi9jb3J0ZS1zdXByZW1hLWRlY2xhcmEtYWRtaXNpYmxlLXJlY3Vyc28tY29udHJhLXRlc3QtZGUtZHJvZ2FzLWEtcGFybGFtZW50YXJpb3MuaHRtbD9hbXA9MQ?hl=es-419&amp;gl=CL&amp;ceid=CL%3Aes-419" TargetMode="External"/><Relationship Id="rId28" Type="http://schemas.openxmlformats.org/officeDocument/2006/relationships/hyperlink" Target="https://news.google.com/articles/CBMiVWh0dHBzOi8vd3d3LnBhdXRhLmNsL3BvbGl0aWNhL2NhbWlsYS1mbG9yZXMtcm4tdGVzdC1kZS1kcm9nYXMtZGlwdXRhZG9zLWNvbnN1bW8tZHJvZ2HSAQA?hl=es-419&amp;gl=CL&amp;ceid=CL%3Aes-419" TargetMode="External"/><Relationship Id="rId27" Type="http://schemas.openxmlformats.org/officeDocument/2006/relationships/hyperlink" Target="https://news.google.com/articles/CBMijAFodHRwczovL3d3dy5hZG5yYWRpby5jbC9uYWNpb25hbC8yMDIyLzA2LzE2L3BhbWVsYS1qaWxlcy1wb3ItdGVzdC1kZS1kcm9nYXMtYS1wYXJsYW1lbnRhcmlvcy1ub3RvLXVuLXNvc3BlY2hvc28tbmVydmlvc2lzbW8tcXVlLW9jdWx0YW4uaHRtbNIBkgFodHRwczovL3d3dy5hZG5yYWRpby5jbC9uYWNpb25hbC8yMDIyLzA2LzE2L3BhbWVsYS1qaWxlcy1wb3ItdGVzdC1kZS1kcm9nYXMtYS1wYXJsYW1lbnRhcmlvcy1ub3RvLXVuLXNvc3BlY2hvc28tbmVydmlvc2lzbW8tcXVlLW9jdWx0YW4uaHRtbD9hbXA9MQ?hl=es-419&amp;gl=CL&amp;ceid=CL%3Aes-419" TargetMode="External"/><Relationship Id="rId29" Type="http://schemas.openxmlformats.org/officeDocument/2006/relationships/hyperlink" Target="https://news.google.com/articles/CBMilwFodHRwczovL3d3dy5iaW9iaW9jaGlsZS5jbC9ub3RpY2lhcy9uYWNpb25hbC9jaGlsZS8yMDIyLzA4LzE3L2RpcHV0YWRhLXJpcXVlbG1lLXBpZW5zYS1uby1yZWFsaXphcnNlLXRlc3QtZGUtZHJvZ2FzLWFjdXNhLXZ1bG5lcmFjaW9uLWRlLWRlcmVjaG9zLnNodG1s0gGbAWh0dHBzOi8vd3d3LmJpb2Jpb2NoaWxlLmNsL25vdGljaWFzL25hY2lvbmFsL2NoaWxlLzIwMjIvMDgvMTcvYW1wL2RpcHV0YWRhLXJpcXVlbG1lLXBpZW5zYS1uby1yZWFsaXphcnNlLXRlc3QtZGUtZHJvZ2FzLWFjdXNhLXZ1bG5lcmFjaW9uLWRlLWRlcmVjaG9zLnNodG1s?hl=es-419&amp;gl=CL&amp;ceid=CL%3Aes-419" TargetMode="External"/><Relationship Id="rId95" Type="http://schemas.openxmlformats.org/officeDocument/2006/relationships/hyperlink" Target="https://news.google.com/articles/CAIiEBe-fPneR5taL7STqyR75xoqGQgEKhAIACoHCAowuZ-RCzCk6aUDMJDHmQc?uo=CAUiemh0dHBzOi8vd3d3Lm1lZ2Fub3RpY2lhcy5jbC9uYWNpb25hbC8zOTM4MjYtZGlwdXRhZG8tcmF1bC1zb3RvLWNvbnZvY2EtcmV0b21hci1jb252ZXJzYWNpb24tY29uc3RpdHVjaW9uYWwtMjItMTAtMjAyMi5odG1s0gEA&amp;hl=es-419&amp;gl=CL&amp;ceid=CL%3Aes-419" TargetMode="External"/><Relationship Id="rId94" Type="http://schemas.openxmlformats.org/officeDocument/2006/relationships/hyperlink" Target="https://news.google.com/articles/CAIiEMuPgaiQVbWkqa-zMvdAk4YqGQgEKhAIACoHCAowwIGmCzCojL4DMMrejQc?uo=CAUimwFodHRwczovL3B1YmxpbWljcm8uY2wvcGFyby1kZS1jYW1pb25lcm9zLWZhbnRhc21hLWRlLWRlc2FiYXN0ZWNpbWllbnRvLW8tbWVub3Jlcy1wcm9kdWN0b3Mtc3VtYWRvLWEtcG9zaWJsZXMtYXVtZW50b3MtZGUtcHJlY2lvcy1pbnRpbWlkYS10cmFuc3ZlcnNhbG1lbnRlL9IBAA&amp;hl=es-419&amp;gl=CL&amp;ceid=CL%3Aes-419" TargetMode="External"/><Relationship Id="rId97" Type="http://schemas.openxmlformats.org/officeDocument/2006/relationships/hyperlink" Target="https://news.google.com/articles/CAIiEM0BR1Kzpy79K-Nv-YVYAIwqGQgEKhAIACoHCAow292WCzCehK4DMM2ewAM?uo=CAUidGh0dHBzOi8vd3d3LmxhdGVyY2VyYS5jb20vb3Bpbmlvbi9ub3RpY2lhL2NvbHVtbmEtZGUtZGlhbmEtYXVyZW5xdWUtbGEtZXJhLWRlLWxhcy1kcm9nYXMvQ0JFUjNFSzZBQkNHVEtWRFhCVzRZVEpCTE0v0gEA&amp;hl=es-419&amp;gl=CL&amp;ceid=CL%3Aes-419" TargetMode="External"/><Relationship Id="rId96" Type="http://schemas.openxmlformats.org/officeDocument/2006/relationships/hyperlink" Target="https://news.google.com/articles/CAIiECYLThRqYgYT8OBZbOyC5uUqGQgEKhAIACoHCAowwIGmCzCojL4DMMrejQc?uo=CAUidmh0dHBzOi8vcHVibGltaWNyby5jbC9jaGlsZS1pbXB1bHNhLWVsLXByaW1lci1mb3JvLWFudWFsLXNvYnJlLWRlZmVuc29yYXMteS1kZWZlbnNvcmVzLWRlLWRkaGgtZW4tYXN1bnRvcy1hbWJpZW50YWxlcy_SAQA&amp;hl=es-419&amp;gl=CL&amp;ceid=CL%3Aes-419" TargetMode="External"/><Relationship Id="rId11" Type="http://schemas.openxmlformats.org/officeDocument/2006/relationships/hyperlink" Target="https://news.google.com/articles/CAIiEG_Rb4KCFYwJ9mbzEawDTv8qGQgEKhAIACoHCAow292WCzCehK4DMMmewAM?uo=CAUiiAFodHRwczovL3d3dy5sYXRlcmNlcmEuY29tL3BvbGl0aWNhL25vdGljaWEvY2FtYXJhLWRpc2N1dGUtaW5pY2lhdGl2YS1wYXJhLWFwbGljYXItdGVzdC1kZS1kcm9nYXMtYS1kaXB1dGFkb3MvNzdGN09JVUxQUkhUWklHWjZFNENHVldTRkEv0gEA&amp;hl=es-419&amp;gl=CL&amp;ceid=CL%3Aes-419" TargetMode="External"/><Relationship Id="rId99" Type="http://schemas.openxmlformats.org/officeDocument/2006/relationships/image" Target="../media/image6.png"/><Relationship Id="rId10" Type="http://schemas.openxmlformats.org/officeDocument/2006/relationships/hyperlink" Target="https://news.google.com/articles/CAIiELsW688tyI21ckg3kVI12YMqGQgEKhAIACoHCAow292WCzCehK4DMJD3ywY?uo=CAUixwFodHRwczovL3d3dy5sYXRlcmNlcmEuY29tL2xhLXRlcmNlcmEtcG0vbm90aWNpYS91bi10ZXN0LXF1ZS1pbmNvbW9kYS1sYXMtanVnYWRhcy1xdWUtYmFyYWphbi1sb3MtZGlwdXRhZG9zLXBhcmEtaW1wZWRpci1xdWUtc2UtcHVibGlxdWVuLWxvcy1yZXN1bHRhZG9zLWRlLWV4YW1lbi1kZS1kcm9nYXMvREJRVEpYQ1Y2UkUyRkVCRFFXT0hCVTJCTU0v0gEA&amp;hl=es-419&amp;gl=CL&amp;ceid=CL%3Aes-419" TargetMode="External"/><Relationship Id="rId98" Type="http://schemas.openxmlformats.org/officeDocument/2006/relationships/image" Target="../media/image10.png"/><Relationship Id="rId13" Type="http://schemas.openxmlformats.org/officeDocument/2006/relationships/hyperlink" Target="https://news.google.com/articles/CAIiEM22uXh3M_rKFnNdP0d5o_wqGQgEKhAIACoHCAow292WCzCehK4DMJD3ywY?uo=CAUiowFodHRwczovL3d3dy5sYXRlcmNlcmEuY29tL2xhLXRlcmNlcmEtcG0vbm90aWNpYS9lbC10ZXN0LWRlLWRyb2dhcy15LWxhLW9mZW5zaXZhLWRlLWxhLXVkaS15LWppbGVzLXF1ZS1pbmNvbW9kYS1hLWxhLWNhbWFyYS1kZS1kaXB1dGFkb3MvT0tBUlVQNUdDRkhHREdRTURaTlFXQU5aUkUv0gEA&amp;hl=es-419&amp;gl=CL&amp;ceid=CL%3Aes-419" TargetMode="External"/><Relationship Id="rId12" Type="http://schemas.openxmlformats.org/officeDocument/2006/relationships/hyperlink" Target="https://news.google.com/articles/CBMikgFodHRwczovL3d3dy5iaW9iaW9jaGlsZS5jbC9ub3RpY2lhcy9uYWNpb25hbC9jaGlsZS8yMDIyLzA4LzI5L3Rlc3QtZGUtZHJvZ2FzLWRpcHV0YWRvcy1vZmljaWFsaXN0YXMtYWN1c2FuLW1hbmlvYnJhLXBvbGl0aWNhLWRlLWxhLW9wb3NpY2lvbi5zaHRtbNIBlgFodHRwczovL3d3dy5iaW9iaW9jaGlsZS5jbC9ub3RpY2lhcy9uYWNpb25hbC9jaGlsZS8yMDIyLzA4LzI5L2FtcC90ZXN0LWRlLWRyb2dhcy1kaXB1dGFkb3Mtb2ZpY2lhbGlzdGFzLWFjdXNhbi1tYW5pb2JyYS1wb2xpdGljYS1kZS1sYS1vcG9zaWNpb24uc2h0bWw?hl=es-419&amp;gl=CL&amp;ceid=CL%3Aes-419" TargetMode="External"/><Relationship Id="rId91" Type="http://schemas.openxmlformats.org/officeDocument/2006/relationships/hyperlink" Target="https://news.google.com/articles/CBMid2h0dHBzOi8vbS5lbG1vc3RyYWRvci5jbC9ub3RpY2lhcy9wYWlzLzIwMjIvMDkvMjEvd2xhZGltaXItcGl6YXJyby1iYWx0cmFzLWVsLW9wZXJhZG9yLXBvbGl0aWNvLW5hcmNvLXF1ZS1ybi1kZXNjb25vY2Uv0gEA?hl=es-419&amp;gl=CL&amp;ceid=CL%3Aes-419" TargetMode="External"/><Relationship Id="rId90" Type="http://schemas.openxmlformats.org/officeDocument/2006/relationships/hyperlink" Target="https://news.google.com/articles/CAIiEMpnbvTteeiT4PLw57MMX2gqGQgEKhAIACoHCAow292WCzCehK4DMMmewAM?uo=CAUilwFodHRwczovL3d3dy5sYXRlcmNlcmEuY29tL3BvbGl0aWNhL25vdGljaWEvdHBwMTEtc2VuYWRvLXZvdGFyYS1lc3RlLW1pZXJjb2xlcy1lbC10cmF0YWRvLWEtcGVzYXItZGUtcmVzaXN0ZW5jaWEtb2ZpY2lhbGlzdGEvS1c0SlVMQ1hRNUI3Wk5SSEtYVklXUkNNSkkv0gEA&amp;hl=es-419&amp;gl=CL&amp;ceid=CL%3Aes-419" TargetMode="External"/><Relationship Id="rId93" Type="http://schemas.openxmlformats.org/officeDocument/2006/relationships/hyperlink" Target="https://news.google.com/articles/CAIiECZUQXORpPWxwlhuCsVvniUqGQgEKhAIACoHCAowwIGmCzCojL4DMMrejQc?uo=CAUiZGh0dHBzOi8vcHVibGltaWNyby5jbC9pcHNvcy1jb25maWFuemEtZGUtbG9zLWNvbnN1bWlkb3Jlcy1jaGlsZW5vcy12dWVsdmUtYS1iYWphci1kdXJhbnRlLW5vdmllbWJyZS_SAQA&amp;hl=es-419&amp;gl=CL&amp;ceid=CL%3Aes-419" TargetMode="External"/><Relationship Id="rId92" Type="http://schemas.openxmlformats.org/officeDocument/2006/relationships/hyperlink" Target="https://news.google.com/articles/CBMifWh0dHA6Ly93d3cubGFuYWNpb24uY2wvYm9yaWMtc2UtbW9sZXN0by1jb24tbGEtcHJlbnNhLXBvci1wcmVndW50YS1zb2JyZS1mZWNoYS1kZWwtdGVzdC1kZS1kcm9nYXMtYmFzdGEtZGUtaW5zdGFsYXItbWVudGlyYXMv0gEA?hl=es-419&amp;gl=CL&amp;ceid=CL%3Aes-419" TargetMode="External"/><Relationship Id="rId118" Type="http://schemas.openxmlformats.org/officeDocument/2006/relationships/image" Target="../media/image21.png"/><Relationship Id="rId117" Type="http://schemas.openxmlformats.org/officeDocument/2006/relationships/image" Target="../media/image20.png"/><Relationship Id="rId116" Type="http://schemas.openxmlformats.org/officeDocument/2006/relationships/image" Target="../media/image11.png"/><Relationship Id="rId115" Type="http://schemas.openxmlformats.org/officeDocument/2006/relationships/image" Target="../media/image18.png"/><Relationship Id="rId15" Type="http://schemas.openxmlformats.org/officeDocument/2006/relationships/hyperlink" Target="https://news.google.com/articles/CBMiYWh0dHBzOi8vd3d3LnBhdXRhLmNsL2ZhY3RjaGVja2luZy9lbC1jb250ZXN0YWRvZy90ZXN0LWRlLXBlbG8tZHJvZ2FzLWNhbWFyYS1kaXB1dGFkb3MtZWZlY3RpdmlkYWTSAQA?hl=es-419&amp;gl=CL&amp;ceid=CL%3Aes-419" TargetMode="External"/><Relationship Id="rId110" Type="http://schemas.openxmlformats.org/officeDocument/2006/relationships/image" Target="../media/image15.png"/><Relationship Id="rId14" Type="http://schemas.openxmlformats.org/officeDocument/2006/relationships/hyperlink" Target="https://news.google.com/articles/CAIiEOUz3bCoxXUN3ARI7pyhMRgqGQgEKhAIACoHCAow292WCzCehK4DMJD3ywY?uo=CAUijAFodHRwczovL3d3dy5sYXRlcmNlcmEuY29tL2xhLXRlcmNlcmEtc2FiYWRvL25vdGljaWEvY29sdW1uYS1kZS1wYWJsby1jYXJ2YWNoby10ZXN0LWRlLWRyb2dhcy1wYXJhLXBhcmxhbWVudGFyaW9zL09FNFo0UUhMWU5BWUxQSDJNSkZYUVhSSzVBL9IBAA&amp;hl=es-419&amp;gl=CL&amp;ceid=CL%3Aes-419" TargetMode="External"/><Relationship Id="rId17" Type="http://schemas.openxmlformats.org/officeDocument/2006/relationships/hyperlink" Target="https://news.google.com/articles/CAIiEL6jMnTKtngl3R8eWCU4e5gqGQgEKhAIACoHCAow292WCzCehK4DMJD3ywY?uo=CAUikQFodHRwczovL3d3dy5sYXRlcmNlcmEuY29tL2xhLXRlcmNlcmEtc2FiYWRvL25vdGljaWEvdGVzdC1kZS1kcm9nYXMtYS1wb2xpdGljb3MtdW4tdGVtYS1xdWUtY2F1c2EtcG9sZW1pY2EtZW4tZWwtbXVuZG8vUU9BM01SWEhXUkJSVkpZQlBSSEJLNEQzMk0v0gEA&amp;hl=es-419&amp;gl=CL&amp;ceid=CL%3Aes-419" TargetMode="External"/><Relationship Id="rId16" Type="http://schemas.openxmlformats.org/officeDocument/2006/relationships/hyperlink" Target="https://news.google.com/articles/CAIiEFgbL9Y2Knpt6Zy-nPXOgQsqGQgEKhAIACoHCAow292WCzCehK4DMJD3ywY?uo=CAUirQFodHRwczovL3d3dy5sYXRlcmNlcmEuY29tL3BvbGl0aWNhL25vdGljaWEvY29ydGUtZGUtYXBlbGFjaW9uZXMtZGUtdmFscGFyYWlzby1kYS1sdXotdmVyZGUtYS1kaWZ1c2lvbi1kZS1yZXN1bHRhZG9zLWRlLXRlc3QtZGUtZHJvZ2FzLWEtZGlwdXRhZG9zLzZFNk9ZUENMQUZHWFpGWVhON0UySjJIR0lJL9IBAA&amp;hl=es-419&amp;gl=CL&amp;ceid=CL%3Aes-419" TargetMode="External"/><Relationship Id="rId19" Type="http://schemas.openxmlformats.org/officeDocument/2006/relationships/hyperlink" Target="https://news.google.com/articles/CBMidmh0dHBzOi8vd3d3LmV4LWFudGUuY2wvam9yZ2Utc2NoYXVsc29obi15LXRlc3QtZGUtZHJvZ2FzLWVzLXBhdGV0aWNvLXF1ZS1sb3MtcGFybGFtZW50YXJpb3Mtc2UtcHJlc3Rlbi1wYXJhLWVzdGUtc2hvdy_SAQA?hl=es-419&amp;gl=CL&amp;ceid=CL%3Aes-419" TargetMode="External"/><Relationship Id="rId114" Type="http://schemas.openxmlformats.org/officeDocument/2006/relationships/image" Target="../media/image16.jpg"/><Relationship Id="rId18" Type="http://schemas.openxmlformats.org/officeDocument/2006/relationships/hyperlink" Target="https://news.google.com/articles/CBMipQFodHRwczovL3d3dy5iaW9iaW9jaGlsZS5jbC9ub3RpY2lhcy9uYWNpb25hbC9jaGlsZS8yMDIyLzA4LzMxL3Rlc3QtZGUtZHJvZ2FzLWNhbWFyYS1iYWphLWV4dGllbmRlLXBsYXpvLXBhcmEtcXVlLTc4LXBhcmxhbWVudGFyaW9zLXNvcnRlYWRvcy1zZS1yZWFsaWNlbi1leGFtZW4uc2h0bWzSAakBaHR0cHM6Ly93d3cuYmlvYmlvY2hpbGUuY2wvbm90aWNpYXMvbmFjaW9uYWwvY2hpbGUvMjAyMi8wOC8zMS9hbXAvdGVzdC1kZS1kcm9nYXMtY2FtYXJhLWJhamEtZXh0aWVuZGUtcGxhem8tcGFyYS1xdWUtNzgtcGFybGFtZW50YXJpb3Mtc29ydGVhZG9zLXNlLXJlYWxpY2VuLWV4YW1lbi5zaHRtbA?hl=es-419&amp;gl=CL&amp;ceid=CL%3Aes-419" TargetMode="External"/><Relationship Id="rId113" Type="http://schemas.openxmlformats.org/officeDocument/2006/relationships/image" Target="../media/image17.png"/><Relationship Id="rId112" Type="http://schemas.openxmlformats.org/officeDocument/2006/relationships/image" Target="../media/image7.png"/><Relationship Id="rId111" Type="http://schemas.openxmlformats.org/officeDocument/2006/relationships/image" Target="../media/image13.jpg"/><Relationship Id="rId84" Type="http://schemas.openxmlformats.org/officeDocument/2006/relationships/hyperlink" Target="https://news.google.com/articles/CAIiEKXYULsAdqxZqsV6iWhYHZwqGQgEKhAIACoHCAow292WCzCehK4DMJD3ywY?uo=CAUiWWh0dHBzOi8vd3d3LmxhdGVyY2VyYS5jb20vb3Bpbmlvbi9ub3RpY2lhL3NhbHVkby1hLWxhLWJhbmRlcmEvVkFVNk5ITVFJVkJQRklXR1g2U0lESlJLU00v0gEA&amp;hl=es-419&amp;gl=CL&amp;ceid=CL%3Aes-419" TargetMode="External"/><Relationship Id="rId83" Type="http://schemas.openxmlformats.org/officeDocument/2006/relationships/hyperlink" Target="https://news.google.com/articles/CAIiEKX5bCTI1orI8i_Mt8QRh28qGQgEKhAIACoHCAowwIGmCzCojL4DMMrejQc?uo=CAUikQFodHRwczovL3B1YmxpbWljcm8uY2wvb3JnYW5pemFjaW9uLW11bmRpYWwtZGUtbGEtc2FsdWQtbGUtYXNpZ25vLXVuLW51ZXZvLW5vbWJyZS1hLWxhLXZpcnVlbGEtZGVsLW1vbm8tcGFyYS1ldml0YXItYnVybGFzLXktY29tZW50YXJpb3MtcmFjaXN0YXMv0gEA&amp;hl=es-419&amp;gl=CL&amp;ceid=CL%3Aes-419" TargetMode="External"/><Relationship Id="rId86" Type="http://schemas.openxmlformats.org/officeDocument/2006/relationships/hyperlink" Target="https://news.google.com/articles/CAIiEHp9ZO0Q7yajvruWiy8uJe8qGQgEKhAIACoHCAowwIGmCzCojL4DMMrejQc?uo=CAUiyAFodHRwczovL3B1YmxpbWljcm8uY2wvZGlwdXRhZGEtY2FtaWxhLWZsb3Jlcy1yZWNvbm9jZS1xdWUtc2Utc29ycHJlbmRpby1ncmF0YW1lbnRlLWNvbi1lbC1hcG95by1kZS1pcmluYS1rYXJhbWFub3MtdHJhcy1zdWZyaXItdmlvbGVuY2lhLWdpbmVjb2xvZ2ljYS1lbi1lbC1wYXJ0by1xdWUtbGEtdHV2by1ob3NwaXRhbGl6YWRhLXBvci1zZW1hbmFzL9IBAA&amp;hl=es-419&amp;gl=CL&amp;ceid=CL%3Aes-419" TargetMode="External"/><Relationship Id="rId85" Type="http://schemas.openxmlformats.org/officeDocument/2006/relationships/hyperlink" Target="https://news.google.com/articles/CAIiEF3Xm8lUsr0JRbnsictsy9EqGQgEKhAIACoHCAowwIGmCzCojL4DMMrejQc?uo=CAUilwFodHRwczovL3B1YmxpbWljcm8uY2wvY292aWQtMTktY2Fzb3MtY29uZmlybWFkb3MtZGlzbWludXllbi0xNi1lbi1sb3MtdWx0aW1vcy03LWRpYXMtZXN0ZS1kb21pbmdvLXNlLXJlcG9ydGFyb24tNC0wNzctbnVldm9zLWNvbnRhZ2lvcy15LTIwLWZhbGxlY2lkb3Mv0gEA&amp;hl=es-419&amp;gl=CL&amp;ceid=CL%3Aes-419" TargetMode="External"/><Relationship Id="rId88" Type="http://schemas.openxmlformats.org/officeDocument/2006/relationships/hyperlink" Target="https://news.google.com/articles/CBMiWGh0dHBzOi8vd3d3LnRoZWNsaW5pYy5jbC8yMDIyLzEwLzAxL2VudHJldmlzdGEtY2FuYWxsYS1uZWxzb24tYXZpbGEtYWdyaWN1bHRvci1lc2NyaXRvci_SAVxodHRwczovL3d3dy50aGVjbGluaWMuY2wvMjAyMi8xMC8wMS9lbnRyZXZpc3RhLWNhbmFsbGEtbmVsc29uLWF2aWxhLWFncmljdWx0b3ItZXNjcml0b3IvYW1wLw?hl=es-419&amp;gl=CL&amp;ceid=CL%3Aes-419" TargetMode="External"/><Relationship Id="rId87" Type="http://schemas.openxmlformats.org/officeDocument/2006/relationships/hyperlink" Target="https://news.google.com/articles/CAIiEEt7j4z18oCErdyKnLqt3GIqGQgEKhAIACoHCAowtaiWCzCoza0DMKOQyQY?uo=CAUimwFodHRwczovL3Zpdmltb3NsYW5vdGljaWEuY2wvbm90aWNpYXMvYWN0dWFsaWRhZC9wb2xpdGljYS8yMDIyLzA5LzI4L2RpcHV0YWRvLWZyYW5jaXNjby1wdWxnYXIteS10ZXN0LWRlLWRyb2dhcy1lcy11bi1ncmFuLXBhc28tZW4tbWF0ZXJpYS1kZS10cmFuc3BhcmVuY2lhL9IBAA&amp;hl=es-419&amp;gl=CL&amp;ceid=CL%3Aes-419" TargetMode="External"/><Relationship Id="rId89" Type="http://schemas.openxmlformats.org/officeDocument/2006/relationships/hyperlink" Target="https://news.google.com/articles/CBMilwFodHRwczovL3d3dy5sYXRlcmNlcmEuY29tL2xhLXRlcmNlcmEtcG0vbm90aWNpYS9mbG9yY2l0YS1kcm9nYXMteS1wcmVqdWljaW9zLXBpZW5zYW4tcXVlLWxhLWdlbnRlLWRlLWl6cXVpZXJkYS1zZS1tZXRlLWN1YWxxdWllci1jb3NhLWEtbGEtYm9jYS82MDA1NDIv0gGmAWh0dHBzOi8vd3d3LmxhdGVyY2VyYS5jb20vbGEtdGVyY2VyYS1wbS9ub3RpY2lhL2Zsb3JjaXRhLWRyb2dhcy15LXByZWp1aWNpb3MtcGllbnNhbi1xdWUtbGEtZ2VudGUtZGUtaXpxdWllcmRhLXNlLW1ldGUtY3VhbHF1aWVyLWNvc2EtYS1sYS1ib2NhLzYwMDU0Mi8_b3V0cHV0VHlwZT1hbXA?hl=es-419&amp;gl=CL&amp;ceid=CL%3Aes-419" TargetMode="External"/><Relationship Id="rId80" Type="http://schemas.openxmlformats.org/officeDocument/2006/relationships/hyperlink" Target="https://news.google.com/articles/CBMiqwFodHRwczovL2VsbGliZXJvLmNsL25ld3NsZXR0ZXIvbW9sbGVyLXBlcmV6LWNvdGFwb3MtcHJlc2VudGEtcHJlc2lkZW50ZS1kZS1sYS1jYW1hcmEtZGUtZGlwdXRhZG9zLXBvci1kaWNob3MtZGUtYm9yaWMtc2ktZ2FuYS1lbC1yZWNoYXpvLW5pbmd1bm8tcHVlZGUtaW1wb25lci1zdS1wb3NpY2lvbi_SAQA?hl=es-419&amp;gl=CL&amp;ceid=CL%3Aes-419" TargetMode="External"/><Relationship Id="rId82" Type="http://schemas.openxmlformats.org/officeDocument/2006/relationships/hyperlink" Target="https://news.google.com/articles/CBMiXmh0dHBzOi8vd3d3LmxhZGlzY3VzaW9uLmNsL2J1bG5lcy1lcXVpcG8tbXVuaWNpcGFsLXNlLXNvbWV0aW8tYS1leGFtZW4tZGUtZGV0ZWNjaW9uLWRlLWRyb2dhcy_SAQA?hl=es-419&amp;gl=CL&amp;ceid=CL%3Aes-419" TargetMode="External"/><Relationship Id="rId81" Type="http://schemas.openxmlformats.org/officeDocument/2006/relationships/hyperlink" Target="https://news.google.com/articles/CAIiEGQrh6n1vtYWzPtEEkuGOjEqGQgEKhAIACoHCAowwIGmCzCojL4DMMrejQc?uo=CAUiigFodHRwczovL3B1YmxpbWljcm8uY2wvYS11bi1hY3VlcmRvLXRvdGFsLWhhYnJpYW4tbGxlZ2Fkby1ncmVtaW8tZGUtY2FtaW9uZXJvcy15LWVsLWdvYmllcm5vLWNvbi1sby1jdWFsLXNlLXBvbmUtZmluLWFsLXBhcm8tZW4tdG9kby1jaGlsZS_SAQA&amp;hl=es-419&amp;gl=CL&amp;ceid=CL%3Aes-419" TargetMode="External"/><Relationship Id="rId1" Type="http://schemas.openxmlformats.org/officeDocument/2006/relationships/hyperlink" Target="https://news.google.com/stories/CAAqNggKIjBDQklTSGpvSmMzUnZjbmt0TXpZd1NoRUtEd2pIOHJxVkJoRk5GeWI4S1hvY0ppZ0FQAQ?hl=es-419&amp;gl=CL&amp;ceid=CL%3Aes-419" TargetMode="External"/><Relationship Id="rId2" Type="http://schemas.openxmlformats.org/officeDocument/2006/relationships/hyperlink" Target="https://news.google.com/articles/CAIiEN9XsI8MFVvAULFco4mcKZkqGQgEKhAIACoHCAow1c6WCzDY9K0DMNXq0wY?uo=CAUikwFodHRwczovL2FyYXVjYW5pYW5vdGljaWFzLmNsLzIwMjIvZGlwdXRhZG8tYmVja2VyLWRhLW5lZ2F0aXZvLWEtdGVzdC1kZS1kcm9nYXMtbGxhbS1hLXRyYW5zcGFyZW50YXItbG9zLXJlc3VsdGFkb3MtYW50ZS1sYS1vcGluaW4tcGJsaWNhLzExMTUyMjUxNjjSAQA&amp;hl=es-419&amp;gl=CL&amp;ceid=CL%3Aes-419" TargetMode="External"/><Relationship Id="rId3" Type="http://schemas.openxmlformats.org/officeDocument/2006/relationships/hyperlink" Target="https://news.google.com/articles/CAIiEN6lwLYt2Y7rvqbyPMUM9PMqGQgEKhAIACoHCAow292WCzCehK4DMMmewAM?uo=CAUinQFodHRwczovL3d3dy5sYXRlcmNlcmEuY29tL3BvbGl0aWNhL25vdGljaWEvdGVzdC1kZS1kcm9nYXMtYS1kaXB1dGFkb3MtcmVzdWx0YWRvcy1kZS1sb3MtcHJpbWVyb3MtZXhhbWVuZXMtc2UtY29ub2NlcmFuLWVzdGUtbHVuZXMvNVVKQTNXTUFGWkJIUEIzRktSQVlIUlVMRE0v0gEA&amp;hl=es-419&amp;gl=CL&amp;ceid=CL%3Aes-419" TargetMode="External"/><Relationship Id="rId4" Type="http://schemas.openxmlformats.org/officeDocument/2006/relationships/hyperlink" Target="https://news.google.com/articles/CBMipAFodHRwczovL3d3dy5iaW9iaW9jaGlsZS5jbC9ub3RpY2lhcy9uYWNpb25hbC9jaGlsZS8yMDIyLzA4LzE3L3JldmlzYS1sYS1saXN0YS1jYW1hcmEtc29ydGVhLWEtbG9zLXByaW1lcm9zLTc4LWRpcHV0YWRvcy1xdWUtZGViZXJhbi1zb21ldGVyc2UtYS10ZXN0LWRlLWRyb2dhcy5zaHRtbNIBqAFodHRwczovL3d3dy5iaW9iaW9jaGlsZS5jbC9ub3RpY2lhcy9uYWNpb25hbC9jaGlsZS8yMDIyLzA4LzE3L2FtcC9yZXZpc2EtbGEtbGlzdGEtY2FtYXJhLXNvcnRlYS1hLWxvcy1wcmltZXJvcy03OC1kaXB1dGFkb3MtcXVlLWRlYmVyYW4tc29tZXRlcnNlLWEtdGVzdC1kZS1kcm9nYXMuc2h0bWw?hl=es-419&amp;gl=CL&amp;ceid=CL%3Aes-419" TargetMode="External"/><Relationship Id="rId9" Type="http://schemas.openxmlformats.org/officeDocument/2006/relationships/hyperlink" Target="https://news.google.com/articles/CBMingFodHRwczovL3d3dy5iaW9iaW9jaGlsZS5jbC9ub3RpY2lhcy9uYWNpb25hbC9jaGlsZS8yMDIyLzA4LzE4L25lY2VzYXJpby1zaG93LXktZXh0ZW5kZXJsby1hbC1nb2JpZXJuby1sYXMtcmVhY2Npb25lcy1kZS1wYXJsYW1lbnRhcmlvcy1hbC10ZXN0LWRlLWRyb2dhcy5zaHRtbNIBogFodHRwczovL3d3dy5iaW9iaW9jaGlsZS5jbC9ub3RpY2lhcy9uYWNpb25hbC9jaGlsZS8yMDIyLzA4LzE4L2FtcC9uZWNlc2FyaW8tc2hvdy15LWV4dGVuZGVybG8tYWwtZ29iaWVybm8tbGFzLXJlYWNjaW9uZXMtZGUtcGFybGFtZW50YXJpb3MtYWwtdGVzdC1kZS1kcm9nYXMuc2h0bWw?hl=es-419&amp;gl=CL&amp;ceid=CL%3Aes-419" TargetMode="External"/><Relationship Id="rId5" Type="http://schemas.openxmlformats.org/officeDocument/2006/relationships/hyperlink" Target="https://news.google.com/articles/CBMihgFodHRwczovL20uZWxtb3N0cmFkb3IuY2wvZGlhLzIwMjIvMDgvMjIvY29tZW56by1hcGxpY2FjaW9uLWRlLXRlc3QtZGUtZHJvZ2FzLWEtcGFybGFtZW50YXJpb3MtcmVzdWx0YWRvcy1kZW1vcmFyYW4tZW50cmUtMTAtYS0xNS1kaWFzL9IBAA?hl=es-419&amp;gl=CL&amp;ceid=CL%3Aes-419" TargetMode="External"/><Relationship Id="rId6" Type="http://schemas.openxmlformats.org/officeDocument/2006/relationships/hyperlink" Target="https://news.google.com/articles/CAIiEAEM9XjeAaPG8iZhawMVxBwqGQgEKhAIACoHCAow292WCzCehK4DMJD3ywY?uo=CAUisQFodHRwczovL3d3dy5sYXRlcmNlcmEuY29tL2xhLXRlcmNlcmEtcG0vbm90aWNpYS9zdXNwZW5zby1lbi1sYS1jYW1hcmEtcmVzdWx0YWRvcy1kZS1wcmltZXJvcy10ZXN0LWRlLWRyb2dhcy1hLWRpcHV0YWRvcy1zZS1jb25vY2VyYW4tZWwtcHJveGltby1sdW5lcy8yRUtERFpLRVJGRFZIRVpLWTNDREpFRVFIUS_SAQA&amp;hl=es-419&amp;gl=CL&amp;ceid=CL%3Aes-419" TargetMode="External"/><Relationship Id="rId7" Type="http://schemas.openxmlformats.org/officeDocument/2006/relationships/hyperlink" Target="https://news.google.com/articles/CAIiEBNPyhksvcNE3wx9PL7pJcAqGQgEKhAIACoHCAow292WCzCehK4DMMmewAM?uo=CAUiqwFodHRwczovL3d3dy5sYXRlcmNlcmEuY29tL3BvbGl0aWNhL25vdGljaWEvdW4tYW1pZ28tc29ycHJlc2l2by1lbi1sYS1jb3J0ZS1pbmRoLXNhbGUtZW4tZGVmZW5zYS1kZS1kaXB1dGFkYXMtcXVlLXNlLXJlYmVsYXJvbi1hbC10ZXN0LWRlLWRyb2dhcy9PSFZXVE00Q1lOQUZKQ1dZTFZEUE1NUkhCNC_SAQA&amp;hl=es-419&amp;gl=CL&amp;ceid=CL%3Aes-419" TargetMode="External"/><Relationship Id="rId8" Type="http://schemas.openxmlformats.org/officeDocument/2006/relationships/hyperlink" Target="https://news.google.com/articles/CAIiEKaxBy09sGh2s-_WNODq7FQqGQgEKhAIACoHCAow292WCzCehK4DMMmewAM?uo=CAUiuAFodHRwczovL3d3dy5sYXRlcmNlcmEuY29tL3BvbGl0aWNhL25vdGljaWEvY2FtYXJhLWFwcnVlYmEtdGVzdC1kZS1kcm9nYXMtYS1kaXB1dGFkb3MtaW5pY2lhdGl2YS1pbmNsdXllLXF1ZS1yZXN1bHRhZG9zLXNlYW4tcHVibGljb3MteS1lbGltaW5hLWluaGFiaWxpZGFkZXMvUzJZUE9BQVI1NUIzREJGQTRXQTIzWENCN1Ev0gEA&amp;hl=es-419&amp;gl=CL&amp;ceid=CL%3Aes-419" TargetMode="External"/><Relationship Id="rId73" Type="http://schemas.openxmlformats.org/officeDocument/2006/relationships/hyperlink" Target="https://news.google.com/articles/CAIiEAlZ-FHnstgayPz1b5JNa_EqGQgEKhAIACoHCAowwIGmCzCojL4DMMrejQc?uo=CAUijQFodHRwczovL3B1YmxpbWljcm8uY2wvZGVidXRvLWVzdGUtbHVuZXMtbGEtcmVuZGljaW9uLWRlLWxhLXBhZXMtZW4tdG9kby1jaGlsZS1leGFtZW4tcXVlLXJlZW1wbGF6YS1hLWxhLXBkdC1kZS10cmFuc2ljaW9uLXktYS1sYS1hbnRpZ3VhLXBzdS_SAQA&amp;hl=es-419&amp;gl=CL&amp;ceid=CL%3Aes-419" TargetMode="External"/><Relationship Id="rId72" Type="http://schemas.openxmlformats.org/officeDocument/2006/relationships/hyperlink" Target="https://news.google.com/articles/CBMi1AFodHRwczovL3BhcnRpZG9yZXB1YmxpY2Fub2RlY2hpbGUuY2wvamVmZS1kZS1sYS1iYW5jYWRhLXJlcHVibGljYW5hLXktbGxhbWFkby1kZS12YWxsZWpvLWEtcXVlLW9wb3NpY2lvbi1zZS1wb25nYS1kZS1hY3VlcmRvLXBvci1wbGViaXNjaXRvLWRlamVuLWRlLWludGVydmVuaXItZW4tdW4tcHJvY2Vzby1kZW1vY3JhdGljby1xdWUtbm9zLXBlcnRlbmVjZS1hLXRvZG9zL9IBAA?hl=es-419&amp;gl=CL&amp;ceid=CL%3Aes-419" TargetMode="External"/><Relationship Id="rId75" Type="http://schemas.openxmlformats.org/officeDocument/2006/relationships/hyperlink" Target="https://news.google.com/articles/CAIiEOvWvF-vJyjTj06rrgH6KmMqMwgEKioIACIQ6COHnlHU784dI_DRPTSJdioUCAoiEOgjh55R1O_OHSPw0T00iXYwgcqIBw?uo=CAUifmh0dHBzOi8vd3d3LnQxMy5jbC9ub3RpY2lhL25hY2lvbmFsL2RlYmlhLXZpZ2lsYXItbmFyY29zLWVyYS11bm8tYXNpLW9wZXJhYmEtZnVuY2lvbmFyaW8tZ29iaWVybm8tY29uZGVuYWRvLXRyYWZpY28tMjgtMDktMjAyMtIBAA&amp;hl=es-419&amp;gl=CL&amp;ceid=CL%3Aes-419" TargetMode="External"/><Relationship Id="rId74" Type="http://schemas.openxmlformats.org/officeDocument/2006/relationships/hyperlink" Target="https://news.google.com/articles/CBMiaGh0dHBzOi8vbS5lbG1vc3RyYWRvci5jbC9kaWEvMjAyMi8wOS8yNi9wcmVzdXB1ZXN0by0yMDIzLWdvYmllcm5vLWxvLXByZXNlbnRhcmEtZXN0YS1zZW1hbmEtYWwtY29uZ3Jlc28v0gEA?hl=es-419&amp;gl=CL&amp;ceid=CL%3Aes-419" TargetMode="External"/><Relationship Id="rId77" Type="http://schemas.openxmlformats.org/officeDocument/2006/relationships/hyperlink" Target="https://news.google.com/articles/CAIiEMvn30Xb3xux-Z3FxCvQrMwqGQgEKhAIACoHCAow292WCzCehK4DMJD3ywY?uo=CAUi1gFodHRwczovL3d3dy5sYXRlcmNlcmEuY29tL3BvbGl0aWNhL25vdGljaWEvY29tby1zb21vcy1tdWplcmVzLWhlbW9zLWFwcmVuZGlkby1hLWhhY2VyLXZhcmlhcy1jb3Nhcy1hLWxhLXZlei1sYS1yZXNwdWVzdGEtZGUtdG9oYS1hLWRpcHV0YWRvcy1xdWUtcmVjbGFtYXJvbi1uby1zZXItZXNjdWNoYWRvcy1lbi1sYS1jYW1hcmEvNDMzVEdCUk5HQkNVUkxNWDU3VkJISVk2V1kv0gEA&amp;hl=es-419&amp;gl=CL&amp;ceid=CL%3Aes-419" TargetMode="External"/><Relationship Id="rId76" Type="http://schemas.openxmlformats.org/officeDocument/2006/relationships/hyperlink" Target="https://news.google.com/articles/CAIiEDVzLgMbvxdPmzmtEaTC5EkqMwgEKioIACIQ6COHnlHU784dI_DRPTSJdioUCAoiEOgjh55R1O_OHSPw0T00iXYwgcqIBw?uo=CAUiXmh0dHBzOi8vd3d3LnQxMy5jbC9ub3RpY2lhL3BvbGl0aWNhL3NleHRvLXJldGlyby1jcnVjZS1rYXJvbC1jYXJpb2xhLXktcGFtZWxhLWppbGVzLTA0LTA3LTIwMjLSAQA&amp;hl=es-419&amp;gl=CL&amp;ceid=CL%3Aes-419" TargetMode="External"/><Relationship Id="rId79" Type="http://schemas.openxmlformats.org/officeDocument/2006/relationships/hyperlink" Target="https://news.google.com/articles/CBMibmh0dHBzOi8vd3d3LmxhdGVyY2VyYS5jb20vcG9saXRpY2Evbm90aWNpYS9sb3Mtb3Ryb3MtcG9saXRpY29zLXZpbmN1bGFkby1wYXJsYW1lbnRhcmlvcy1jb25zdW1vLWRyb2dhcy84NjA2MTIv0gF9aHR0cHM6Ly93d3cubGF0ZXJjZXJhLmNvbS9wb2xpdGljYS9ub3RpY2lhL2xvcy1vdHJvcy1wb2xpdGljb3MtdmluY3VsYWRvLXBhcmxhbWVudGFyaW9zLWNvbnN1bW8tZHJvZ2FzLzg2MDYxMi8_b3V0cHV0VHlwZT1hbXA?hl=es-419&amp;gl=CL&amp;ceid=CL%3Aes-419" TargetMode="External"/><Relationship Id="rId78" Type="http://schemas.openxmlformats.org/officeDocument/2006/relationships/hyperlink" Target="https://news.google.com/articles/CAIiEAf02_k-FWJHq2H64RUUBC4qMwgEKioIACIQVGcsbw39Ucci0s30uaM2FSoUCAoiEFRnLG8N_VHHItLN9LmjNhUwgpT2Bg?uo=CAUihwFodHRwczovL3d3dy5lbGRpbmFtby5jbC9wb2xpdGljYS9DYW1hcmEtZGVudW5jaWEtYW1lbmF6YXMtY29udHJhLWRpcHV0YWRvcy1wb3ItY29udGludWlkYWQtZGVsLXByb2Nlc28tY29uc3RpdHV5ZW50ZS0yMDIyMDkxMS0wMDAxLmh0bWzSAQA&amp;hl=es-419&amp;gl=CL&amp;ceid=CL%3Aes-419" TargetMode="External"/><Relationship Id="rId71" Type="http://schemas.openxmlformats.org/officeDocument/2006/relationships/hyperlink" Target="https://news.google.com/articles/CBMikQFodHRwczovL20uZWxtb3N0cmFkb3IuY2wvZGlhLzIwMjIvMDgvMTgvcG9yLWNvbnRyb3ZlcnNpYWxlcy1kaWNob3MtZGlwdXRhZG8tZ29uemFsby1kZS1sYS1jYXJyZXJhLXNlcmEtbGxldmFkby1hbC10cmlidW5hbC1kZS1ldGljYS1kZS1sYS1jYW1hcmEv0gEA?hl=es-419&amp;gl=CL&amp;ceid=CL%3Aes-419" TargetMode="External"/><Relationship Id="rId70" Type="http://schemas.openxmlformats.org/officeDocument/2006/relationships/hyperlink" Target="https://news.google.com/articles/CAIiEHD2TIMYeIisUNCwzEaxOAMqMwgEKioIACIQ6COHnlHU784dI_DRPTSJdioUCAoiEOgjh55R1O_OHSPw0T00iXYwgcqIBw?uo=CAUia2h0dHBzOi8vd3d3LnQxMy5jbC9ub3RpY2lhL25hY2lvbmFsL2RldGllbmVuLW1pZW1icm9zLW5hcmNvcy1jb2xvbWJpYW5vcy1kcm9nYS1jYWxpLXBlcnNhLWJpb2Jpby0yMy0wOC0yMDIy0gEA&amp;hl=es-419&amp;gl=CL&amp;ceid=CL%3Aes-419" TargetMode="External"/><Relationship Id="rId62" Type="http://schemas.openxmlformats.org/officeDocument/2006/relationships/hyperlink" Target="https://news.google.com/articles/CAIiEN79dDtd7J_WLEkPzBQiGD0qMwgEKioIACIQVGcsbw39Ucci0s30uaM2FSoUCAoiEFRnLG8N_VHHItLN9LmjNhUwhZT2Bg?uo=CAUikQFodHRwczovL3d3dy5lbGRpbmFtby5jbC9lbnRyZXRlbmNpb24vTm8tdm95LWEtc2F0YW5pemFyLWVsLWNvbnN1bW8tZGUtZHJvZ2FzLUpvc2UtQW50b25pby1OZW1lLWFkbWl0aW8taGFiZXItcHJvYmFkby1tYXJpaHVhbmEtMjAyMjA2MTYtMDAyOC5odG1s0gEA&amp;hl=es-419&amp;gl=CL&amp;ceid=CL%3Aes-419" TargetMode="External"/><Relationship Id="rId61" Type="http://schemas.openxmlformats.org/officeDocument/2006/relationships/hyperlink" Target="https://news.google.com/articles/CAIiEJqdKjXefqRIN5TMRlZFbPoqMwgEKioIACIQVGcsbw39Ucci0s30uaM2FSoUCAoiEFRnLG8N_VHHItLN9LmjNhUwrerFBg?uo=CAUingFodHRwczovL3d3dy5lbGRpbmFtby5jbC9wYWlzL0VtaWxpYS1TY2huZWlkZXItc2UtcmVmaXJpby1hLXN1LWFkaWNjaW9uLWEtbGFzLWRyb2dhcy1lbi1sYS1hZG9sZXNjZW5jaWEtQ29uc3VtaS1tdWNoYXMtc3VzdGFuY2lhcy1wZWxpZ3Jvc2FzLTIwMjIxMDIyLTAwMTQuaHRtbNIBAA&amp;hl=es-419&amp;gl=CL&amp;ceid=CL%3Aes-419" TargetMode="External"/><Relationship Id="rId64" Type="http://schemas.openxmlformats.org/officeDocument/2006/relationships/hyperlink" Target="https://news.google.com/articles/CAIiEDGZGmRzslc_Uh_D7oONw-YqMwgEKioIACIQVGcsbw39Ucci0s30uaM2FSoUCAoiEFRnLG8N_VHHItLN9LmjNhUwgpT2Bg?uo=CAUifWh0dHBzOi8vd3d3LmVsZGluYW1vLmNsL3BvbGl0aWNhL0xhLXBvbGVtaWNhLWVudHJlLUthc3QteS1TYWV6LXBvci1lbC1jb25zdW1vLWRlLW1hcmlodWFuYS1kZWwtZGlwdXRhZG8tUkQtMjAyMjA3MzEtMDAxMC5odG1s0gEA&amp;hl=es-419&amp;gl=CL&amp;ceid=CL%3Aes-419" TargetMode="External"/><Relationship Id="rId63" Type="http://schemas.openxmlformats.org/officeDocument/2006/relationships/hyperlink" Target="https://news.google.com/articles/CAIiELPrEGArE_LswWLIt9OWoaAqGQgEKhAIACoHCAowtaiWCzCoza0DMM6k7wY?uo=CAUimAFodHRwczovL3Zpdmltb3NsYW5vdGljaWEuY2wvbm90aWNpYXMvYWN0dWFsaWRhZC9wb2xpdGljYS8yMDIyLzA4LzI0L2ZyYW5jaXNjby1wdWxnYXItZXMtZWwtcHJpbWVyLWRpcHV0YWRvLWRlbC1tYXVsZS1xdWUtc2Utc29tZXRlcnNlLWFsLXRlc3QtZGUtZHJvZ2FzL9IBAA&amp;hl=es-419&amp;gl=CL&amp;ceid=CL%3Aes-419" TargetMode="External"/><Relationship Id="rId66" Type="http://schemas.openxmlformats.org/officeDocument/2006/relationships/hyperlink" Target="https://news.google.com/articles/CBMieGh0dHBzOi8vd3d3LjI0aG9yYXMuY2wvcHJvZ3JhbWFzL25vdGljaWFzLTI0L2p1YW4tYW50b25pby1jb2xvbWEtdWRpLXF1aXNpbW9zLWFncmVnYXItdW5hLXJlZm9ybWEtcXVlLW9ibGlndWUtdGVzdC1kcm9nYdIBeGh0dHBzOi8vYW1wLjI0aG9yYXMuY2wvcHJvZ3JhbWFzL25vdGljaWFzLTI0L2p1YW4tYW50b25pby1jb2xvbWEtdWRpLXF1aXNpbW9zLWFncmVnYXItdW5hLXJlZm9ybWEtcXVlLW9ibGlndWUtdGVzdC1kcm9nYQ?hl=es-419&amp;gl=CL&amp;ceid=CL%3Aes-419" TargetMode="External"/><Relationship Id="rId65" Type="http://schemas.openxmlformats.org/officeDocument/2006/relationships/hyperlink" Target="https://news.google.com/articles/CAIiECVcFyLkZV0xGrka1o-8oLYqMwgEKioIACIQ6COHnlHU784dI_DRPTSJdioUCAoiEOgjh55R1O_OHSPw0T00iXYwgcqIBw?uo=CAUiSmh0dHBzOi8vd3d3LnQxMy5jbC92aWRlb3MvcG9saXRpY2EvZGlwdXRhZG9zLWRlYmVyYW4tc29tZXRlcnNlLXRlc3QtZHJvZ2Fz0gEA&amp;hl=es-419&amp;gl=CL&amp;ceid=CL%3Aes-419" TargetMode="External"/><Relationship Id="rId68" Type="http://schemas.openxmlformats.org/officeDocument/2006/relationships/hyperlink" Target="https://news.google.com/articles/CAIiEBpEtyxOYyDDjPhcYPlhtJgqGQgEKhAIACoHCAow7qmcCzCCtLQDMNrEggc?uo=CAUinwFodHRwczovL3d3dy5wdWJsaW1ldHJvLmNsL25vdGljaWFzLzIwMjIvMDgvMTgvZGlwdXRhZG8tY29sb21hLXBpZGUtZGFybGUtdXJnZW5jaWEtYS1wcm95ZWN0by1kZS1sZXktcXVlLWV4dGllbmRlLWEtb3Ryb3MtcG9kZXJlcy1kZWwtZXN0YWRvLWVsLXRlc3QtYW50aWRyb2dhcy_SAQA&amp;hl=es-419&amp;gl=CL&amp;ceid=CL%3Aes-419" TargetMode="External"/><Relationship Id="rId67" Type="http://schemas.openxmlformats.org/officeDocument/2006/relationships/hyperlink" Target="https://news.google.com/articles/CBMiX2h0dHBzOi8vd3d3Lm1hcmF5LmNsL2N1YXRyby1kZXRlbmlkb3MtZW4tdGFsbGVyLWNsYW5kZXN0aW5vLXF1ZS1tb2RpZmljYWJhLWFybWFzLWVuLWxhLXBpbnRhbmEv0gEA?hl=es-419&amp;gl=CL&amp;ceid=CL%3Aes-419" TargetMode="External"/><Relationship Id="rId60" Type="http://schemas.openxmlformats.org/officeDocument/2006/relationships/hyperlink" Target="https://news.google.com/articles/CBMid2h0dHBzOi8vd3d3LmRpYXJpb2NvbnN0aXR1Y2lvbmFsLmNsLzIwMjIvMDgvMTgvY2FtYXJhLXNvcnRlYS1hLWxvcy1wcmltZXJvcy1wYXJsYW1lbnRhcmlvcy1wYXJhLWluaWNpYXItdGVzdC1kZS1kcm9nYXMv0gEA?hl=es-419&amp;gl=CL&amp;ceid=CL%3Aes-419" TargetMode="External"/><Relationship Id="rId69" Type="http://schemas.openxmlformats.org/officeDocument/2006/relationships/hyperlink" Target="https://news.google.com/articles/CBMib2h0dHBzOi8vd3d3LmNubmNoaWxlLmNvbS9wYWlzLzYzLWRpcHV0YWRvcy1jb25mZXNhcm9uLXF1ZS1jb25zdW1pZXJvbi1hbGd1bi10aXBvLWRlLWRyb2dhcy1hbGd1bmEtdmV6XzIwMTkwNTA2L9IBAA?hl=es-419&amp;gl=CL&amp;ceid=CL%3Aes-419" TargetMode="External"/><Relationship Id="rId51" Type="http://schemas.openxmlformats.org/officeDocument/2006/relationships/hyperlink" Target="https://news.google.com/articles/CAIiECNwuORTFAFlV1BM_byXPnIqGQgEKhAIACoHCAowj_uNCzDXzaADMPz-iwc?uo=CAUigAFodHRwczovL3d3dy5kdXBsb3MuY2wvdGVuZGVuY2lhcy9kb2N0b3JhLWNvcmRlcm8tY3Vlc3Rpb25vLXRlc3QtZGUtZHJvZ2FzLWEtcGFybGFtZW50YXJpb3MtZXN0YS10b2RvLWFycmVnbGFkby83MjU3OC8yMDIyLzEwLzA3L9IBAA&amp;hl=es-419&amp;gl=CL&amp;ceid=CL%3Aes-419" TargetMode="External"/><Relationship Id="rId50" Type="http://schemas.openxmlformats.org/officeDocument/2006/relationships/hyperlink" Target="https://news.google.com/articles/CBMiXmh0dHBzOi8vd3d3LnRoZWNsaW5pYy5jbC8yMDIyLzA4LzE4L2pvc2UtbHVpcy1yZXBlbm5pbmctaW50ZXJjYW1iaW8tY2FtaWxhLWZsb3Jlcy10ZXN0LWRyb2dhcy_SAWJodHRwczovL3d3dy50aGVjbGluaWMuY2wvMjAyMi8wOC8xOC9qb3NlLWx1aXMtcmVwZW5uaW5nLWludGVyY2FtYmlvLWNhbWlsYS1mbG9yZXMtdGVzdC1kcm9nYXMvYW1wLw?hl=es-419&amp;gl=CL&amp;ceid=CL%3Aes-419" TargetMode="External"/><Relationship Id="rId53" Type="http://schemas.openxmlformats.org/officeDocument/2006/relationships/hyperlink" Target="https://news.google.com/articles/CAIiEINcyk0GqhWWRoivuHkLNQgqGQgEKhAIACoHCAow292WCzCehK4DMJD3ywY?uo=CAUiyAFodHRwczovL3d3dy5sYXRlcmNlcmEuY29tL2xhLXRlcmNlcmEtc2FiYWRvL25vdGljaWEvY3Jpc3RpYW4tY2FtYXJnby1kaXJlY3Rvci1kZWwtbGFib3JhdG9yaW8tZGUtYW5hbGlzaXMtYW50aWRvcGluZy1hbGd1aWVuLXF1ZS1lcy1hZGljdG8tYS11bmEtZHJvZ2EtZXMtZmFjaWwtZGUtY29ycm9tcGVyL0ZaUEM3Q1gzU1JEWkJEWjNGTFZLTllNSTVBL9IBAA&amp;hl=es-419&amp;gl=CL&amp;ceid=CL%3Aes-419" TargetMode="External"/><Relationship Id="rId52" Type="http://schemas.openxmlformats.org/officeDocument/2006/relationships/hyperlink" Target="https://news.google.com/articles/CBMisAFodHRwczovL3d3dy5iaW9iaW9jaGlsZS5jbC9iaW9iaW90di9wcm9ncmFtYXMvcG9kcmlhLXNlci1wZW9yLzIwMjIvMDcvMTQvZGlwdXRhZGEtcGFtZWxhLWppbGVzLW5vLXB1ZWRlLWhhYmVyLXBsYXRhLW1lam9yLWdhc3RhZGEtcXVlLXBhcmEtc2FiZXItc2ktdGVuZW1vcy1uYXJjb2RpcHV0YWRvcy5zaHRtbNIBAA?hl=es-419&amp;gl=CL&amp;ceid=CL%3Aes-419" TargetMode="External"/><Relationship Id="rId55" Type="http://schemas.openxmlformats.org/officeDocument/2006/relationships/hyperlink" Target="https://news.google.com/articles/CBMijQFodHRwczovL2c1bm90aWNpYXMuY2wvMjAyMi8wNy8xMy9kaXB1dGFkby1nYXNwYXItcml2YXMtcGRnLWNyaXRpY2EtcG9zdHVyYXMtZGUtbG9zLXNlY3RvcmVzLXBvbGl0aWNvcy1kZS1sYS1jYW1hcmEtYWNlcmNhLWRlbC10ZXN0LWRlLWRyb2dhcy_SAQA?hl=es-419&amp;gl=CL&amp;ceid=CL%3Aes-419" TargetMode="External"/><Relationship Id="rId54" Type="http://schemas.openxmlformats.org/officeDocument/2006/relationships/hyperlink" Target="https://news.google.com/articles/CBMieGh0dHBzOi8vd3d3LnJldmlzdGFkZWZyZW50ZS5jbC9jb3J0ZS1zdXByZW1hLWFkbWl0ZS1yZWN1cnNvLWNvbnRyYS10ZXN0LWRlLWRyb2dhcy1lbi1sYS1jYW1hcmEtZGUtZGlwdXRhZGFzLXktZGlwdXRhZG9zL9IBAA?hl=es-419&amp;gl=CL&amp;ceid=CL%3Aes-419" TargetMode="External"/><Relationship Id="rId57" Type="http://schemas.openxmlformats.org/officeDocument/2006/relationships/hyperlink" Target="https://news.google.com/articles/CBMihAFodHRwczovL25vdGljaWFzLnVuYWIuY2wvcmFkaW8tYmlvLWJpby1lbnRyZXZpc3RhLWEtYWxlaWRhLWt1bGlrb2ZmLWFjYWRlbWljYS15LXRveGljb2xvZ2EtZGUtbGEtZXNjdWVsYS1kZS1xdWltaWNhLXktZmFybWFjaWEtdW5hYi_SAQA?hl=es-419&amp;gl=CL&amp;ceid=CL%3Aes-419" TargetMode="External"/><Relationship Id="rId56" Type="http://schemas.openxmlformats.org/officeDocument/2006/relationships/hyperlink" Target="https://news.google.com/articles/CBMisAFodHRwczovL3d3dy5lbGNpdWRhZGFuby5jb20vYWN0dWFsaWRhZC9jaWJlci1hY29zby15LWhvc3RpZ2FtaWVudG8tYS1kaXB1dGFkYXMtcG9yLXRlc3QtZGUtZHJvZ2FzLWN1YWwtZXMtZWwtbGltaXRlLWRlLWxhLXBlcnNlY3VjaW9uLWFudGktbmFyY290aWNvcy1kZW50cm8tZGUtbGEtY2FtYXJhLzA5LzI5L9IBAA?hl=es-419&amp;gl=CL&amp;ceid=CL%3Aes-419" TargetMode="External"/><Relationship Id="rId59" Type="http://schemas.openxmlformats.org/officeDocument/2006/relationships/hyperlink" Target="https://news.google.com/articles/CAIiENBPUpuVAhI2Lkav5rSUEAcqMwgEKioIACIQ6COHnlHU784dI_DRPTSJdioUCAoiEOgjh55R1O_OHSPw0T00iXYwgcqIBw?uo=CAUicGh0dHBzOi8vd3d3LnQxMy5jbC9ub3RpY2lhL3BvbGl0aWNhL25hY2lvbmFsL3F1ZS1kaWNlLWxleS15LXJlZ2xhbWVudG8tY2FtYXJhLWNvbnN1bW8tYWxjb2hvbC10cmFiYWpvLTE4LTA4LTIwMjLSAQA&amp;hl=es-419&amp;gl=CL&amp;ceid=CL%3Aes-419" TargetMode="External"/><Relationship Id="rId58" Type="http://schemas.openxmlformats.org/officeDocument/2006/relationships/hyperlink" Target="https://news.google.com/articles/CBMiYWh0dHBzOi8vd3d3LnRoZWNsaW5pYy5jbC8yMDIyLzA5LzI4L2FuZWNkb3RhLWRpcHV0YWRvLWxlb25pZGFzLXJvbWVyby1tdWVzdHJhLXBlbG8tZXhhbWVuLWRyb2dhcy_SAWVodHRwczovL3d3dy50aGVjbGluaWMuY2wvMjAyMi8wOS8yOC9hbmVjZG90YS1kaXB1dGFkby1sZW9uaWRhcy1yb21lcm8tbXVlc3RyYS1wZWxvLWV4YW1lbi1kcm9nYXMvYW1wLw?hl=es-419&amp;gl=CL&amp;ceid=CL%3Aes-419" TargetMode="External"/></Relationships>
</file>

<file path=xl/drawings/_rels/drawing3.xml.rels><?xml version="1.0" encoding="UTF-8" standalone="yes"?><Relationships xmlns="http://schemas.openxmlformats.org/package/2006/relationships"><Relationship Id="rId31" Type="http://schemas.openxmlformats.org/officeDocument/2006/relationships/image" Target="../media/image6.png"/><Relationship Id="rId30" Type="http://schemas.openxmlformats.org/officeDocument/2006/relationships/hyperlink" Target="https://news.google.com/articles/CAIiEEJtJFYX_jfvCDuevIbl0vUqGQgEKhAIACoHCAowm52iCzDep7oDMPK32gc?uo=CAUifGh0dHBzOi8vd3d3LmVsbmFjaW9uYWwuY2F0L2VzL2ludGVybmFjaW9uYWwvcHJpbWVyYS1taW5pc3RyYS1maW5sYW5kaWEtc29tZXRlLXRlc3QtZHJvZ2FzLWxpbXBpYXItcmVwdXRhY2lvbl84NzExMDRfMTAyLmh0bWzSAQA&amp;hl=es-419&amp;gl=CL&amp;ceid=CL%3Aes-419" TargetMode="External"/><Relationship Id="rId33" Type="http://schemas.openxmlformats.org/officeDocument/2006/relationships/image" Target="../media/image5.png"/><Relationship Id="rId32" Type="http://schemas.openxmlformats.org/officeDocument/2006/relationships/image" Target="../media/image10.png"/><Relationship Id="rId35" Type="http://schemas.openxmlformats.org/officeDocument/2006/relationships/image" Target="../media/image23.png"/><Relationship Id="rId34" Type="http://schemas.openxmlformats.org/officeDocument/2006/relationships/image" Target="../media/image7.png"/><Relationship Id="rId36" Type="http://schemas.openxmlformats.org/officeDocument/2006/relationships/image" Target="../media/image22.png"/><Relationship Id="rId20" Type="http://schemas.openxmlformats.org/officeDocument/2006/relationships/hyperlink" Target="https://news.google.com/articles/CAIiEPrdIvc1yjHrFnxwENTvQ_AqMwgEKioIACIQVGcsbw39Ucci0s30uaM2FSoUCAoiEFRnLG8N_VHHItLN9LmjNhUwgpT2Bg?uo=CAUimgFodHRwczovL3d3dy5lbGRpbmFtby5jbC9wb2xpdGljYS9EaXB1dGFkby1TYWV6LXJlYWZpcm1hLXN1LWNvbnN1bW8tZGUtbWFyaWh1YW5hLXktZGljZS1xdWUtdGVzdC1kZS1kcm9nYXMtZXMtcGlyb3RlY25pYS1wcm9wYWdhbmRpc3RpY2EtMjAyMjA4MTgtMDAxNi5odG1s0gEA&amp;hl=es-419&amp;gl=CL&amp;ceid=CL%3Aes-419" TargetMode="External"/><Relationship Id="rId22" Type="http://schemas.openxmlformats.org/officeDocument/2006/relationships/hyperlink" Target="https://news.google.com/articles/CAIiEErCdvxN0FruO-uMj6Gj7FwqGQgEKhAIACoHCAow54S1CzD0n8wDMITtywc?uo=CAUiigFodHRwczovL3d3dy5hbnRvZmFnYXN0YS50di9hbnRvZmFnYXN0YS90ZXN0LWRlLWRyb2dhcy1hLXRyZXMtcGFybGFtZW50YXJpby1kZS1sYS1yZWdpb24tZGUtYW50b2ZhZ2FzdGEvMjAyMi8wOC8zMC82MzBlOTA4ZmZhNDlkNTAwMGE1YjUwYmHSAQA&amp;hl=es-419&amp;gl=CL&amp;ceid=CL%3Aes-419" TargetMode="External"/><Relationship Id="rId21" Type="http://schemas.openxmlformats.org/officeDocument/2006/relationships/hyperlink" Target="https://news.google.com/articles/CAIiEDTpxbsMLDHVSQqVp15H0_kqMwgEKioIACIQVGcsbw39Ucci0s30uaM2FSoUCAoiEFRnLG8N_VHHItLN9LmjNhUwgpT2Bg?uo=CAUikQFodHRwczovL3d3dy5lbGRpbmFtby5jbC9wb2xpdGljYS9EaXB1dGFkb3MtYW1lbmF6YW4tY29uLWluc3RhbmNpYXMtaW50ZXJuYWNpb25hbGVzLXNpLXNlLXB1YmxpY2FuLXJlc3VsdGFkb3MtZGUtdGVzdC1kZS1kcm9nYXMtMjAyMjA5MjctMDAzNS5odG1s0gEA&amp;hl=es-419&amp;gl=CL&amp;ceid=CL%3Aes-419" TargetMode="External"/><Relationship Id="rId24" Type="http://schemas.openxmlformats.org/officeDocument/2006/relationships/hyperlink" Target="https://news.google.com/articles/CBMihAFodHRwczovL25vdGljaWFzLnVuYWIuY2wvcmFkaW8tYmlvLWJpby1lbnRyZXZpc3RhLWEtYWxlaWRhLWt1bGlrb2ZmLWFjYWRlbWljYS15LXRveGljb2xvZ2EtZGUtbGEtZXNjdWVsYS1kZS1xdWltaWNhLXktZmFybWFjaWEtdW5hYi_SAQA?hl=es-419&amp;gl=CL&amp;ceid=CL%3Aes-419" TargetMode="External"/><Relationship Id="rId23" Type="http://schemas.openxmlformats.org/officeDocument/2006/relationships/hyperlink" Target="https://news.google.com/articles/CBMikgFodHRwczovL3d3dy5kaWFyaW9jb25zdGl0dWNpb25hbC5jbC8yMDIyLzA5LzI3L2NvcnRlLWRlLXZhbHBhcmFpc28tcmVjaGF6YS1zb2xpY2l0dWQtZGUtZGljdGFyLW9yZGVuLWRlLW5vLWlubm92YXItcG9yLXRlc3QtZGUtZHJvZ2FzLWEtZGlwdXRhZG9zL9IBAA?hl=es-419&amp;gl=CL&amp;ceid=CL%3Aes-419" TargetMode="External"/><Relationship Id="rId26" Type="http://schemas.openxmlformats.org/officeDocument/2006/relationships/hyperlink" Target="https://news.google.com/articles/CBMilQFodHRwczovL3d3dy5hc2lhbmV3cy5pdC9ub3RpY2lhcy1lcy9BbmthcmE6LUVsLWwlQzMlQURkZXItZGUtbGEtb3Bvc2ljaSVDMyVCM24tZXMtbGEtcHJpbWVyYS12JUMzJUFEY3RpbWEtZGUtbGEtbGV5LWRlLWRlc2luZm9ybWFjaSVDMyVCM24tNTcwMjcuaHRtbNIBAA?hl=es-419&amp;gl=CL&amp;ceid=CL%3Aes-419" TargetMode="External"/><Relationship Id="rId25" Type="http://schemas.openxmlformats.org/officeDocument/2006/relationships/hyperlink" Target="https://news.google.com/articles/CAIiEN79dDtd7J_WLEkPzBQiGD0qMwgEKioIACIQVGcsbw39Ucci0s30uaM2FSoUCAoiEFRnLG8N_VHHItLN9LmjNhUwhZT2Bg?uo=CAUikQFodHRwczovL3d3dy5lbGRpbmFtby5jbC9lbnRyZXRlbmNpb24vTm8tdm95LWEtc2F0YW5pemFyLWVsLWNvbnN1bW8tZGUtZHJvZ2FzLUpvc2UtQW50b25pby1OZW1lLWFkbWl0aW8taGFiZXItcHJvYmFkby1tYXJpaHVhbmEtMjAyMjA2MTYtMDAyOC5odG1s0gEA&amp;hl=es-419&amp;gl=CL&amp;ceid=CL%3Aes-419" TargetMode="External"/><Relationship Id="rId28" Type="http://schemas.openxmlformats.org/officeDocument/2006/relationships/hyperlink" Target="https://news.google.com/articles/CBMiqQFodHRwczovL2VscGFpcy5jb20vZXNwYW5hLzIwMjItMDktMjIvZWwtcHNvZS15LXN1cy1zb2Npb3MtcGFybGFtZW50YXJpb3MtYWN1ZXJkYW4tc3VzdGl0dWlyLWxhcy1tdWx0YXMtcG9yLWNvbnN1bWlyLWRyb2dhLWVuLWxhLWNhbGxlLXBvci1hY3RpdmlkYWRlcy1kZS1yZWVkdWNhY2lvbi5odG1s0gG4AWh0dHBzOi8vZWxwYWlzLmNvbS9lc3BhbmEvMjAyMi0wOS0yMi9lbC1wc29lLXktc3VzLXNvY2lvcy1wYXJsYW1lbnRhcmlvcy1hY3VlcmRhbi1zdXN0aXR1aXItbGFzLW11bHRhcy1wb3ItY29uc3VtaXItZHJvZ2EtZW4tbGEtY2FsbGUtcG9yLWFjdGl2aWRhZGVzLWRlLXJlZWR1Y2FjaW9uLmh0bWw_b3V0cHV0VHlwZT1hbXA?hl=es-419&amp;gl=CL&amp;ceid=CL%3Aes-419" TargetMode="External"/><Relationship Id="rId27" Type="http://schemas.openxmlformats.org/officeDocument/2006/relationships/hyperlink" Target="https://news.google.com/articles/CBMikAFodHRwczovL2Nvb3BlcmF0aXZhLmNsL25vdGljaWFzL3NvY2llZGFkL3NhbHVkL2Ryb2dhcy9kaXB1dGFkYS1nYXptdXJpLXRhbWJpZW4tZnVtby15LW5vLW1lLWF2ZXJndWVuem8tY3VsdGl2by1wbGFudGFzLWVuLzIwMjItMDgtMDEvMDg1ODQxLmh0bWzSAVRodHRwczovL3d3dy5jb29wZXJhdGl2YS5jbC9ub3RpY2lhcy9zaXRlL2FydGljLzIwMjIwODAxL3BhZ3MtYW1wLzIwMjIwODAxMDg1ODQxLmh0bWw?hl=es-419&amp;gl=CL&amp;ceid=CL%3Aes-419" TargetMode="External"/><Relationship Id="rId29" Type="http://schemas.openxmlformats.org/officeDocument/2006/relationships/hyperlink" Target="https://news.google.com/articles/CAIiEAlZ-FHnstgayPz1b5JNa_EqGQgEKhAIACoHCAowwIGmCzCojL4DMMrejQc?uo=CAUijQFodHRwczovL3B1YmxpbWljcm8uY2wvZGVidXRvLWVzdGUtbHVuZXMtbGEtcmVuZGljaW9uLWRlLWxhLXBhZXMtZW4tdG9kby1jaGlsZS1leGFtZW4tcXVlLXJlZW1wbGF6YS1hLWxhLXBkdC1kZS10cmFuc2ljaW9uLXktYS1sYS1hbnRpZ3VhLXBzdS_SAQA&amp;hl=es-419&amp;gl=CL&amp;ceid=CL%3Aes-419" TargetMode="External"/><Relationship Id="rId11" Type="http://schemas.openxmlformats.org/officeDocument/2006/relationships/hyperlink" Target="https://news.google.com/articles/CBMingFodHRwczovL3d3dy5iaW9iaW9jaGlsZS5jbC9ub3RpY2lhcy9uYWNpb25hbC9jaGlsZS8yMDIyLzA4LzE4L25lY2VzYXJpby1zaG93LXktZXh0ZW5kZXJsby1hbC1nb2JpZXJuby1sYXMtcmVhY2Npb25lcy1kZS1wYXJsYW1lbnRhcmlvcy1hbC10ZXN0LWRlLWRyb2dhcy5zaHRtbNIBogFodHRwczovL3d3dy5iaW9iaW9jaGlsZS5jbC9ub3RpY2lhcy9uYWNpb25hbC9jaGlsZS8yMDIyLzA4LzE4L2FtcC9uZWNlc2FyaW8tc2hvdy15LWV4dGVuZGVybG8tYWwtZ29iaWVybm8tbGFzLXJlYWNjaW9uZXMtZGUtcGFybGFtZW50YXJpb3MtYWwtdGVzdC1kZS1kcm9nYXMuc2h0bWw?hl=es-419&amp;gl=CL&amp;ceid=CL%3Aes-419" TargetMode="External"/><Relationship Id="rId10" Type="http://schemas.openxmlformats.org/officeDocument/2006/relationships/hyperlink" Target="https://news.google.com/articles/CAIiELiqL-aQMceDR4BtBaKAtycqGQgEKhAIACoHCAow292WCzCehK4DMJD3ywY?uo=CAUivAFodHRwczovL3d3dy5sYXRlcmNlcmEuY29tL3BvbGl0aWNhL25vdGljaWEvdGVzdC1kZS1kcm9nYXMtZGlwdXRhZG9zLXF1ZS1uby1zZS1yZWFsaXphcm9uLWxhLXBydWViYS1lbnRyZWdhcm9uLXN1cy1kZXNjYXJnb3MtZW4tbGEtY29taXNpb24tZGUtZXRpY2EtZGUtbGEtY2FtYXJhL09GVkpFV1VUVU5IU0hOUENVTjRGQzMzTTVFL9IBAA&amp;hl=es-419&amp;gl=CL&amp;ceid=CL%3Aes-419" TargetMode="External"/><Relationship Id="rId13" Type="http://schemas.openxmlformats.org/officeDocument/2006/relationships/hyperlink" Target="https://news.google.com/articles/CAIiEGw26FCI2G4rH04p1uLkhbUqGQgEKhAIACoHCAow292WCzCehK4DMJD3ywY?uo=CAUivwFodHRwczovL3d3dy5sYXRlcmNlcmEuY29tL3BvbGl0aWNhL25vdGljaWEvY29taXNpb24tZGUtZXRpY2EtZGUtbGEtY2FtYXJhLW5vLWxsZWdhLWEtYWN1ZXJkby1lbi1sYXMtc2FuY2lvbmVzLXBhcmEtZGlwdXRhZG9zLXF1ZS1uby1zZS1yZWFsaXphcm9uLWVsLXRlc3QtZGUtZHJvZ2FzL05TWE9IWk9LNFZIVUJES1lJS1NWWFpSN0lBL9IBAA&amp;hl=es-419&amp;gl=CL&amp;ceid=CL%3Aes-419" TargetMode="External"/><Relationship Id="rId12" Type="http://schemas.openxmlformats.org/officeDocument/2006/relationships/hyperlink" Target="https://news.google.com/articles/CAIiEGg7ssmAU7h1BbQYxqGvoy8qGQgEKhAIACoHCAow292WCzCehK4DMJD3ywY?uo=CAUihwFodHRwczovL3d3dy5sYXRlcmNlcmEuY29tL2Vhcmx5YWNjZXNzL25vdGljaWEvZWwtdHJhbmNlLWluY29tb2RvLWRlbC1mcmVudGUtYW1wbGlvLWZyZW50ZS1hbC10ZXN0LWRlLWRyb2dhcy9IWEQ1VFpXQ1RKRzZYT1JUT0VRWVJDWUo2VS_SAQA&amp;hl=es-419&amp;gl=CL&amp;ceid=CL%3Aes-419" TargetMode="External"/><Relationship Id="rId15" Type="http://schemas.openxmlformats.org/officeDocument/2006/relationships/hyperlink" Target="https://news.google.com/articles/CBMiVWh0dHBzOi8vd3d3LnBhdXRhLmNsL3BvbGl0aWNhL2NhbWlsYS1mbG9yZXMtcm4tdGVzdC1kZS1kcm9nYXMtZGlwdXRhZG9zLWNvbnN1bW8tZHJvZ2HSAQA?hl=es-419&amp;gl=CL&amp;ceid=CL%3Aes-419" TargetMode="External"/><Relationship Id="rId14" Type="http://schemas.openxmlformats.org/officeDocument/2006/relationships/hyperlink" Target="https://news.google.com/articles/CBMipQFodHRwczovL3d3dy5iaW9iaW9jaGlsZS5jbC9ub3RpY2lhcy9uYWNpb25hbC9jaGlsZS8yMDIyLzA4LzMxL3Rlc3QtZGUtZHJvZ2FzLWNhbWFyYS1iYWphLWV4dGllbmRlLXBsYXpvLXBhcmEtcXVlLTc4LXBhcmxhbWVudGFyaW9zLXNvcnRlYWRvcy1zZS1yZWFsaWNlbi1leGFtZW4uc2h0bWzSAakBaHR0cHM6Ly93d3cuYmlvYmlvY2hpbGUuY2wvbm90aWNpYXMvbmFjaW9uYWwvY2hpbGUvMjAyMi8wOC8zMS9hbXAvdGVzdC1kZS1kcm9nYXMtY2FtYXJhLWJhamEtZXh0aWVuZGUtcGxhem8tcGFyYS1xdWUtNzgtcGFybGFtZW50YXJpb3Mtc29ydGVhZG9zLXNlLXJlYWxpY2VuLWV4YW1lbi5zaHRtbA?hl=es-419&amp;gl=CL&amp;ceid=CL%3Aes-419" TargetMode="External"/><Relationship Id="rId17" Type="http://schemas.openxmlformats.org/officeDocument/2006/relationships/hyperlink" Target="https://news.google.com/articles/CAIiENGXiPIaj2SaxNbkbXzBMw8qMwgEKioIACIQ4UImbQs-dUT3WEeojnol4yoUCAoiEOFCJm0LPnVE91hHqI56JeMwgsPHBg?uo=CAUidGh0dHBzOi8vd3d3LmhlcmFsZG8uZXMvbm90aWNpYXMvaW50ZXJuYWNpb25hbC8yMDIyLzA5LzI4L2RpcHV0YWRvcy1jaGlsZW5vcy1kaWVyb24tbmVnYXRpdm8tdGVzdC1kcm9nYXMtMTYwMjQ0OS5odG1s0gEA&amp;hl=es-419&amp;gl=CL&amp;ceid=CL%3Aes-419" TargetMode="External"/><Relationship Id="rId16" Type="http://schemas.openxmlformats.org/officeDocument/2006/relationships/hyperlink" Target="https://news.google.com/articles/CBMiggFodHRwczovL20uZWxtb3N0cmFkb3IuY2wvZGlhLzIwMjIvMDgvMjIvcHJpbWVyYS1taW5pc3RyYS1kZS1maW5sYW5kaWEtZGEtbmVnYXRpdm8tZW4tdGVzdC1kZS1kcm9nYXMtcmVhbGl6YWRvLXRyYXMtcG9sZW1pY28tdmlkZW8v0gEA?hl=es-419&amp;gl=CL&amp;ceid=CL%3Aes-419" TargetMode="External"/><Relationship Id="rId19" Type="http://schemas.openxmlformats.org/officeDocument/2006/relationships/hyperlink" Target="https://news.google.com/articles/CAIiEGuyQIm2Q7XLJyBoKJJ_tewqGQgEKhAIACoHCAow292WCzCehK4DMJD3ywY?uo=CAUikAFodHRwczovL3d3dy5sYXRlcmNlcmEuY29tL2xhLXRlcmNlcmEtc2FiYWRvL25vdGljaWEvZXNjYW5lci1hLWpvc2UtbW9yYWxlcy1xdWUtcGllbnNhLWVsLWNhbmRpZGF0by1hLWZpc2NhbC1uYWNpb25hbC9XSkhGM1VRVVdKRU5MSVhPVkxSVk9YUjIyUS_SAQA&amp;hl=es-419&amp;gl=CL&amp;ceid=CL%3Aes-419" TargetMode="External"/><Relationship Id="rId18" Type="http://schemas.openxmlformats.org/officeDocument/2006/relationships/hyperlink" Target="https://news.google.com/articles/CAIiEJUQDylNk3yZworyrnAQF0EqGQgEKhAIACoHCAow7qmcCzCCtLQDMNrEggc?uo=CAUimQFodHRwczovL3d3dy5wdWJsaW1ldHJvLmNsL25vdGljaWFzLzIwMjIvMDgvMTgvcHJpbWVyYS1kaXB1dGFkYS1xdWUtbm8tcXVpZXJlLXJlYWxpemFyc2UtdGVzdC1kZS1kcm9nYXMtZWwtcHJvY2VkaW1pZW50by1oYS1pbmZyaW5naWRvLW51ZXN0cmEtcHJpdmFjaWRhZC_SAQA&amp;hl=es-419&amp;gl=CL&amp;ceid=CL%3Aes-419" TargetMode="External"/><Relationship Id="rId1" Type="http://schemas.openxmlformats.org/officeDocument/2006/relationships/hyperlink" Target="https://news.google.com/stories/CAAqNggKIjBDQklTSGpvSmMzUnZjbmt0TXpZd1NoRUtEd2pIOHJxVkJoRk5GeWI4S1hvY0ppZ0FQAQ?hl=es-419&amp;gl=CL&amp;ceid=CL%3Aes-419" TargetMode="External"/><Relationship Id="rId2" Type="http://schemas.openxmlformats.org/officeDocument/2006/relationships/hyperlink" Target="https://news.google.com/articles/CAIiEPowecoDUtTAd7zbci7V60wqGQgEKhAIACoHCAow292WCzCehK4DMMmewAM?uo=CAUimAFodHRwczovL3d3dy5sYXRlcmNlcmEuY29tL3BvbGl0aWNhL25vdGljaWEvZGlwdXRhZG9zLXJlY2liaWVyb24taG95LWV4YW1lbmVzLWRlLXRlc3QtZGUtZHJvZ2FzLW5vLWhhYnJpYW4tbXVlc3RyYXMtcG9zaXRpdmFzL1k1TTVHN0VVR1ZBSjVNTjNUVlk3NVYyUEJVL9IBAA&amp;hl=es-419&amp;gl=CL&amp;ceid=CL%3Aes-419" TargetMode="External"/><Relationship Id="rId3" Type="http://schemas.openxmlformats.org/officeDocument/2006/relationships/hyperlink" Target="https://news.google.com/stories/CAAqNggKIjBDQklTSGpvSmMzUnZjbmt0TXpZd1NoRUtEd2lSZ3FydkJSRmlPQnE0VGdQY3lpZ0FQAQ?hl=es-419&amp;gl=CL&amp;ceid=CL%3Aes-419" TargetMode="External"/><Relationship Id="rId4" Type="http://schemas.openxmlformats.org/officeDocument/2006/relationships/hyperlink" Target="https://news.google.com/articles/CBMilwFodHRwczovL2VscGFpcy5jb20vY2hpbGUvMjAyMi0wOC0xOC90ZXN0LWRlLWRyb2dhcy1lbi1lbC1jb25ncmVzby1kZS1jaGlsZS1sb3MtcGFybGFtZW50YXJpb3Mtc2Utc29tZXRlbi1hLWFuYWxpc2lzLWRlbC1wZWxvLXBhcmEtZGV0ZWN0YXItY29uc3Vtby5odG1s0gGmAWh0dHBzOi8vZWxwYWlzLmNvbS9jaGlsZS8yMDIyLTA4LTE4L3Rlc3QtZGUtZHJvZ2FzLWVuLWVsLWNvbmdyZXNvLWRlLWNoaWxlLWxvcy1wYXJsYW1lbnRhcmlvcy1zZS1zb21ldGVuLWEtYW5hbGlzaXMtZGVsLXBlbG8tcGFyYS1kZXRlY3Rhci1jb25zdW1vLmh0bWw_b3V0cHV0VHlwZT1hbXA?hl=es-419&amp;gl=CL&amp;ceid=CL%3Aes-419" TargetMode="External"/><Relationship Id="rId9" Type="http://schemas.openxmlformats.org/officeDocument/2006/relationships/hyperlink" Target="https://news.google.com/articles/CBMiYWh0dHBzOi8vd3d3LnBhdXRhLmNsL2ZhY3RjaGVja2luZy9lbC1jb250ZXN0YWRvZy90ZXN0LWRlLXBlbG8tZHJvZ2FzLWNhbWFyYS1kaXB1dGFkb3MtZWZlY3RpdmlkYWTSAQA?hl=es-419&amp;gl=CL&amp;ceid=CL%3Aes-419" TargetMode="External"/><Relationship Id="rId5" Type="http://schemas.openxmlformats.org/officeDocument/2006/relationships/hyperlink" Target="https://news.google.com/articles/CBMihgFodHRwczovL20uZWxtb3N0cmFkb3IuY2wvZGlhLzIwMjIvMDgvMjIvY29tZW56by1hcGxpY2FjaW9uLWRlLXRlc3QtZGUtZHJvZ2FzLWEtcGFybGFtZW50YXJpb3MtcmVzdWx0YWRvcy1kZW1vcmFyYW4tZW50cmUtMTAtYS0xNS1kaWFzL9IBAA?hl=es-419&amp;gl=CL&amp;ceid=CL%3Aes-419" TargetMode="External"/><Relationship Id="rId6" Type="http://schemas.openxmlformats.org/officeDocument/2006/relationships/hyperlink" Target="https://news.google.com/articles/CAIiEAEM9XjeAaPG8iZhawMVxBwqGQgEKhAIACoHCAow292WCzCehK4DMJD3ywY?uo=CAUisQFodHRwczovL3d3dy5sYXRlcmNlcmEuY29tL2xhLXRlcmNlcmEtcG0vbm90aWNpYS9zdXNwZW5zby1lbi1sYS1jYW1hcmEtcmVzdWx0YWRvcy1kZS1wcmltZXJvcy10ZXN0LWRlLWRyb2dhcy1hLWRpcHV0YWRvcy1zZS1jb25vY2VyYW4tZWwtcHJveGltby1sdW5lcy8yRUtERFpLRVJGRFZIRVpLWTNDREpFRVFIUS_SAQA&amp;hl=es-419&amp;gl=CL&amp;ceid=CL%3Aes-419" TargetMode="External"/><Relationship Id="rId7" Type="http://schemas.openxmlformats.org/officeDocument/2006/relationships/hyperlink" Target="https://news.google.com/articles/CBMimQFodHRwczovL3d3dy5iaW9iaW9jaGlsZS5jbC9ub3RpY2lhcy9uYWNpb25hbC9jaGlsZS8yMDIyLzA3LzEzL3Jlc3VsdGFkb3Mtc2VyYW4tcHVibGljb3MtY2FtYXJhLWFwcnVlYmEtYXBsaWNhci10ZXN0LWRlLWRyb2dhLWFsZWF0b3Jpb3MtYS1kaXB1dGFkb3Muc2h0bWzSAZ0BaHR0cHM6Ly93d3cuYmlvYmlvY2hpbGUuY2wvbm90aWNpYXMvbmFjaW9uYWwvY2hpbGUvMjAyMi8wNy8xMy9hbXAvcmVzdWx0YWRvcy1zZXJhbi1wdWJsaWNvcy1jYW1hcmEtYXBydWViYS1hcGxpY2FyLXRlc3QtZGUtZHJvZ2EtYWxlYXRvcmlvcy1hLWRpcHV0YWRvcy5zaHRtbA?hl=es-419&amp;gl=CL&amp;ceid=CL%3Aes-419" TargetMode="External"/><Relationship Id="rId8" Type="http://schemas.openxmlformats.org/officeDocument/2006/relationships/hyperlink" Target="https://news.google.com/articles/CBMikgFodHRwczovL3d3dy5iaW9iaW9jaGlsZS5jbC9ub3RpY2lhcy9uYWNpb25hbC9jaGlsZS8yMDIyLzA4LzI5L3Rlc3QtZGUtZHJvZ2FzLWRpcHV0YWRvcy1vZmljaWFsaXN0YXMtYWN1c2FuLW1hbmlvYnJhLXBvbGl0aWNhLWRlLWxhLW9wb3NpY2lvbi5zaHRtbNIBlgFodHRwczovL3d3dy5iaW9iaW9jaGlsZS5jbC9ub3RpY2lhcy9uYWNpb25hbC9jaGlsZS8yMDIyLzA4LzI5L2FtcC90ZXN0LWRlLWRyb2dhcy1kaXB1dGFkb3Mtb2ZpY2lhbGlzdGFzLWFjdXNhbi1tYW5pb2JyYS1wb2xpdGljYS1kZS1sYS1vcG9zaWNpb24uc2h0bWw?hl=es-419&amp;gl=CL&amp;ceid=CL%3Aes-419" TargetMode="External"/></Relationships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google.com/articles/CAIiENGXiPIaj2SaxNbkbXzBMw8qMwgEKioIACIQ4UImbQs-dUT3WEeojnol4yoUCAoiEOFCJm0LPnVE91hHqI56JeMwgsPHBg?uo=CAUidGh0dHBzOi8vd3d3LmhlcmFsZG8uZXMvbm90aWNpYXMvaW50ZXJuYWNpb25hbC8yMDIyLzA5LzI4L2RpcHV0YWRvcy1jaGlsZW5vcy1kaWVyb24tbmVnYXRpdm8tdGVzdC1kcm9nYXMtMTYwMjQ0OS5odG1s0gEA&amp;hl=es-419&amp;gl=CL&amp;ceid=CL%3Aes-419" TargetMode="External"/><Relationship Id="rId42" Type="http://schemas.openxmlformats.org/officeDocument/2006/relationships/hyperlink" Target="https://news.google.com/articles/CBMikwFodHRwczovL3d3dy5lbGRlc2NvbmNpZXJ0by5jbC9yZXBvcnRhamVzLzIwMjIvMTAvMDkvdGVzdC1kZS1kcm9nYXMtYS1kaXB1dGFkb3MteS1jYW1iaW9zLWFsLXVzby1yZWNyZWFjaW9uYWwtZGUtbGEtbWFyaWh1YW5hLXByZW5kZW4tZWwtZGViYXRlLmh0bWzSAQA?hl=es-419&amp;gl=CL&amp;ceid=CL%3Aes-419" TargetMode="External"/><Relationship Id="rId41" Type="http://schemas.openxmlformats.org/officeDocument/2006/relationships/hyperlink" Target="https://news.google.com/articles/CAIiEJtmJN8GjbZJKe1gFAKzlKIqMwgEKioIACIQVGcsbw39Ucci0s30uaM2FSoUCAoiEFRnLG8N_VHHItLN9LmjNhUwgpT2Bg?uo=CAUiigFodHRwczovL3d3dy5lbGRpbmFtby5jbC9wb2xpdGljYS9Qcm9wb25lbi1yZWFsaXphci10ZXN0LWRlLWRyb2dhcy15LWFsY29ob2wtYS1wZXJzb25hcy1xdWUtdHJhYmFqYW4tY29uLW1lbm9yZXMtZGUtZWRhZC0yMDIyMTAxMC0wMDEwLmh0bWzSAQA&amp;hl=es-419&amp;gl=CL&amp;ceid=CL%3Aes-419" TargetMode="External"/><Relationship Id="rId44" Type="http://schemas.openxmlformats.org/officeDocument/2006/relationships/hyperlink" Target="https://news.google.com/articles/CBMikAFodHRwczovL3d3dy5lbGRlc2NvbmNpZXJ0by5jbC9uYWNpb25hbC8yMDIyLzA5LzI3L3Rlc3QtZGUtZHJvZ2FzLWVuLWVsLWNvbmdyZXNvLWNvcnRlLWRlLWFwZWxhY2lvbmVzLWRhLWdvbHBlLWEtcGFybGFtZW50YXJpYXMtb2ZpY2lhbGlzdGFzLmh0bWzSAQA?hl=es-419&amp;gl=CL&amp;ceid=CL%3Aes-419" TargetMode="External"/><Relationship Id="rId43" Type="http://schemas.openxmlformats.org/officeDocument/2006/relationships/hyperlink" Target="https://news.google.com/articles/CBMif2h0dHBzOi8vd3d3LjI0aG9yYXMuY2wvcHJvZ3JhbWFzL25vdGljaWFzLTI0L2FuYS1tYXJpYS1nYXptdXJpLXBvci1wcm95ZWN0by1kZS10ZXN0LWRlLWRyb2dhcy1lbi1jYW1hcmEtdmEtZGlyZWNjaW9uLWVxdWl2b2NhZGHSAX9odHRwczovL2FtcC4yNGhvcmFzLmNsL3Byb2dyYW1hcy9ub3RpY2lhcy0yNC9hbmEtbWFyaWEtZ2F6bXVyaS1wb3ItcHJveWVjdG8tZGUtdGVzdC1kZS1kcm9nYXMtZW4tY2FtYXJhLXZhLWRpcmVjY2lvbi1lcXVpdm9jYWRh?hl=es-419&amp;gl=CL&amp;ceid=CL%3Aes-419" TargetMode="External"/><Relationship Id="rId46" Type="http://schemas.openxmlformats.org/officeDocument/2006/relationships/hyperlink" Target="https://news.google.com/articles/CAIiEKDmpLcsVPpIyp9r-qayTcMqGQgEKhAIACoHCAowtaiWCzCoza0DMM6k7wY?uo=CAUivAFodHRwczovL3Zpdmltb3NsYW5vdGljaWEuY2wvbm90aWNpYXMvYWN0dWFsaWRhZC9wb2xpdGljYS8yMDIyLzA2LzIwL2RpcHV0YWRvLWZlbGlwZS1kb25vc28tZXhpZ2UtYWwtZ29iaWVybm8tcXVlLXNlLWFwbGlxdWUtdGVzdC1kZS1kcm9nYXMtYS1mdW5jaW9uYXJpb3MtZGVsLXBvZGVyLWxlZ2lzbGF0aXZvLXktZWplY3V0aXZvL9IBAA&amp;hl=es-419&amp;gl=CL&amp;ceid=CL%3Aes-419" TargetMode="External"/><Relationship Id="rId45" Type="http://schemas.openxmlformats.org/officeDocument/2006/relationships/hyperlink" Target="https://news.google.com/articles/CAIiECNwuORTFAFlV1BM_byXPnIqGQgEKhAIACoHCAowj_uNCzDXzaADMPz-iwc?uo=CAUigAFodHRwczovL3d3dy5kdXBsb3MuY2wvdGVuZGVuY2lhcy9kb2N0b3JhLWNvcmRlcm8tY3Vlc3Rpb25vLXRlc3QtZGUtZHJvZ2FzLWEtcGFybGFtZW50YXJpb3MtZXN0YS10b2RvLWFycmVnbGFkby83MjU3OC8yMDIyLzEwLzA3L9IBAA&amp;hl=es-419&amp;gl=CL&amp;ceid=CL%3Aes-419" TargetMode="External"/><Relationship Id="rId107" Type="http://schemas.openxmlformats.org/officeDocument/2006/relationships/image" Target="../media/image8.png"/><Relationship Id="rId106" Type="http://schemas.openxmlformats.org/officeDocument/2006/relationships/image" Target="../media/image1.png"/><Relationship Id="rId105" Type="http://schemas.openxmlformats.org/officeDocument/2006/relationships/image" Target="../media/image2.png"/><Relationship Id="rId104" Type="http://schemas.openxmlformats.org/officeDocument/2006/relationships/image" Target="../media/image9.jpg"/><Relationship Id="rId109" Type="http://schemas.openxmlformats.org/officeDocument/2006/relationships/image" Target="../media/image28.jpg"/><Relationship Id="rId108" Type="http://schemas.openxmlformats.org/officeDocument/2006/relationships/image" Target="../media/image14.png"/><Relationship Id="rId48" Type="http://schemas.openxmlformats.org/officeDocument/2006/relationships/hyperlink" Target="https://news.google.com/articles/CAIiEIPapeqMNwW_7guancqxj1kqGQgEKhAIACoHCAow7qmcCzCCtLQDMNvEggc?uo=CAUiowFodHRwczovL3d3dy5wdWJsaW1ldHJvLmNsL3NvY2lhbC8yMDIyLzA4LzE3L25vLWhhZ2FuLWxhLWNpbWFycmEtZGUtbGEtY2FycmVyYS15LXN1LXByb3ZvY2Fkb3ItdHVpdC1hLWRpcHV0YWRvcy1mcmVudGVhbXBsaXN0YXMtdHJhcy1zZXItc29ydGVhZG9zLWEtdGVzdC1kZS1kcm9nYXMv0gEA&amp;hl=es-419&amp;gl=CL&amp;ceid=CL%3Aes-419" TargetMode="External"/><Relationship Id="rId47" Type="http://schemas.openxmlformats.org/officeDocument/2006/relationships/hyperlink" Target="https://news.google.com/articles/CBMisAFodHRwczovL3d3dy5hZHByZW5zYS5jbC9wb2xpdGljYS9kaXB1dGFkYS1wYXVsYS1sYWJyYS1ybi1pbmQtc2Utb2ZyZWNlLXZvbHVudGFyaWEtYS1oYWNlci1lbC10ZXN0LWRlLWRyb2dhLWFudGUtbmVnYXRpdmEtZGUtYWxndW5vcy1wYXJsYW1lbnRhcmlvcy1kZS1jdW1wbGlyLWNvbi1yZXF1ZXJpbWllbnRvL9IBAA?hl=es-419&amp;gl=CL&amp;ceid=CL%3Aes-419" TargetMode="External"/><Relationship Id="rId49" Type="http://schemas.openxmlformats.org/officeDocument/2006/relationships/hyperlink" Target="https://news.google.com/articles/CBMiX2h0dHBzOi8vbGFwcmVuc2FhdXN0cmFsLmNsLzIwMjIvMTEvMTYvc2VndW5kby1ncnVwby1kZS1kaXB1dGFkb3MtZGlvLW5lZ2F0aXZvLWEtdGVzdC1kZS1kcm9nYXMv0gEA?hl=es-419&amp;gl=CL&amp;ceid=CL%3Aes-419" TargetMode="External"/><Relationship Id="rId103" Type="http://schemas.openxmlformats.org/officeDocument/2006/relationships/image" Target="../media/image19.png"/><Relationship Id="rId102" Type="http://schemas.openxmlformats.org/officeDocument/2006/relationships/image" Target="../media/image3.png"/><Relationship Id="rId101" Type="http://schemas.openxmlformats.org/officeDocument/2006/relationships/image" Target="../media/image5.png"/><Relationship Id="rId100" Type="http://schemas.openxmlformats.org/officeDocument/2006/relationships/image" Target="../media/image10.png"/><Relationship Id="rId31" Type="http://schemas.openxmlformats.org/officeDocument/2006/relationships/hyperlink" Target="https://news.google.com/articles/CBMiYWh0dHBzOi8vd3d3LnBhdXRhLmNsL2ZhY3RjaGVja2luZy9lbC1jb250ZXN0YWRvZy90ZXN0LWRlLXBlbG8tZHJvZ2FzLWNhbWFyYS1kaXB1dGFkb3MtZWZlY3RpdmlkYWTSAQA?hl=es-419&amp;gl=CL&amp;ceid=CL%3Aes-419" TargetMode="External"/><Relationship Id="rId30" Type="http://schemas.openxmlformats.org/officeDocument/2006/relationships/hyperlink" Target="https://news.google.com/articles/CBMijgFodHRwczovL3d3dy5hZG5yYWRpby5jbC9lc3BlY3RhY3Vsb3MvMjAyMi8wNy8xNC9sb3MtdGVuZ28taWRlbnRpZmljYWRvcy1kb2N0b3JhLWNvcmRlcm8tYXJyZW1ldGUtY29udHJhLXBhcmxhbWVudGFyaW9zLXBvci10ZXN0LWRlLWRyb2dhcy5odG1s0gGUAWh0dHBzOi8vd3d3LmFkbnJhZGlvLmNsL2VzcGVjdGFjdWxvcy8yMDIyLzA3LzE0L2xvcy10ZW5nby1pZGVudGlmaWNhZG9zLWRvY3RvcmEtY29yZGVyby1hcnJlbWV0ZS1jb250cmEtcGFybGFtZW50YXJpb3MtcG9yLXRlc3QtZGUtZHJvZ2FzLmh0bWw_YW1wPTE?hl=es-419&amp;gl=CL&amp;ceid=CL%3Aes-419" TargetMode="External"/><Relationship Id="rId33" Type="http://schemas.openxmlformats.org/officeDocument/2006/relationships/hyperlink" Target="https://news.google.com/articles/CAIiEGw26FCI2G4rH04p1uLkhbUqGQgEKhAIACoHCAow292WCzCehK4DMJD3ywY?uo=CAUivwFodHRwczovL3d3dy5sYXRlcmNlcmEuY29tL3BvbGl0aWNhL25vdGljaWEvY29taXNpb24tZGUtZXRpY2EtZGUtbGEtY2FtYXJhLW5vLWxsZWdhLWEtYWN1ZXJkby1lbi1sYXMtc2FuY2lvbmVzLXBhcmEtZGlwdXRhZG9zLXF1ZS1uby1zZS1yZWFsaXphcm9uLWVsLXRlc3QtZGUtZHJvZ2FzL05TWE9IWk9LNFZIVUJES1lJS1NWWFpSN0lBL9IBAA&amp;hl=es-419&amp;gl=CL&amp;ceid=CL%3Aes-419" TargetMode="External"/><Relationship Id="rId32" Type="http://schemas.openxmlformats.org/officeDocument/2006/relationships/hyperlink" Target="https://news.google.com/articles/CBMia2h0dHBzOi8vd3d3LnRoZWNsaW5pYy5jbC8yMDIyLzA4LzAxL2RpcHV0YWRhLWFuYS1tYXJpYS1nYXptdXJpLWNvbnN1bW8tY2FubmFiaXMtY3JpdGljYS10ZXN0LWRyb2dhcy1jYW1hcmEv0gFvaHR0cHM6Ly93d3cudGhlY2xpbmljLmNsLzIwMjIvMDgvMDEvZGlwdXRhZGEtYW5hLW1hcmlhLWdhem11cmktY29uc3Vtby1jYW5uYWJpcy1jcml0aWNhLXRlc3QtZHJvZ2FzLWNhbWFyYS9hbXAv?hl=es-419&amp;gl=CL&amp;ceid=CL%3Aes-419" TargetMode="External"/><Relationship Id="rId35" Type="http://schemas.openxmlformats.org/officeDocument/2006/relationships/hyperlink" Target="https://news.google.com/articles/CAIiELiqL-aQMceDR4BtBaKAtycqGQgEKhAIACoHCAow292WCzCehK4DMJD3ywY?uo=CAUivAFodHRwczovL3d3dy5sYXRlcmNlcmEuY29tL3BvbGl0aWNhL25vdGljaWEvdGVzdC1kZS1kcm9nYXMtZGlwdXRhZG9zLXF1ZS1uby1zZS1yZWFsaXphcm9uLWxhLXBydWViYS1lbnRyZWdhcm9uLXN1cy1kZXNjYXJnb3MtZW4tbGEtY29taXNpb24tZGUtZXRpY2EtZGUtbGEtY2FtYXJhL09GVkpFV1VUVU5IU0hOUENVTjRGQzMzTTVFL9IBAA&amp;hl=es-419&amp;gl=CL&amp;ceid=CL%3Aes-419" TargetMode="External"/><Relationship Id="rId34" Type="http://schemas.openxmlformats.org/officeDocument/2006/relationships/hyperlink" Target="https://news.google.com/articles/CBMid2h0dHBzOi8vd3d3LmNvbmNpZXJ0by5jbC8yMDIyLzA2L2F2YW56YS1lbi1lbC1jb25ncmVzby1wcm95ZWN0by1kZS1sZXktcXVlLWJ1c2NhLWhhY2VyLXRlc3QtZGUtZHJvZ2FzLWEtcGFybGFtZW50YXJpb3Mv0gF7aHR0cHM6Ly93d3cuY29uY2llcnRvLmNsLzIwMjIvMDYvYXZhbnphLWVuLWVsLWNvbmdyZXNvLXByb3llY3RvLWRlLWxleS1xdWUtYnVzY2EtaGFjZXItdGVzdC1kZS1kcm9nYXMtYS1wYXJsYW1lbnRhcmlvcy9hbXAv?hl=es-419&amp;gl=CL&amp;ceid=CL%3Aes-419" TargetMode="External"/><Relationship Id="rId37" Type="http://schemas.openxmlformats.org/officeDocument/2006/relationships/hyperlink" Target="https://news.google.com/articles/CBMilwFodHRwczovL3d3dy5iaW9iaW9jaGlsZS5jbC9ub3RpY2lhcy9uYWNpb25hbC9jaGlsZS8yMDIyLzA4LzE3L2RpcHV0YWRhLXJpcXVlbG1lLXBpZW5zYS1uby1yZWFsaXphcnNlLXRlc3QtZGUtZHJvZ2FzLWFjdXNhLXZ1bG5lcmFjaW9uLWRlLWRlcmVjaG9zLnNodG1s0gGbAWh0dHBzOi8vd3d3LmJpb2Jpb2NoaWxlLmNsL25vdGljaWFzL25hY2lvbmFsL2NoaWxlLzIwMjIvMDgvMTcvYW1wL2RpcHV0YWRhLXJpcXVlbG1lLXBpZW5zYS1uby1yZWFsaXphcnNlLXRlc3QtZGUtZHJvZ2FzLWFjdXNhLXZ1bG5lcmFjaW9uLWRlLWRlcmVjaG9zLnNodG1s?hl=es-419&amp;gl=CL&amp;ceid=CL%3Aes-419" TargetMode="External"/><Relationship Id="rId36" Type="http://schemas.openxmlformats.org/officeDocument/2006/relationships/hyperlink" Target="https://news.google.com/articles/CBMiggFodHRwczovL20uZWxtb3N0cmFkb3IuY2wvZGlhLzIwMjIvMDgvMjIvcHJpbWVyYS1taW5pc3RyYS1kZS1maW5sYW5kaWEtZGEtbmVnYXRpdm8tZW4tdGVzdC1kZS1kcm9nYXMtcmVhbGl6YWRvLXRyYXMtcG9sZW1pY28tdmlkZW8v0gEA?hl=es-419&amp;gl=CL&amp;ceid=CL%3Aes-419" TargetMode="External"/><Relationship Id="rId39" Type="http://schemas.openxmlformats.org/officeDocument/2006/relationships/hyperlink" Target="https://news.google.com/articles/CBMisAFodHRwczovL3d3dy5iaW9iaW9jaGlsZS5jbC9ub3RpY2lhcy9uYWNpb25hbC9yZWdpb24tZGUtbG9zLWxhZ29zLzIwMjIvMDgvMzEvZGlwdXRhZG8tYmFycmlhLXBpZGUtYXBsaWNhci10ZXN0LXBzaXF1aWF0cmljby1hLXBhcmxhbWVudGFyaW9zLXRyYXMtYWdyZXNpb24tZGUtZGUtbGEtY2FycmVyYS5zaHRtbNIBtAFodHRwczovL3d3dy5iaW9iaW9jaGlsZS5jbC9ub3RpY2lhcy9uYWNpb25hbC9yZWdpb24tZGUtbG9zLWxhZ29zLzIwMjIvMDgvMzEvYW1wL2RpcHV0YWRvLWJhcnJpYS1waWRlLWFwbGljYXItdGVzdC1wc2lxdWlhdHJpY28tYS1wYXJsYW1lbnRhcmlvcy10cmFzLWFncmVzaW9uLWRlLWRlLWxhLWNhcnJlcmEuc2h0bWw?hl=es-419&amp;gl=CL&amp;ceid=CL%3Aes-419" TargetMode="External"/><Relationship Id="rId38" Type="http://schemas.openxmlformats.org/officeDocument/2006/relationships/hyperlink" Target="https://news.google.com/articles/CBMilwFodHRwczovL20uZWxtb3N0cmFkb3IuY2wvZGlhLzIwMjIvMDkvMzAvaW5mb3JtZS1leHBvbmUtYWNjaW9uYXItZGUtbGEtdWx0cmFkZXJlY2hhLWVuLXR3aXR0ZXItcGFyYS1tYWduaWZpY2FyLXJlc3VsdGFkb3MtZGVsLXRlc3QtZGUtZHJvZ2EtYS1kaXB1dGFkb3Mv0gEA?hl=es-419&amp;gl=CL&amp;ceid=CL%3Aes-419" TargetMode="External"/><Relationship Id="rId20" Type="http://schemas.openxmlformats.org/officeDocument/2006/relationships/hyperlink" Target="https://news.google.com/articles/CBMikgFodHRwczovL3d3dy5iaW9iaW9jaGlsZS5jbC9ub3RpY2lhcy9uYWNpb25hbC9jaGlsZS8yMDIyLzA4LzI5L3Rlc3QtZGUtZHJvZ2FzLWRpcHV0YWRvcy1vZmljaWFsaXN0YXMtYWN1c2FuLW1hbmlvYnJhLXBvbGl0aWNhLWRlLWxhLW9wb3NpY2lvbi5zaHRtbNIBlgFodHRwczovL3d3dy5iaW9iaW9jaGlsZS5jbC9ub3RpY2lhcy9uYWNpb25hbC9jaGlsZS8yMDIyLzA4LzI5L2FtcC90ZXN0LWRlLWRyb2dhcy1kaXB1dGFkb3Mtb2ZpY2lhbGlzdGFzLWFjdXNhbi1tYW5pb2JyYS1wb2xpdGljYS1kZS1sYS1vcG9zaWNpb24uc2h0bWw?hl=es-419&amp;gl=CL&amp;ceid=CL%3Aes-419" TargetMode="External"/><Relationship Id="rId22" Type="http://schemas.openxmlformats.org/officeDocument/2006/relationships/hyperlink" Target="https://news.google.com/articles/CBMijAFodHRwczovL3d3dy5hZG5yYWRpby5jbC9uYWNpb25hbC8yMDIyLzA2LzE2L3BhbWVsYS1qaWxlcy1wb3ItdGVzdC1kZS1kcm9nYXMtYS1wYXJsYW1lbnRhcmlvcy1ub3RvLXVuLXNvc3BlY2hvc28tbmVydmlvc2lzbW8tcXVlLW9jdWx0YW4uaHRtbNIBkgFodHRwczovL3d3dy5hZG5yYWRpby5jbC9uYWNpb25hbC8yMDIyLzA2LzE2L3BhbWVsYS1qaWxlcy1wb3ItdGVzdC1kZS1kcm9nYXMtYS1wYXJsYW1lbnRhcmlvcy1ub3RvLXVuLXNvc3BlY2hvc28tbmVydmlvc2lzbW8tcXVlLW9jdWx0YW4uaHRtbD9hbXA9MQ?hl=es-419&amp;gl=CL&amp;ceid=CL%3Aes-419" TargetMode="External"/><Relationship Id="rId21" Type="http://schemas.openxmlformats.org/officeDocument/2006/relationships/hyperlink" Target="https://news.google.com/articles/CBMiogFodHRwczovL3d3dy5iaW9iaW9jaGlsZS5jbC9ub3RpY2lhcy9uYWNpb25hbC9jaGlsZS8yMDIyLzA4LzIxL3Rlc3QtZGUtZHJvZ2FzLWVuLWNhbWFyYS1iYWphLWVsLWRlYmF0ZS1zb2JyZS1zaS1sYS1tZWRpZGEtaW52YWRlLWVsLWRlcmVjaG8tYS1sYS12aWRhLXByaXZhZGEuc2h0bWzSAaYBaHR0cHM6Ly93d3cuYmlvYmlvY2hpbGUuY2wvbm90aWNpYXMvbmFjaW9uYWwvY2hpbGUvMjAyMi8wOC8yMS9hbXAvdGVzdC1kZS1kcm9nYXMtZW4tY2FtYXJhLWJhamEtZWwtZGViYXRlLXNvYnJlLXNpLWxhLW1lZGlkYS1pbnZhZGUtZWwtZGVyZWNoby1hLWxhLXZpZGEtcHJpdmFkYS5zaHRtbA?hl=es-419&amp;gl=CL&amp;ceid=CL%3Aes-419" TargetMode="External"/><Relationship Id="rId24" Type="http://schemas.openxmlformats.org/officeDocument/2006/relationships/hyperlink" Target="https://news.google.com/articles/CAIiEFgbL9Y2Knpt6Zy-nPXOgQsqGQgEKhAIACoHCAow292WCzCehK4DMJD3ywY?uo=CAUirQFodHRwczovL3d3dy5sYXRlcmNlcmEuY29tL3BvbGl0aWNhL25vdGljaWEvY29ydGUtZGUtYXBlbGFjaW9uZXMtZGUtdmFscGFyYWlzby1kYS1sdXotdmVyZGUtYS1kaWZ1c2lvbi1kZS1yZXN1bHRhZG9zLWRlLXRlc3QtZGUtZHJvZ2FzLWEtZGlwdXRhZG9zLzZFNk9ZUENMQUZHWFpGWVhON0UySjJIR0lJL9IBAA&amp;hl=es-419&amp;gl=CL&amp;ceid=CL%3Aes-419" TargetMode="External"/><Relationship Id="rId23" Type="http://schemas.openxmlformats.org/officeDocument/2006/relationships/hyperlink" Target="https://news.google.com/articles/CAIiEGg7ssmAU7h1BbQYxqGvoy8qGQgEKhAIACoHCAow292WCzCehK4DMJD3ywY?uo=CAUihwFodHRwczovL3d3dy5sYXRlcmNlcmEuY29tL2Vhcmx5YWNjZXNzL25vdGljaWEvZWwtdHJhbmNlLWluY29tb2RvLWRlbC1mcmVudGUtYW1wbGlvLWZyZW50ZS1hbC10ZXN0LWRlLWRyb2dhcy9IWEQ1VFpXQ1RKRzZYT1JUT0VRWVJDWUo2VS_SAQA&amp;hl=es-419&amp;gl=CL&amp;ceid=CL%3Aes-419" TargetMode="External"/><Relationship Id="rId26" Type="http://schemas.openxmlformats.org/officeDocument/2006/relationships/hyperlink" Target="https://news.google.com/articles/CAIiEKLW5ehN49_0_E1F3bP3SUgqMwgEKioIACIQ60V96zQIqyo0PPcLTMHd8ioUCAoiEOtFfes0CKsqNDz3C0zB3fIw8Y-IBw?uo=CAUiZmh0dHBzOi8vd3d3LjEzLmNsL3Byb2dyYW1hcy90dS1kaWEvbm90aWNpYXMvcGFybGFtZW50YXJpb3Mtc2UtcmVmaWVyZW4tYS10ZXN0LWRlLWRyb2dhcy1lbi1lbC1jb25ncmVzb9IBAA&amp;hl=es-419&amp;gl=CL&amp;ceid=CL%3Aes-419" TargetMode="External"/><Relationship Id="rId121" Type="http://schemas.openxmlformats.org/officeDocument/2006/relationships/image" Target="../media/image24.png"/><Relationship Id="rId25" Type="http://schemas.openxmlformats.org/officeDocument/2006/relationships/hyperlink" Target="https://news.google.com/articles/CBMiQmh0dHBzOi8vZWxsaWJlcm8uY2wvb3Bpbmlvbi9wdWJsaWNpZGFkLW5lY2VzYXJpYS1vLXNob3ctbWVkaWF0aWNvL9IBAA?hl=es-419&amp;gl=CL&amp;ceid=CL%3Aes-419" TargetMode="External"/><Relationship Id="rId120" Type="http://schemas.openxmlformats.org/officeDocument/2006/relationships/image" Target="../media/image25.png"/><Relationship Id="rId28" Type="http://schemas.openxmlformats.org/officeDocument/2006/relationships/hyperlink" Target="https://news.google.com/articles/CBMia2h0dHBzOi8vd3d3LjI0aG9yYXMuY2wvYWN0dWFsaWRhZC9wb2xpdGljYS90ZXN0LWRlLWRyb2dhcy1lbi1lbC1jb25ncmVzby1yZWdsYW1lbnRvLWZ1ZS1hcHJvYmFkby1lbi1nZW5lcmFs0gFraHR0cHM6Ly9hbXAuMjRob3Jhcy5jbC9hY3R1YWxpZGFkL3BvbGl0aWNhL3Rlc3QtZGUtZHJvZ2FzLWVuLWVsLWNvbmdyZXNvLXJlZ2xhbWVudG8tZnVlLWFwcm9iYWRvLWVuLWdlbmVyYWw?hl=es-419&amp;gl=CL&amp;ceid=CL%3Aes-419" TargetMode="External"/><Relationship Id="rId27" Type="http://schemas.openxmlformats.org/officeDocument/2006/relationships/hyperlink" Target="https://news.google.com/articles/CBMipAFodHRwczovL20uZWxtb3N0cmFkb3IuY2wvZGlhLzIwMjEvMTEvMDQvcHJlc3VwdWVzdG8tMjAyMi1jYW1hcmEtZGUtZGlwdXRhZG9zLWFwcnVlYmEtaW5kaWNhY2lvbi1kZS1sYS11ZGktcXVlLWRlc3RpbmEtcmVjdXJzb3MtcGFyYS10ZXN0LWRlLWRyb2dhcy1hLXBhcmxhbWVudGFyaW9zL9IBAA?hl=es-419&amp;gl=CL&amp;ceid=CL%3Aes-419" TargetMode="External"/><Relationship Id="rId29" Type="http://schemas.openxmlformats.org/officeDocument/2006/relationships/hyperlink" Target="https://news.google.com/articles/CBMiVWh0dHBzOi8vd3d3LnBhdXRhLmNsL3BvbGl0aWNhL2NhbWlsYS1mbG9yZXMtcm4tdGVzdC1kZS1kcm9nYXMtZGlwdXRhZG9zLWNvbnN1bW8tZHJvZ2HSAQA?hl=es-419&amp;gl=CL&amp;ceid=CL%3Aes-419" TargetMode="External"/><Relationship Id="rId95" Type="http://schemas.openxmlformats.org/officeDocument/2006/relationships/hyperlink" Target="https://news.google.com/articles/CBMikQFodHRwczovL20uZWxtb3N0cmFkb3IuY2wvZGlhLzIwMjIvMDgvMTgvcG9yLWNvbnRyb3ZlcnNpYWxlcy1kaWNob3MtZGlwdXRhZG8tZ29uemFsby1kZS1sYS1jYXJyZXJhLXNlcmEtbGxldmFkby1hbC10cmlidW5hbC1kZS1ldGljYS1kZS1sYS1jYW1hcmEv0gEA?hl=es-419&amp;gl=CL&amp;ceid=CL%3Aes-419" TargetMode="External"/><Relationship Id="rId94" Type="http://schemas.openxmlformats.org/officeDocument/2006/relationships/hyperlink" Target="https://news.google.com/articles/CAIiEMvn30Xb3xux-Z3FxCvQrMwqGQgEKhAIACoHCAow292WCzCehK4DMJD3ywY?uo=CAUi1gFodHRwczovL3d3dy5sYXRlcmNlcmEuY29tL3BvbGl0aWNhL25vdGljaWEvY29tby1zb21vcy1tdWplcmVzLWhlbW9zLWFwcmVuZGlkby1hLWhhY2VyLXZhcmlhcy1jb3Nhcy1hLWxhLXZlei1sYS1yZXNwdWVzdGEtZGUtdG9oYS1hLWRpcHV0YWRvcy1xdWUtcmVjbGFtYXJvbi1uby1zZXItZXNjdWNoYWRvcy1lbi1sYS1jYW1hcmEvNDMzVEdCUk5HQkNVUkxNWDU3VkJISVk2V1kv0gEA&amp;hl=es-419&amp;gl=CL&amp;ceid=CL%3Aes-419" TargetMode="External"/><Relationship Id="rId97" Type="http://schemas.openxmlformats.org/officeDocument/2006/relationships/hyperlink" Target="https://news.google.com/articles/CBMidWh0dHBzOi8vbS5lbG1vc3RyYWRvci5jbC9icmFnYS8yMDIyLzA4LzIzL2lzYWJlbC1iZXJyaW9zLWxhLXByaW1lcmEtbXVqZXItZW50cmVuYWRvcmEtZGUtZnV0Ym9sLXByb2Zlc2lvbmFsLWVuLWNoaWxlL9IBAA?hl=es-419&amp;gl=CL&amp;ceid=CL%3Aes-419" TargetMode="External"/><Relationship Id="rId96" Type="http://schemas.openxmlformats.org/officeDocument/2006/relationships/hyperlink" Target="https://news.google.com/articles/CBMifmh0dHBzOi8vd3d3LmNoaWxldmlzaW9uLmNsL2NvbnRpZ28tZW4tbGEtbWFuYW5hL3BvbGl0aWNhL2Rlc2NvbnRyb2xhZGEtcmVhY2Npb24tZ2FzcGFyLXJpdmFzLWZ1ZS1leHB1bHNhZG8tZGUtbGEtbWVzYS1wYXJhbGVsYdIBAA?hl=es-419&amp;gl=CL&amp;ceid=CL%3Aes-419" TargetMode="External"/><Relationship Id="rId11" Type="http://schemas.openxmlformats.org/officeDocument/2006/relationships/hyperlink" Target="https://news.google.com/articles/CAIiEOUz3bCoxXUN3ARI7pyhMRgqGQgEKhAIACoHCAow292WCzCehK4DMJD3ywY?uo=CAUijAFodHRwczovL3d3dy5sYXRlcmNlcmEuY29tL2xhLXRlcmNlcmEtc2FiYWRvL25vdGljaWEvY29sdW1uYS1kZS1wYWJsby1jYXJ2YWNoby10ZXN0LWRlLWRyb2dhcy1wYXJhLXBhcmxhbWVudGFyaW9zL09FNFo0UUhMWU5BWUxQSDJNSkZYUVhSSzVBL9IBAA&amp;hl=es-419&amp;gl=CL&amp;ceid=CL%3Aes-419" TargetMode="External"/><Relationship Id="rId99" Type="http://schemas.openxmlformats.org/officeDocument/2006/relationships/image" Target="../media/image6.png"/><Relationship Id="rId10" Type="http://schemas.openxmlformats.org/officeDocument/2006/relationships/hyperlink" Target="https://news.google.com/articles/CBMiVWh0dHBzOi8vd3d3LnBhdXRhLmNsL25hY2lvbmFsL3Rlc3QtZHJvZ2EtY2FtYXJhLWFwcm9iYWNpb24tZGlwdXRhZG9zLWNvbmdyZXNvLWFwcnVlYmHSAQA?hl=es-419&amp;gl=CL&amp;ceid=CL%3Aes-419" TargetMode="External"/><Relationship Id="rId98" Type="http://schemas.openxmlformats.org/officeDocument/2006/relationships/image" Target="../media/image4.png"/><Relationship Id="rId13" Type="http://schemas.openxmlformats.org/officeDocument/2006/relationships/hyperlink" Target="https://news.google.com/articles/CAIiELsW688tyI21ckg3kVI12YMqGQgEKhAIACoHCAow292WCzCehK4DMJD3ywY?uo=CAUixwFodHRwczovL3d3dy5sYXRlcmNlcmEuY29tL2xhLXRlcmNlcmEtcG0vbm90aWNpYS91bi10ZXN0LXF1ZS1pbmNvbW9kYS1sYXMtanVnYWRhcy1xdWUtYmFyYWphbi1sb3MtZGlwdXRhZG9zLXBhcmEtaW1wZWRpci1xdWUtc2UtcHVibGlxdWVuLWxvcy1yZXN1bHRhZG9zLWRlLWV4YW1lbi1kZS1kcm9nYXMvREJRVEpYQ1Y2UkUyRkVCRFFXT0hCVTJCTU0v0gEA&amp;hl=es-419&amp;gl=CL&amp;ceid=CL%3Aes-419" TargetMode="External"/><Relationship Id="rId12" Type="http://schemas.openxmlformats.org/officeDocument/2006/relationships/hyperlink" Target="https://news.google.com/articles/CAIiEAEM9XjeAaPG8iZhawMVxBwqGQgEKhAIACoHCAow292WCzCehK4DMJD3ywY?uo=CAUisQFodHRwczovL3d3dy5sYXRlcmNlcmEuY29tL2xhLXRlcmNlcmEtcG0vbm90aWNpYS9zdXNwZW5zby1lbi1sYS1jYW1hcmEtcmVzdWx0YWRvcy1kZS1wcmltZXJvcy10ZXN0LWRlLWRyb2dhcy1hLWRpcHV0YWRvcy1zZS1jb25vY2VyYW4tZWwtcHJveGltby1sdW5lcy8yRUtERFpLRVJGRFZIRVpLWTNDREpFRVFIUS_SAQA&amp;hl=es-419&amp;gl=CL&amp;ceid=CL%3Aes-419" TargetMode="External"/><Relationship Id="rId91" Type="http://schemas.openxmlformats.org/officeDocument/2006/relationships/hyperlink" Target="https://news.google.com/articles/CAIiEHp9ZO0Q7yajvruWiy8uJe8qGQgEKhAIACoHCAowwIGmCzCojL4DMMrejQc?uo=CAUiyAFodHRwczovL3B1YmxpbWljcm8uY2wvZGlwdXRhZGEtY2FtaWxhLWZsb3Jlcy1yZWNvbm9jZS1xdWUtc2Utc29ycHJlbmRpby1ncmF0YW1lbnRlLWNvbi1lbC1hcG95by1kZS1pcmluYS1rYXJhbWFub3MtdHJhcy1zdWZyaXItdmlvbGVuY2lhLWdpbmVjb2xvZ2ljYS1lbi1lbC1wYXJ0by1xdWUtbGEtdHV2by1ob3NwaXRhbGl6YWRhLXBvci1zZW1hbmFzL9IBAA&amp;hl=es-419&amp;gl=CL&amp;ceid=CL%3Aes-419" TargetMode="External"/><Relationship Id="rId90" Type="http://schemas.openxmlformats.org/officeDocument/2006/relationships/hyperlink" Target="https://news.google.com/articles/CAIiECYLThRqYgYT8OBZbOyC5uUqGQgEKhAIACoHCAowwIGmCzCojL4DMMrejQc?uo=CAUidmh0dHBzOi8vcHVibGltaWNyby5jbC9jaGlsZS1pbXB1bHNhLWVsLXByaW1lci1mb3JvLWFudWFsLXNvYnJlLWRlZmVuc29yYXMteS1kZWZlbnNvcmVzLWRlLWRkaGgtZW4tYXN1bnRvcy1hbWJpZW50YWxlcy_SAQA&amp;hl=es-419&amp;gl=CL&amp;ceid=CL%3Aes-419" TargetMode="External"/><Relationship Id="rId93" Type="http://schemas.openxmlformats.org/officeDocument/2006/relationships/hyperlink" Target="https://news.google.com/articles/CBMiemh0dHBzOi8vd3d3Lm9ic2VydmFkb3IuY2wvc2VuYWRvLWRlLWxhLXJlcHVibGljYS1hcHJ1ZWJhLXF1ZS11bmEtcGVyc29uYS1wdWVkYS1wbGFudGFyLWVuLXN1LWNhc2EtZGllei1tYXRhcy1kZS1tYXJpaHVhbmEv0gEA?hl=es-419&amp;gl=CL&amp;ceid=CL%3Aes-419" TargetMode="External"/><Relationship Id="rId92" Type="http://schemas.openxmlformats.org/officeDocument/2006/relationships/hyperlink" Target="https://news.google.com/articles/CBMiJWh0dHBzOi8vcG91c3RhLmNvbS9saWx5LXBlcmV6LWRyb2dhcy_SAQA?hl=es-419&amp;gl=CL&amp;ceid=CL%3Aes-419" TargetMode="External"/><Relationship Id="rId118" Type="http://schemas.openxmlformats.org/officeDocument/2006/relationships/image" Target="../media/image20.png"/><Relationship Id="rId117" Type="http://schemas.openxmlformats.org/officeDocument/2006/relationships/image" Target="../media/image26.png"/><Relationship Id="rId116" Type="http://schemas.openxmlformats.org/officeDocument/2006/relationships/image" Target="../media/image18.png"/><Relationship Id="rId115" Type="http://schemas.openxmlformats.org/officeDocument/2006/relationships/image" Target="../media/image11.png"/><Relationship Id="rId119" Type="http://schemas.openxmlformats.org/officeDocument/2006/relationships/image" Target="../media/image27.png"/><Relationship Id="rId15" Type="http://schemas.openxmlformats.org/officeDocument/2006/relationships/hyperlink" Target="https://news.google.com/articles/CAIiEL6jMnTKtngl3R8eWCU4e5gqGQgEKhAIACoHCAow292WCzCehK4DMJD3ywY?uo=CAUikQFodHRwczovL3d3dy5sYXRlcmNlcmEuY29tL2xhLXRlcmNlcmEtc2FiYWRvL25vdGljaWEvdGVzdC1kZS1kcm9nYXMtYS1wb2xpdGljb3MtdW4tdGVtYS1xdWUtY2F1c2EtcG9sZW1pY2EtZW4tZWwtbXVuZG8vUU9BM01SWEhXUkJSVkpZQlBSSEJLNEQzMk0v0gEA&amp;hl=es-419&amp;gl=CL&amp;ceid=CL%3Aes-419" TargetMode="External"/><Relationship Id="rId110" Type="http://schemas.openxmlformats.org/officeDocument/2006/relationships/image" Target="../media/image15.png"/><Relationship Id="rId14" Type="http://schemas.openxmlformats.org/officeDocument/2006/relationships/hyperlink" Target="https://news.google.com/articles/CAIiEM22uXh3M_rKFnNdP0d5o_wqGQgEKhAIACoHCAow292WCzCehK4DMJD3ywY?uo=CAUiowFodHRwczovL3d3dy5sYXRlcmNlcmEuY29tL2xhLXRlcmNlcmEtcG0vbm90aWNpYS9lbC10ZXN0LWRlLWRyb2dhcy15LWxhLW9mZW5zaXZhLWRlLWxhLXVkaS15LWppbGVzLXF1ZS1pbmNvbW9kYS1hLWxhLWNhbWFyYS1kZS1kaXB1dGFkb3MvT0tBUlVQNUdDRkhHREdRTURaTlFXQU5aUkUv0gEA&amp;hl=es-419&amp;gl=CL&amp;ceid=CL%3Aes-419" TargetMode="External"/><Relationship Id="rId17" Type="http://schemas.openxmlformats.org/officeDocument/2006/relationships/hyperlink" Target="https://news.google.com/articles/CBMidWh0dHBzOi8vd3d3LmNvbmNpZXJ0by5jbC8yMDIyLzA4L3Rlc3QtZGUtZHJvZ2FzLWEtcGFybGFtZW50YXJpb3MtY29tby1hZmVjdGEtZWwtY29uc3Vtby1kZS1zdXN0YW5jaWFzLWVuLWVsLWNvbmdyZXNvL9IBeWh0dHBzOi8vd3d3LmNvbmNpZXJ0by5jbC8yMDIyLzA4L3Rlc3QtZGUtZHJvZ2FzLWEtcGFybGFtZW50YXJpb3MtY29tby1hZmVjdGEtZWwtY29uc3Vtby1kZS1zdXN0YW5jaWFzLWVuLWVsLWNvbmdyZXNvL2FtcC8?hl=es-419&amp;gl=CL&amp;ceid=CL%3Aes-419" TargetMode="External"/><Relationship Id="rId16" Type="http://schemas.openxmlformats.org/officeDocument/2006/relationships/hyperlink" Target="https://news.google.com/articles/CBMipQFodHRwczovL3d3dy5iaW9iaW9jaGlsZS5jbC9ub3RpY2lhcy9uYWNpb25hbC9jaGlsZS8yMDIyLzA4LzMxL3Rlc3QtZGUtZHJvZ2FzLWNhbWFyYS1iYWphLWV4dGllbmRlLXBsYXpvLXBhcmEtcXVlLTc4LXBhcmxhbWVudGFyaW9zLXNvcnRlYWRvcy1zZS1yZWFsaWNlbi1leGFtZW4uc2h0bWzSAakBaHR0cHM6Ly93d3cuYmlvYmlvY2hpbGUuY2wvbm90aWNpYXMvbmFjaW9uYWwvY2hpbGUvMjAyMi8wOC8zMS9hbXAvdGVzdC1kZS1kcm9nYXMtY2FtYXJhLWJhamEtZXh0aWVuZGUtcGxhem8tcGFyYS1xdWUtNzgtcGFybGFtZW50YXJpb3Mtc29ydGVhZG9zLXNlLXJlYWxpY2VuLWV4YW1lbi5zaHRtbA?hl=es-419&amp;gl=CL&amp;ceid=CL%3Aes-419" TargetMode="External"/><Relationship Id="rId19" Type="http://schemas.openxmlformats.org/officeDocument/2006/relationships/hyperlink" Target="https://news.google.com/articles/CBMidmh0dHBzOi8vd3d3LmV4LWFudGUuY2wvam9yZ2Utc2NoYXVsc29obi15LXRlc3QtZGUtZHJvZ2FzLWVzLXBhdGV0aWNvLXF1ZS1sb3MtcGFybGFtZW50YXJpb3Mtc2UtcHJlc3Rlbi1wYXJhLWVzdGUtc2hvdy_SAQA?hl=es-419&amp;gl=CL&amp;ceid=CL%3Aes-419" TargetMode="External"/><Relationship Id="rId114" Type="http://schemas.openxmlformats.org/officeDocument/2006/relationships/image" Target="../media/image12.png"/><Relationship Id="rId18" Type="http://schemas.openxmlformats.org/officeDocument/2006/relationships/hyperlink" Target="https://news.google.com/articles/CBMif2h0dHBzOi8vd3d3LmFkbnJhZGlvLmNsL25hY2lvbmFsLzIwMjIvMDkvMTYvY29ydGUtc3VwcmVtYS1kZWNsYXJhLWFkbWlzaWJsZS1yZWN1cnNvLWNvbnRyYS10ZXN0LWRlLWRyb2dhcy1hLXBhcmxhbWVudGFyaW9zLmh0bWzSAYUBaHR0cHM6Ly93d3cuYWRucmFkaW8uY2wvbmFjaW9uYWwvMjAyMi8wOS8xNi9jb3J0ZS1zdXByZW1hLWRlY2xhcmEtYWRtaXNpYmxlLXJlY3Vyc28tY29udHJhLXRlc3QtZGUtZHJvZ2FzLWEtcGFybGFtZW50YXJpb3MuaHRtbD9hbXA9MQ?hl=es-419&amp;gl=CL&amp;ceid=CL%3Aes-419" TargetMode="External"/><Relationship Id="rId113" Type="http://schemas.openxmlformats.org/officeDocument/2006/relationships/image" Target="../media/image16.jpg"/><Relationship Id="rId112" Type="http://schemas.openxmlformats.org/officeDocument/2006/relationships/image" Target="../media/image7.png"/><Relationship Id="rId111" Type="http://schemas.openxmlformats.org/officeDocument/2006/relationships/image" Target="../media/image13.jpg"/><Relationship Id="rId84" Type="http://schemas.openxmlformats.org/officeDocument/2006/relationships/hyperlink" Target="https://news.google.com/articles/CAIiEEJtJFYX_jfvCDuevIbl0vUqGQgEKhAIACoHCAowm52iCzDep7oDMPK32gc?uo=CAUifGh0dHBzOi8vd3d3LmVsbmFjaW9uYWwuY2F0L2VzL2ludGVybmFjaW9uYWwvcHJpbWVyYS1taW5pc3RyYS1maW5sYW5kaWEtc29tZXRlLXRlc3QtZHJvZ2FzLWxpbXBpYXItcmVwdXRhY2lvbl84NzExMDRfMTAyLmh0bWzSAQA&amp;hl=es-419&amp;gl=CL&amp;ceid=CL%3Aes-419" TargetMode="External"/><Relationship Id="rId83" Type="http://schemas.openxmlformats.org/officeDocument/2006/relationships/hyperlink" Target="https://news.google.com/articles/CAIiEKX0pmngEp-FBnHvgeJfChMqMwgEKioIACIQVGcsbw39Ucci0s30uaM2FSoUCAoiEFRnLG8N_VHHItLN9LmjNhUwrerFBg?uo=CAUiggFodHRwczovL3d3dy5lbGRpbmFtby5jbC9wYWlzL0dvYmllcm5vLWluZ3Jlc2EtcHJveWVjdG8tcGFyYS1leHB1bHNhci1hLWV4dHJhbmplcm9zLWNvbmRlbmFkb3MtcG9yLWxleS1kZS1kcm9nYXMtMjAyMjEwMTEtMDA0Ni5odG1s0gEA&amp;hl=es-419&amp;gl=CL&amp;ceid=CL%3Aes-419" TargetMode="External"/><Relationship Id="rId86" Type="http://schemas.openxmlformats.org/officeDocument/2006/relationships/hyperlink" Target="https://news.google.com/articles/CAIiEAf02_k-FWJHq2H64RUUBC4qMwgEKioIACIQVGcsbw39Ucci0s30uaM2FSoUCAoiEFRnLG8N_VHHItLN9LmjNhUwgpT2Bg?uo=CAUihwFodHRwczovL3d3dy5lbGRpbmFtby5jbC9wb2xpdGljYS9DYW1hcmEtZGVudW5jaWEtYW1lbmF6YXMtY29udHJhLWRpcHV0YWRvcy1wb3ItY29udGludWlkYWQtZGVsLXByb2Nlc28tY29uc3RpdHV5ZW50ZS0yMDIyMDkxMS0wMDAxLmh0bWzSAQA&amp;hl=es-419&amp;gl=CL&amp;ceid=CL%3Aes-419" TargetMode="External"/><Relationship Id="rId85" Type="http://schemas.openxmlformats.org/officeDocument/2006/relationships/hyperlink" Target="https://news.google.com/articles/CBMiXmh0dHBzOi8vd3d3LmxhZGlzY3VzaW9uLmNsL2J1bG5lcy1lcXVpcG8tbXVuaWNpcGFsLXNlLXNvbWV0aW8tYS1leGFtZW4tZGUtZGV0ZWNjaW9uLWRlLWRyb2dhcy_SAQA?hl=es-419&amp;gl=CL&amp;ceid=CL%3Aes-419" TargetMode="External"/><Relationship Id="rId88" Type="http://schemas.openxmlformats.org/officeDocument/2006/relationships/hyperlink" Target="https://news.google.com/articles/CAIiEMuPgaiQVbWkqa-zMvdAk4YqGQgEKhAIACoHCAowwIGmCzCojL4DMMrejQc?uo=CAUimwFodHRwczovL3B1YmxpbWljcm8uY2wvcGFyby1kZS1jYW1pb25lcm9zLWZhbnRhc21hLWRlLWRlc2FiYXN0ZWNpbWllbnRvLW8tbWVub3Jlcy1wcm9kdWN0b3Mtc3VtYWRvLWEtcG9zaWJsZXMtYXVtZW50b3MtZGUtcHJlY2lvcy1pbnRpbWlkYS10cmFuc3ZlcnNhbG1lbnRlL9IBAA&amp;hl=es-419&amp;gl=CL&amp;ceid=CL%3Aes-419" TargetMode="External"/><Relationship Id="rId87" Type="http://schemas.openxmlformats.org/officeDocument/2006/relationships/hyperlink" Target="https://news.google.com/articles/CAIiECBOI62Pejc_QGCdibvVHSgqGQgEKhAIACoHCAowwIGmCzCojL4DMMrejQc?uo=CAUipgFodHRwczovL3B1YmxpbWljcm8uY2wvZW5jdWVzdGEtY3JpdGVyaWEtY2hpbGVub3Mtc2UtaW5jbGluYW4tZW4tdW4tNzAtbWFzLXBvci1sYS1zZWd1cmlkYWQtcXVlLXBvci1zb2JyZS1saWJlcnRhZC1hLWxhLWN1YWwtbGUtZGFuLXNvbG8tdW4tMzItZGUtdmFsb3ItcG9yLWVzdG9zLWRpYXMv0gEA&amp;hl=es-419&amp;gl=CL&amp;ceid=CL%3Aes-419" TargetMode="External"/><Relationship Id="rId89" Type="http://schemas.openxmlformats.org/officeDocument/2006/relationships/hyperlink" Target="https://news.google.com/articles/CAIiEEt7j4z18oCErdyKnLqt3GIqGQgEKhAIACoHCAowtaiWCzCoza0DMKOQyQY?uo=CAUimwFodHRwczovL3Zpdmltb3NsYW5vdGljaWEuY2wvbm90aWNpYXMvYWN0dWFsaWRhZC9wb2xpdGljYS8yMDIyLzA5LzI4L2RpcHV0YWRvLWZyYW5jaXNjby1wdWxnYXIteS10ZXN0LWRlLWRyb2dhcy1lcy11bi1ncmFuLXBhc28tZW4tbWF0ZXJpYS1kZS10cmFuc3BhcmVuY2lhL9IBAA&amp;hl=es-419&amp;gl=CL&amp;ceid=CL%3Aes-419" TargetMode="External"/><Relationship Id="rId80" Type="http://schemas.openxmlformats.org/officeDocument/2006/relationships/hyperlink" Target="https://news.google.com/articles/CBMixAFodHRwczovL20uZWxtb3N0cmFkb3IuY2wvZGlhLzIwMjIvMDgvMjIvZGlwdXRhZG8tc290by1wb3ItZGljaG9zLWRlLXByZXNpZGVudGUtYm9yaWMtc29icmUtcmVkdW5kYW5jaWEtZGUtcGxlYmlzY2l0by1kZS1lbnRyYWRhLWFudGUtZXZlbnR1YWwtdHJpdW5mby1kZWwtcmVjaGF6by1uaW5ndW5vLXB1ZWRlLWltcG9uZXItc3UtcG9zaWNpb24v0gEA?hl=es-419&amp;gl=CL&amp;ceid=CL%3Aes-419" TargetMode="External"/><Relationship Id="rId82" Type="http://schemas.openxmlformats.org/officeDocument/2006/relationships/hyperlink" Target="https://news.google.com/articles/CAIiEAlZ-FHnstgayPz1b5JNa_EqGQgEKhAIACoHCAowwIGmCzCojL4DMMrejQc?uo=CAUijQFodHRwczovL3B1YmxpbWljcm8uY2wvZGVidXRvLWVzdGUtbHVuZXMtbGEtcmVuZGljaW9uLWRlLWxhLXBhZXMtZW4tdG9kby1jaGlsZS1leGFtZW4tcXVlLXJlZW1wbGF6YS1hLWxhLXBkdC1kZS10cmFuc2ljaW9uLXktYS1sYS1hbnRpZ3VhLXBzdS_SAQA&amp;hl=es-419&amp;gl=CL&amp;ceid=CL%3Aes-419" TargetMode="External"/><Relationship Id="rId81" Type="http://schemas.openxmlformats.org/officeDocument/2006/relationships/hyperlink" Target="https://news.google.com/articles/CBMiZ2h0dHBzOi8vd3d3LmZ1dHVyby5jbC8yMDIyLzA5L21hcmlodWFuYS15LWNvY2FpbmEtZXN0dWRpby1yZXZlbGEtYXVtZW50by1lbi1lbC1jb25zdW1vLWRlLWVzdGFzLWRyb2dhcy_SAWtodHRwczovL3d3dy5mdXR1cm8uY2wvMjAyMi8wOS9tYXJpaHVhbmEteS1jb2NhaW5hLWVzdHVkaW8tcmV2ZWxhLWF1bWVudG8tZW4tZWwtY29uc3Vtby1kZS1lc3Rhcy1kcm9nYXMvYW1wLw?hl=es-419&amp;gl=CL&amp;ceid=CL%3Aes-419" TargetMode="External"/><Relationship Id="rId1" Type="http://schemas.openxmlformats.org/officeDocument/2006/relationships/hyperlink" Target="https://news.google.com/stories/CAAqNggKIjBDQklTSGpvSmMzUnZjbmt0TXpZd1NoRUtEd2pIOHJxVkJoRk5GeWI4S1hvY0ppZ0FQAQ?hl=es-419&amp;gl=CL&amp;ceid=CL%3Aes-419" TargetMode="External"/><Relationship Id="rId2" Type="http://schemas.openxmlformats.org/officeDocument/2006/relationships/hyperlink" Target="https://news.google.com/articles/CBMiggFodHRwczovL3d3dy5hZG5yYWRpby5jbC9wb2xpdGljYS8yMDIyLzA5LzI4L3Rlc3QtZGUtZHJvZ2FzLWVuLWVsLWNvbmdyZXNvLXRvZG9zLWxvcy1wYXJsYW1lbnRhcmlvcy1leGFtaW5hZG9zLWRpZXJvbi1uZWdhdGl2by5odG1s0gGIAWh0dHBzOi8vd3d3LmFkbnJhZGlvLmNsL3BvbGl0aWNhLzIwMjIvMDkvMjgvdGVzdC1kZS1kcm9nYXMtZW4tZWwtY29uZ3Jlc28tdG9kb3MtbG9zLXBhcmxhbWVudGFyaW9zLWV4YW1pbmFkb3MtZGllcm9uLW5lZ2F0aXZvLmh0bWw_YW1wPTE?hl=es-419&amp;gl=CL&amp;ceid=CL%3Aes-419" TargetMode="External"/><Relationship Id="rId3" Type="http://schemas.openxmlformats.org/officeDocument/2006/relationships/hyperlink" Target="https://news.google.com/stories/CAAqNggKIjBDQklTSGpvSmMzUnZjbmt0TXpZd1NoRUtEd2lSZ3FydkJSSEpuRHZZSXBtbGVTZ0FQAQ?hl=es-419&amp;gl=CL&amp;ceid=CL%3Aes-419" TargetMode="External"/><Relationship Id="rId4" Type="http://schemas.openxmlformats.org/officeDocument/2006/relationships/hyperlink" Target="https://news.google.com/articles/CAIiEN9XsI8MFVvAULFco4mcKZkqGQgEKhAIACoHCAow1c6WCzDY9K0DMNXq0wY?uo=CAUikwFodHRwczovL2FyYXVjYW5pYW5vdGljaWFzLmNsLzIwMjIvZGlwdXRhZG8tYmVja2VyLWRhLW5lZ2F0aXZvLWEtdGVzdC1kZS1kcm9nYXMtbGxhbS1hLXRyYW5zcGFyZW50YXItbG9zLXJlc3VsdGFkb3MtYW50ZS1sYS1vcGluaW4tcGJsaWNhLzExMTUyMjUxNjjSAQA&amp;hl=es-419&amp;gl=CL&amp;ceid=CL%3Aes-419" TargetMode="External"/><Relationship Id="rId9" Type="http://schemas.openxmlformats.org/officeDocument/2006/relationships/hyperlink" Target="https://news.google.com/articles/CAIiEBNPyhksvcNE3wx9PL7pJcAqGQgEKhAIACoHCAow292WCzCehK4DMMmewAM?uo=CAUiqwFodHRwczovL3d3dy5sYXRlcmNlcmEuY29tL3BvbGl0aWNhL25vdGljaWEvdW4tYW1pZ28tc29ycHJlc2l2by1lbi1sYS1jb3J0ZS1pbmRoLXNhbGUtZW4tZGVmZW5zYS1kZS1kaXB1dGFkYXMtcXVlLXNlLXJlYmVsYXJvbi1hbC10ZXN0LWRlLWRyb2dhcy9PSFZXVE00Q1lOQUZKQ1dZTFZEUE1NUkhCNC_SAQA&amp;hl=es-419&amp;gl=CL&amp;ceid=CL%3Aes-419" TargetMode="External"/><Relationship Id="rId5" Type="http://schemas.openxmlformats.org/officeDocument/2006/relationships/hyperlink" Target="https://news.google.com/articles/CBMihgFodHRwczovL20uZWxtb3N0cmFkb3IuY2wvZGlhLzIwMjIvMDgvMjIvY29tZW56by1hcGxpY2FjaW9uLWRlLXRlc3QtZGUtZHJvZ2FzLWEtcGFybGFtZW50YXJpb3MtcmVzdWx0YWRvcy1kZW1vcmFyYW4tZW50cmUtMTAtYS0xNS1kaWFzL9IBAA?hl=es-419&amp;gl=CL&amp;ceid=CL%3Aes-419" TargetMode="External"/><Relationship Id="rId6" Type="http://schemas.openxmlformats.org/officeDocument/2006/relationships/hyperlink" Target="https://news.google.com/articles/CBMilwFodHRwczovL2VscGFpcy5jb20vY2hpbGUvMjAyMi0wOC0xOC90ZXN0LWRlLWRyb2dhcy1lbi1lbC1jb25ncmVzby1kZS1jaGlsZS1sb3MtcGFybGFtZW50YXJpb3Mtc2Utc29tZXRlbi1hLWFuYWxpc2lzLWRlbC1wZWxvLXBhcmEtZGV0ZWN0YXItY29uc3Vtby5odG1s0gGmAWh0dHBzOi8vZWxwYWlzLmNvbS9jaGlsZS8yMDIyLTA4LTE4L3Rlc3QtZGUtZHJvZ2FzLWVuLWVsLWNvbmdyZXNvLWRlLWNoaWxlLWxvcy1wYXJsYW1lbnRhcmlvcy1zZS1zb21ldGVuLWEtYW5hbGlzaXMtZGVsLXBlbG8tcGFyYS1kZXRlY3Rhci1jb25zdW1vLmh0bWw_b3V0cHV0VHlwZT1hbXA?hl=es-419&amp;gl=CL&amp;ceid=CL%3Aes-419" TargetMode="External"/><Relationship Id="rId7" Type="http://schemas.openxmlformats.org/officeDocument/2006/relationships/hyperlink" Target="https://news.google.com/articles/CBMingFodHRwczovL3d3dy5iaW9iaW9jaGlsZS5jbC9ub3RpY2lhcy9uYWNpb25hbC9jaGlsZS8yMDIyLzA4LzE4L25lY2VzYXJpby1zaG93LXktZXh0ZW5kZXJsby1hbC1nb2JpZXJuby1sYXMtcmVhY2Npb25lcy1kZS1wYXJsYW1lbnRhcmlvcy1hbC10ZXN0LWRlLWRyb2dhcy5zaHRtbNIBogFodHRwczovL3d3dy5iaW9iaW9jaGlsZS5jbC9ub3RpY2lhcy9uYWNpb25hbC9jaGlsZS8yMDIyLzA4LzE4L2FtcC9uZWNlc2FyaW8tc2hvdy15LWV4dGVuZGVybG8tYWwtZ29iaWVybm8tbGFzLXJlYWNjaW9uZXMtZGUtcGFybGFtZW50YXJpb3MtYWwtdGVzdC1kZS1kcm9nYXMuc2h0bWw?hl=es-419&amp;gl=CL&amp;ceid=CL%3Aes-419" TargetMode="External"/><Relationship Id="rId8" Type="http://schemas.openxmlformats.org/officeDocument/2006/relationships/hyperlink" Target="https://news.google.com/articles/CAIiEBdCO97ONoIUc-YepSeWjOoqMwgEKioIACIQ6COHnlHU784dI_DRPTSJdioUCAoiEOgjh55R1O_OHSPw0T00iXYwgcqIBw?uo=CAUic2h0dHBzOi8vd3d3LnQxMy5jbC9ub3RpY2lhL3BvbGl0aWNhL2NvbWlzaW9uLXJlY2hhemEtcmVzdWx0YWRvcy10ZXN0LWRyb2dhcy1wYXJsYW1lbnRhcmlvcy1zZWFuLXB1YmxpY29zLTI4LTA2LTIwMjLSAQA&amp;hl=es-419&amp;gl=CL&amp;ceid=CL%3Aes-419" TargetMode="External"/><Relationship Id="rId73" Type="http://schemas.openxmlformats.org/officeDocument/2006/relationships/hyperlink" Target="https://news.google.com/articles/CAIiEKX5bCTI1orI8i_Mt8QRh28qGQgEKhAIACoHCAowwIGmCzCojL4DMMrejQc?uo=CAUikQFodHRwczovL3B1YmxpbWljcm8uY2wvb3JnYW5pemFjaW9uLW11bmRpYWwtZGUtbGEtc2FsdWQtbGUtYXNpZ25vLXVuLW51ZXZvLW5vbWJyZS1hLWxhLXZpcnVlbGEtZGVsLW1vbm8tcGFyYS1ldml0YXItYnVybGFzLXktY29tZW50YXJpb3MtcmFjaXN0YXMv0gEA&amp;hl=es-419&amp;gl=CL&amp;ceid=CL%3Aes-419" TargetMode="External"/><Relationship Id="rId72" Type="http://schemas.openxmlformats.org/officeDocument/2006/relationships/hyperlink" Target="https://news.google.com/articles/CBMi1AFodHRwczovL3BhcnRpZG9yZXB1YmxpY2Fub2RlY2hpbGUuY2wvamVmZS1kZS1sYS1iYW5jYWRhLXJlcHVibGljYW5hLXktbGxhbWFkby1kZS12YWxsZWpvLWEtcXVlLW9wb3NpY2lvbi1zZS1wb25nYS1kZS1hY3VlcmRvLXBvci1wbGViaXNjaXRvLWRlamVuLWRlLWludGVydmVuaXItZW4tdW4tcHJvY2Vzby1kZW1vY3JhdGljby1xdWUtbm9zLXBlcnRlbmVjZS1hLXRvZG9zL9IBAA?hl=es-419&amp;gl=CL&amp;ceid=CL%3Aes-419" TargetMode="External"/><Relationship Id="rId75" Type="http://schemas.openxmlformats.org/officeDocument/2006/relationships/hyperlink" Target="https://news.google.com/articles/CAIiEF3Xm8lUsr0JRbnsictsy9EqGQgEKhAIACoHCAowwIGmCzCojL4DMMrejQc?uo=CAUilwFodHRwczovL3B1YmxpbWljcm8uY2wvY292aWQtMTktY2Fzb3MtY29uZmlybWFkb3MtZGlzbWludXllbi0xNi1lbi1sb3MtdWx0aW1vcy03LWRpYXMtZXN0ZS1kb21pbmdvLXNlLXJlcG9ydGFyb24tNC0wNzctbnVldm9zLWNvbnRhZ2lvcy15LTIwLWZhbGxlY2lkb3Mv0gEA&amp;hl=es-419&amp;gl=CL&amp;ceid=CL%3Aes-419" TargetMode="External"/><Relationship Id="rId74" Type="http://schemas.openxmlformats.org/officeDocument/2006/relationships/hyperlink" Target="https://news.google.com/articles/CAIiEDVzLgMbvxdPmzmtEaTC5EkqMwgEKioIACIQ6COHnlHU784dI_DRPTSJdioUCAoiEOgjh55R1O_OHSPw0T00iXYwgcqIBw?uo=CAUiXmh0dHBzOi8vd3d3LnQxMy5jbC9ub3RpY2lhL3BvbGl0aWNhL3NleHRvLXJldGlyby1jcnVjZS1rYXJvbC1jYXJpb2xhLXktcGFtZWxhLWppbGVzLTA0LTA3LTIwMjLSAQA&amp;hl=es-419&amp;gl=CL&amp;ceid=CL%3Aes-419" TargetMode="External"/><Relationship Id="rId77" Type="http://schemas.openxmlformats.org/officeDocument/2006/relationships/hyperlink" Target="https://news.google.com/articles/CBMiWGh0dHBzOi8vd3d3LnRoZWNsaW5pYy5jbC8yMDIyLzEwLzAxL2VudHJldmlzdGEtY2FuYWxsYS1uZWxzb24tYXZpbGEtYWdyaWN1bHRvci1lc2NyaXRvci_SAVxodHRwczovL3d3dy50aGVjbGluaWMuY2wvMjAyMi8xMC8wMS9lbnRyZXZpc3RhLWNhbmFsbGEtbmVsc29uLWF2aWxhLWFncmljdWx0b3ItZXNjcml0b3IvYW1wLw?hl=es-419&amp;gl=CL&amp;ceid=CL%3Aes-419" TargetMode="External"/><Relationship Id="rId76" Type="http://schemas.openxmlformats.org/officeDocument/2006/relationships/hyperlink" Target="https://news.google.com/articles/CBMilwFodHRwczovL3d3dy5sYXRlcmNlcmEuY29tL2xhLXRlcmNlcmEtcG0vbm90aWNpYS9mbG9yY2l0YS1kcm9nYXMteS1wcmVqdWljaW9zLXBpZW5zYW4tcXVlLWxhLWdlbnRlLWRlLWl6cXVpZXJkYS1zZS1tZXRlLWN1YWxxdWllci1jb3NhLWEtbGEtYm9jYS82MDA1NDIv0gGmAWh0dHBzOi8vd3d3LmxhdGVyY2VyYS5jb20vbGEtdGVyY2VyYS1wbS9ub3RpY2lhL2Zsb3JjaXRhLWRyb2dhcy15LXByZWp1aWNpb3MtcGllbnNhbi1xdWUtbGEtZ2VudGUtZGUtaXpxdWllcmRhLXNlLW1ldGUtY3VhbHF1aWVyLWNvc2EtYS1sYS1ib2NhLzYwMDU0Mi8_b3V0cHV0VHlwZT1hbXA?hl=es-419&amp;gl=CL&amp;ceid=CL%3Aes-419" TargetMode="External"/><Relationship Id="rId79" Type="http://schemas.openxmlformats.org/officeDocument/2006/relationships/hyperlink" Target="https://news.google.com/articles/CAIiEBY9i10BYsLNVHLELwo3TNoqMwgEKioIACIQ6COHnlHU784dI_DRPTSJdioUCAoiEOgjh55R1O_OHSPw0T00iXYwgcqIBw?uo=CAUidmh0dHBzOi8vd3d3LnQxMy5jbC9ub3RpY2lhL25hY2lvbmFsL2hhY2tlby1lbWNvLWNvbnNlam8tdHJhbnNwYXJlbmNpYS0xMC1kaWFzLWhhYmlsZXMtZW50cmVnYXItYW50ZWNlZGVudGVzLTI4LTA5LTIwMjLSAQA&amp;hl=es-419&amp;gl=CL&amp;ceid=CL%3Aes-419" TargetMode="External"/><Relationship Id="rId78" Type="http://schemas.openxmlformats.org/officeDocument/2006/relationships/hyperlink" Target="https://news.google.com/articles/CAIiECZUQXORpPWxwlhuCsVvniUqGQgEKhAIACoHCAowwIGmCzCojL4DMMrejQc?uo=CAUiZGh0dHBzOi8vcHVibGltaWNyby5jbC9pcHNvcy1jb25maWFuemEtZGUtbG9zLWNvbnN1bWlkb3Jlcy1jaGlsZW5vcy12dWVsdmUtYS1iYWphci1kdXJhbnRlLW5vdmllbWJyZS_SAQA&amp;hl=es-419&amp;gl=CL&amp;ceid=CL%3Aes-419" TargetMode="External"/><Relationship Id="rId71" Type="http://schemas.openxmlformats.org/officeDocument/2006/relationships/hyperlink" Target="https://news.google.com/articles/CAIiEHD2TIMYeIisUNCwzEaxOAMqMwgEKioIACIQ6COHnlHU784dI_DRPTSJdioUCAoiEOgjh55R1O_OHSPw0T00iXYwgcqIBw?uo=CAUia2h0dHBzOi8vd3d3LnQxMy5jbC9ub3RpY2lhL25hY2lvbmFsL2RldGllbmVuLW1pZW1icm9zLW5hcmNvcy1jb2xvbWJpYW5vcy1kcm9nYS1jYWxpLXBlcnNhLWJpb2Jpby0yMy0wOC0yMDIy0gEA&amp;hl=es-419&amp;gl=CL&amp;ceid=CL%3Aes-419" TargetMode="External"/><Relationship Id="rId70" Type="http://schemas.openxmlformats.org/officeDocument/2006/relationships/hyperlink" Target="https://news.google.com/articles/CBMieGh0dHBzOi8vd3d3LjI0aG9yYXMuY2wvcHJvZ3JhbWFzL25vdGljaWFzLTI0L2p1YW4tYW50b25pby1jb2xvbWEtdWRpLXF1aXNpbW9zLWFncmVnYXItdW5hLXJlZm9ybWEtcXVlLW9ibGlndWUtdGVzdC1kcm9nYdIBeGh0dHBzOi8vYW1wLjI0aG9yYXMuY2wvcHJvZ3JhbWFzL25vdGljaWFzLTI0L2p1YW4tYW50b25pby1jb2xvbWEtdWRpLXF1aXNpbW9zLWFncmVnYXItdW5hLXJlZm9ybWEtcXVlLW9ibGlndWUtdGVzdC1kcm9nYQ?hl=es-419&amp;gl=CL&amp;ceid=CL%3Aes-419" TargetMode="External"/><Relationship Id="rId62" Type="http://schemas.openxmlformats.org/officeDocument/2006/relationships/hyperlink" Target="https://news.google.com/articles/CAIiEN79dDtd7J_WLEkPzBQiGD0qMwgEKioIACIQVGcsbw39Ucci0s30uaM2FSoUCAoiEFRnLG8N_VHHItLN9LmjNhUwhZT2Bg?uo=CAUikQFodHRwczovL3d3dy5lbGRpbmFtby5jbC9lbnRyZXRlbmNpb24vTm8tdm95LWEtc2F0YW5pemFyLWVsLWNvbnN1bW8tZGUtZHJvZ2FzLUpvc2UtQW50b25pby1OZW1lLWFkbWl0aW8taGFiZXItcHJvYmFkby1tYXJpaHVhbmEtMjAyMjA2MTYtMDAyOC5odG1s0gEA&amp;hl=es-419&amp;gl=CL&amp;ceid=CL%3Aes-419" TargetMode="External"/><Relationship Id="rId61" Type="http://schemas.openxmlformats.org/officeDocument/2006/relationships/hyperlink" Target="https://news.google.com/articles/CBMijQFodHRwczovL3d3dy5hYmMuZXMvZXNwYW5hL2NvbXVuaWRhZC12YWxlbmNpYW5hL2FiY2ktc2VuYWRvLXZldG8tY29udHJvbGVzLWRyb2dhLXBpZGUtcGFyYS1uby1vZmVuZGVyLXBhcmxhbWVudGFyaW9zLTIwMjAwNjE2MTczM19ub3RpY2lhLmh0bWzSAZEBaHR0cHM6Ly93d3cuYWJjLmVzL2VzcGFuYS9jb211bmlkYWQtdmFsZW5jaWFuYS9hYmNpLXNlbmFkby12ZXRvLWNvbnRyb2xlcy1kcm9nYS1waWRlLXBhcmEtbm8tb2ZlbmRlci1wYXJsYW1lbnRhcmlvcy0yMDIwMDYxNjE3MzNfbm90aWNpYV9hbXAuaHRtbA?hl=es-419&amp;gl=CL&amp;ceid=CL%3Aes-419" TargetMode="External"/><Relationship Id="rId64" Type="http://schemas.openxmlformats.org/officeDocument/2006/relationships/hyperlink" Target="https://news.google.com/articles/CAIiELPrEGArE_LswWLIt9OWoaAqGQgEKhAIACoHCAowtaiWCzCoza0DMM6k7wY?uo=CAUimAFodHRwczovL3Zpdmltb3NsYW5vdGljaWEuY2wvbm90aWNpYXMvYWN0dWFsaWRhZC9wb2xpdGljYS8yMDIyLzA4LzI0L2ZyYW5jaXNjby1wdWxnYXItZXMtZWwtcHJpbWVyLWRpcHV0YWRvLWRlbC1tYXVsZS1xdWUtc2Utc29tZXRlcnNlLWFsLXRlc3QtZGUtZHJvZ2FzL9IBAA&amp;hl=es-419&amp;gl=CL&amp;ceid=CL%3Aes-419" TargetMode="External"/><Relationship Id="rId63" Type="http://schemas.openxmlformats.org/officeDocument/2006/relationships/hyperlink" Target="https://news.google.com/articles/CAIiENBPUpuVAhI2Lkav5rSUEAcqMwgEKioIACIQ6COHnlHU784dI_DRPTSJdioUCAoiEOgjh55R1O_OHSPw0T00iXYwgcqIBw?uo=CAUicGh0dHBzOi8vd3d3LnQxMy5jbC9ub3RpY2lhL3BvbGl0aWNhL25hY2lvbmFsL3F1ZS1kaWNlLWxleS15LXJlZ2xhbWVudG8tY2FtYXJhLWNvbnN1bW8tYWxjb2hvbC10cmFiYWpvLTE4LTA4LTIwMjLSAQA&amp;hl=es-419&amp;gl=CL&amp;ceid=CL%3Aes-419" TargetMode="External"/><Relationship Id="rId66" Type="http://schemas.openxmlformats.org/officeDocument/2006/relationships/hyperlink" Target="https://news.google.com/articles/CBMieGh0dHBzOi8vd3d3LnJldmlzdGFkZWZyZW50ZS5jbC9jb3J0ZS1zdXByZW1hLWFkbWl0ZS1yZWN1cnNvLWNvbnRyYS10ZXN0LWRlLWRyb2dhcy1lbi1sYS1jYW1hcmEtZGUtZGlwdXRhZGFzLXktZGlwdXRhZG9zL9IBAA?hl=es-419&amp;gl=CL&amp;ceid=CL%3Aes-419" TargetMode="External"/><Relationship Id="rId65" Type="http://schemas.openxmlformats.org/officeDocument/2006/relationships/hyperlink" Target="https://news.google.com/articles/CBMib2h0dHBzOi8vd3d3LmNubmNoaWxlLmNvbS9wYWlzLzYzLWRpcHV0YWRvcy1jb25mZXNhcm9uLXF1ZS1jb25zdW1pZXJvbi1hbGd1bi10aXBvLWRlLWRyb2dhcy1hbGd1bmEtdmV6XzIwMTkwNTA2L9IBAA?hl=es-419&amp;gl=CL&amp;ceid=CL%3Aes-419" TargetMode="External"/><Relationship Id="rId68" Type="http://schemas.openxmlformats.org/officeDocument/2006/relationships/hyperlink" Target="https://news.google.com/articles/CBMibmh0dHBzOi8vd3d3LmxhdGVyY2VyYS5jb20vcG9saXRpY2Evbm90aWNpYS9sb3Mtb3Ryb3MtcG9saXRpY29zLXZpbmN1bGFkby1wYXJsYW1lbnRhcmlvcy1jb25zdW1vLWRyb2dhcy84NjA2MTIv0gF9aHR0cHM6Ly93d3cubGF0ZXJjZXJhLmNvbS9wb2xpdGljYS9ub3RpY2lhL2xvcy1vdHJvcy1wb2xpdGljb3MtdmluY3VsYWRvLXBhcmxhbWVudGFyaW9zLWNvbnN1bW8tZHJvZ2FzLzg2MDYxMi8_b3V0cHV0VHlwZT1hbXA?hl=es-419&amp;gl=CL&amp;ceid=CL%3Aes-419" TargetMode="External"/><Relationship Id="rId67" Type="http://schemas.openxmlformats.org/officeDocument/2006/relationships/hyperlink" Target="https://news.google.com/articles/CBMiYWh0dHBzOi8vd3d3LnRoZWNsaW5pYy5jbC8yMDIyLzA5LzI4L2FuZWNkb3RhLWRpcHV0YWRvLWxlb25pZGFzLXJvbWVyby1tdWVzdHJhLXBlbG8tZXhhbWVuLWRyb2dhcy_SAWVodHRwczovL3d3dy50aGVjbGluaWMuY2wvMjAyMi8wOS8yOC9hbmVjZG90YS1kaXB1dGFkby1sZW9uaWRhcy1yb21lcm8tbXVlc3RyYS1wZWxvLWV4YW1lbi1kcm9nYXMvYW1wLw?hl=es-419&amp;gl=CL&amp;ceid=CL%3Aes-419" TargetMode="External"/><Relationship Id="rId60" Type="http://schemas.openxmlformats.org/officeDocument/2006/relationships/hyperlink" Target="https://news.google.com/articles/CAIiEDGZGmRzslc_Uh_D7oONw-YqMwgEKioIACIQVGcsbw39Ucci0s30uaM2FSoUCAoiEFRnLG8N_VHHItLN9LmjNhUwgpT2Bg?uo=CAUifWh0dHBzOi8vd3d3LmVsZGluYW1vLmNsL3BvbGl0aWNhL0xhLXBvbGVtaWNhLWVudHJlLUthc3QteS1TYWV6LXBvci1lbC1jb25zdW1vLWRlLW1hcmlodWFuYS1kZWwtZGlwdXRhZG8tUkQtMjAyMjA3MzEtMDAxMC5odG1s0gEA&amp;hl=es-419&amp;gl=CL&amp;ceid=CL%3Aes-419" TargetMode="External"/><Relationship Id="rId69" Type="http://schemas.openxmlformats.org/officeDocument/2006/relationships/hyperlink" Target="https://news.google.com/articles/CAIiEOvWvF-vJyjTj06rrgH6KmMqMwgEKioIACIQ6COHnlHU784dI_DRPTSJdioUCAoiEOgjh55R1O_OHSPw0T00iXYwgcqIBw?uo=CAUifmh0dHBzOi8vd3d3LnQxMy5jbC9ub3RpY2lhL25hY2lvbmFsL2RlYmlhLXZpZ2lsYXItbmFyY29zLWVyYS11bm8tYXNpLW9wZXJhYmEtZnVuY2lvbmFyaW8tZ29iaWVybm8tY29uZGVuYWRvLXRyYWZpY28tMjgtMDktMjAyMtIBAA&amp;hl=es-419&amp;gl=CL&amp;ceid=CL%3Aes-419" TargetMode="External"/><Relationship Id="rId51" Type="http://schemas.openxmlformats.org/officeDocument/2006/relationships/hyperlink" Target="https://news.google.com/articles/CBMikgFodHRwczovL3d3dy5kaWFyaW9jb25zdGl0dWNpb25hbC5jbC8yMDIyLzA5LzI3L2NvcnRlLWRlLXZhbHBhcmFpc28tcmVjaGF6YS1zb2xpY2l0dWQtZGUtZGljdGFyLW9yZGVuLWRlLW5vLWlubm92YXItcG9yLXRlc3QtZGUtZHJvZ2FzLWEtZGlwdXRhZG9zL9IBAA?hl=es-419&amp;gl=CL&amp;ceid=CL%3Aes-419" TargetMode="External"/><Relationship Id="rId50" Type="http://schemas.openxmlformats.org/officeDocument/2006/relationships/hyperlink" Target="https://news.google.com/articles/CBMisAFodHRwczovL3d3dy5iaW9iaW9jaGlsZS5jbC9ub3RpY2lhcy9uYWNpb25hbC9yZWdpb24tZGVsLWJpby1iaW8vMjAyMi8wOS8yMC91cnJpdGlhY29lY2hlYS10aWxkYS1kZS1pbXBydWRlbnRlLXJlY3Vyc28tcHJlc2VudGFkby1wb3ItZGlwdXRhZGFzLWVuLWNvbnRyYS1kZS10ZXN0LWRlLWRyb2dhcy5zaHRtbNIBtAFodHRwczovL3d3dy5iaW9iaW9jaGlsZS5jbC9ub3RpY2lhcy9uYWNpb25hbC9yZWdpb24tZGVsLWJpby1iaW8vMjAyMi8wOS8yMC9hbXAvdXJyaXRpYWNvZWNoZWEtdGlsZGEtZGUtaW1wcnVkZW50ZS1yZWN1cnNvLXByZXNlbnRhZG8tcG9yLWRpcHV0YWRhcy1lbi1jb250cmEtZGUtdGVzdC1kZS1kcm9nYXMuc2h0bWw?hl=es-419&amp;gl=CL&amp;ceid=CL%3Aes-419" TargetMode="External"/><Relationship Id="rId53" Type="http://schemas.openxmlformats.org/officeDocument/2006/relationships/hyperlink" Target="https://news.google.com/articles/CBMijQFodHRwczovL2c1bm90aWNpYXMuY2wvMjAyMi8wNy8xMy9kaXB1dGFkby1nYXNwYXItcml2YXMtcGRnLWNyaXRpY2EtcG9zdHVyYXMtZGUtbG9zLXNlY3RvcmVzLXBvbGl0aWNvcy1kZS1sYS1jYW1hcmEtYWNlcmNhLWRlbC10ZXN0LWRlLWRyb2dhcy_SAQA?hl=es-419&amp;gl=CL&amp;ceid=CL%3Aes-419" TargetMode="External"/><Relationship Id="rId52" Type="http://schemas.openxmlformats.org/officeDocument/2006/relationships/hyperlink" Target="https://news.google.com/articles/CBMid2h0dHBzOi8vd3d3LmRpYXJpb2NvbnN0aXR1Y2lvbmFsLmNsLzIwMjIvMDgvMTgvY2FtYXJhLXNvcnRlYS1hLWxvcy1wcmltZXJvcy1wYXJsYW1lbnRhcmlvcy1wYXJhLWluaWNpYXItdGVzdC1kZS1kcm9nYXMv0gEA?hl=es-419&amp;gl=CL&amp;ceid=CL%3Aes-419" TargetMode="External"/><Relationship Id="rId55" Type="http://schemas.openxmlformats.org/officeDocument/2006/relationships/hyperlink" Target="https://news.google.com/articles/CAIiEINcyk0GqhWWRoivuHkLNQgqGQgEKhAIACoHCAow292WCzCehK4DMJD3ywY?uo=CAUiyAFodHRwczovL3d3dy5sYXRlcmNlcmEuY29tL2xhLXRlcmNlcmEtc2FiYWRvL25vdGljaWEvY3Jpc3RpYW4tY2FtYXJnby1kaXJlY3Rvci1kZWwtbGFib3JhdG9yaW8tZGUtYW5hbGlzaXMtYW50aWRvcGluZy1hbGd1aWVuLXF1ZS1lcy1hZGljdG8tYS11bmEtZHJvZ2EtZXMtZmFjaWwtZGUtY29ycm9tcGVyL0ZaUEM3Q1gzU1JEWkJEWjNGTFZLTllNSTVBL9IBAA&amp;hl=es-419&amp;gl=CL&amp;ceid=CL%3Aes-419" TargetMode="External"/><Relationship Id="rId54" Type="http://schemas.openxmlformats.org/officeDocument/2006/relationships/hyperlink" Target="https://news.google.com/articles/CBMisAFodHRwczovL3d3dy5lbGNpdWRhZGFuby5jb20vYWN0dWFsaWRhZC9jaWJlci1hY29zby15LWhvc3RpZ2FtaWVudG8tYS1kaXB1dGFkYXMtcG9yLXRlc3QtZGUtZHJvZ2FzLWN1YWwtZXMtZWwtbGltaXRlLWRlLWxhLXBlcnNlY3VjaW9uLWFudGktbmFyY290aWNvcy1kZW50cm8tZGUtbGEtY2FtYXJhLzA5LzI5L9IBAA?hl=es-419&amp;gl=CL&amp;ceid=CL%3Aes-419" TargetMode="External"/><Relationship Id="rId57" Type="http://schemas.openxmlformats.org/officeDocument/2006/relationships/hyperlink" Target="https://news.google.com/articles/CBMisAFodHRwczovL3d3dy5iaW9iaW9jaGlsZS5jbC9iaW9iaW90di9wcm9ncmFtYXMvcG9kcmlhLXNlci1wZW9yLzIwMjIvMDcvMTQvZGlwdXRhZGEtcGFtZWxhLWppbGVzLW5vLXB1ZWRlLWhhYmVyLXBsYXRhLW1lam9yLWdhc3RhZGEtcXVlLXBhcmEtc2FiZXItc2ktdGVuZW1vcy1uYXJjb2RpcHV0YWRvcy5zaHRtbNIBAA?hl=es-419&amp;gl=CL&amp;ceid=CL%3Aes-419" TargetMode="External"/><Relationship Id="rId56" Type="http://schemas.openxmlformats.org/officeDocument/2006/relationships/hyperlink" Target="https://news.google.com/articles/CBMihAFodHRwczovL25vdGljaWFzLnVuYWIuY2wvcmFkaW8tYmlvLWJpby1lbnRyZXZpc3RhLWEtYWxlaWRhLWt1bGlrb2ZmLWFjYWRlbWljYS15LXRveGljb2xvZ2EtZGUtbGEtZXNjdWVsYS1kZS1xdWltaWNhLXktZmFybWFjaWEtdW5hYi_SAQA?hl=es-419&amp;gl=CL&amp;ceid=CL%3Aes-419" TargetMode="External"/><Relationship Id="rId59" Type="http://schemas.openxmlformats.org/officeDocument/2006/relationships/hyperlink" Target="https://news.google.com/articles/CAIiEJqdKjXefqRIN5TMRlZFbPoqMwgEKioIACIQVGcsbw39Ucci0s30uaM2FSoUCAoiEFRnLG8N_VHHItLN9LmjNhUwrerFBg?uo=CAUingFodHRwczovL3d3dy5lbGRpbmFtby5jbC9wYWlzL0VtaWxpYS1TY2huZWlkZXItc2UtcmVmaXJpby1hLXN1LWFkaWNjaW9uLWEtbGFzLWRyb2dhcy1lbi1sYS1hZG9sZXNjZW5jaWEtQ29uc3VtaS1tdWNoYXMtc3VzdGFuY2lhcy1wZWxpZ3Jvc2FzLTIwMjIxMDIyLTAwMTQuaHRtbNIBAA&amp;hl=es-419&amp;gl=CL&amp;ceid=CL%3Aes-419" TargetMode="External"/><Relationship Id="rId58" Type="http://schemas.openxmlformats.org/officeDocument/2006/relationships/hyperlink" Target="https://news.google.com/articles/CBMiXmh0dHBzOi8vd3d3LnRoZWNsaW5pYy5jbC8yMDIyLzA4LzE4L2pvc2UtbHVpcy1yZXBlbm5pbmctaW50ZXJjYW1iaW8tY2FtaWxhLWZsb3Jlcy10ZXN0LWRyb2dhcy_SAWJodHRwczovL3d3dy50aGVjbGluaWMuY2wvMjAyMi8wOC8xOC9qb3NlLWx1aXMtcmVwZW5uaW5nLWludGVyY2FtYmlvLWNhbWlsYS1mbG9yZXMtdGVzdC1kcm9nYXMvYW1wLw?hl=es-419&amp;gl=CL&amp;ceid=CL%3Aes-4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04800" cy="314325"/>
    <xdr:sp>
      <xdr:nvSpPr>
        <xdr:cNvPr descr="La Tercera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14325"/>
    <xdr:sp>
      <xdr:nvSpPr>
        <xdr:cNvPr id="4" name="Shape 4">
          <a:hlinkClick r:id="rId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314325"/>
    <xdr:sp>
      <xdr:nvSpPr>
        <xdr:cNvPr id="5" name="Shape 5">
          <a:hlinkClick r:id="rId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14325"/>
    <xdr:sp>
      <xdr:nvSpPr>
        <xdr:cNvPr descr="La Tercera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22</xdr:row>
      <xdr:rowOff>0</xdr:rowOff>
    </xdr:from>
    <xdr:ext cx="304800" cy="314325"/>
    <xdr:sp>
      <xdr:nvSpPr>
        <xdr:cNvPr id="6" name="Shape 6">
          <a:hlinkClick r:id="rId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29</xdr:row>
      <xdr:rowOff>0</xdr:rowOff>
    </xdr:from>
    <xdr:ext cx="304800" cy="314325"/>
    <xdr:sp>
      <xdr:nvSpPr>
        <xdr:cNvPr id="8" name="Shape 8">
          <a:hlinkClick r:id="rId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0</xdr:rowOff>
    </xdr:from>
    <xdr:ext cx="304800" cy="314325"/>
    <xdr:sp>
      <xdr:nvSpPr>
        <xdr:cNvPr id="9" name="Shape 9">
          <a:hlinkClick r:id="rId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43</xdr:row>
      <xdr:rowOff>0</xdr:rowOff>
    </xdr:from>
    <xdr:ext cx="304800" cy="314325"/>
    <xdr:sp>
      <xdr:nvSpPr>
        <xdr:cNvPr id="10" name="Shape 10">
          <a:hlinkClick r:id="rId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50</xdr:row>
      <xdr:rowOff>0</xdr:rowOff>
    </xdr:from>
    <xdr:ext cx="304800" cy="314325"/>
    <xdr:sp>
      <xdr:nvSpPr>
        <xdr:cNvPr id="11" name="Shape 11">
          <a:hlinkClick r:id="rId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57</xdr:row>
      <xdr:rowOff>0</xdr:rowOff>
    </xdr:from>
    <xdr:ext cx="304800" cy="314325"/>
    <xdr:sp>
      <xdr:nvSpPr>
        <xdr:cNvPr id="12" name="Shape 12">
          <a:hlinkClick r:id="rId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</xdr:row>
      <xdr:rowOff>0</xdr:rowOff>
    </xdr:from>
    <xdr:ext cx="304800" cy="314325"/>
    <xdr:sp>
      <xdr:nvSpPr>
        <xdr:cNvPr id="13" name="Shape 13">
          <a:hlinkClick r:id="rId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71</xdr:row>
      <xdr:rowOff>0</xdr:rowOff>
    </xdr:from>
    <xdr:ext cx="304800" cy="314325"/>
    <xdr:sp>
      <xdr:nvSpPr>
        <xdr:cNvPr id="14" name="Shape 14">
          <a:hlinkClick r:id="rId1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78</xdr:row>
      <xdr:rowOff>0</xdr:rowOff>
    </xdr:from>
    <xdr:ext cx="304800" cy="314325"/>
    <xdr:sp>
      <xdr:nvSpPr>
        <xdr:cNvPr id="15" name="Shape 15">
          <a:hlinkClick r:id="rId1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79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85</xdr:row>
      <xdr:rowOff>0</xdr:rowOff>
    </xdr:from>
    <xdr:ext cx="304800" cy="314325"/>
    <xdr:sp>
      <xdr:nvSpPr>
        <xdr:cNvPr id="16" name="Shape 16">
          <a:hlinkClick r:id="rId1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92</xdr:row>
      <xdr:rowOff>0</xdr:rowOff>
    </xdr:from>
    <xdr:ext cx="304800" cy="314325"/>
    <xdr:sp>
      <xdr:nvSpPr>
        <xdr:cNvPr id="17" name="Shape 17">
          <a:hlinkClick r:id="rId1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93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99</xdr:row>
      <xdr:rowOff>0</xdr:rowOff>
    </xdr:from>
    <xdr:ext cx="304800" cy="314325"/>
    <xdr:sp>
      <xdr:nvSpPr>
        <xdr:cNvPr id="18" name="Shape 18">
          <a:hlinkClick r:id="rId1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106</xdr:row>
      <xdr:rowOff>0</xdr:rowOff>
    </xdr:from>
    <xdr:ext cx="304800" cy="314325"/>
    <xdr:sp>
      <xdr:nvSpPr>
        <xdr:cNvPr id="19" name="Shape 19">
          <a:hlinkClick r:id="rId1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113</xdr:row>
      <xdr:rowOff>0</xdr:rowOff>
    </xdr:from>
    <xdr:ext cx="304800" cy="314325"/>
    <xdr:sp>
      <xdr:nvSpPr>
        <xdr:cNvPr id="20" name="Shape 20">
          <a:hlinkClick r:id="rId1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114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120</xdr:row>
      <xdr:rowOff>0</xdr:rowOff>
    </xdr:from>
    <xdr:ext cx="304800" cy="314325"/>
    <xdr:sp>
      <xdr:nvSpPr>
        <xdr:cNvPr id="21" name="Shape 21">
          <a:hlinkClick r:id="rId1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121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127</xdr:row>
      <xdr:rowOff>0</xdr:rowOff>
    </xdr:from>
    <xdr:ext cx="304800" cy="314325"/>
    <xdr:sp>
      <xdr:nvSpPr>
        <xdr:cNvPr id="22" name="Shape 22">
          <a:hlinkClick r:id="rId1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134</xdr:row>
      <xdr:rowOff>0</xdr:rowOff>
    </xdr:from>
    <xdr:ext cx="304800" cy="314325"/>
    <xdr:sp>
      <xdr:nvSpPr>
        <xdr:cNvPr id="23" name="Shape 23">
          <a:hlinkClick r:id="rId1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141</xdr:row>
      <xdr:rowOff>0</xdr:rowOff>
    </xdr:from>
    <xdr:ext cx="304800" cy="314325"/>
    <xdr:sp>
      <xdr:nvSpPr>
        <xdr:cNvPr id="24" name="Shape 24">
          <a:hlinkClick r:id="rId2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148</xdr:row>
      <xdr:rowOff>0</xdr:rowOff>
    </xdr:from>
    <xdr:ext cx="304800" cy="314325"/>
    <xdr:sp>
      <xdr:nvSpPr>
        <xdr:cNvPr id="25" name="Shape 25">
          <a:hlinkClick r:id="rId2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149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155</xdr:row>
      <xdr:rowOff>0</xdr:rowOff>
    </xdr:from>
    <xdr:ext cx="304800" cy="314325"/>
    <xdr:sp>
      <xdr:nvSpPr>
        <xdr:cNvPr id="26" name="Shape 26">
          <a:hlinkClick r:id="rId2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162</xdr:row>
      <xdr:rowOff>0</xdr:rowOff>
    </xdr:from>
    <xdr:ext cx="304800" cy="314325"/>
    <xdr:sp>
      <xdr:nvSpPr>
        <xdr:cNvPr id="27" name="Shape 27">
          <a:hlinkClick r:id="rId2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169</xdr:row>
      <xdr:rowOff>0</xdr:rowOff>
    </xdr:from>
    <xdr:ext cx="304800" cy="314325"/>
    <xdr:sp>
      <xdr:nvSpPr>
        <xdr:cNvPr id="28" name="Shape 28">
          <a:hlinkClick r:id="rId2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170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176</xdr:row>
      <xdr:rowOff>0</xdr:rowOff>
    </xdr:from>
    <xdr:ext cx="304800" cy="314325"/>
    <xdr:sp>
      <xdr:nvSpPr>
        <xdr:cNvPr id="29" name="Shape 29">
          <a:hlinkClick r:id="rId2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183</xdr:row>
      <xdr:rowOff>0</xdr:rowOff>
    </xdr:from>
    <xdr:ext cx="304800" cy="314325"/>
    <xdr:sp>
      <xdr:nvSpPr>
        <xdr:cNvPr id="30" name="Shape 30">
          <a:hlinkClick r:id="rId2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190</xdr:row>
      <xdr:rowOff>0</xdr:rowOff>
    </xdr:from>
    <xdr:ext cx="304800" cy="314325"/>
    <xdr:sp>
      <xdr:nvSpPr>
        <xdr:cNvPr id="31" name="Shape 31">
          <a:hlinkClick r:id="rId2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197</xdr:row>
      <xdr:rowOff>0</xdr:rowOff>
    </xdr:from>
    <xdr:ext cx="304800" cy="314325"/>
    <xdr:sp>
      <xdr:nvSpPr>
        <xdr:cNvPr id="32" name="Shape 32">
          <a:hlinkClick r:id="rId2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204</xdr:row>
      <xdr:rowOff>0</xdr:rowOff>
    </xdr:from>
    <xdr:ext cx="304800" cy="314325"/>
    <xdr:sp>
      <xdr:nvSpPr>
        <xdr:cNvPr id="33" name="Shape 33">
          <a:hlinkClick r:id="rId2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211</xdr:row>
      <xdr:rowOff>0</xdr:rowOff>
    </xdr:from>
    <xdr:ext cx="304800" cy="314325"/>
    <xdr:sp>
      <xdr:nvSpPr>
        <xdr:cNvPr id="34" name="Shape 34">
          <a:hlinkClick r:id="rId3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218</xdr:row>
      <xdr:rowOff>0</xdr:rowOff>
    </xdr:from>
    <xdr:ext cx="304800" cy="314325"/>
    <xdr:sp>
      <xdr:nvSpPr>
        <xdr:cNvPr id="35" name="Shape 35">
          <a:hlinkClick r:id="rId3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225</xdr:row>
      <xdr:rowOff>0</xdr:rowOff>
    </xdr:from>
    <xdr:ext cx="304800" cy="314325"/>
    <xdr:sp>
      <xdr:nvSpPr>
        <xdr:cNvPr id="36" name="Shape 36">
          <a:hlinkClick r:id="rId3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232</xdr:row>
      <xdr:rowOff>0</xdr:rowOff>
    </xdr:from>
    <xdr:ext cx="304800" cy="314325"/>
    <xdr:sp>
      <xdr:nvSpPr>
        <xdr:cNvPr id="37" name="Shape 37">
          <a:hlinkClick r:id="rId3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239</xdr:row>
      <xdr:rowOff>0</xdr:rowOff>
    </xdr:from>
    <xdr:ext cx="304800" cy="314325"/>
    <xdr:sp>
      <xdr:nvSpPr>
        <xdr:cNvPr id="38" name="Shape 38">
          <a:hlinkClick r:id="rId3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246</xdr:row>
      <xdr:rowOff>0</xdr:rowOff>
    </xdr:from>
    <xdr:ext cx="304800" cy="314325"/>
    <xdr:sp>
      <xdr:nvSpPr>
        <xdr:cNvPr id="39" name="Shape 39">
          <a:hlinkClick r:id="rId3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247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253</xdr:row>
      <xdr:rowOff>0</xdr:rowOff>
    </xdr:from>
    <xdr:ext cx="304800" cy="314325"/>
    <xdr:sp>
      <xdr:nvSpPr>
        <xdr:cNvPr id="41" name="Shape 41">
          <a:hlinkClick r:id="rId3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260</xdr:row>
      <xdr:rowOff>0</xdr:rowOff>
    </xdr:from>
    <xdr:ext cx="304800" cy="314325"/>
    <xdr:sp>
      <xdr:nvSpPr>
        <xdr:cNvPr id="42" name="Shape 42">
          <a:hlinkClick r:id="rId3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267</xdr:row>
      <xdr:rowOff>0</xdr:rowOff>
    </xdr:from>
    <xdr:ext cx="304800" cy="314325"/>
    <xdr:sp>
      <xdr:nvSpPr>
        <xdr:cNvPr id="43" name="Shape 43">
          <a:hlinkClick r:id="rId3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268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274</xdr:row>
      <xdr:rowOff>0</xdr:rowOff>
    </xdr:from>
    <xdr:ext cx="304800" cy="314325"/>
    <xdr:sp>
      <xdr:nvSpPr>
        <xdr:cNvPr id="44" name="Shape 44">
          <a:hlinkClick r:id="rId3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275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281</xdr:row>
      <xdr:rowOff>0</xdr:rowOff>
    </xdr:from>
    <xdr:ext cx="304800" cy="314325"/>
    <xdr:sp>
      <xdr:nvSpPr>
        <xdr:cNvPr id="45" name="Shape 45">
          <a:hlinkClick r:id="rId4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282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288</xdr:row>
      <xdr:rowOff>0</xdr:rowOff>
    </xdr:from>
    <xdr:ext cx="304800" cy="314325"/>
    <xdr:sp>
      <xdr:nvSpPr>
        <xdr:cNvPr id="46" name="Shape 46">
          <a:hlinkClick r:id="rId4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295</xdr:row>
      <xdr:rowOff>0</xdr:rowOff>
    </xdr:from>
    <xdr:ext cx="304800" cy="314325"/>
    <xdr:sp>
      <xdr:nvSpPr>
        <xdr:cNvPr id="47" name="Shape 47">
          <a:hlinkClick r:id="rId4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308</xdr:row>
      <xdr:rowOff>0</xdr:rowOff>
    </xdr:from>
    <xdr:ext cx="304800" cy="314325"/>
    <xdr:sp>
      <xdr:nvSpPr>
        <xdr:cNvPr id="48" name="Shape 48">
          <a:hlinkClick r:id="rId4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315</xdr:row>
      <xdr:rowOff>0</xdr:rowOff>
    </xdr:from>
    <xdr:ext cx="304800" cy="314325"/>
    <xdr:sp>
      <xdr:nvSpPr>
        <xdr:cNvPr id="49" name="Shape 49">
          <a:hlinkClick r:id="rId4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322</xdr:row>
      <xdr:rowOff>0</xdr:rowOff>
    </xdr:from>
    <xdr:ext cx="304800" cy="314325"/>
    <xdr:sp>
      <xdr:nvSpPr>
        <xdr:cNvPr id="50" name="Shape 50">
          <a:hlinkClick r:id="rId4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323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329</xdr:row>
      <xdr:rowOff>0</xdr:rowOff>
    </xdr:from>
    <xdr:ext cx="304800" cy="314325"/>
    <xdr:sp>
      <xdr:nvSpPr>
        <xdr:cNvPr id="51" name="Shape 51">
          <a:hlinkClick r:id="rId4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330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336</xdr:row>
      <xdr:rowOff>0</xdr:rowOff>
    </xdr:from>
    <xdr:ext cx="304800" cy="314325"/>
    <xdr:sp>
      <xdr:nvSpPr>
        <xdr:cNvPr id="52" name="Shape 52">
          <a:hlinkClick r:id="rId4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349</xdr:row>
      <xdr:rowOff>0</xdr:rowOff>
    </xdr:from>
    <xdr:ext cx="304800" cy="314325"/>
    <xdr:sp>
      <xdr:nvSpPr>
        <xdr:cNvPr id="53" name="Shape 53">
          <a:hlinkClick r:id="rId4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356</xdr:row>
      <xdr:rowOff>0</xdr:rowOff>
    </xdr:from>
    <xdr:ext cx="304800" cy="314325"/>
    <xdr:sp>
      <xdr:nvSpPr>
        <xdr:cNvPr id="54" name="Shape 54">
          <a:hlinkClick r:id="rId4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363</xdr:row>
      <xdr:rowOff>0</xdr:rowOff>
    </xdr:from>
    <xdr:ext cx="304800" cy="314325"/>
    <xdr:sp>
      <xdr:nvSpPr>
        <xdr:cNvPr id="55" name="Shape 55">
          <a:hlinkClick r:id="rId5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370</xdr:row>
      <xdr:rowOff>0</xdr:rowOff>
    </xdr:from>
    <xdr:ext cx="304800" cy="314325"/>
    <xdr:sp>
      <xdr:nvSpPr>
        <xdr:cNvPr id="56" name="Shape 56">
          <a:hlinkClick r:id="rId5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371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377</xdr:row>
      <xdr:rowOff>0</xdr:rowOff>
    </xdr:from>
    <xdr:ext cx="304800" cy="314325"/>
    <xdr:sp>
      <xdr:nvSpPr>
        <xdr:cNvPr id="57" name="Shape 57">
          <a:hlinkClick r:id="rId5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384</xdr:row>
      <xdr:rowOff>0</xdr:rowOff>
    </xdr:from>
    <xdr:ext cx="304800" cy="314325"/>
    <xdr:sp>
      <xdr:nvSpPr>
        <xdr:cNvPr id="58" name="Shape 58">
          <a:hlinkClick r:id="rId5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385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391</xdr:row>
      <xdr:rowOff>0</xdr:rowOff>
    </xdr:from>
    <xdr:ext cx="304800" cy="314325"/>
    <xdr:sp>
      <xdr:nvSpPr>
        <xdr:cNvPr id="59" name="Shape 59">
          <a:hlinkClick r:id="rId5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398</xdr:row>
      <xdr:rowOff>0</xdr:rowOff>
    </xdr:from>
    <xdr:ext cx="304800" cy="314325"/>
    <xdr:sp>
      <xdr:nvSpPr>
        <xdr:cNvPr id="60" name="Shape 60">
          <a:hlinkClick r:id="rId5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405</xdr:row>
      <xdr:rowOff>0</xdr:rowOff>
    </xdr:from>
    <xdr:ext cx="304800" cy="314325"/>
    <xdr:sp>
      <xdr:nvSpPr>
        <xdr:cNvPr id="61" name="Shape 61">
          <a:hlinkClick r:id="rId5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412</xdr:row>
      <xdr:rowOff>0</xdr:rowOff>
    </xdr:from>
    <xdr:ext cx="304800" cy="314325"/>
    <xdr:sp>
      <xdr:nvSpPr>
        <xdr:cNvPr id="62" name="Shape 62">
          <a:hlinkClick r:id="rId5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419</xdr:row>
      <xdr:rowOff>0</xdr:rowOff>
    </xdr:from>
    <xdr:ext cx="304800" cy="314325"/>
    <xdr:sp>
      <xdr:nvSpPr>
        <xdr:cNvPr id="63" name="Shape 63">
          <a:hlinkClick r:id="rId5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426</xdr:row>
      <xdr:rowOff>0</xdr:rowOff>
    </xdr:from>
    <xdr:ext cx="304800" cy="314325"/>
    <xdr:sp>
      <xdr:nvSpPr>
        <xdr:cNvPr id="64" name="Shape 64">
          <a:hlinkClick r:id="rId5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433</xdr:row>
      <xdr:rowOff>0</xdr:rowOff>
    </xdr:from>
    <xdr:ext cx="304800" cy="314325"/>
    <xdr:sp>
      <xdr:nvSpPr>
        <xdr:cNvPr id="65" name="Shape 65">
          <a:hlinkClick r:id="rId6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434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440</xdr:row>
      <xdr:rowOff>0</xdr:rowOff>
    </xdr:from>
    <xdr:ext cx="304800" cy="314325"/>
    <xdr:sp>
      <xdr:nvSpPr>
        <xdr:cNvPr id="66" name="Shape 66">
          <a:hlinkClick r:id="rId6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441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447</xdr:row>
      <xdr:rowOff>0</xdr:rowOff>
    </xdr:from>
    <xdr:ext cx="304800" cy="314325"/>
    <xdr:sp>
      <xdr:nvSpPr>
        <xdr:cNvPr id="67" name="Shape 67">
          <a:hlinkClick r:id="rId6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454</xdr:row>
      <xdr:rowOff>0</xdr:rowOff>
    </xdr:from>
    <xdr:ext cx="304800" cy="314325"/>
    <xdr:sp>
      <xdr:nvSpPr>
        <xdr:cNvPr id="68" name="Shape 68">
          <a:hlinkClick r:id="rId6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461</xdr:row>
      <xdr:rowOff>0</xdr:rowOff>
    </xdr:from>
    <xdr:ext cx="304800" cy="314325"/>
    <xdr:sp>
      <xdr:nvSpPr>
        <xdr:cNvPr id="69" name="Shape 69">
          <a:hlinkClick r:id="rId6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462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468</xdr:row>
      <xdr:rowOff>0</xdr:rowOff>
    </xdr:from>
    <xdr:ext cx="304800" cy="314325"/>
    <xdr:sp>
      <xdr:nvSpPr>
        <xdr:cNvPr id="70" name="Shape 70">
          <a:hlinkClick r:id="rId6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475</xdr:row>
      <xdr:rowOff>0</xdr:rowOff>
    </xdr:from>
    <xdr:ext cx="304800" cy="314325"/>
    <xdr:sp>
      <xdr:nvSpPr>
        <xdr:cNvPr id="71" name="Shape 71">
          <a:hlinkClick r:id="rId6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482</xdr:row>
      <xdr:rowOff>0</xdr:rowOff>
    </xdr:from>
    <xdr:ext cx="304800" cy="314325"/>
    <xdr:sp>
      <xdr:nvSpPr>
        <xdr:cNvPr id="72" name="Shape 72">
          <a:hlinkClick r:id="rId6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489</xdr:row>
      <xdr:rowOff>0</xdr:rowOff>
    </xdr:from>
    <xdr:ext cx="304800" cy="314325"/>
    <xdr:sp>
      <xdr:nvSpPr>
        <xdr:cNvPr id="73" name="Shape 73">
          <a:hlinkClick r:id="rId6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490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496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494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500</xdr:row>
      <xdr:rowOff>0</xdr:rowOff>
    </xdr:from>
    <xdr:ext cx="304800" cy="314325"/>
    <xdr:sp>
      <xdr:nvSpPr>
        <xdr:cNvPr id="74" name="Shape 74">
          <a:hlinkClick r:id="rId6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507</xdr:row>
      <xdr:rowOff>0</xdr:rowOff>
    </xdr:from>
    <xdr:ext cx="304800" cy="314325"/>
    <xdr:sp>
      <xdr:nvSpPr>
        <xdr:cNvPr id="75" name="Shape 75">
          <a:hlinkClick r:id="rId7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508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514</xdr:row>
      <xdr:rowOff>0</xdr:rowOff>
    </xdr:from>
    <xdr:ext cx="304800" cy="314325"/>
    <xdr:sp>
      <xdr:nvSpPr>
        <xdr:cNvPr id="76" name="Shape 76">
          <a:hlinkClick r:id="rId7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521</xdr:row>
      <xdr:rowOff>0</xdr:rowOff>
    </xdr:from>
    <xdr:ext cx="304800" cy="314325"/>
    <xdr:sp>
      <xdr:nvSpPr>
        <xdr:cNvPr id="77" name="Shape 77">
          <a:hlinkClick r:id="rId7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528</xdr:row>
      <xdr:rowOff>0</xdr:rowOff>
    </xdr:from>
    <xdr:ext cx="304800" cy="314325"/>
    <xdr:sp>
      <xdr:nvSpPr>
        <xdr:cNvPr id="78" name="Shape 78">
          <a:hlinkClick r:id="rId7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529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535</xdr:row>
      <xdr:rowOff>0</xdr:rowOff>
    </xdr:from>
    <xdr:ext cx="304800" cy="314325"/>
    <xdr:sp>
      <xdr:nvSpPr>
        <xdr:cNvPr id="79" name="Shape 79">
          <a:hlinkClick r:id="rId7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542</xdr:row>
      <xdr:rowOff>0</xdr:rowOff>
    </xdr:from>
    <xdr:ext cx="304800" cy="314325"/>
    <xdr:sp>
      <xdr:nvSpPr>
        <xdr:cNvPr id="80" name="Shape 80">
          <a:hlinkClick r:id="rId7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543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549</xdr:row>
      <xdr:rowOff>0</xdr:rowOff>
    </xdr:from>
    <xdr:ext cx="304800" cy="314325"/>
    <xdr:sp>
      <xdr:nvSpPr>
        <xdr:cNvPr id="81" name="Shape 81">
          <a:hlinkClick r:id="rId7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550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556</xdr:row>
      <xdr:rowOff>0</xdr:rowOff>
    </xdr:from>
    <xdr:ext cx="304800" cy="314325"/>
    <xdr:sp>
      <xdr:nvSpPr>
        <xdr:cNvPr id="82" name="Shape 82">
          <a:hlinkClick r:id="rId7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557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563</xdr:row>
      <xdr:rowOff>0</xdr:rowOff>
    </xdr:from>
    <xdr:ext cx="304800" cy="314325"/>
    <xdr:sp>
      <xdr:nvSpPr>
        <xdr:cNvPr id="83" name="Shape 83">
          <a:hlinkClick r:id="rId7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564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570</xdr:row>
      <xdr:rowOff>0</xdr:rowOff>
    </xdr:from>
    <xdr:ext cx="304800" cy="314325"/>
    <xdr:sp>
      <xdr:nvSpPr>
        <xdr:cNvPr id="84" name="Shape 84">
          <a:hlinkClick r:id="rId7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577</xdr:row>
      <xdr:rowOff>0</xdr:rowOff>
    </xdr:from>
    <xdr:ext cx="304800" cy="314325"/>
    <xdr:sp>
      <xdr:nvSpPr>
        <xdr:cNvPr id="85" name="Shape 85">
          <a:hlinkClick r:id="rId8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584</xdr:row>
      <xdr:rowOff>0</xdr:rowOff>
    </xdr:from>
    <xdr:ext cx="304800" cy="314325"/>
    <xdr:sp>
      <xdr:nvSpPr>
        <xdr:cNvPr id="86" name="Shape 86">
          <a:hlinkClick r:id="rId8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591</xdr:row>
      <xdr:rowOff>0</xdr:rowOff>
    </xdr:from>
    <xdr:ext cx="304800" cy="314325"/>
    <xdr:sp>
      <xdr:nvSpPr>
        <xdr:cNvPr id="87" name="Shape 87">
          <a:hlinkClick r:id="rId8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598</xdr:row>
      <xdr:rowOff>0</xdr:rowOff>
    </xdr:from>
    <xdr:ext cx="304800" cy="314325"/>
    <xdr:sp>
      <xdr:nvSpPr>
        <xdr:cNvPr id="88" name="Shape 88">
          <a:hlinkClick r:id="rId8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599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605</xdr:row>
      <xdr:rowOff>0</xdr:rowOff>
    </xdr:from>
    <xdr:ext cx="304800" cy="314325"/>
    <xdr:sp>
      <xdr:nvSpPr>
        <xdr:cNvPr id="89" name="Shape 89">
          <a:hlinkClick r:id="rId8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606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612</xdr:row>
      <xdr:rowOff>0</xdr:rowOff>
    </xdr:from>
    <xdr:ext cx="304800" cy="314325"/>
    <xdr:sp>
      <xdr:nvSpPr>
        <xdr:cNvPr id="90" name="Shape 90">
          <a:hlinkClick r:id="rId8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613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619</xdr:row>
      <xdr:rowOff>0</xdr:rowOff>
    </xdr:from>
    <xdr:ext cx="304800" cy="314325"/>
    <xdr:sp>
      <xdr:nvSpPr>
        <xdr:cNvPr id="91" name="Shape 91">
          <a:hlinkClick r:id="rId8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620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626</xdr:row>
      <xdr:rowOff>0</xdr:rowOff>
    </xdr:from>
    <xdr:ext cx="304800" cy="314325"/>
    <xdr:sp>
      <xdr:nvSpPr>
        <xdr:cNvPr id="92" name="Shape 92">
          <a:hlinkClick r:id="rId8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627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633</xdr:row>
      <xdr:rowOff>0</xdr:rowOff>
    </xdr:from>
    <xdr:ext cx="304800" cy="314325"/>
    <xdr:sp>
      <xdr:nvSpPr>
        <xdr:cNvPr id="93" name="Shape 93">
          <a:hlinkClick r:id="rId8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634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640</xdr:row>
      <xdr:rowOff>0</xdr:rowOff>
    </xdr:from>
    <xdr:ext cx="304800" cy="314325"/>
    <xdr:sp>
      <xdr:nvSpPr>
        <xdr:cNvPr id="94" name="Shape 94">
          <a:hlinkClick r:id="rId8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647</xdr:row>
      <xdr:rowOff>0</xdr:rowOff>
    </xdr:from>
    <xdr:ext cx="304800" cy="314325"/>
    <xdr:sp>
      <xdr:nvSpPr>
        <xdr:cNvPr id="95" name="Shape 95">
          <a:hlinkClick r:id="rId9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654</xdr:row>
      <xdr:rowOff>0</xdr:rowOff>
    </xdr:from>
    <xdr:ext cx="304800" cy="314325"/>
    <xdr:sp>
      <xdr:nvSpPr>
        <xdr:cNvPr id="96" name="Shape 96">
          <a:hlinkClick r:id="rId9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661</xdr:row>
      <xdr:rowOff>0</xdr:rowOff>
    </xdr:from>
    <xdr:ext cx="304800" cy="314325"/>
    <xdr:sp>
      <xdr:nvSpPr>
        <xdr:cNvPr id="97" name="Shape 97">
          <a:hlinkClick r:id="rId9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668</xdr:row>
      <xdr:rowOff>0</xdr:rowOff>
    </xdr:from>
    <xdr:ext cx="304800" cy="314325"/>
    <xdr:sp>
      <xdr:nvSpPr>
        <xdr:cNvPr id="98" name="Shape 98">
          <a:hlinkClick r:id="rId9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669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675</xdr:row>
      <xdr:rowOff>0</xdr:rowOff>
    </xdr:from>
    <xdr:ext cx="304800" cy="314325"/>
    <xdr:sp>
      <xdr:nvSpPr>
        <xdr:cNvPr id="99" name="Shape 99">
          <a:hlinkClick r:id="rId9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676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682</xdr:row>
      <xdr:rowOff>0</xdr:rowOff>
    </xdr:from>
    <xdr:ext cx="304800" cy="314325"/>
    <xdr:sp>
      <xdr:nvSpPr>
        <xdr:cNvPr id="100" name="Shape 100">
          <a:hlinkClick r:id="rId9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683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689</xdr:row>
      <xdr:rowOff>0</xdr:rowOff>
    </xdr:from>
    <xdr:ext cx="304800" cy="314325"/>
    <xdr:sp>
      <xdr:nvSpPr>
        <xdr:cNvPr id="101" name="Shape 101">
          <a:hlinkClick r:id="rId9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690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696</xdr:row>
      <xdr:rowOff>0</xdr:rowOff>
    </xdr:from>
    <xdr:ext cx="304800" cy="314325"/>
    <xdr:sp>
      <xdr:nvSpPr>
        <xdr:cNvPr id="102" name="Shape 102">
          <a:hlinkClick r:id="rId9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697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703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30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914400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914400" cy="923925"/>
    <xdr:pic>
      <xdr:nvPicPr>
        <xdr:cNvPr descr="pauta" id="0" name="image5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914400" cy="923925"/>
    <xdr:pic>
      <xdr:nvPicPr>
        <xdr:cNvPr descr="Ex-Ante" id="0" name="image19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914400" cy="923925"/>
    <xdr:pic>
      <xdr:nvPicPr>
        <xdr:cNvPr descr="Radio Concierto" id="0" name="image3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914400" cy="923925"/>
    <xdr:pic>
      <xdr:nvPicPr>
        <xdr:cNvPr descr="ADN Chile" id="0" name="image4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914400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914400" cy="923925"/>
    <xdr:pic>
      <xdr:nvPicPr>
        <xdr:cNvPr descr="ADN Chile" id="0" name="image4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914400" cy="923925"/>
    <xdr:pic>
      <xdr:nvPicPr>
        <xdr:cNvPr descr="pauta" id="0" name="image5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914400" cy="923925"/>
    <xdr:pic>
      <xdr:nvPicPr>
        <xdr:cNvPr descr="El Líbero" id="0" name="image9.jp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04800" cy="314325"/>
    <xdr:pic>
      <xdr:nvPicPr>
        <xdr:cNvPr descr="El Desconcierto" id="0" name="image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04800" cy="314325"/>
    <xdr:pic>
      <xdr:nvPicPr>
        <xdr:cNvPr descr="El Desconcierto" id="0" name="image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714375" cy="733425"/>
    <xdr:pic>
      <xdr:nvPicPr>
        <xdr:cNvPr descr="24Horas.cl" id="0" name="image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914400" cy="923925"/>
    <xdr:pic>
      <xdr:nvPicPr>
        <xdr:cNvPr descr="ADN Chile" id="0" name="image4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914400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914400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914400" cy="923925"/>
    <xdr:pic>
      <xdr:nvPicPr>
        <xdr:cNvPr descr="Radio Concierto" id="0" name="image3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514350" cy="523875"/>
    <xdr:pic>
      <xdr:nvPicPr>
        <xdr:cNvPr descr="El Pingüino" id="0" name="image1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714375" cy="733425"/>
    <xdr:pic>
      <xdr:nvPicPr>
        <xdr:cNvPr descr="24Horas.cl" id="0" name="image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914400" cy="923925"/>
    <xdr:pic>
      <xdr:nvPicPr>
        <xdr:cNvPr descr="AdPrensa" id="0" name="image14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914400" cy="923925"/>
    <xdr:pic>
      <xdr:nvPicPr>
        <xdr:cNvPr descr="AdPrensa" id="0" name="image14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914400" cy="923925"/>
    <xdr:pic>
      <xdr:nvPicPr>
        <xdr:cNvPr descr="BioBioChile" id="0" name="image10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914400" cy="923925"/>
    <xdr:pic>
      <xdr:nvPicPr>
        <xdr:cNvPr descr="Revista De Frente" id="0" name="image12.pn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914400" cy="923925"/>
    <xdr:pic>
      <xdr:nvPicPr>
        <xdr:cNvPr descr="G5noticias" id="0" name="image15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914400" cy="923925"/>
    <xdr:pic>
      <xdr:nvPicPr>
        <xdr:cNvPr descr="El Ciudadano" id="0" name="image13.jp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762000" cy="771525"/>
    <xdr:pic>
      <xdr:nvPicPr>
        <xdr:cNvPr descr="Noticias Universidad Andrés Bello" id="0" name="image7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714375" cy="733425"/>
    <xdr:pic>
      <xdr:nvPicPr>
        <xdr:cNvPr descr="24Horas.cl" id="0" name="image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914400" cy="923925"/>
    <xdr:pic>
      <xdr:nvPicPr>
        <xdr:cNvPr descr="Radio Maray" id="0" name="image17.pn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914400" cy="952500"/>
    <xdr:pic>
      <xdr:nvPicPr>
        <xdr:cNvPr descr="CNN Chile" id="0" name="image16.jp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914400" cy="75247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914400" cy="552450"/>
    <xdr:pic>
      <xdr:nvPicPr>
        <xdr:cNvPr descr="Partido Republicano" id="0" name="image18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914400" cy="952500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914400" cy="952500"/>
    <xdr:pic>
      <xdr:nvPicPr>
        <xdr:cNvPr descr="La Tercera" id="0" name="image11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914400" cy="752475"/>
    <xdr:pic>
      <xdr:nvPicPr>
        <xdr:cNvPr descr="El Líbero" id="0" name="image9.jp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476250" cy="495300"/>
    <xdr:pic>
      <xdr:nvPicPr>
        <xdr:cNvPr descr="La Discusión" id="0" name="image20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914400" cy="752475"/>
    <xdr:pic>
      <xdr:nvPicPr>
        <xdr:cNvPr descr="La Tercera" id="0" name="image11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914400" cy="952500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533400" cy="542925"/>
    <xdr:pic>
      <xdr:nvPicPr>
        <xdr:cNvPr descr="La Nación (Chile)" id="0" name="image21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04800" cy="314325"/>
    <xdr:sp>
      <xdr:nvSpPr>
        <xdr:cNvPr descr="La Tercera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14325"/>
    <xdr:sp>
      <xdr:nvSpPr>
        <xdr:cNvPr id="4" name="Shape 4">
          <a:hlinkClick r:id="rId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314325"/>
    <xdr:sp>
      <xdr:nvSpPr>
        <xdr:cNvPr id="103" name="Shape 103">
          <a:hlinkClick r:id="rId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14325"/>
    <xdr:sp>
      <xdr:nvSpPr>
        <xdr:cNvPr descr="La Tercera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27</xdr:row>
      <xdr:rowOff>0</xdr:rowOff>
    </xdr:from>
    <xdr:ext cx="304800" cy="314325"/>
    <xdr:sp>
      <xdr:nvSpPr>
        <xdr:cNvPr id="104" name="Shape 104">
          <a:hlinkClick r:id="rId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30</xdr:row>
      <xdr:rowOff>0</xdr:rowOff>
    </xdr:from>
    <xdr:ext cx="304800" cy="314325"/>
    <xdr:sp>
      <xdr:nvSpPr>
        <xdr:cNvPr id="105" name="Shape 105">
          <a:hlinkClick r:id="rId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</xdr:row>
      <xdr:rowOff>0</xdr:rowOff>
    </xdr:from>
    <xdr:ext cx="304800" cy="314325"/>
    <xdr:sp>
      <xdr:nvSpPr>
        <xdr:cNvPr id="9" name="Shape 9">
          <a:hlinkClick r:id="rId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</xdr:row>
      <xdr:rowOff>0</xdr:rowOff>
    </xdr:from>
    <xdr:ext cx="304800" cy="314325"/>
    <xdr:sp>
      <xdr:nvSpPr>
        <xdr:cNvPr id="10" name="Shape 10">
          <a:hlinkClick r:id="rId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</xdr:row>
      <xdr:rowOff>0</xdr:rowOff>
    </xdr:from>
    <xdr:ext cx="304800" cy="314325"/>
    <xdr:sp>
      <xdr:nvSpPr>
        <xdr:cNvPr id="106" name="Shape 106">
          <a:hlinkClick r:id="rId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</xdr:row>
      <xdr:rowOff>0</xdr:rowOff>
    </xdr:from>
    <xdr:ext cx="304800" cy="314325"/>
    <xdr:sp>
      <xdr:nvSpPr>
        <xdr:cNvPr id="16" name="Shape 16">
          <a:hlinkClick r:id="rId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65</xdr:row>
      <xdr:rowOff>0</xdr:rowOff>
    </xdr:from>
    <xdr:ext cx="304800" cy="314325"/>
    <xdr:sp>
      <xdr:nvSpPr>
        <xdr:cNvPr id="19" name="Shape 19">
          <a:hlinkClick r:id="rId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304800" cy="314325"/>
    <xdr:sp>
      <xdr:nvSpPr>
        <xdr:cNvPr id="25" name="Shape 25">
          <a:hlinkClick r:id="rId1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73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79</xdr:row>
      <xdr:rowOff>0</xdr:rowOff>
    </xdr:from>
    <xdr:ext cx="304800" cy="314325"/>
    <xdr:sp>
      <xdr:nvSpPr>
        <xdr:cNvPr id="13" name="Shape 13">
          <a:hlinkClick r:id="rId1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86</xdr:row>
      <xdr:rowOff>0</xdr:rowOff>
    </xdr:from>
    <xdr:ext cx="304800" cy="314325"/>
    <xdr:sp>
      <xdr:nvSpPr>
        <xdr:cNvPr id="28" name="Shape 28">
          <a:hlinkClick r:id="rId1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87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93</xdr:row>
      <xdr:rowOff>0</xdr:rowOff>
    </xdr:from>
    <xdr:ext cx="304800" cy="314325"/>
    <xdr:sp>
      <xdr:nvSpPr>
        <xdr:cNvPr id="26" name="Shape 26">
          <a:hlinkClick r:id="rId1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94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14325"/>
    <xdr:sp>
      <xdr:nvSpPr>
        <xdr:cNvPr id="22" name="Shape 22">
          <a:hlinkClick r:id="rId1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14325"/>
    <xdr:sp>
      <xdr:nvSpPr>
        <xdr:cNvPr id="32" name="Shape 32">
          <a:hlinkClick r:id="rId1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114</xdr:row>
      <xdr:rowOff>0</xdr:rowOff>
    </xdr:from>
    <xdr:ext cx="304800" cy="314325"/>
    <xdr:sp>
      <xdr:nvSpPr>
        <xdr:cNvPr id="107" name="Shape 107">
          <a:hlinkClick r:id="rId1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121</xdr:row>
      <xdr:rowOff>0</xdr:rowOff>
    </xdr:from>
    <xdr:ext cx="304800" cy="314325"/>
    <xdr:sp>
      <xdr:nvSpPr>
        <xdr:cNvPr id="108" name="Shape 108">
          <a:hlinkClick r:id="rId1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122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128</xdr:row>
      <xdr:rowOff>0</xdr:rowOff>
    </xdr:from>
    <xdr:ext cx="304800" cy="314325"/>
    <xdr:sp>
      <xdr:nvSpPr>
        <xdr:cNvPr id="109" name="Shape 109">
          <a:hlinkClick r:id="rId1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129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135</xdr:row>
      <xdr:rowOff>0</xdr:rowOff>
    </xdr:from>
    <xdr:ext cx="304800" cy="314325"/>
    <xdr:sp>
      <xdr:nvSpPr>
        <xdr:cNvPr id="110" name="Shape 110">
          <a:hlinkClick r:id="rId1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136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142</xdr:row>
      <xdr:rowOff>0</xdr:rowOff>
    </xdr:from>
    <xdr:ext cx="304800" cy="314325"/>
    <xdr:sp>
      <xdr:nvSpPr>
        <xdr:cNvPr id="111" name="Shape 111">
          <a:hlinkClick r:id="rId2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143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149</xdr:row>
      <xdr:rowOff>0</xdr:rowOff>
    </xdr:from>
    <xdr:ext cx="304800" cy="314325"/>
    <xdr:sp>
      <xdr:nvSpPr>
        <xdr:cNvPr id="112" name="Shape 112">
          <a:hlinkClick r:id="rId2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150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04800" cy="314325"/>
    <xdr:sp>
      <xdr:nvSpPr>
        <xdr:cNvPr id="113" name="Shape 113">
          <a:hlinkClick r:id="rId2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157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163</xdr:row>
      <xdr:rowOff>0</xdr:rowOff>
    </xdr:from>
    <xdr:ext cx="304800" cy="314325"/>
    <xdr:sp>
      <xdr:nvSpPr>
        <xdr:cNvPr id="114" name="Shape 114">
          <a:hlinkClick r:id="rId2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164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170</xdr:row>
      <xdr:rowOff>0</xdr:rowOff>
    </xdr:from>
    <xdr:ext cx="304800" cy="314325"/>
    <xdr:sp>
      <xdr:nvSpPr>
        <xdr:cNvPr id="115" name="Shape 115">
          <a:hlinkClick r:id="rId2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177</xdr:row>
      <xdr:rowOff>0</xdr:rowOff>
    </xdr:from>
    <xdr:ext cx="304800" cy="314325"/>
    <xdr:sp>
      <xdr:nvSpPr>
        <xdr:cNvPr id="116" name="Shape 116">
          <a:hlinkClick r:id="rId2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178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184</xdr:row>
      <xdr:rowOff>0</xdr:rowOff>
    </xdr:from>
    <xdr:ext cx="304800" cy="314325"/>
    <xdr:sp>
      <xdr:nvSpPr>
        <xdr:cNvPr id="117" name="Shape 117">
          <a:hlinkClick r:id="rId2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191</xdr:row>
      <xdr:rowOff>0</xdr:rowOff>
    </xdr:from>
    <xdr:ext cx="304800" cy="314325"/>
    <xdr:sp>
      <xdr:nvSpPr>
        <xdr:cNvPr id="118" name="Shape 118">
          <a:hlinkClick r:id="rId2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198</xdr:row>
      <xdr:rowOff>0</xdr:rowOff>
    </xdr:from>
    <xdr:ext cx="304800" cy="314325"/>
    <xdr:sp>
      <xdr:nvSpPr>
        <xdr:cNvPr id="119" name="Shape 119">
          <a:hlinkClick r:id="rId2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199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205</xdr:row>
      <xdr:rowOff>0</xdr:rowOff>
    </xdr:from>
    <xdr:ext cx="304800" cy="314325"/>
    <xdr:sp>
      <xdr:nvSpPr>
        <xdr:cNvPr id="120" name="Shape 120">
          <a:hlinkClick r:id="rId2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206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212</xdr:row>
      <xdr:rowOff>0</xdr:rowOff>
    </xdr:from>
    <xdr:ext cx="304800" cy="314325"/>
    <xdr:sp>
      <xdr:nvSpPr>
        <xdr:cNvPr id="121" name="Shape 121">
          <a:hlinkClick r:id="rId3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213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219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38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866775" cy="923925"/>
    <xdr:pic>
      <xdr:nvPicPr>
        <xdr:cNvPr descr="pauta" id="0" name="image5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866775" cy="923925"/>
    <xdr:pic>
      <xdr:nvPicPr>
        <xdr:cNvPr descr="pauta" id="0" name="image5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714375" cy="771525"/>
    <xdr:pic>
      <xdr:nvPicPr>
        <xdr:cNvPr descr="Noticias Universidad Andrés Bello" id="0" name="image7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866775" cy="923925"/>
    <xdr:pic>
      <xdr:nvPicPr>
        <xdr:cNvPr descr="AsiaNews" id="0" name="image23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152400" cy="152400"/>
    <xdr:pic>
      <xdr:nvPicPr>
        <xdr:cNvPr descr="Cooperativa.cl" id="0" name="image22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04800" cy="314325"/>
    <xdr:sp>
      <xdr:nvSpPr>
        <xdr:cNvPr descr="La Tercera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14325"/>
    <xdr:sp>
      <xdr:nvSpPr>
        <xdr:cNvPr id="4" name="Shape 4">
          <a:hlinkClick r:id="rId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314325"/>
    <xdr:sp>
      <xdr:nvSpPr>
        <xdr:cNvPr id="122" name="Shape 122">
          <a:hlinkClick r:id="rId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27</xdr:row>
      <xdr:rowOff>0</xdr:rowOff>
    </xdr:from>
    <xdr:ext cx="304800" cy="314325"/>
    <xdr:sp>
      <xdr:nvSpPr>
        <xdr:cNvPr id="123" name="Shape 123">
          <a:hlinkClick r:id="rId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30</xdr:row>
      <xdr:rowOff>0</xdr:rowOff>
    </xdr:from>
    <xdr:ext cx="304800" cy="314325"/>
    <xdr:sp>
      <xdr:nvSpPr>
        <xdr:cNvPr id="124" name="Shape 124">
          <a:hlinkClick r:id="rId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31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</xdr:row>
      <xdr:rowOff>0</xdr:rowOff>
    </xdr:from>
    <xdr:ext cx="304800" cy="314325"/>
    <xdr:sp>
      <xdr:nvSpPr>
        <xdr:cNvPr id="9" name="Shape 9">
          <a:hlinkClick r:id="rId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</xdr:row>
      <xdr:rowOff>0</xdr:rowOff>
    </xdr:from>
    <xdr:ext cx="304800" cy="314325"/>
    <xdr:sp>
      <xdr:nvSpPr>
        <xdr:cNvPr id="105" name="Shape 105">
          <a:hlinkClick r:id="rId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</xdr:row>
      <xdr:rowOff>0</xdr:rowOff>
    </xdr:from>
    <xdr:ext cx="304800" cy="314325"/>
    <xdr:sp>
      <xdr:nvSpPr>
        <xdr:cNvPr id="13" name="Shape 13">
          <a:hlinkClick r:id="rId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</xdr:row>
      <xdr:rowOff>0</xdr:rowOff>
    </xdr:from>
    <xdr:ext cx="304800" cy="314325"/>
    <xdr:sp>
      <xdr:nvSpPr>
        <xdr:cNvPr id="125" name="Shape 125">
          <a:hlinkClick r:id="rId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59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65</xdr:row>
      <xdr:rowOff>0</xdr:rowOff>
    </xdr:from>
    <xdr:ext cx="304800" cy="314325"/>
    <xdr:sp>
      <xdr:nvSpPr>
        <xdr:cNvPr id="11" name="Shape 11">
          <a:hlinkClick r:id="rId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66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304800" cy="314325"/>
    <xdr:sp>
      <xdr:nvSpPr>
        <xdr:cNvPr id="126" name="Shape 126">
          <a:hlinkClick r:id="rId1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79</xdr:row>
      <xdr:rowOff>0</xdr:rowOff>
    </xdr:from>
    <xdr:ext cx="304800" cy="314325"/>
    <xdr:sp>
      <xdr:nvSpPr>
        <xdr:cNvPr id="18" name="Shape 18">
          <a:hlinkClick r:id="rId1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80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86</xdr:row>
      <xdr:rowOff>0</xdr:rowOff>
    </xdr:from>
    <xdr:ext cx="304800" cy="314325"/>
    <xdr:sp>
      <xdr:nvSpPr>
        <xdr:cNvPr id="10" name="Shape 10">
          <a:hlinkClick r:id="rId1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87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93</xdr:row>
      <xdr:rowOff>0</xdr:rowOff>
    </xdr:from>
    <xdr:ext cx="304800" cy="314325"/>
    <xdr:sp>
      <xdr:nvSpPr>
        <xdr:cNvPr id="14" name="Shape 14">
          <a:hlinkClick r:id="rId1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94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100</xdr:row>
      <xdr:rowOff>0</xdr:rowOff>
    </xdr:from>
    <xdr:ext cx="304800" cy="314325"/>
    <xdr:sp>
      <xdr:nvSpPr>
        <xdr:cNvPr id="17" name="Shape 17">
          <a:hlinkClick r:id="rId1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101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107</xdr:row>
      <xdr:rowOff>0</xdr:rowOff>
    </xdr:from>
    <xdr:ext cx="304800" cy="314325"/>
    <xdr:sp>
      <xdr:nvSpPr>
        <xdr:cNvPr id="21" name="Shape 21">
          <a:hlinkClick r:id="rId1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108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114</xdr:row>
      <xdr:rowOff>0</xdr:rowOff>
    </xdr:from>
    <xdr:ext cx="304800" cy="314325"/>
    <xdr:sp>
      <xdr:nvSpPr>
        <xdr:cNvPr id="22" name="Shape 22">
          <a:hlinkClick r:id="rId1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121</xdr:row>
      <xdr:rowOff>0</xdr:rowOff>
    </xdr:from>
    <xdr:ext cx="304800" cy="314325"/>
    <xdr:sp>
      <xdr:nvSpPr>
        <xdr:cNvPr id="27" name="Shape 27">
          <a:hlinkClick r:id="rId1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128</xdr:row>
      <xdr:rowOff>0</xdr:rowOff>
    </xdr:from>
    <xdr:ext cx="304800" cy="314325"/>
    <xdr:sp>
      <xdr:nvSpPr>
        <xdr:cNvPr id="29" name="Shape 29">
          <a:hlinkClick r:id="rId1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135</xdr:row>
      <xdr:rowOff>0</xdr:rowOff>
    </xdr:from>
    <xdr:ext cx="304800" cy="314325"/>
    <xdr:sp>
      <xdr:nvSpPr>
        <xdr:cNvPr id="23" name="Shape 23">
          <a:hlinkClick r:id="rId1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142</xdr:row>
      <xdr:rowOff>0</xdr:rowOff>
    </xdr:from>
    <xdr:ext cx="304800" cy="314325"/>
    <xdr:sp>
      <xdr:nvSpPr>
        <xdr:cNvPr id="16" name="Shape 16">
          <a:hlinkClick r:id="rId2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149</xdr:row>
      <xdr:rowOff>0</xdr:rowOff>
    </xdr:from>
    <xdr:ext cx="304800" cy="314325"/>
    <xdr:sp>
      <xdr:nvSpPr>
        <xdr:cNvPr id="24" name="Shape 24">
          <a:hlinkClick r:id="rId2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04800" cy="314325"/>
    <xdr:sp>
      <xdr:nvSpPr>
        <xdr:cNvPr id="31" name="Shape 31">
          <a:hlinkClick r:id="rId2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163</xdr:row>
      <xdr:rowOff>0</xdr:rowOff>
    </xdr:from>
    <xdr:ext cx="304800" cy="314325"/>
    <xdr:sp>
      <xdr:nvSpPr>
        <xdr:cNvPr id="28" name="Shape 28">
          <a:hlinkClick r:id="rId2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164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170</xdr:row>
      <xdr:rowOff>0</xdr:rowOff>
    </xdr:from>
    <xdr:ext cx="304800" cy="314325"/>
    <xdr:sp>
      <xdr:nvSpPr>
        <xdr:cNvPr id="20" name="Shape 20">
          <a:hlinkClick r:id="rId2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171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177</xdr:row>
      <xdr:rowOff>0</xdr:rowOff>
    </xdr:from>
    <xdr:ext cx="304800" cy="314325"/>
    <xdr:sp>
      <xdr:nvSpPr>
        <xdr:cNvPr id="34" name="Shape 34">
          <a:hlinkClick r:id="rId2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184</xdr:row>
      <xdr:rowOff>0</xdr:rowOff>
    </xdr:from>
    <xdr:ext cx="304800" cy="314325"/>
    <xdr:sp>
      <xdr:nvSpPr>
        <xdr:cNvPr id="127" name="Shape 127">
          <a:hlinkClick r:id="rId2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185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191</xdr:row>
      <xdr:rowOff>0</xdr:rowOff>
    </xdr:from>
    <xdr:ext cx="304800" cy="314325"/>
    <xdr:sp>
      <xdr:nvSpPr>
        <xdr:cNvPr id="128" name="Shape 128">
          <a:hlinkClick r:id="rId2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198</xdr:row>
      <xdr:rowOff>0</xdr:rowOff>
    </xdr:from>
    <xdr:ext cx="304800" cy="314325"/>
    <xdr:sp>
      <xdr:nvSpPr>
        <xdr:cNvPr id="129" name="Shape 129">
          <a:hlinkClick r:id="rId2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205</xdr:row>
      <xdr:rowOff>0</xdr:rowOff>
    </xdr:from>
    <xdr:ext cx="304800" cy="314325"/>
    <xdr:sp>
      <xdr:nvSpPr>
        <xdr:cNvPr id="32" name="Shape 32">
          <a:hlinkClick r:id="rId2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212</xdr:row>
      <xdr:rowOff>0</xdr:rowOff>
    </xdr:from>
    <xdr:ext cx="304800" cy="314325"/>
    <xdr:sp>
      <xdr:nvSpPr>
        <xdr:cNvPr id="130" name="Shape 130">
          <a:hlinkClick r:id="rId3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219</xdr:row>
      <xdr:rowOff>0</xdr:rowOff>
    </xdr:from>
    <xdr:ext cx="304800" cy="314325"/>
    <xdr:sp>
      <xdr:nvSpPr>
        <xdr:cNvPr id="19" name="Shape 19">
          <a:hlinkClick r:id="rId3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226</xdr:row>
      <xdr:rowOff>0</xdr:rowOff>
    </xdr:from>
    <xdr:ext cx="304800" cy="314325"/>
    <xdr:sp>
      <xdr:nvSpPr>
        <xdr:cNvPr id="131" name="Shape 131">
          <a:hlinkClick r:id="rId3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227</xdr:row>
      <xdr:rowOff>0</xdr:rowOff>
    </xdr:from>
    <xdr:ext cx="304800" cy="314325"/>
    <xdr:sp>
      <xdr:nvSpPr>
        <xdr:cNvPr descr="La Tercera" id="7" name="Shape 7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233</xdr:row>
      <xdr:rowOff>0</xdr:rowOff>
    </xdr:from>
    <xdr:ext cx="304800" cy="314325"/>
    <xdr:sp>
      <xdr:nvSpPr>
        <xdr:cNvPr id="26" name="Shape 26">
          <a:hlinkClick r:id="rId3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240</xdr:row>
      <xdr:rowOff>0</xdr:rowOff>
    </xdr:from>
    <xdr:ext cx="304800" cy="314325"/>
    <xdr:sp>
      <xdr:nvSpPr>
        <xdr:cNvPr id="47" name="Shape 47">
          <a:hlinkClick r:id="rId3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247</xdr:row>
      <xdr:rowOff>0</xdr:rowOff>
    </xdr:from>
    <xdr:ext cx="304800" cy="314325"/>
    <xdr:sp>
      <xdr:nvSpPr>
        <xdr:cNvPr id="132" name="Shape 132">
          <a:hlinkClick r:id="rId3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248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254</xdr:row>
      <xdr:rowOff>0</xdr:rowOff>
    </xdr:from>
    <xdr:ext cx="304800" cy="314325"/>
    <xdr:sp>
      <xdr:nvSpPr>
        <xdr:cNvPr id="42" name="Shape 42">
          <a:hlinkClick r:id="rId3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267</xdr:row>
      <xdr:rowOff>0</xdr:rowOff>
    </xdr:from>
    <xdr:ext cx="304800" cy="314325"/>
    <xdr:sp>
      <xdr:nvSpPr>
        <xdr:cNvPr id="133" name="Shape 133">
          <a:hlinkClick r:id="rId3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274</xdr:row>
      <xdr:rowOff>0</xdr:rowOff>
    </xdr:from>
    <xdr:ext cx="304800" cy="314325"/>
    <xdr:sp>
      <xdr:nvSpPr>
        <xdr:cNvPr id="134" name="Shape 134">
          <a:hlinkClick r:id="rId3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281</xdr:row>
      <xdr:rowOff>0</xdr:rowOff>
    </xdr:from>
    <xdr:ext cx="304800" cy="314325"/>
    <xdr:sp>
      <xdr:nvSpPr>
        <xdr:cNvPr id="49" name="Shape 49">
          <a:hlinkClick r:id="rId3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288</xdr:row>
      <xdr:rowOff>0</xdr:rowOff>
    </xdr:from>
    <xdr:ext cx="304800" cy="314325"/>
    <xdr:sp>
      <xdr:nvSpPr>
        <xdr:cNvPr id="39" name="Shape 39">
          <a:hlinkClick r:id="rId4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295</xdr:row>
      <xdr:rowOff>0</xdr:rowOff>
    </xdr:from>
    <xdr:ext cx="304800" cy="314325"/>
    <xdr:sp>
      <xdr:nvSpPr>
        <xdr:cNvPr id="45" name="Shape 45">
          <a:hlinkClick r:id="rId4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296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302</xdr:row>
      <xdr:rowOff>0</xdr:rowOff>
    </xdr:from>
    <xdr:ext cx="304800" cy="314325"/>
    <xdr:sp>
      <xdr:nvSpPr>
        <xdr:cNvPr id="135" name="Shape 135">
          <a:hlinkClick r:id="rId4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309</xdr:row>
      <xdr:rowOff>0</xdr:rowOff>
    </xdr:from>
    <xdr:ext cx="304800" cy="314325"/>
    <xdr:sp>
      <xdr:nvSpPr>
        <xdr:cNvPr id="48" name="Shape 48">
          <a:hlinkClick r:id="rId4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316</xdr:row>
      <xdr:rowOff>0</xdr:rowOff>
    </xdr:from>
    <xdr:ext cx="304800" cy="314325"/>
    <xdr:sp>
      <xdr:nvSpPr>
        <xdr:cNvPr id="136" name="Shape 136">
          <a:hlinkClick r:id="rId4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323</xdr:row>
      <xdr:rowOff>0</xdr:rowOff>
    </xdr:from>
    <xdr:ext cx="304800" cy="314325"/>
    <xdr:sp>
      <xdr:nvSpPr>
        <xdr:cNvPr id="56" name="Shape 56">
          <a:hlinkClick r:id="rId4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324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330</xdr:row>
      <xdr:rowOff>0</xdr:rowOff>
    </xdr:from>
    <xdr:ext cx="304800" cy="314325"/>
    <xdr:sp>
      <xdr:nvSpPr>
        <xdr:cNvPr id="54" name="Shape 54">
          <a:hlinkClick r:id="rId4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331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337</xdr:row>
      <xdr:rowOff>0</xdr:rowOff>
    </xdr:from>
    <xdr:ext cx="304800" cy="314325"/>
    <xdr:sp>
      <xdr:nvSpPr>
        <xdr:cNvPr id="53" name="Shape 53">
          <a:hlinkClick r:id="rId4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344</xdr:row>
      <xdr:rowOff>0</xdr:rowOff>
    </xdr:from>
    <xdr:ext cx="304800" cy="314325"/>
    <xdr:sp>
      <xdr:nvSpPr>
        <xdr:cNvPr id="51" name="Shape 51">
          <a:hlinkClick r:id="rId4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351</xdr:row>
      <xdr:rowOff>0</xdr:rowOff>
    </xdr:from>
    <xdr:ext cx="304800" cy="314325"/>
    <xdr:sp>
      <xdr:nvSpPr>
        <xdr:cNvPr id="137" name="Shape 137">
          <a:hlinkClick r:id="rId4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358</xdr:row>
      <xdr:rowOff>0</xdr:rowOff>
    </xdr:from>
    <xdr:ext cx="304800" cy="314325"/>
    <xdr:sp>
      <xdr:nvSpPr>
        <xdr:cNvPr id="52" name="Shape 52">
          <a:hlinkClick r:id="rId5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365</xdr:row>
      <xdr:rowOff>0</xdr:rowOff>
    </xdr:from>
    <xdr:ext cx="304800" cy="314325"/>
    <xdr:sp>
      <xdr:nvSpPr>
        <xdr:cNvPr id="50" name="Shape 50">
          <a:hlinkClick r:id="rId5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372</xdr:row>
      <xdr:rowOff>0</xdr:rowOff>
    </xdr:from>
    <xdr:ext cx="304800" cy="314325"/>
    <xdr:sp>
      <xdr:nvSpPr>
        <xdr:cNvPr id="65" name="Shape 65">
          <a:hlinkClick r:id="rId5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379</xdr:row>
      <xdr:rowOff>0</xdr:rowOff>
    </xdr:from>
    <xdr:ext cx="304800" cy="314325"/>
    <xdr:sp>
      <xdr:nvSpPr>
        <xdr:cNvPr id="60" name="Shape 60">
          <a:hlinkClick r:id="rId5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386</xdr:row>
      <xdr:rowOff>0</xdr:rowOff>
    </xdr:from>
    <xdr:ext cx="304800" cy="314325"/>
    <xdr:sp>
      <xdr:nvSpPr>
        <xdr:cNvPr id="61" name="Shape 61">
          <a:hlinkClick r:id="rId5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393</xdr:row>
      <xdr:rowOff>0</xdr:rowOff>
    </xdr:from>
    <xdr:ext cx="304800" cy="314325"/>
    <xdr:sp>
      <xdr:nvSpPr>
        <xdr:cNvPr id="58" name="Shape 58">
          <a:hlinkClick r:id="rId5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394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400</xdr:row>
      <xdr:rowOff>0</xdr:rowOff>
    </xdr:from>
    <xdr:ext cx="304800" cy="314325"/>
    <xdr:sp>
      <xdr:nvSpPr>
        <xdr:cNvPr id="62" name="Shape 62">
          <a:hlinkClick r:id="rId5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407</xdr:row>
      <xdr:rowOff>0</xdr:rowOff>
    </xdr:from>
    <xdr:ext cx="304800" cy="314325"/>
    <xdr:sp>
      <xdr:nvSpPr>
        <xdr:cNvPr id="57" name="Shape 57">
          <a:hlinkClick r:id="rId5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420</xdr:row>
      <xdr:rowOff>0</xdr:rowOff>
    </xdr:from>
    <xdr:ext cx="304800" cy="314325"/>
    <xdr:sp>
      <xdr:nvSpPr>
        <xdr:cNvPr id="55" name="Shape 55">
          <a:hlinkClick r:id="rId5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421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427</xdr:row>
      <xdr:rowOff>0</xdr:rowOff>
    </xdr:from>
    <xdr:ext cx="304800" cy="314325"/>
    <xdr:sp>
      <xdr:nvSpPr>
        <xdr:cNvPr id="66" name="Shape 66">
          <a:hlinkClick r:id="rId5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428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434</xdr:row>
      <xdr:rowOff>0</xdr:rowOff>
    </xdr:from>
    <xdr:ext cx="304800" cy="314325"/>
    <xdr:sp>
      <xdr:nvSpPr>
        <xdr:cNvPr id="69" name="Shape 69">
          <a:hlinkClick r:id="rId6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435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441</xdr:row>
      <xdr:rowOff>0</xdr:rowOff>
    </xdr:from>
    <xdr:ext cx="304800" cy="314325"/>
    <xdr:sp>
      <xdr:nvSpPr>
        <xdr:cNvPr id="138" name="Shape 138">
          <a:hlinkClick r:id="rId6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442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448</xdr:row>
      <xdr:rowOff>0</xdr:rowOff>
    </xdr:from>
    <xdr:ext cx="304800" cy="314325"/>
    <xdr:sp>
      <xdr:nvSpPr>
        <xdr:cNvPr id="67" name="Shape 67">
          <a:hlinkClick r:id="rId6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449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455</xdr:row>
      <xdr:rowOff>0</xdr:rowOff>
    </xdr:from>
    <xdr:ext cx="304800" cy="314325"/>
    <xdr:sp>
      <xdr:nvSpPr>
        <xdr:cNvPr id="64" name="Shape 64">
          <a:hlinkClick r:id="rId6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462</xdr:row>
      <xdr:rowOff>0</xdr:rowOff>
    </xdr:from>
    <xdr:ext cx="304800" cy="314325"/>
    <xdr:sp>
      <xdr:nvSpPr>
        <xdr:cNvPr id="68" name="Shape 68">
          <a:hlinkClick r:id="rId6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469</xdr:row>
      <xdr:rowOff>0</xdr:rowOff>
    </xdr:from>
    <xdr:ext cx="304800" cy="314325"/>
    <xdr:sp>
      <xdr:nvSpPr>
        <xdr:cNvPr id="74" name="Shape 74">
          <a:hlinkClick r:id="rId6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476</xdr:row>
      <xdr:rowOff>0</xdr:rowOff>
    </xdr:from>
    <xdr:ext cx="304800" cy="314325"/>
    <xdr:sp>
      <xdr:nvSpPr>
        <xdr:cNvPr id="59" name="Shape 59">
          <a:hlinkClick r:id="rId6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483</xdr:row>
      <xdr:rowOff>0</xdr:rowOff>
    </xdr:from>
    <xdr:ext cx="304800" cy="314325"/>
    <xdr:sp>
      <xdr:nvSpPr>
        <xdr:cNvPr id="63" name="Shape 63">
          <a:hlinkClick r:id="rId6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484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490</xdr:row>
      <xdr:rowOff>0</xdr:rowOff>
    </xdr:from>
    <xdr:ext cx="304800" cy="314325"/>
    <xdr:sp>
      <xdr:nvSpPr>
        <xdr:cNvPr id="84" name="Shape 84">
          <a:hlinkClick r:id="rId6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497</xdr:row>
      <xdr:rowOff>0</xdr:rowOff>
    </xdr:from>
    <xdr:ext cx="304800" cy="314325"/>
    <xdr:sp>
      <xdr:nvSpPr>
        <xdr:cNvPr id="80" name="Shape 80">
          <a:hlinkClick r:id="rId6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498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504</xdr:row>
      <xdr:rowOff>0</xdr:rowOff>
    </xdr:from>
    <xdr:ext cx="304800" cy="314325"/>
    <xdr:sp>
      <xdr:nvSpPr>
        <xdr:cNvPr id="71" name="Shape 71">
          <a:hlinkClick r:id="rId7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511</xdr:row>
      <xdr:rowOff>0</xdr:rowOff>
    </xdr:from>
    <xdr:ext cx="304800" cy="314325"/>
    <xdr:sp>
      <xdr:nvSpPr>
        <xdr:cNvPr id="75" name="Shape 75">
          <a:hlinkClick r:id="rId7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512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518</xdr:row>
      <xdr:rowOff>0</xdr:rowOff>
    </xdr:from>
    <xdr:ext cx="304800" cy="314325"/>
    <xdr:sp>
      <xdr:nvSpPr>
        <xdr:cNvPr id="77" name="Shape 77">
          <a:hlinkClick r:id="rId7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525</xdr:row>
      <xdr:rowOff>0</xdr:rowOff>
    </xdr:from>
    <xdr:ext cx="304800" cy="314325"/>
    <xdr:sp>
      <xdr:nvSpPr>
        <xdr:cNvPr id="88" name="Shape 88">
          <a:hlinkClick r:id="rId7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526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532</xdr:row>
      <xdr:rowOff>0</xdr:rowOff>
    </xdr:from>
    <xdr:ext cx="304800" cy="314325"/>
    <xdr:sp>
      <xdr:nvSpPr>
        <xdr:cNvPr id="81" name="Shape 81">
          <a:hlinkClick r:id="rId7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533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539</xdr:row>
      <xdr:rowOff>0</xdr:rowOff>
    </xdr:from>
    <xdr:ext cx="304800" cy="314325"/>
    <xdr:sp>
      <xdr:nvSpPr>
        <xdr:cNvPr id="90" name="Shape 90">
          <a:hlinkClick r:id="rId7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540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546</xdr:row>
      <xdr:rowOff>0</xdr:rowOff>
    </xdr:from>
    <xdr:ext cx="304800" cy="314325"/>
    <xdr:sp>
      <xdr:nvSpPr>
        <xdr:cNvPr id="94" name="Shape 94">
          <a:hlinkClick r:id="rId7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553</xdr:row>
      <xdr:rowOff>0</xdr:rowOff>
    </xdr:from>
    <xdr:ext cx="304800" cy="314325"/>
    <xdr:sp>
      <xdr:nvSpPr>
        <xdr:cNvPr id="93" name="Shape 93">
          <a:hlinkClick r:id="rId7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554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560</xdr:row>
      <xdr:rowOff>0</xdr:rowOff>
    </xdr:from>
    <xdr:ext cx="304800" cy="314325"/>
    <xdr:sp>
      <xdr:nvSpPr>
        <xdr:cNvPr id="98" name="Shape 98">
          <a:hlinkClick r:id="rId7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561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567</xdr:row>
      <xdr:rowOff>0</xdr:rowOff>
    </xdr:from>
    <xdr:ext cx="304800" cy="314325"/>
    <xdr:sp>
      <xdr:nvSpPr>
        <xdr:cNvPr id="139" name="Shape 139">
          <a:hlinkClick r:id="rId7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568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574</xdr:row>
      <xdr:rowOff>0</xdr:rowOff>
    </xdr:from>
    <xdr:ext cx="304800" cy="314325"/>
    <xdr:sp>
      <xdr:nvSpPr>
        <xdr:cNvPr id="140" name="Shape 140">
          <a:hlinkClick r:id="rId8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581</xdr:row>
      <xdr:rowOff>0</xdr:rowOff>
    </xdr:from>
    <xdr:ext cx="304800" cy="314325"/>
    <xdr:sp>
      <xdr:nvSpPr>
        <xdr:cNvPr id="141" name="Shape 141">
          <a:hlinkClick r:id="rId8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588</xdr:row>
      <xdr:rowOff>0</xdr:rowOff>
    </xdr:from>
    <xdr:ext cx="304800" cy="314325"/>
    <xdr:sp>
      <xdr:nvSpPr>
        <xdr:cNvPr id="78" name="Shape 78">
          <a:hlinkClick r:id="rId8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589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595</xdr:row>
      <xdr:rowOff>0</xdr:rowOff>
    </xdr:from>
    <xdr:ext cx="304800" cy="314325"/>
    <xdr:sp>
      <xdr:nvSpPr>
        <xdr:cNvPr id="142" name="Shape 142">
          <a:hlinkClick r:id="rId8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596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602</xdr:row>
      <xdr:rowOff>0</xdr:rowOff>
    </xdr:from>
    <xdr:ext cx="304800" cy="314325"/>
    <xdr:sp>
      <xdr:nvSpPr>
        <xdr:cNvPr id="143" name="Shape 143">
          <a:hlinkClick r:id="rId8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603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609</xdr:row>
      <xdr:rowOff>0</xdr:rowOff>
    </xdr:from>
    <xdr:ext cx="304800" cy="314325"/>
    <xdr:sp>
      <xdr:nvSpPr>
        <xdr:cNvPr id="87" name="Shape 87">
          <a:hlinkClick r:id="rId8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616</xdr:row>
      <xdr:rowOff>0</xdr:rowOff>
    </xdr:from>
    <xdr:ext cx="304800" cy="314325"/>
    <xdr:sp>
      <xdr:nvSpPr>
        <xdr:cNvPr id="83" name="Shape 83">
          <a:hlinkClick r:id="rId8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617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623</xdr:row>
      <xdr:rowOff>0</xdr:rowOff>
    </xdr:from>
    <xdr:ext cx="304800" cy="314325"/>
    <xdr:sp>
      <xdr:nvSpPr>
        <xdr:cNvPr id="144" name="Shape 144">
          <a:hlinkClick r:id="rId8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624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630</xdr:row>
      <xdr:rowOff>0</xdr:rowOff>
    </xdr:from>
    <xdr:ext cx="304800" cy="314325"/>
    <xdr:sp>
      <xdr:nvSpPr>
        <xdr:cNvPr id="99" name="Shape 99">
          <a:hlinkClick r:id="rId88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631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637</xdr:row>
      <xdr:rowOff>0</xdr:rowOff>
    </xdr:from>
    <xdr:ext cx="304800" cy="314325"/>
    <xdr:sp>
      <xdr:nvSpPr>
        <xdr:cNvPr id="92" name="Shape 92">
          <a:hlinkClick r:id="rId89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638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644</xdr:row>
      <xdr:rowOff>0</xdr:rowOff>
    </xdr:from>
    <xdr:ext cx="304800" cy="314325"/>
    <xdr:sp>
      <xdr:nvSpPr>
        <xdr:cNvPr id="101" name="Shape 101">
          <a:hlinkClick r:id="rId90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645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651</xdr:row>
      <xdr:rowOff>0</xdr:rowOff>
    </xdr:from>
    <xdr:ext cx="304800" cy="314325"/>
    <xdr:sp>
      <xdr:nvSpPr>
        <xdr:cNvPr id="91" name="Shape 91">
          <a:hlinkClick r:id="rId91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652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658</xdr:row>
      <xdr:rowOff>0</xdr:rowOff>
    </xdr:from>
    <xdr:ext cx="304800" cy="314325"/>
    <xdr:sp>
      <xdr:nvSpPr>
        <xdr:cNvPr id="145" name="Shape 145">
          <a:hlinkClick r:id="rId92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665</xdr:row>
      <xdr:rowOff>0</xdr:rowOff>
    </xdr:from>
    <xdr:ext cx="304800" cy="314325"/>
    <xdr:sp>
      <xdr:nvSpPr>
        <xdr:cNvPr id="146" name="Shape 146">
          <a:hlinkClick r:id="rId93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672</xdr:row>
      <xdr:rowOff>0</xdr:rowOff>
    </xdr:from>
    <xdr:ext cx="304800" cy="314325"/>
    <xdr:sp>
      <xdr:nvSpPr>
        <xdr:cNvPr id="82" name="Shape 82">
          <a:hlinkClick r:id="rId94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673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679</xdr:row>
      <xdr:rowOff>0</xdr:rowOff>
    </xdr:from>
    <xdr:ext cx="304800" cy="314325"/>
    <xdr:sp>
      <xdr:nvSpPr>
        <xdr:cNvPr id="76" name="Shape 76">
          <a:hlinkClick r:id="rId95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686</xdr:row>
      <xdr:rowOff>0</xdr:rowOff>
    </xdr:from>
    <xdr:ext cx="304800" cy="314325"/>
    <xdr:sp>
      <xdr:nvSpPr>
        <xdr:cNvPr id="147" name="Shape 147">
          <a:hlinkClick r:id="rId96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693</xdr:row>
      <xdr:rowOff>0</xdr:rowOff>
    </xdr:from>
    <xdr:ext cx="304800" cy="314325"/>
    <xdr:sp>
      <xdr:nvSpPr>
        <xdr:cNvPr id="148" name="Shape 148">
          <a:hlinkClick r:id="rId97"/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700</xdr:row>
      <xdr:rowOff>0</xdr:rowOff>
    </xdr:from>
    <xdr:ext cx="304800" cy="314325"/>
    <xdr:sp>
      <xdr:nvSpPr>
        <xdr:cNvPr descr="Heraldo.es" id="40" name="Shape 40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866775" cy="923925"/>
    <xdr:pic>
      <xdr:nvPicPr>
        <xdr:cNvPr descr="ADN Chile" id="0" name="image4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866775" cy="923925"/>
    <xdr:pic>
      <xdr:nvPicPr>
        <xdr:cNvPr descr="pauta" id="0" name="image5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866775" cy="923925"/>
    <xdr:pic>
      <xdr:nvPicPr>
        <xdr:cNvPr descr="Radio Concierto" id="0" name="image3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866775" cy="923925"/>
    <xdr:pic>
      <xdr:nvPicPr>
        <xdr:cNvPr descr="ADN Chile" id="0" name="image4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866775" cy="923925"/>
    <xdr:pic>
      <xdr:nvPicPr>
        <xdr:cNvPr descr="Ex-Ante" id="0" name="image19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866775" cy="923925"/>
    <xdr:pic>
      <xdr:nvPicPr>
        <xdr:cNvPr descr="ADN Chile" id="0" name="image4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866775" cy="923925"/>
    <xdr:pic>
      <xdr:nvPicPr>
        <xdr:cNvPr descr="El Líbero" id="0" name="image9.jp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714375" cy="733425"/>
    <xdr:pic>
      <xdr:nvPicPr>
        <xdr:cNvPr descr="24Horas.cl" id="0" name="image2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866775" cy="923925"/>
    <xdr:pic>
      <xdr:nvPicPr>
        <xdr:cNvPr descr="pauta" id="0" name="image5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866775" cy="923925"/>
    <xdr:pic>
      <xdr:nvPicPr>
        <xdr:cNvPr descr="ADN Chile" id="0" name="image4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866775" cy="923925"/>
    <xdr:pic>
      <xdr:nvPicPr>
        <xdr:cNvPr descr="pauta" id="0" name="image5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866775" cy="923925"/>
    <xdr:pic>
      <xdr:nvPicPr>
        <xdr:cNvPr descr="Radio Concierto" id="0" name="image3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514350" cy="523875"/>
    <xdr:pic>
      <xdr:nvPicPr>
        <xdr:cNvPr descr="El Pingüino" id="0" name="image1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04800" cy="314325"/>
    <xdr:pic>
      <xdr:nvPicPr>
        <xdr:cNvPr descr="El Desconcierto" id="0" name="image8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714375" cy="733425"/>
    <xdr:pic>
      <xdr:nvPicPr>
        <xdr:cNvPr descr="24Horas.cl" id="0" name="image2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04800" cy="314325"/>
    <xdr:pic>
      <xdr:nvPicPr>
        <xdr:cNvPr descr="El Desconcierto" id="0" name="image8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866775" cy="923925"/>
    <xdr:pic>
      <xdr:nvPicPr>
        <xdr:cNvPr descr="AdPrensa" id="0" name="image14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04800" cy="314325"/>
    <xdr:pic>
      <xdr:nvPicPr>
        <xdr:cNvPr descr="La Prensa Austral" id="0" name="image28.jp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866775" cy="923925"/>
    <xdr:pic>
      <xdr:nvPicPr>
        <xdr:cNvPr descr="G5noticias" id="0" name="image15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866775" cy="923925"/>
    <xdr:pic>
      <xdr:nvPicPr>
        <xdr:cNvPr descr="El Ciudadano" id="0" name="image13.jp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714375" cy="771525"/>
    <xdr:pic>
      <xdr:nvPicPr>
        <xdr:cNvPr descr="Noticias Universidad Andrés Bello" id="0" name="image7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866775" cy="923925"/>
    <xdr:pic>
      <xdr:nvPicPr>
        <xdr:cNvPr descr="BioBioChile" id="0" name="image10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866775" cy="923925"/>
    <xdr:pic>
      <xdr:nvPicPr>
        <xdr:cNvPr descr="AdPrensa" id="0" name="image14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866775" cy="923925"/>
    <xdr:pic>
      <xdr:nvPicPr>
        <xdr:cNvPr descr="CNN Chile" id="0" name="image16.jp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866775" cy="923925"/>
    <xdr:pic>
      <xdr:nvPicPr>
        <xdr:cNvPr descr="Revista De Frente" id="0" name="image12.pn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866775" cy="923925"/>
    <xdr:pic>
      <xdr:nvPicPr>
        <xdr:cNvPr descr="La Tercera" id="0" name="image11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714375" cy="733425"/>
    <xdr:pic>
      <xdr:nvPicPr>
        <xdr:cNvPr descr="24Horas.cl" id="0" name="image2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866775" cy="923925"/>
    <xdr:pic>
      <xdr:nvPicPr>
        <xdr:cNvPr descr="Partido Republicano" id="0" name="image18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866775" cy="923925"/>
    <xdr:pic>
      <xdr:nvPicPr>
        <xdr:cNvPr descr="La Tercera" id="0" name="image11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866775" cy="923925"/>
    <xdr:pic>
      <xdr:nvPicPr>
        <xdr:cNvPr descr="Radio Futuro" id="0" name="image26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476250" cy="485775"/>
    <xdr:pic>
      <xdr:nvPicPr>
        <xdr:cNvPr descr="La Discusión" id="0" name="image20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866775" cy="923925"/>
    <xdr:pic>
      <xdr:nvPicPr>
        <xdr:cNvPr descr="Pousta" id="0" name="image27.png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866775" cy="923925"/>
    <xdr:pic>
      <xdr:nvPicPr>
        <xdr:cNvPr descr="El Observador" id="0" name="image25.png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152400" cy="152400"/>
    <xdr:pic>
      <xdr:nvPicPr>
        <xdr:cNvPr descr="Chilevision" id="0" name="image24.png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866775" cy="923925"/>
    <xdr:pic>
      <xdr:nvPicPr>
        <xdr:cNvPr descr="El Mostrador" id="0" name="image6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t13.cl/noticia/nacional/hackeo-emco-consejo-transparencia-10-dias-habiles-entregar-antecedentes-28-09-2022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google.com/publications/CAAqBwgKMNvdlgswnoSuAw?hl=es-419&amp;gl=CL&amp;ceid=CL%3Aes-419" TargetMode="External"/><Relationship Id="rId42" Type="http://schemas.openxmlformats.org/officeDocument/2006/relationships/hyperlink" Target="https://news.google.com/articles/CBMif2h0dHBzOi8vd3d3LmFkbnJhZGlvLmNsL25hY2lvbmFsLzIwMjIvMDkvMTYvY29ydGUtc3VwcmVtYS1kZWNsYXJhLWFkbWlzaWJsZS1yZWN1cnNvLWNvbnRyYS10ZXN0LWRlLWRyb2dhcy1hLXBhcmxhbWVudGFyaW9zLmh0bWzSAYUBaHR0cHM6Ly93d3cuYWRucmFkaW8uY2wvbmFjaW9uYWwvMjAyMi8wOS8xNi9jb3J0ZS1zdXByZW1hLWRlY2xhcmEtYWRtaXNpYmxlLXJlY3Vyc28tY29udHJhLXRlc3QtZGUtZHJvZ2FzLWEtcGFybGFtZW50YXJpb3MuaHRtbD9hbXA9MQ?hl=es-419&amp;gl=CL&amp;ceid=CL%3Aes-419" TargetMode="External"/><Relationship Id="rId41" Type="http://schemas.openxmlformats.org/officeDocument/2006/relationships/hyperlink" Target="https://news.google.com/articles/CAIiEGg7ssmAU7h1BbQYxqGvoy8qGQgEKhAIACoHCAow292WCzCehK4DMJD3ywY?uo=CAUihwFodHRwczovL3d3dy5sYXRlcmNlcmEuY29tL2Vhcmx5YWNjZXNzL25vdGljaWEvZWwtdHJhbmNlLWluY29tb2RvLWRlbC1mcmVudGUtYW1wbGlvLWZyZW50ZS1hbC10ZXN0LWRlLWRyb2dhcy9IWEQ1VFpXQ1RKRzZYT1JUT0VRWVJDWUo2VS_SAQA&amp;hl=es-419&amp;gl=CL&amp;ceid=CL%3Aes-419" TargetMode="External"/><Relationship Id="rId44" Type="http://schemas.openxmlformats.org/officeDocument/2006/relationships/hyperlink" Target="https://news.google.com/articles/CBMijAFodHRwczovL3d3dy5hZG5yYWRpby5jbC9uYWNpb25hbC8yMDIyLzA2LzE2L3BhbWVsYS1qaWxlcy1wb3ItdGVzdC1kZS1kcm9nYXMtYS1wYXJsYW1lbnRhcmlvcy1ub3RvLXVuLXNvc3BlY2hvc28tbmVydmlvc2lzbW8tcXVlLW9jdWx0YW4uaHRtbNIBkgFodHRwczovL3d3dy5hZG5yYWRpby5jbC9uYWNpb25hbC8yMDIyLzA2LzE2L3BhbWVsYS1qaWxlcy1wb3ItdGVzdC1kZS1kcm9nYXMtYS1wYXJsYW1lbnRhcmlvcy1ub3RvLXVuLXNvc3BlY2hvc28tbmVydmlvc2lzbW8tcXVlLW9jdWx0YW4uaHRtbD9hbXA9MQ?hl=es-419&amp;gl=CL&amp;ceid=CL%3Aes-419" TargetMode="External"/><Relationship Id="rId43" Type="http://schemas.openxmlformats.org/officeDocument/2006/relationships/hyperlink" Target="https://news.google.com/articles/CBMilwFodHRwczovL20uZWxtb3N0cmFkb3IuY2wvZGlhLzIwMjIvMDkvMzAvaW5mb3JtZS1leHBvbmUtYWNjaW9uYXItZGUtbGEtdWx0cmFkZXJlY2hhLWVuLXR3aXR0ZXItcGFyYS1tYWduaWZpY2FyLXJlc3VsdGFkb3MtZGVsLXRlc3QtZGUtZHJvZ2EtYS1kaXB1dGFkb3Mv0gEA?hl=es-419&amp;gl=CL&amp;ceid=CL%3Aes-419" TargetMode="External"/><Relationship Id="rId46" Type="http://schemas.openxmlformats.org/officeDocument/2006/relationships/hyperlink" Target="https://news.google.com/articles/CBMilwFodHRwczovL3d3dy5iaW9iaW9jaGlsZS5jbC9ub3RpY2lhcy9uYWNpb25hbC9jaGlsZS8yMDIyLzA4LzE3L2RpcHV0YWRhLXJpcXVlbG1lLXBpZW5zYS1uby1yZWFsaXphcnNlLXRlc3QtZGUtZHJvZ2FzLWFjdXNhLXZ1bG5lcmFjaW9uLWRlLWRlcmVjaG9zLnNodG1s0gGbAWh0dHBzOi8vd3d3LmJpb2Jpb2NoaWxlLmNsL25vdGljaWFzL25hY2lvbmFsL2NoaWxlLzIwMjIvMDgvMTcvYW1wL2RpcHV0YWRhLXJpcXVlbG1lLXBpZW5zYS1uby1yZWFsaXphcnNlLXRlc3QtZGUtZHJvZ2FzLWFjdXNhLXZ1bG5lcmFjaW9uLWRlLWRlcmVjaG9zLnNodG1s?hl=es-419&amp;gl=CL&amp;ceid=CL%3Aes-419" TargetMode="External"/><Relationship Id="rId45" Type="http://schemas.openxmlformats.org/officeDocument/2006/relationships/hyperlink" Target="https://news.google.com/articles/CBMiVWh0dHBzOi8vd3d3LnBhdXRhLmNsL3BvbGl0aWNhL2NhbWlsYS1mbG9yZXMtcm4tdGVzdC1kZS1kcm9nYXMtZGlwdXRhZG9zLWNvbnN1bW8tZHJvZ2HSAQA?hl=es-419&amp;gl=CL&amp;ceid=CL%3Aes-419" TargetMode="External"/><Relationship Id="rId107" Type="http://schemas.openxmlformats.org/officeDocument/2006/relationships/hyperlink" Target="https://news.google.com/publications/CAAqBwgKMNvdlgswnoSuAw?hl=es-419&amp;gl=CL&amp;ceid=CL%3Aes-419" TargetMode="External"/><Relationship Id="rId106" Type="http://schemas.openxmlformats.org/officeDocument/2006/relationships/hyperlink" Target="https://news.google.com/articles/CAIiEKX5bCTI1orI8i_Mt8QRh28qGQgEKhAIACoHCAowwIGmCzCojL4DMMrejQc?uo=CAUikQFodHRwczovL3B1YmxpbWljcm8uY2wvb3JnYW5pemFjaW9uLW11bmRpYWwtZGUtbGEtc2FsdWQtbGUtYXNpZ25vLXVuLW51ZXZvLW5vbWJyZS1hLWxhLXZpcnVlbGEtZGVsLW1vbm8tcGFyYS1ldml0YXItYnVybGFzLXktY29tZW50YXJpb3MtcmFjaXN0YXMv0gEA&amp;hl=es-419&amp;gl=CL&amp;ceid=CL%3Aes-419" TargetMode="External"/><Relationship Id="rId105" Type="http://schemas.openxmlformats.org/officeDocument/2006/relationships/hyperlink" Target="https://news.google.com/articles/CBMiXmh0dHBzOi8vd3d3LmxhZGlzY3VzaW9uLmNsL2J1bG5lcy1lcXVpcG8tbXVuaWNpcGFsLXNlLXNvbWV0aW8tYS1leGFtZW4tZGUtZGV0ZWNjaW9uLWRlLWRyb2dhcy_SAQA?hl=es-419&amp;gl=CL&amp;ceid=CL%3Aes-419" TargetMode="External"/><Relationship Id="rId104" Type="http://schemas.openxmlformats.org/officeDocument/2006/relationships/hyperlink" Target="https://news.google.com/articles/CAIiEGQrh6n1vtYWzPtEEkuGOjEqGQgEKhAIACoHCAowwIGmCzCojL4DMMrejQc?uo=CAUiigFodHRwczovL3B1YmxpbWljcm8uY2wvYS11bi1hY3VlcmRvLXRvdGFsLWhhYnJpYW4tbGxlZ2Fkby1ncmVtaW8tZGUtY2FtaW9uZXJvcy15LWVsLWdvYmllcm5vLWNvbi1sby1jdWFsLXNlLXBvbmUtZmluLWFsLXBhcm8tZW4tdG9kby1jaGlsZS_SAQA&amp;hl=es-419&amp;gl=CL&amp;ceid=CL%3Aes-419" TargetMode="External"/><Relationship Id="rId109" Type="http://schemas.openxmlformats.org/officeDocument/2006/relationships/hyperlink" Target="https://news.google.com/articles/CAIiEF3Xm8lUsr0JRbnsictsy9EqGQgEKhAIACoHCAowwIGmCzCojL4DMMrejQc?uo=CAUilwFodHRwczovL3B1YmxpbWljcm8uY2wvY292aWQtMTktY2Fzb3MtY29uZmlybWFkb3MtZGlzbWludXllbi0xNi1lbi1sb3MtdWx0aW1vcy03LWRpYXMtZXN0ZS1kb21pbmdvLXNlLXJlcG9ydGFyb24tNC0wNzctbnVldm9zLWNvbnRhZ2lvcy15LTIwLWZhbGxlY2lkb3Mv0gEA&amp;hl=es-419&amp;gl=CL&amp;ceid=CL%3Aes-419" TargetMode="External"/><Relationship Id="rId108" Type="http://schemas.openxmlformats.org/officeDocument/2006/relationships/hyperlink" Target="https://news.google.com/articles/CAIiEKXYULsAdqxZqsV6iWhYHZwqGQgEKhAIACoHCAow292WCzCehK4DMJD3ywY?uo=CAUiWWh0dHBzOi8vd3d3LmxhdGVyY2VyYS5jb20vb3Bpbmlvbi9ub3RpY2lhL3NhbHVkby1hLWxhLWJhbmRlcmEvVkFVNk5ITVFJVkJQRklXR1g2U0lESlJLU00v0gEA&amp;hl=es-419&amp;gl=CL&amp;ceid=CL%3Aes-419" TargetMode="External"/><Relationship Id="rId48" Type="http://schemas.openxmlformats.org/officeDocument/2006/relationships/hyperlink" Target="https://news.google.com/articles/CBMikwFodHRwczovL3d3dy5lbGRlc2NvbmNpZXJ0by5jbC9yZXBvcnRhamVzLzIwMjIvMTAvMDkvdGVzdC1kZS1kcm9nYXMtYS1kaXB1dGFkb3MteS1jYW1iaW9zLWFsLXVzby1yZWNyZWFjaW9uYWwtZGUtbGEtbWFyaWh1YW5hLXByZW5kZW4tZWwtZGViYXRlLmh0bWzSAQA?hl=es-419&amp;gl=CL&amp;ceid=CL%3Aes-419" TargetMode="External"/><Relationship Id="rId47" Type="http://schemas.openxmlformats.org/officeDocument/2006/relationships/hyperlink" Target="https://news.google.com/articles/CBMiQmh0dHBzOi8vZWxsaWJlcm8uY2wvb3Bpbmlvbi9wdWJsaWNpZGFkLW5lY2VzYXJpYS1vLXNob3ctbWVkaWF0aWNvL9IBAA?hl=es-419&amp;gl=CL&amp;ceid=CL%3Aes-419" TargetMode="External"/><Relationship Id="rId49" Type="http://schemas.openxmlformats.org/officeDocument/2006/relationships/hyperlink" Target="https://news.google.com/articles/CBMikAFodHRwczovL3d3dy5lbGRlc2NvbmNpZXJ0by5jbC9uYWNpb25hbC8yMDIyLzA5LzI3L3Rlc3QtZGUtZHJvZ2FzLWVuLWVsLWNvbmdyZXNvLWNvcnRlLWRlLWFwZWxhY2lvbmVzLWRhLWdvbHBlLWEtcGFybGFtZW50YXJpYXMtb2ZpY2lhbGlzdGFzLmh0bWzSAQA?hl=es-419&amp;gl=CL&amp;ceid=CL%3Aes-419" TargetMode="External"/><Relationship Id="rId103" Type="http://schemas.openxmlformats.org/officeDocument/2006/relationships/hyperlink" Target="https://news.google.com/articles/CBMiqwFodHRwczovL2VsbGliZXJvLmNsL25ld3NsZXR0ZXIvbW9sbGVyLXBlcmV6LWNvdGFwb3MtcHJlc2VudGEtcHJlc2lkZW50ZS1kZS1sYS1jYW1hcmEtZGUtZGlwdXRhZG9zLXBvci1kaWNob3MtZGUtYm9yaWMtc2ktZ2FuYS1lbC1yZWNoYXpvLW5pbmd1bm8tcHVlZGUtaW1wb25lci1zdS1wb3NpY2lvbi_SAQA?hl=es-419&amp;gl=CL&amp;ceid=CL%3Aes-419" TargetMode="External"/><Relationship Id="rId102" Type="http://schemas.openxmlformats.org/officeDocument/2006/relationships/hyperlink" Target="https://news.google.com/articles/CBMibmh0dHBzOi8vd3d3LmxhdGVyY2VyYS5jb20vcG9saXRpY2Evbm90aWNpYS9sb3Mtb3Ryb3MtcG9saXRpY29zLXZpbmN1bGFkby1wYXJsYW1lbnRhcmlvcy1jb25zdW1vLWRyb2dhcy84NjA2MTIv0gF9aHR0cHM6Ly93d3cubGF0ZXJjZXJhLmNvbS9wb2xpdGljYS9ub3RpY2lhL2xvcy1vdHJvcy1wb2xpdGljb3MtdmluY3VsYWRvLXBhcmxhbWVudGFyaW9zLWNvbnN1bW8tZHJvZ2FzLzg2MDYxMi8_b3V0cHV0VHlwZT1hbXA?hl=es-419&amp;gl=CL&amp;ceid=CL%3Aes-419" TargetMode="External"/><Relationship Id="rId101" Type="http://schemas.openxmlformats.org/officeDocument/2006/relationships/hyperlink" Target="https://news.google.com/articles/CAIiEAf02_k-FWJHq2H64RUUBC4qMwgEKioIACIQVGcsbw39Ucci0s30uaM2FSoUCAoiEFRnLG8N_VHHItLN9LmjNhUwgpT2Bg?uo=CAUihwFodHRwczovL3d3dy5lbGRpbmFtby5jbC9wb2xpdGljYS9DYW1hcmEtZGVudW5jaWEtYW1lbmF6YXMtY29udHJhLWRpcHV0YWRvcy1wb3ItY29udGludWlkYWQtZGVsLXByb2Nlc28tY29uc3RpdHV5ZW50ZS0yMDIyMDkxMS0wMDAxLmh0bWzSAQA&amp;hl=es-419&amp;gl=CL&amp;ceid=CL%3Aes-419" TargetMode="External"/><Relationship Id="rId100" Type="http://schemas.openxmlformats.org/officeDocument/2006/relationships/hyperlink" Target="https://news.google.com/articles/CAIiEMvn30Xb3xux-Z3FxCvQrMwqGQgEKhAIACoHCAow292WCzCehK4DMJD3ywY?uo=CAUi1gFodHRwczovL3d3dy5sYXRlcmNlcmEuY29tL3BvbGl0aWNhL25vdGljaWEvY29tby1zb21vcy1tdWplcmVzLWhlbW9zLWFwcmVuZGlkby1hLWhhY2VyLXZhcmlhcy1jb3Nhcy1hLWxhLXZlei1sYS1yZXNwdWVzdGEtZGUtdG9oYS1hLWRpcHV0YWRvcy1xdWUtcmVjbGFtYXJvbi1uby1zZXItZXNjdWNoYWRvcy1lbi1sYS1jYW1hcmEvNDMzVEdCUk5HQkNVUkxNWDU3VkJISVk2V1kv0gEA&amp;hl=es-419&amp;gl=CL&amp;ceid=CL%3Aes-419" TargetMode="External"/><Relationship Id="rId31" Type="http://schemas.openxmlformats.org/officeDocument/2006/relationships/hyperlink" Target="https://news.google.com/articles/CAIiEL6jMnTKtngl3R8eWCU4e5gqGQgEKhAIACoHCAow292WCzCehK4DMJD3ywY?uo=CAUikQFodHRwczovL3d3dy5sYXRlcmNlcmEuY29tL2xhLXRlcmNlcmEtc2FiYWRvL25vdGljaWEvdGVzdC1kZS1kcm9nYXMtYS1wb2xpdGljb3MtdW4tdGVtYS1xdWUtY2F1c2EtcG9sZW1pY2EtZW4tZWwtbXVuZG8vUU9BM01SWEhXUkJSVkpZQlBSSEJLNEQzMk0v0gEA&amp;hl=es-419&amp;gl=CL&amp;ceid=CL%3Aes-419" TargetMode="External"/><Relationship Id="rId30" Type="http://schemas.openxmlformats.org/officeDocument/2006/relationships/hyperlink" Target="https://news.google.com/publications/CAAqBwgKMNvdlgswnoSuAw?hl=es-419&amp;gl=CL&amp;ceid=CL%3Aes-419" TargetMode="External"/><Relationship Id="rId33" Type="http://schemas.openxmlformats.org/officeDocument/2006/relationships/hyperlink" Target="https://news.google.com/articles/CBMidmh0dHBzOi8vd3d3LmV4LWFudGUuY2wvam9yZ2Utc2NoYXVsc29obi15LXRlc3QtZGUtZHJvZ2FzLWVzLXBhdGV0aWNvLXF1ZS1sb3MtcGFybGFtZW50YXJpb3Mtc2UtcHJlc3Rlbi1wYXJhLWVzdGUtc2hvdy_SAQA?hl=es-419&amp;gl=CL&amp;ceid=CL%3Aes-419" TargetMode="External"/><Relationship Id="rId32" Type="http://schemas.openxmlformats.org/officeDocument/2006/relationships/hyperlink" Target="https://news.google.com/articles/CBMipQFodHRwczovL3d3dy5iaW9iaW9jaGlsZS5jbC9ub3RpY2lhcy9uYWNpb25hbC9jaGlsZS8yMDIyLzA4LzMxL3Rlc3QtZGUtZHJvZ2FzLWNhbWFyYS1iYWphLWV4dGllbmRlLXBsYXpvLXBhcmEtcXVlLTc4LXBhcmxhbWVudGFyaW9zLXNvcnRlYWRvcy1zZS1yZWFsaWNlbi1leGFtZW4uc2h0bWzSAakBaHR0cHM6Ly93d3cuYmlvYmlvY2hpbGUuY2wvbm90aWNpYXMvbmFjaW9uYWwvY2hpbGUvMjAyMi8wOC8zMS9hbXAvdGVzdC1kZS1kcm9nYXMtY2FtYXJhLWJhamEtZXh0aWVuZGUtcGxhem8tcGFyYS1xdWUtNzgtcGFybGFtZW50YXJpb3Mtc29ydGVhZG9zLXNlLXJlYWxpY2VuLWV4YW1lbi5zaHRtbA?hl=es-419&amp;gl=CL&amp;ceid=CL%3Aes-419" TargetMode="External"/><Relationship Id="rId35" Type="http://schemas.openxmlformats.org/officeDocument/2006/relationships/hyperlink" Target="https://news.google.com/publications/CAAqBwgKMNvdlgswnoSuAw?hl=es-419&amp;gl=CL&amp;ceid=CL%3Aes-419" TargetMode="External"/><Relationship Id="rId34" Type="http://schemas.openxmlformats.org/officeDocument/2006/relationships/hyperlink" Target="https://news.google.com/articles/CBMiogFodHRwczovL3d3dy5iaW9iaW9jaGlsZS5jbC9ub3RpY2lhcy9uYWNpb25hbC9jaGlsZS8yMDIyLzA4LzIxL3Rlc3QtZGUtZHJvZ2FzLWVuLWNhbWFyYS1iYWphLWVsLWRlYmF0ZS1zb2JyZS1zaS1sYS1tZWRpZGEtaW52YWRlLWVsLWRlcmVjaG8tYS1sYS12aWRhLXByaXZhZGEuc2h0bWzSAaYBaHR0cHM6Ly93d3cuYmlvYmlvY2hpbGUuY2wvbm90aWNpYXMvbmFjaW9uYWwvY2hpbGUvMjAyMi8wOC8yMS9hbXAvdGVzdC1kZS1kcm9nYXMtZW4tY2FtYXJhLWJhamEtZWwtZGViYXRlLXNvYnJlLXNpLWxhLW1lZGlkYS1pbnZhZGUtZWwtZGVyZWNoby1hLWxhLXZpZGEtcHJpdmFkYS5zaHRtbA?hl=es-419&amp;gl=CL&amp;ceid=CL%3Aes-419" TargetMode="External"/><Relationship Id="rId37" Type="http://schemas.openxmlformats.org/officeDocument/2006/relationships/hyperlink" Target="https://news.google.com/publications/CAAqBwgKMNvdlgswnoSuAw?hl=es-419&amp;gl=CL&amp;ceid=CL%3Aes-419" TargetMode="External"/><Relationship Id="rId36" Type="http://schemas.openxmlformats.org/officeDocument/2006/relationships/hyperlink" Target="https://news.google.com/articles/CAIiELiqL-aQMceDR4BtBaKAtycqGQgEKhAIACoHCAow292WCzCehK4DMJD3ywY?uo=CAUivAFodHRwczovL3d3dy5sYXRlcmNlcmEuY29tL3BvbGl0aWNhL25vdGljaWEvdGVzdC1kZS1kcm9nYXMtZGlwdXRhZG9zLXF1ZS1uby1zZS1yZWFsaXphcm9uLWxhLXBydWViYS1lbnRyZWdhcm9uLXN1cy1kZXNjYXJnb3MtZW4tbGEtY29taXNpb24tZGUtZXRpY2EtZGUtbGEtY2FtYXJhL09GVkpFV1VUVU5IU0hOUENVTjRGQzMzTTVFL9IBAA&amp;hl=es-419&amp;gl=CL&amp;ceid=CL%3Aes-419" TargetMode="External"/><Relationship Id="rId39" Type="http://schemas.openxmlformats.org/officeDocument/2006/relationships/hyperlink" Target="https://news.google.com/articles/CBMidWh0dHBzOi8vd3d3LmNvbmNpZXJ0by5jbC8yMDIyLzA4L3Rlc3QtZGUtZHJvZ2FzLWEtcGFybGFtZW50YXJpb3MtY29tby1hZmVjdGEtZWwtY29uc3Vtby1kZS1zdXN0YW5jaWFzLWVuLWVsLWNvbmdyZXNvL9IBeWh0dHBzOi8vd3d3LmNvbmNpZXJ0by5jbC8yMDIyLzA4L3Rlc3QtZGUtZHJvZ2FzLWEtcGFybGFtZW50YXJpb3MtY29tby1hZmVjdGEtZWwtY29uc3Vtby1kZS1zdXN0YW5jaWFzLWVuLWVsLWNvbmdyZXNvL2FtcC8?hl=es-419&amp;gl=CL&amp;ceid=CL%3Aes-419" TargetMode="External"/><Relationship Id="rId38" Type="http://schemas.openxmlformats.org/officeDocument/2006/relationships/hyperlink" Target="https://news.google.com/articles/CAIiEGw26FCI2G4rH04p1uLkhbUqGQgEKhAIACoHCAow292WCzCehK4DMJD3ywY?uo=CAUivwFodHRwczovL3d3dy5sYXRlcmNlcmEuY29tL3BvbGl0aWNhL25vdGljaWEvY29taXNpb24tZGUtZXRpY2EtZGUtbGEtY2FtYXJhLW5vLWxsZWdhLWEtYWN1ZXJkby1lbi1sYXMtc2FuY2lvbmVzLXBhcmEtZGlwdXRhZG9zLXF1ZS1uby1zZS1yZWFsaXphcm9uLWVsLXRlc3QtZGUtZHJvZ2FzL05TWE9IWk9LNFZIVUJES1lJS1NWWFpSN0lBL9IBAA&amp;hl=es-419&amp;gl=CL&amp;ceid=CL%3Aes-419" TargetMode="External"/><Relationship Id="rId20" Type="http://schemas.openxmlformats.org/officeDocument/2006/relationships/hyperlink" Target="https://news.google.com/publications/CAAqBwgKMNvdlgswnoSuAw?hl=es-419&amp;gl=CL&amp;ceid=CL%3Aes-419" TargetMode="External"/><Relationship Id="rId22" Type="http://schemas.openxmlformats.org/officeDocument/2006/relationships/hyperlink" Target="https://news.google.com/articles/CBMikgFodHRwczovL3d3dy5iaW9iaW9jaGlsZS5jbC9ub3RpY2lhcy9uYWNpb25hbC9jaGlsZS8yMDIyLzA4LzI5L3Rlc3QtZGUtZHJvZ2FzLWRpcHV0YWRvcy1vZmljaWFsaXN0YXMtYWN1c2FuLW1hbmlvYnJhLXBvbGl0aWNhLWRlLWxhLW9wb3NpY2lvbi5zaHRtbNIBlgFodHRwczovL3d3dy5iaW9iaW9jaGlsZS5jbC9ub3RpY2lhcy9uYWNpb25hbC9jaGlsZS8yMDIyLzA4LzI5L2FtcC90ZXN0LWRlLWRyb2dhcy1kaXB1dGFkb3Mtb2ZpY2lhbGlzdGFzLWFjdXNhbi1tYW5pb2JyYS1wb2xpdGljYS1kZS1sYS1vcG9zaWNpb24uc2h0bWw?hl=es-419&amp;gl=CL&amp;ceid=CL%3Aes-419" TargetMode="External"/><Relationship Id="rId21" Type="http://schemas.openxmlformats.org/officeDocument/2006/relationships/hyperlink" Target="https://news.google.com/articles/CAIiEG_Rb4KCFYwJ9mbzEawDTv8qGQgEKhAIACoHCAow292WCzCehK4DMMmewAM?uo=CAUiiAFodHRwczovL3d3dy5sYXRlcmNlcmEuY29tL3BvbGl0aWNhL25vdGljaWEvY2FtYXJhLWRpc2N1dGUtaW5pY2lhdGl2YS1wYXJhLWFwbGljYXItdGVzdC1kZS1kcm9nYXMtYS1kaXB1dGFkb3MvNzdGN09JVUxQUkhUWklHWjZFNENHVldTRkEv0gEA&amp;hl=es-419&amp;gl=CL&amp;ceid=CL%3Aes-419" TargetMode="External"/><Relationship Id="rId24" Type="http://schemas.openxmlformats.org/officeDocument/2006/relationships/hyperlink" Target="https://news.google.com/articles/CAIiEM22uXh3M_rKFnNdP0d5o_wqGQgEKhAIACoHCAow292WCzCehK4DMJD3ywY?uo=CAUiowFodHRwczovL3d3dy5sYXRlcmNlcmEuY29tL2xhLXRlcmNlcmEtcG0vbm90aWNpYS9lbC10ZXN0LWRlLWRyb2dhcy15LWxhLW9mZW5zaXZhLWRlLWxhLXVkaS15LWppbGVzLXF1ZS1pbmNvbW9kYS1hLWxhLWNhbWFyYS1kZS1kaXB1dGFkb3MvT0tBUlVQNUdDRkhHREdRTURaTlFXQU5aUkUv0gEA&amp;hl=es-419&amp;gl=CL&amp;ceid=CL%3Aes-419" TargetMode="External"/><Relationship Id="rId23" Type="http://schemas.openxmlformats.org/officeDocument/2006/relationships/hyperlink" Target="https://news.google.com/publications/CAAqBwgKMNvdlgswnoSuAw?hl=es-419&amp;gl=CL&amp;ceid=CL%3Aes-419" TargetMode="External"/><Relationship Id="rId26" Type="http://schemas.openxmlformats.org/officeDocument/2006/relationships/hyperlink" Target="https://news.google.com/articles/CAIiEOUz3bCoxXUN3ARI7pyhMRgqGQgEKhAIACoHCAow292WCzCehK4DMJD3ywY?uo=CAUijAFodHRwczovL3d3dy5sYXRlcmNlcmEuY29tL2xhLXRlcmNlcmEtc2FiYWRvL25vdGljaWEvY29sdW1uYS1kZS1wYWJsby1jYXJ2YWNoby10ZXN0LWRlLWRyb2dhcy1wYXJhLXBhcmxhbWVudGFyaW9zL09FNFo0UUhMWU5BWUxQSDJNSkZYUVhSSzVBL9IBAA&amp;hl=es-419&amp;gl=CL&amp;ceid=CL%3Aes-419" TargetMode="External"/><Relationship Id="rId121" Type="http://schemas.openxmlformats.org/officeDocument/2006/relationships/hyperlink" Target="https://news.google.com/articles/CAIiECYLThRqYgYT8OBZbOyC5uUqGQgEKhAIACoHCAowwIGmCzCojL4DMMrejQc?uo=CAUidmh0dHBzOi8vcHVibGltaWNyby5jbC9jaGlsZS1pbXB1bHNhLWVsLXByaW1lci1mb3JvLWFudWFsLXNvYnJlLWRlZmVuc29yYXMteS1kZWZlbnNvcmVzLWRlLWRkaGgtZW4tYXN1bnRvcy1hbWJpZW50YWxlcy_SAQA&amp;hl=es-419&amp;gl=CL&amp;ceid=CL%3Aes-419" TargetMode="External"/><Relationship Id="rId25" Type="http://schemas.openxmlformats.org/officeDocument/2006/relationships/hyperlink" Target="https://news.google.com/publications/CAAqBwgKMNvdlgswnoSuAw?hl=es-419&amp;gl=CL&amp;ceid=CL%3Aes-419" TargetMode="External"/><Relationship Id="rId120" Type="http://schemas.openxmlformats.org/officeDocument/2006/relationships/hyperlink" Target="https://news.google.com/articles/CAIiEBe-fPneR5taL7STqyR75xoqGQgEKhAIACoHCAowuZ-RCzCk6aUDMJDHmQc?uo=CAUiemh0dHBzOi8vd3d3Lm1lZ2Fub3RpY2lhcy5jbC9uYWNpb25hbC8zOTM4MjYtZGlwdXRhZG8tcmF1bC1zb3RvLWNvbnZvY2EtcmV0b21hci1jb252ZXJzYWNpb24tY29uc3RpdHVjaW9uYWwtMjItMTAtMjAyMi5odG1s0gEA&amp;hl=es-419&amp;gl=CL&amp;ceid=CL%3Aes-419" TargetMode="External"/><Relationship Id="rId28" Type="http://schemas.openxmlformats.org/officeDocument/2006/relationships/hyperlink" Target="https://news.google.com/publications/CAAqBwgKMNvdlgswnoSuAw?hl=es-419&amp;gl=CL&amp;ceid=CL%3Aes-419" TargetMode="External"/><Relationship Id="rId27" Type="http://schemas.openxmlformats.org/officeDocument/2006/relationships/hyperlink" Target="https://news.google.com/articles/CBMiYWh0dHBzOi8vd3d3LnBhdXRhLmNsL2ZhY3RjaGVja2luZy9lbC1jb250ZXN0YWRvZy90ZXN0LWRlLXBlbG8tZHJvZ2FzLWNhbWFyYS1kaXB1dGFkb3MtZWZlY3RpdmlkYWTSAQA?hl=es-419&amp;gl=CL&amp;ceid=CL%3Aes-419" TargetMode="External"/><Relationship Id="rId29" Type="http://schemas.openxmlformats.org/officeDocument/2006/relationships/hyperlink" Target="https://news.google.com/articles/CAIiEFgbL9Y2Knpt6Zy-nPXOgQsqGQgEKhAIACoHCAow292WCzCehK4DMJD3ywY?uo=CAUirQFodHRwczovL3d3dy5sYXRlcmNlcmEuY29tL3BvbGl0aWNhL25vdGljaWEvY29ydGUtZGUtYXBlbGFjaW9uZXMtZGUtdmFscGFyYWlzby1kYS1sdXotdmVyZGUtYS1kaWZ1c2lvbi1kZS1yZXN1bHRhZG9zLWRlLXRlc3QtZGUtZHJvZ2FzLWEtZGlwdXRhZG9zLzZFNk9ZUENMQUZHWFpGWVhON0UySjJIR0lJL9IBAA&amp;hl=es-419&amp;gl=CL&amp;ceid=CL%3Aes-419" TargetMode="External"/><Relationship Id="rId124" Type="http://schemas.openxmlformats.org/officeDocument/2006/relationships/drawing" Target="../drawings/drawing2.xml"/><Relationship Id="rId123" Type="http://schemas.openxmlformats.org/officeDocument/2006/relationships/hyperlink" Target="https://news.google.com/articles/CAIiEM0BR1Kzpy79K-Nv-YVYAIwqGQgEKhAIACoHCAow292WCzCehK4DMM2ewAM?uo=CAUidGh0dHBzOi8vd3d3LmxhdGVyY2VyYS5jb20vb3Bpbmlvbi9ub3RpY2lhL2NvbHVtbmEtZGUtZGlhbmEtYXVyZW5xdWUtbGEtZXJhLWRlLWxhcy1kcm9nYXMvQ0JFUjNFSzZBQkNHVEtWRFhCVzRZVEpCTE0v0gEA&amp;hl=es-419&amp;gl=CL&amp;ceid=CL%3Aes-419" TargetMode="External"/><Relationship Id="rId122" Type="http://schemas.openxmlformats.org/officeDocument/2006/relationships/hyperlink" Target="https://news.google.com/publications/CAAqBwgKMNvdlgswnoSuAw?hl=es-419&amp;gl=CL&amp;ceid=CL%3Aes-419" TargetMode="External"/><Relationship Id="rId95" Type="http://schemas.openxmlformats.org/officeDocument/2006/relationships/hyperlink" Target="https://news.google.com/articles/CAIiEAlZ-FHnstgayPz1b5JNa_EqGQgEKhAIACoHCAowwIGmCzCojL4DMMrejQc?uo=CAUijQFodHRwczovL3B1YmxpbWljcm8uY2wvZGVidXRvLWVzdGUtbHVuZXMtbGEtcmVuZGljaW9uLWRlLWxhLXBhZXMtZW4tdG9kby1jaGlsZS1leGFtZW4tcXVlLXJlZW1wbGF6YS1hLWxhLXBkdC1kZS10cmFuc2ljaW9uLXktYS1sYS1hbnRpZ3VhLXBzdS_SAQA&amp;hl=es-419&amp;gl=CL&amp;ceid=CL%3Aes-419" TargetMode="External"/><Relationship Id="rId94" Type="http://schemas.openxmlformats.org/officeDocument/2006/relationships/hyperlink" Target="https://news.google.com/articles/CBMi1AFodHRwczovL3BhcnRpZG9yZXB1YmxpY2Fub2RlY2hpbGUuY2wvamVmZS1kZS1sYS1iYW5jYWRhLXJlcHVibGljYW5hLXktbGxhbWFkby1kZS12YWxsZWpvLWEtcXVlLW9wb3NpY2lvbi1zZS1wb25nYS1kZS1hY3VlcmRvLXBvci1wbGViaXNjaXRvLWRlamVuLWRlLWludGVydmVuaXItZW4tdW4tcHJvY2Vzby1kZW1vY3JhdGljby1xdWUtbm9zLXBlcnRlbmVjZS1hLXRvZG9zL9IBAA?hl=es-419&amp;gl=CL&amp;ceid=CL%3Aes-419" TargetMode="External"/><Relationship Id="rId97" Type="http://schemas.openxmlformats.org/officeDocument/2006/relationships/hyperlink" Target="https://news.google.com/articles/CAIiEOvWvF-vJyjTj06rrgH6KmMqMwgEKioIACIQ6COHnlHU784dI_DRPTSJdioUCAoiEOgjh55R1O_OHSPw0T00iXYwgcqIBw?uo=CAUifmh0dHBzOi8vd3d3LnQxMy5jbC9ub3RpY2lhL25hY2lvbmFsL2RlYmlhLXZpZ2lsYXItbmFyY29zLWVyYS11bm8tYXNpLW9wZXJhYmEtZnVuY2lvbmFyaW8tZ29iaWVybm8tY29uZGVuYWRvLXRyYWZpY28tMjgtMDktMjAyMtIBAA&amp;hl=es-419&amp;gl=CL&amp;ceid=CL%3Aes-419" TargetMode="External"/><Relationship Id="rId96" Type="http://schemas.openxmlformats.org/officeDocument/2006/relationships/hyperlink" Target="https://news.google.com/articles/CBMiaGh0dHBzOi8vbS5lbG1vc3RyYWRvci5jbC9kaWEvMjAyMi8wOS8yNi9wcmVzdXB1ZXN0by0yMDIzLWdvYmllcm5vLWxvLXByZXNlbnRhcmEtZXN0YS1zZW1hbmEtYWwtY29uZ3Jlc28v0gEA?hl=es-419&amp;gl=CL&amp;ceid=CL%3Aes-419" TargetMode="External"/><Relationship Id="rId11" Type="http://schemas.openxmlformats.org/officeDocument/2006/relationships/hyperlink" Target="https://news.google.com/publications/CAAqBwgKMNvdlgswnoSuAw?hl=es-419&amp;gl=CL&amp;ceid=CL%3Aes-419" TargetMode="External"/><Relationship Id="rId99" Type="http://schemas.openxmlformats.org/officeDocument/2006/relationships/hyperlink" Target="https://news.google.com/publications/CAAqBwgKMNvdlgswnoSuAw?hl=es-419&amp;gl=CL&amp;ceid=CL%3Aes-419" TargetMode="External"/><Relationship Id="rId10" Type="http://schemas.openxmlformats.org/officeDocument/2006/relationships/hyperlink" Target="https://news.google.com/articles/CBMihgFodHRwczovL20uZWxtb3N0cmFkb3IuY2wvZGlhLzIwMjIvMDgvMjIvY29tZW56by1hcGxpY2FjaW9uLWRlLXRlc3QtZGUtZHJvZ2FzLWEtcGFybGFtZW50YXJpb3MtcmVzdWx0YWRvcy1kZW1vcmFyYW4tZW50cmUtMTAtYS0xNS1kaWFzL9IBAA?hl=es-419&amp;gl=CL&amp;ceid=CL%3Aes-419" TargetMode="External"/><Relationship Id="rId98" Type="http://schemas.openxmlformats.org/officeDocument/2006/relationships/hyperlink" Target="https://news.google.com/articles/CAIiEDVzLgMbvxdPmzmtEaTC5EkqMwgEKioIACIQ6COHnlHU784dI_DRPTSJdioUCAoiEOgjh55R1O_OHSPw0T00iXYwgcqIBw?uo=CAUiXmh0dHBzOi8vd3d3LnQxMy5jbC9ub3RpY2lhL3BvbGl0aWNhL3NleHRvLXJldGlyby1jcnVjZS1rYXJvbC1jYXJpb2xhLXktcGFtZWxhLWppbGVzLTA0LTA3LTIwMjLSAQA&amp;hl=es-419&amp;gl=CL&amp;ceid=CL%3Aes-419" TargetMode="External"/><Relationship Id="rId13" Type="http://schemas.openxmlformats.org/officeDocument/2006/relationships/hyperlink" Target="https://news.google.com/publications/CAAqBwgKMNvdlgswnoSuAw?hl=es-419&amp;gl=CL&amp;ceid=CL%3Aes-419" TargetMode="External"/><Relationship Id="rId12" Type="http://schemas.openxmlformats.org/officeDocument/2006/relationships/hyperlink" Target="https://news.google.com/articles/CAIiEAEM9XjeAaPG8iZhawMVxBwqGQgEKhAIACoHCAow292WCzCehK4DMJD3ywY?uo=CAUisQFodHRwczovL3d3dy5sYXRlcmNlcmEuY29tL2xhLXRlcmNlcmEtcG0vbm90aWNpYS9zdXNwZW5zby1lbi1sYS1jYW1hcmEtcmVzdWx0YWRvcy1kZS1wcmltZXJvcy10ZXN0LWRlLWRyb2dhcy1hLWRpcHV0YWRvcy1zZS1jb25vY2VyYW4tZWwtcHJveGltby1sdW5lcy8yRUtERFpLRVJGRFZIRVpLWTNDREpFRVFIUS_SAQA&amp;hl=es-419&amp;gl=CL&amp;ceid=CL%3Aes-419" TargetMode="External"/><Relationship Id="rId91" Type="http://schemas.openxmlformats.org/officeDocument/2006/relationships/hyperlink" Target="https://news.google.com/articles/CBMib2h0dHBzOi8vd3d3LmNubmNoaWxlLmNvbS9wYWlzLzYzLWRpcHV0YWRvcy1jb25mZXNhcm9uLXF1ZS1jb25zdW1pZXJvbi1hbGd1bi10aXBvLWRlLWRyb2dhcy1hbGd1bmEtdmV6XzIwMTkwNTA2L9IBAA?hl=es-419&amp;gl=CL&amp;ceid=CL%3Aes-419" TargetMode="External"/><Relationship Id="rId90" Type="http://schemas.openxmlformats.org/officeDocument/2006/relationships/hyperlink" Target="https://news.google.com/articles/CBMijQFodHRwczovL3d3dy5hYmMuZXMvZXNwYW5hL2NvbXVuaWRhZC12YWxlbmNpYW5hL2FiY2ktc2VuYWRvLXZldG8tY29udHJvbGVzLWRyb2dhLXBpZGUtcGFyYS1uby1vZmVuZGVyLXBhcmxhbWVudGFyaW9zLTIwMjAwNjE2MTczM19ub3RpY2lhLmh0bWzSAZEBaHR0cHM6Ly93d3cuYWJjLmVzL2VzcGFuYS9jb211bmlkYWQtdmFsZW5jaWFuYS9hYmNpLXNlbmFkby12ZXRvLWNvbnRyb2xlcy1kcm9nYS1waWRlLXBhcmEtbm8tb2ZlbmRlci1wYXJsYW1lbnRhcmlvcy0yMDIwMDYxNjE3MzNfbm90aWNpYV9hbXAuaHRtbA?hl=es-419&amp;gl=CL&amp;ceid=CL%3Aes-419" TargetMode="External"/><Relationship Id="rId93" Type="http://schemas.openxmlformats.org/officeDocument/2006/relationships/hyperlink" Target="https://news.google.com/articles/CBMikQFodHRwczovL20uZWxtb3N0cmFkb3IuY2wvZGlhLzIwMjIvMDgvMTgvcG9yLWNvbnRyb3ZlcnNpYWxlcy1kaWNob3MtZGlwdXRhZG8tZ29uemFsby1kZS1sYS1jYXJyZXJhLXNlcmEtbGxldmFkby1hbC10cmlidW5hbC1kZS1ldGljYS1kZS1sYS1jYW1hcmEv0gEA?hl=es-419&amp;gl=CL&amp;ceid=CL%3Aes-419" TargetMode="External"/><Relationship Id="rId92" Type="http://schemas.openxmlformats.org/officeDocument/2006/relationships/hyperlink" Target="https://news.google.com/articles/CAIiEHD2TIMYeIisUNCwzEaxOAMqMwgEKioIACIQ6COHnlHU784dI_DRPTSJdioUCAoiEOgjh55R1O_OHSPw0T00iXYwgcqIBw?uo=CAUia2h0dHBzOi8vd3d3LnQxMy5jbC9ub3RpY2lhL25hY2lvbmFsL2RldGllbmVuLW1pZW1icm9zLW5hcmNvcy1jb2xvbWJpYW5vcy1kcm9nYS1jYWxpLXBlcnNhLWJpb2Jpby0yMy0wOC0yMDIy0gEA&amp;hl=es-419&amp;gl=CL&amp;ceid=CL%3Aes-419" TargetMode="External"/><Relationship Id="rId118" Type="http://schemas.openxmlformats.org/officeDocument/2006/relationships/hyperlink" Target="https://news.google.com/articles/CAIiECZUQXORpPWxwlhuCsVvniUqGQgEKhAIACoHCAowwIGmCzCojL4DMMrejQc?uo=CAUiZGh0dHBzOi8vcHVibGltaWNyby5jbC9pcHNvcy1jb25maWFuemEtZGUtbG9zLWNvbnN1bWlkb3Jlcy1jaGlsZW5vcy12dWVsdmUtYS1iYWphci1kdXJhbnRlLW5vdmllbWJyZS_SAQA&amp;hl=es-419&amp;gl=CL&amp;ceid=CL%3Aes-419" TargetMode="External"/><Relationship Id="rId117" Type="http://schemas.openxmlformats.org/officeDocument/2006/relationships/hyperlink" Target="https://news.google.com/articles/CBMifWh0dHA6Ly93d3cubGFuYWNpb24uY2wvYm9yaWMtc2UtbW9sZXN0by1jb24tbGEtcHJlbnNhLXBvci1wcmVndW50YS1zb2JyZS1mZWNoYS1kZWwtdGVzdC1kZS1kcm9nYXMtYmFzdGEtZGUtaW5zdGFsYXItbWVudGlyYXMv0gEA?hl=es-419&amp;gl=CL&amp;ceid=CL%3Aes-419" TargetMode="External"/><Relationship Id="rId116" Type="http://schemas.openxmlformats.org/officeDocument/2006/relationships/hyperlink" Target="https://news.google.com/articles/CBMid2h0dHBzOi8vbS5lbG1vc3RyYWRvci5jbC9ub3RpY2lhcy9wYWlzLzIwMjIvMDkvMjEvd2xhZGltaXItcGl6YXJyby1iYWx0cmFzLWVsLW9wZXJhZG9yLXBvbGl0aWNvLW5hcmNvLXF1ZS1ybi1kZXNjb25vY2Uv0gEA?hl=es-419&amp;gl=CL&amp;ceid=CL%3Aes-419" TargetMode="External"/><Relationship Id="rId115" Type="http://schemas.openxmlformats.org/officeDocument/2006/relationships/hyperlink" Target="https://news.google.com/articles/CAIiEMpnbvTteeiT4PLw57MMX2gqGQgEKhAIACoHCAow292WCzCehK4DMMmewAM?uo=CAUilwFodHRwczovL3d3dy5sYXRlcmNlcmEuY29tL3BvbGl0aWNhL25vdGljaWEvdHBwMTEtc2VuYWRvLXZvdGFyYS1lc3RlLW1pZXJjb2xlcy1lbC10cmF0YWRvLWEtcGVzYXItZGUtcmVzaXN0ZW5jaWEtb2ZpY2lhbGlzdGEvS1c0SlVMQ1hRNUI3Wk5SSEtYVklXUkNNSkkv0gEA&amp;hl=es-419&amp;gl=CL&amp;ceid=CL%3Aes-419" TargetMode="External"/><Relationship Id="rId119" Type="http://schemas.openxmlformats.org/officeDocument/2006/relationships/hyperlink" Target="https://news.google.com/articles/CAIiEMuPgaiQVbWkqa-zMvdAk4YqGQgEKhAIACoHCAowwIGmCzCojL4DMMrejQc?uo=CAUimwFodHRwczovL3B1YmxpbWljcm8uY2wvcGFyby1kZS1jYW1pb25lcm9zLWZhbnRhc21hLWRlLWRlc2FiYXN0ZWNpbWllbnRvLW8tbWVub3Jlcy1wcm9kdWN0b3Mtc3VtYWRvLWEtcG9zaWJsZXMtYXVtZW50b3MtZGUtcHJlY2lvcy1pbnRpbWlkYS10cmFuc3ZlcnNhbG1lbnRlL9IBAA&amp;hl=es-419&amp;gl=CL&amp;ceid=CL%3Aes-419" TargetMode="External"/><Relationship Id="rId15" Type="http://schemas.openxmlformats.org/officeDocument/2006/relationships/hyperlink" Target="https://news.google.com/publications/CAAqBwgKMNvdlgswnoSuAw?hl=es-419&amp;gl=CL&amp;ceid=CL%3Aes-419" TargetMode="External"/><Relationship Id="rId110" Type="http://schemas.openxmlformats.org/officeDocument/2006/relationships/hyperlink" Target="https://news.google.com/articles/CAIiEHp9ZO0Q7yajvruWiy8uJe8qGQgEKhAIACoHCAowwIGmCzCojL4DMMrejQc?uo=CAUiyAFodHRwczovL3B1YmxpbWljcm8uY2wvZGlwdXRhZGEtY2FtaWxhLWZsb3Jlcy1yZWNvbm9jZS1xdWUtc2Utc29ycHJlbmRpby1ncmF0YW1lbnRlLWNvbi1lbC1hcG95by1kZS1pcmluYS1rYXJhbWFub3MtdHJhcy1zdWZyaXItdmlvbGVuY2lhLWdpbmVjb2xvZ2ljYS1lbi1lbC1wYXJ0by1xdWUtbGEtdHV2by1ob3NwaXRhbGl6YWRhLXBvci1zZW1hbmFzL9IBAA&amp;hl=es-419&amp;gl=CL&amp;ceid=CL%3Aes-419" TargetMode="External"/><Relationship Id="rId14" Type="http://schemas.openxmlformats.org/officeDocument/2006/relationships/hyperlink" Target="https://news.google.com/articles/CAIiEBNPyhksvcNE3wx9PL7pJcAqGQgEKhAIACoHCAow292WCzCehK4DMMmewAM?uo=CAUiqwFodHRwczovL3d3dy5sYXRlcmNlcmEuY29tL3BvbGl0aWNhL25vdGljaWEvdW4tYW1pZ28tc29ycHJlc2l2by1lbi1sYS1jb3J0ZS1pbmRoLXNhbGUtZW4tZGVmZW5zYS1kZS1kaXB1dGFkYXMtcXVlLXNlLXJlYmVsYXJvbi1hbC10ZXN0LWRlLWRyb2dhcy9PSFZXVE00Q1lOQUZKQ1dZTFZEUE1NUkhCNC_SAQA&amp;hl=es-419&amp;gl=CL&amp;ceid=CL%3Aes-419" TargetMode="External"/><Relationship Id="rId17" Type="http://schemas.openxmlformats.org/officeDocument/2006/relationships/hyperlink" Target="https://news.google.com/articles/CBMingFodHRwczovL3d3dy5iaW9iaW9jaGlsZS5jbC9ub3RpY2lhcy9uYWNpb25hbC9jaGlsZS8yMDIyLzA4LzE4L25lY2VzYXJpby1zaG93LXktZXh0ZW5kZXJsby1hbC1nb2JpZXJuby1sYXMtcmVhY2Npb25lcy1kZS1wYXJsYW1lbnRhcmlvcy1hbC10ZXN0LWRlLWRyb2dhcy5zaHRtbNIBogFodHRwczovL3d3dy5iaW9iaW9jaGlsZS5jbC9ub3RpY2lhcy9uYWNpb25hbC9jaGlsZS8yMDIyLzA4LzE4L2FtcC9uZWNlc2FyaW8tc2hvdy15LWV4dGVuZGVybG8tYWwtZ29iaWVybm8tbGFzLXJlYWNjaW9uZXMtZGUtcGFybGFtZW50YXJpb3MtYWwtdGVzdC1kZS1kcm9nYXMuc2h0bWw?hl=es-419&amp;gl=CL&amp;ceid=CL%3Aes-419" TargetMode="External"/><Relationship Id="rId16" Type="http://schemas.openxmlformats.org/officeDocument/2006/relationships/hyperlink" Target="https://news.google.com/articles/CAIiEKaxBy09sGh2s-_WNODq7FQqGQgEKhAIACoHCAow292WCzCehK4DMMmewAM?uo=CAUiuAFodHRwczovL3d3dy5sYXRlcmNlcmEuY29tL3BvbGl0aWNhL25vdGljaWEvY2FtYXJhLWFwcnVlYmEtdGVzdC1kZS1kcm9nYXMtYS1kaXB1dGFkb3MtaW5pY2lhdGl2YS1pbmNsdXllLXF1ZS1yZXN1bHRhZG9zLXNlYW4tcHVibGljb3MteS1lbGltaW5hLWluaGFiaWxpZGFkZXMvUzJZUE9BQVI1NUIzREJGQTRXQTIzWENCN1Ev0gEA&amp;hl=es-419&amp;gl=CL&amp;ceid=CL%3Aes-419" TargetMode="External"/><Relationship Id="rId19" Type="http://schemas.openxmlformats.org/officeDocument/2006/relationships/hyperlink" Target="https://news.google.com/articles/CAIiELsW688tyI21ckg3kVI12YMqGQgEKhAIACoHCAow292WCzCehK4DMJD3ywY?uo=CAUixwFodHRwczovL3d3dy5sYXRlcmNlcmEuY29tL2xhLXRlcmNlcmEtcG0vbm90aWNpYS91bi10ZXN0LXF1ZS1pbmNvbW9kYS1sYXMtanVnYWRhcy1xdWUtYmFyYWphbi1sb3MtZGlwdXRhZG9zLXBhcmEtaW1wZWRpci1xdWUtc2UtcHVibGlxdWVuLWxvcy1yZXN1bHRhZG9zLWRlLWV4YW1lbi1kZS1kcm9nYXMvREJRVEpYQ1Y2UkUyRkVCRFFXT0hCVTJCTU0v0gEA&amp;hl=es-419&amp;gl=CL&amp;ceid=CL%3Aes-419" TargetMode="External"/><Relationship Id="rId114" Type="http://schemas.openxmlformats.org/officeDocument/2006/relationships/hyperlink" Target="https://news.google.com/publications/CAAqBwgKMNvdlgswnoSuAw?hl=es-419&amp;gl=CL&amp;ceid=CL%3Aes-419" TargetMode="External"/><Relationship Id="rId18" Type="http://schemas.openxmlformats.org/officeDocument/2006/relationships/hyperlink" Target="https://news.google.com/publications/CAAqBwgKMNvdlgswnoSuAw?hl=es-419&amp;gl=CL&amp;ceid=CL%3Aes-419" TargetMode="External"/><Relationship Id="rId113" Type="http://schemas.openxmlformats.org/officeDocument/2006/relationships/hyperlink" Target="https://news.google.com/articles/CBMilwFodHRwczovL3d3dy5sYXRlcmNlcmEuY29tL2xhLXRlcmNlcmEtcG0vbm90aWNpYS9mbG9yY2l0YS1kcm9nYXMteS1wcmVqdWljaW9zLXBpZW5zYW4tcXVlLWxhLWdlbnRlLWRlLWl6cXVpZXJkYS1zZS1tZXRlLWN1YWxxdWllci1jb3NhLWEtbGEtYm9jYS82MDA1NDIv0gGmAWh0dHBzOi8vd3d3LmxhdGVyY2VyYS5jb20vbGEtdGVyY2VyYS1wbS9ub3RpY2lhL2Zsb3JjaXRhLWRyb2dhcy15LXByZWp1aWNpb3MtcGllbnNhbi1xdWUtbGEtZ2VudGUtZGUtaXpxdWllcmRhLXNlLW1ldGUtY3VhbHF1aWVyLWNvc2EtYS1sYS1ib2NhLzYwMDU0Mi8_b3V0cHV0VHlwZT1hbXA?hl=es-419&amp;gl=CL&amp;ceid=CL%3Aes-419" TargetMode="External"/><Relationship Id="rId112" Type="http://schemas.openxmlformats.org/officeDocument/2006/relationships/hyperlink" Target="https://news.google.com/articles/CBMiWGh0dHBzOi8vd3d3LnRoZWNsaW5pYy5jbC8yMDIyLzEwLzAxL2VudHJldmlzdGEtY2FuYWxsYS1uZWxzb24tYXZpbGEtYWdyaWN1bHRvci1lc2NyaXRvci_SAVxodHRwczovL3d3dy50aGVjbGluaWMuY2wvMjAyMi8xMC8wMS9lbnRyZXZpc3RhLWNhbmFsbGEtbmVsc29uLWF2aWxhLWFncmljdWx0b3ItZXNjcml0b3IvYW1wLw?hl=es-419&amp;gl=CL&amp;ceid=CL%3Aes-419" TargetMode="External"/><Relationship Id="rId111" Type="http://schemas.openxmlformats.org/officeDocument/2006/relationships/hyperlink" Target="https://news.google.com/articles/CAIiEEt7j4z18oCErdyKnLqt3GIqGQgEKhAIACoHCAowtaiWCzCoza0DMKOQyQY?uo=CAUimwFodHRwczovL3Zpdmltb3NsYW5vdGljaWEuY2wvbm90aWNpYXMvYWN0dWFsaWRhZC9wb2xpdGljYS8yMDIyLzA5LzI4L2RpcHV0YWRvLWZyYW5jaXNjby1wdWxnYXIteS10ZXN0LWRlLWRyb2dhcy1lcy11bi1ncmFuLXBhc28tZW4tbWF0ZXJpYS1kZS10cmFuc3BhcmVuY2lhL9IBAA&amp;hl=es-419&amp;gl=CL&amp;ceid=CL%3Aes-419" TargetMode="External"/><Relationship Id="rId84" Type="http://schemas.openxmlformats.org/officeDocument/2006/relationships/hyperlink" Target="https://news.google.com/articles/CAIiELPrEGArE_LswWLIt9OWoaAqGQgEKhAIACoHCAowtaiWCzCoza0DMM6k7wY?uo=CAUimAFodHRwczovL3Zpdmltb3NsYW5vdGljaWEuY2wvbm90aWNpYXMvYWN0dWFsaWRhZC9wb2xpdGljYS8yMDIyLzA4LzI0L2ZyYW5jaXNjby1wdWxnYXItZXMtZWwtcHJpbWVyLWRpcHV0YWRvLWRlbC1tYXVsZS1xdWUtc2Utc29tZXRlcnNlLWFsLXRlc3QtZGUtZHJvZ2FzL9IBAA&amp;hl=es-419&amp;gl=CL&amp;ceid=CL%3Aes-419" TargetMode="External"/><Relationship Id="rId83" Type="http://schemas.openxmlformats.org/officeDocument/2006/relationships/hyperlink" Target="https://news.google.com/articles/CAIiEN79dDtd7J_WLEkPzBQiGD0qMwgEKioIACIQVGcsbw39Ucci0s30uaM2FSoUCAoiEFRnLG8N_VHHItLN9LmjNhUwhZT2Bg?uo=CAUikQFodHRwczovL3d3dy5lbGRpbmFtby5jbC9lbnRyZXRlbmNpb24vTm8tdm95LWEtc2F0YW5pemFyLWVsLWNvbnN1bW8tZGUtZHJvZ2FzLUpvc2UtQW50b25pby1OZW1lLWFkbWl0aW8taGFiZXItcHJvYmFkby1tYXJpaHVhbmEtMjAyMjA2MTYtMDAyOC5odG1s0gEA&amp;hl=es-419&amp;gl=CL&amp;ceid=CL%3Aes-419" TargetMode="External"/><Relationship Id="rId86" Type="http://schemas.openxmlformats.org/officeDocument/2006/relationships/hyperlink" Target="https://news.google.com/articles/CAIiECVcFyLkZV0xGrka1o-8oLYqMwgEKioIACIQ6COHnlHU784dI_DRPTSJdioUCAoiEOgjh55R1O_OHSPw0T00iXYwgcqIBw?uo=CAUiSmh0dHBzOi8vd3d3LnQxMy5jbC92aWRlb3MvcG9saXRpY2EvZGlwdXRhZG9zLWRlYmVyYW4tc29tZXRlcnNlLXRlc3QtZHJvZ2Fz0gEA&amp;hl=es-419&amp;gl=CL&amp;ceid=CL%3Aes-419" TargetMode="External"/><Relationship Id="rId85" Type="http://schemas.openxmlformats.org/officeDocument/2006/relationships/hyperlink" Target="https://news.google.com/articles/CAIiEDGZGmRzslc_Uh_D7oONw-YqMwgEKioIACIQVGcsbw39Ucci0s30uaM2FSoUCAoiEFRnLG8N_VHHItLN9LmjNhUwgpT2Bg?uo=CAUifWh0dHBzOi8vd3d3LmVsZGluYW1vLmNsL3BvbGl0aWNhL0xhLXBvbGVtaWNhLWVudHJlLUthc3QteS1TYWV6LXBvci1lbC1jb25zdW1vLWRlLW1hcmlodWFuYS1kZWwtZGlwdXRhZG8tUkQtMjAyMjA3MzEtMDAxMC5odG1s0gEA&amp;hl=es-419&amp;gl=CL&amp;ceid=CL%3Aes-419" TargetMode="External"/><Relationship Id="rId88" Type="http://schemas.openxmlformats.org/officeDocument/2006/relationships/hyperlink" Target="https://news.google.com/articles/CBMiX2h0dHBzOi8vd3d3Lm1hcmF5LmNsL2N1YXRyby1kZXRlbmlkb3MtZW4tdGFsbGVyLWNsYW5kZXN0aW5vLXF1ZS1tb2RpZmljYWJhLWFybWFzLWVuLWxhLXBpbnRhbmEv0gEA?hl=es-419&amp;gl=CL&amp;ceid=CL%3Aes-419" TargetMode="External"/><Relationship Id="rId87" Type="http://schemas.openxmlformats.org/officeDocument/2006/relationships/hyperlink" Target="https://news.google.com/articles/CBMieGh0dHBzOi8vd3d3LjI0aG9yYXMuY2wvcHJvZ3JhbWFzL25vdGljaWFzLTI0L2p1YW4tYW50b25pby1jb2xvbWEtdWRpLXF1aXNpbW9zLWFncmVnYXItdW5hLXJlZm9ybWEtcXVlLW9ibGlndWUtdGVzdC1kcm9nYdIBeGh0dHBzOi8vYW1wLjI0aG9yYXMuY2wvcHJvZ3JhbWFzL25vdGljaWFzLTI0L2p1YW4tYW50b25pby1jb2xvbWEtdWRpLXF1aXNpbW9zLWFncmVnYXItdW5hLXJlZm9ybWEtcXVlLW9ibGlndWUtdGVzdC1kcm9nYQ?hl=es-419&amp;gl=CL&amp;ceid=CL%3Aes-419" TargetMode="External"/><Relationship Id="rId89" Type="http://schemas.openxmlformats.org/officeDocument/2006/relationships/hyperlink" Target="https://news.google.com/articles/CAIiEBpEtyxOYyDDjPhcYPlhtJgqGQgEKhAIACoHCAow7qmcCzCCtLQDMNrEggc?uo=CAUinwFodHRwczovL3d3dy5wdWJsaW1ldHJvLmNsL25vdGljaWFzLzIwMjIvMDgvMTgvZGlwdXRhZG8tY29sb21hLXBpZGUtZGFybGUtdXJnZW5jaWEtYS1wcm95ZWN0by1kZS1sZXktcXVlLWV4dGllbmRlLWEtb3Ryb3MtcG9kZXJlcy1kZWwtZXN0YWRvLWVsLXRlc3QtYW50aWRyb2dhcy_SAQA&amp;hl=es-419&amp;gl=CL&amp;ceid=CL%3Aes-419" TargetMode="External"/><Relationship Id="rId80" Type="http://schemas.openxmlformats.org/officeDocument/2006/relationships/hyperlink" Target="https://news.google.com/articles/CAIiENBPUpuVAhI2Lkav5rSUEAcqMwgEKioIACIQ6COHnlHU784dI_DRPTSJdioUCAoiEOgjh55R1O_OHSPw0T00iXYwgcqIBw?uo=CAUicGh0dHBzOi8vd3d3LnQxMy5jbC9ub3RpY2lhL3BvbGl0aWNhL25hY2lvbmFsL3F1ZS1kaWNlLWxleS15LXJlZ2xhbWVudG8tY2FtYXJhLWNvbnN1bW8tYWxjb2hvbC10cmFiYWpvLTE4LTA4LTIwMjLSAQA&amp;hl=es-419&amp;gl=CL&amp;ceid=CL%3Aes-419" TargetMode="External"/><Relationship Id="rId82" Type="http://schemas.openxmlformats.org/officeDocument/2006/relationships/hyperlink" Target="https://news.google.com/articles/CAIiEJqdKjXefqRIN5TMRlZFbPoqMwgEKioIACIQVGcsbw39Ucci0s30uaM2FSoUCAoiEFRnLG8N_VHHItLN9LmjNhUwrerFBg?uo=CAUingFodHRwczovL3d3dy5lbGRpbmFtby5jbC9wYWlzL0VtaWxpYS1TY2huZWlkZXItc2UtcmVmaXJpby1hLXN1LWFkaWNjaW9uLWEtbGFzLWRyb2dhcy1lbi1sYS1hZG9sZXNjZW5jaWEtQ29uc3VtaS1tdWNoYXMtc3VzdGFuY2lhcy1wZWxpZ3Jvc2FzLTIwMjIxMDIyLTAwMTQuaHRtbNIBAA&amp;hl=es-419&amp;gl=CL&amp;ceid=CL%3Aes-419" TargetMode="External"/><Relationship Id="rId81" Type="http://schemas.openxmlformats.org/officeDocument/2006/relationships/hyperlink" Target="https://news.google.com/articles/CBMid2h0dHBzOi8vd3d3LmRpYXJpb2NvbnN0aXR1Y2lvbmFsLmNsLzIwMjIvMDgvMTgvY2FtYXJhLXNvcnRlYS1hLWxvcy1wcmltZXJvcy1wYXJsYW1lbnRhcmlvcy1wYXJhLWluaWNpYXItdGVzdC1kZS1kcm9nYXMv0gEA?hl=es-419&amp;gl=CL&amp;ceid=CL%3Aes-419" TargetMode="External"/><Relationship Id="rId1" Type="http://schemas.openxmlformats.org/officeDocument/2006/relationships/hyperlink" Target="https://news.google.com/publications/CAAqBwgKMNvdlgswnoSuAw?hl=es-419&amp;gl=CL&amp;ceid=CL%3Aes-419" TargetMode="External"/><Relationship Id="rId2" Type="http://schemas.openxmlformats.org/officeDocument/2006/relationships/hyperlink" Target="https://news.google.com/articles/CAIiEPbJikIFyIanSyvgf0lOXUwqGQgEKhAIACoHCAow292WCzCehK4DMMmewAM?uo=CAUiuAFodHRwczovL3d3dy5sYXRlcmNlcmEuY29tL3BvbGl0aWNhL25vdGljaWEvdGVzdC1kZS1kcm9nYXMtc2VndW5kby1ncnVwby1kZS1kaXB1dGFkb3Mtbm8tYXJyb2phLXBvc2l0aXZvcy15LWRvcy1wYXJsYW1lbnRhcmlhcy1uby1zZS1wcmVzZW50YXJvbi1hLWxhLW11ZXN0cmEvSlhWRU5IWjIzTkY1Uk5NNzdNNjNISUFSNFEv0gEA&amp;hl=es-419&amp;gl=CL&amp;ceid=CL%3Aes-419" TargetMode="External"/><Relationship Id="rId3" Type="http://schemas.openxmlformats.org/officeDocument/2006/relationships/hyperlink" Target="https://news.google.com/articles/CBMipwFodHRwczovL3d3dy5iaW9iaW9jaGlsZS5jbC9ub3RpY2lhcy9uYWNpb25hbC9jaGlsZS8yMDIyLzExLzE1L3Npbi1wb3NpdGl2b3Mtc2VndW5kby10ZXN0LWRlLWRyb2dhcy1hLWRpcHV0YWRvcy1mcmllcy15LWdhem11cmktc2UtbmVnYXJvbi1hLXByYWN0aWNhcnNlLWVsLWV4YW1lbi5zaHRtbNIBqwFodHRwczovL3d3dy5iaW9iaW9jaGlsZS5jbC9ub3RpY2lhcy9uYWNpb25hbC9jaGlsZS8yMDIyLzExLzE1L2FtcC9zaW4tcG9zaXRpdm9zLXNlZ3VuZG8tdGVzdC1kZS1kcm9nYXMtYS1kaXB1dGFkb3MtZnJpZXMteS1nYXptdXJpLXNlLW5lZ2Fyb24tYS1wcmFjdGljYXJzZS1lbC1leGFtZW4uc2h0bWw?hl=es-419&amp;gl=CL&amp;ceid=CL%3Aes-419" TargetMode="External"/><Relationship Id="rId4" Type="http://schemas.openxmlformats.org/officeDocument/2006/relationships/hyperlink" Target="https://news.google.com/stories/CAAqNggKIjBDQklTSGpvSmMzUnZjbmt0TXpZd1NoRUtEd2pIOHJxVkJoRk5GeWI4S1hvY0ppZ0FQAQ?hl=es-419&amp;gl=CL&amp;ceid=CL%3Aes-419" TargetMode="External"/><Relationship Id="rId9" Type="http://schemas.openxmlformats.org/officeDocument/2006/relationships/hyperlink" Target="https://news.google.com/articles/CBMipAFodHRwczovL3d3dy5iaW9iaW9jaGlsZS5jbC9ub3RpY2lhcy9uYWNpb25hbC9jaGlsZS8yMDIyLzA4LzE3L3JldmlzYS1sYS1saXN0YS1jYW1hcmEtc29ydGVhLWEtbG9zLXByaW1lcm9zLTc4LWRpcHV0YWRvcy1xdWUtZGViZXJhbi1zb21ldGVyc2UtYS10ZXN0LWRlLWRyb2dhcy5zaHRtbNIBqAFodHRwczovL3d3dy5iaW9iaW9jaGlsZS5jbC9ub3RpY2lhcy9uYWNpb25hbC9jaGlsZS8yMDIyLzA4LzE3L2FtcC9yZXZpc2EtbGEtbGlzdGEtY2FtYXJhLXNvcnRlYS1hLWxvcy1wcmltZXJvcy03OC1kaXB1dGFkb3MtcXVlLWRlYmVyYW4tc29tZXRlcnNlLWEtdGVzdC1kZS1kcm9nYXMuc2h0bWw?hl=es-419&amp;gl=CL&amp;ceid=CL%3Aes-419" TargetMode="External"/><Relationship Id="rId5" Type="http://schemas.openxmlformats.org/officeDocument/2006/relationships/hyperlink" Target="https://news.google.com/publications/CAAqBwgKMNXOlgsw2PStAw?hl=es-419&amp;gl=CL&amp;ceid=CL%3Aes-419" TargetMode="External"/><Relationship Id="rId6" Type="http://schemas.openxmlformats.org/officeDocument/2006/relationships/hyperlink" Target="https://news.google.com/articles/CAIiEN9XsI8MFVvAULFco4mcKZkqGQgEKhAIACoHCAow1c6WCzDY9K0DMNXq0wY?uo=CAUikwFodHRwczovL2FyYXVjYW5pYW5vdGljaWFzLmNsLzIwMjIvZGlwdXRhZG8tYmVja2VyLWRhLW5lZ2F0aXZvLWEtdGVzdC1kZS1kcm9nYXMtbGxhbS1hLXRyYW5zcGFyZW50YXItbG9zLXJlc3VsdGFkb3MtYW50ZS1sYS1vcGluaW4tcGJsaWNhLzExMTUyMjUxNjjSAQA&amp;hl=es-419&amp;gl=CL&amp;ceid=CL%3Aes-419" TargetMode="External"/><Relationship Id="rId7" Type="http://schemas.openxmlformats.org/officeDocument/2006/relationships/hyperlink" Target="https://news.google.com/publications/CAAqBwgKMNvdlgswnoSuAw?hl=es-419&amp;gl=CL&amp;ceid=CL%3Aes-419" TargetMode="External"/><Relationship Id="rId8" Type="http://schemas.openxmlformats.org/officeDocument/2006/relationships/hyperlink" Target="https://news.google.com/articles/CAIiEN6lwLYt2Y7rvqbyPMUM9PMqGQgEKhAIACoHCAow292WCzCehK4DMMmewAM?uo=CAUinQFodHRwczovL3d3dy5sYXRlcmNlcmEuY29tL3BvbGl0aWNhL25vdGljaWEvdGVzdC1kZS1kcm9nYXMtYS1kaXB1dGFkb3MtcmVzdWx0YWRvcy1kZS1sb3MtcHJpbWVyb3MtZXhhbWVuZXMtc2UtY29ub2NlcmFuLWVzdGUtbHVuZXMvNVVKQTNXTUFGWkJIUEIzRktSQVlIUlVMRE0v0gEA&amp;hl=es-419&amp;gl=CL&amp;ceid=CL%3Aes-419" TargetMode="External"/><Relationship Id="rId73" Type="http://schemas.openxmlformats.org/officeDocument/2006/relationships/hyperlink" Target="https://news.google.com/publications/CAAqBwgKMNvdlgswnoSuAw?hl=es-419&amp;gl=CL&amp;ceid=CL%3Aes-419" TargetMode="External"/><Relationship Id="rId72" Type="http://schemas.openxmlformats.org/officeDocument/2006/relationships/hyperlink" Target="https://news.google.com/articles/CBMisAFodHRwczovL3d3dy5iaW9iaW9jaGlsZS5jbC9iaW9iaW90di9wcm9ncmFtYXMvcG9kcmlhLXNlci1wZW9yLzIwMjIvMDcvMTQvZGlwdXRhZGEtcGFtZWxhLWppbGVzLW5vLXB1ZWRlLWhhYmVyLXBsYXRhLW1lam9yLWdhc3RhZGEtcXVlLXBhcmEtc2FiZXItc2ktdGVuZW1vcy1uYXJjb2RpcHV0YWRvcy5zaHRtbNIBAA?hl=es-419&amp;gl=CL&amp;ceid=CL%3Aes-419" TargetMode="External"/><Relationship Id="rId75" Type="http://schemas.openxmlformats.org/officeDocument/2006/relationships/hyperlink" Target="https://news.google.com/articles/CBMieGh0dHBzOi8vd3d3LnJldmlzdGFkZWZyZW50ZS5jbC9jb3J0ZS1zdXByZW1hLWFkbWl0ZS1yZWN1cnNvLWNvbnRyYS10ZXN0LWRlLWRyb2dhcy1lbi1sYS1jYW1hcmEtZGUtZGlwdXRhZGFzLXktZGlwdXRhZG9zL9IBAA?hl=es-419&amp;gl=CL&amp;ceid=CL%3Aes-419" TargetMode="External"/><Relationship Id="rId74" Type="http://schemas.openxmlformats.org/officeDocument/2006/relationships/hyperlink" Target="https://news.google.com/articles/CAIiEINcyk0GqhWWRoivuHkLNQgqGQgEKhAIACoHCAow292WCzCehK4DMJD3ywY?uo=CAUiyAFodHRwczovL3d3dy5sYXRlcmNlcmEuY29tL2xhLXRlcmNlcmEtc2FiYWRvL25vdGljaWEvY3Jpc3RpYW4tY2FtYXJnby1kaXJlY3Rvci1kZWwtbGFib3JhdG9yaW8tZGUtYW5hbGlzaXMtYW50aWRvcGluZy1hbGd1aWVuLXF1ZS1lcy1hZGljdG8tYS11bmEtZHJvZ2EtZXMtZmFjaWwtZGUtY29ycm9tcGVyL0ZaUEM3Q1gzU1JEWkJEWjNGTFZLTllNSTVBL9IBAA&amp;hl=es-419&amp;gl=CL&amp;ceid=CL%3Aes-419" TargetMode="External"/><Relationship Id="rId77" Type="http://schemas.openxmlformats.org/officeDocument/2006/relationships/hyperlink" Target="https://news.google.com/articles/CBMisAFodHRwczovL3d3dy5lbGNpdWRhZGFuby5jb20vYWN0dWFsaWRhZC9jaWJlci1hY29zby15LWhvc3RpZ2FtaWVudG8tYS1kaXB1dGFkYXMtcG9yLXRlc3QtZGUtZHJvZ2FzLWN1YWwtZXMtZWwtbGltaXRlLWRlLWxhLXBlcnNlY3VjaW9uLWFudGktbmFyY290aWNvcy1kZW50cm8tZGUtbGEtY2FtYXJhLzA5LzI5L9IBAA?hl=es-419&amp;gl=CL&amp;ceid=CL%3Aes-419" TargetMode="External"/><Relationship Id="rId76" Type="http://schemas.openxmlformats.org/officeDocument/2006/relationships/hyperlink" Target="https://news.google.com/articles/CBMijQFodHRwczovL2c1bm90aWNpYXMuY2wvMjAyMi8wNy8xMy9kaXB1dGFkby1nYXNwYXItcml2YXMtcGRnLWNyaXRpY2EtcG9zdHVyYXMtZGUtbG9zLXNlY3RvcmVzLXBvbGl0aWNvcy1kZS1sYS1jYW1hcmEtYWNlcmNhLWRlbC10ZXN0LWRlLWRyb2dhcy_SAQA?hl=es-419&amp;gl=CL&amp;ceid=CL%3Aes-419" TargetMode="External"/><Relationship Id="rId79" Type="http://schemas.openxmlformats.org/officeDocument/2006/relationships/hyperlink" Target="https://news.google.com/articles/CBMiYWh0dHBzOi8vd3d3LnRoZWNsaW5pYy5jbC8yMDIyLzA5LzI4L2FuZWNkb3RhLWRpcHV0YWRvLWxlb25pZGFzLXJvbWVyby1tdWVzdHJhLXBlbG8tZXhhbWVuLWRyb2dhcy_SAWVodHRwczovL3d3dy50aGVjbGluaWMuY2wvMjAyMi8wOS8yOC9hbmVjZG90YS1kaXB1dGFkby1sZW9uaWRhcy1yb21lcm8tbXVlc3RyYS1wZWxvLWV4YW1lbi1kcm9nYXMvYW1wLw?hl=es-419&amp;gl=CL&amp;ceid=CL%3Aes-419" TargetMode="External"/><Relationship Id="rId78" Type="http://schemas.openxmlformats.org/officeDocument/2006/relationships/hyperlink" Target="https://news.google.com/articles/CBMihAFodHRwczovL25vdGljaWFzLnVuYWIuY2wvcmFkaW8tYmlvLWJpby1lbnRyZXZpc3RhLWEtYWxlaWRhLWt1bGlrb2ZmLWFjYWRlbWljYS15LXRveGljb2xvZ2EtZGUtbGEtZXNjdWVsYS1kZS1xdWltaWNhLXktZmFybWFjaWEtdW5hYi_SAQA?hl=es-419&amp;gl=CL&amp;ceid=CL%3Aes-419" TargetMode="External"/><Relationship Id="rId71" Type="http://schemas.openxmlformats.org/officeDocument/2006/relationships/hyperlink" Target="https://news.google.com/articles/CAIiECNwuORTFAFlV1BM_byXPnIqGQgEKhAIACoHCAowj_uNCzDXzaADMPz-iwc?uo=CAUigAFodHRwczovL3d3dy5kdXBsb3MuY2wvdGVuZGVuY2lhcy9kb2N0b3JhLWNvcmRlcm8tY3Vlc3Rpb25vLXRlc3QtZGUtZHJvZ2FzLWEtcGFybGFtZW50YXJpb3MtZXN0YS10b2RvLWFycmVnbGFkby83MjU3OC8yMDIyLzEwLzA3L9IBAA&amp;hl=es-419&amp;gl=CL&amp;ceid=CL%3Aes-419" TargetMode="External"/><Relationship Id="rId70" Type="http://schemas.openxmlformats.org/officeDocument/2006/relationships/hyperlink" Target="https://news.google.com/articles/CBMiXmh0dHBzOi8vd3d3LnRoZWNsaW5pYy5jbC8yMDIyLzA4LzE4L2pvc2UtbHVpcy1yZXBlbm5pbmctaW50ZXJjYW1iaW8tY2FtaWxhLWZsb3Jlcy10ZXN0LWRyb2dhcy_SAWJodHRwczovL3d3dy50aGVjbGluaWMuY2wvMjAyMi8wOC8xOC9qb3NlLWx1aXMtcmVwZW5uaW5nLWludGVyY2FtYmlvLWNhbWlsYS1mbG9yZXMtdGVzdC1kcm9nYXMvYW1wLw?hl=es-419&amp;gl=CL&amp;ceid=CL%3Aes-419" TargetMode="External"/><Relationship Id="rId62" Type="http://schemas.openxmlformats.org/officeDocument/2006/relationships/hyperlink" Target="https://news.google.com/articles/CBMif2h0dHBzOi8vd3d3LjI0aG9yYXMuY2wvcHJvZ3JhbWFzL25vdGljaWFzLTI0L2FuYS1tYXJpYS1nYXptdXJpLXBvci1wcm95ZWN0by1kZS10ZXN0LWRlLWRyb2dhcy1lbi1jYW1hcmEtdmEtZGlyZWNjaW9uLWVxdWl2b2NhZGHSAX9odHRwczovL2FtcC4yNGhvcmFzLmNsL3Byb2dyYW1hcy9ub3RpY2lhcy0yNC9hbmEtbWFyaWEtZ2F6bXVyaS1wb3ItcHJveWVjdG8tZGUtdGVzdC1kZS1kcm9nYXMtZW4tY2FtYXJhLXZhLWRpcmVjY2lvbi1lcXVpdm9jYWRh?hl=es-419&amp;gl=CL&amp;ceid=CL%3Aes-419" TargetMode="External"/><Relationship Id="rId61" Type="http://schemas.openxmlformats.org/officeDocument/2006/relationships/hyperlink" Target="https://news.google.com/articles/CBMiS2h0dHBzOi8vZWxwaW5ndWluby5jb20vbm90aWNpYS8yMDIyLzExLzEzL3JlcXVpc2l0b3MtcGFyYS1zZXItcGFybGFtZW50YXJpb9IBAA?hl=es-419&amp;gl=CL&amp;ceid=CL%3Aes-419" TargetMode="External"/><Relationship Id="rId64" Type="http://schemas.openxmlformats.org/officeDocument/2006/relationships/hyperlink" Target="https://news.google.com/articles/CBMikgFodHRwczovL3d3dy5kaWFyaW9jb25zdGl0dWNpb25hbC5jbC8yMDIyLzA5LzI3L2NvcnRlLWRlLXZhbHBhcmFpc28tcmVjaGF6YS1zb2xpY2l0dWQtZGUtZGljdGFyLW9yZGVuLWRlLW5vLWlubm92YXItcG9yLXRlc3QtZGUtZHJvZ2FzLWEtZGlwdXRhZG9zL9IBAA?hl=es-419&amp;gl=CL&amp;ceid=CL%3Aes-419" TargetMode="External"/><Relationship Id="rId63" Type="http://schemas.openxmlformats.org/officeDocument/2006/relationships/hyperlink" Target="https://news.google.com/articles/CBMisAFodHRwczovL3d3dy5iaW9iaW9jaGlsZS5jbC9ub3RpY2lhcy9uYWNpb25hbC9yZWdpb24tZGUtbG9zLWxhZ29zLzIwMjIvMDgvMzEvZGlwdXRhZG8tYmFycmlhLXBpZGUtYXBsaWNhci10ZXN0LXBzaXF1aWF0cmljby1hLXBhcmxhbWVudGFyaW9zLXRyYXMtYWdyZXNpb24tZGUtZGUtbGEtY2FycmVyYS5zaHRtbNIBtAFodHRwczovL3d3dy5iaW9iaW9jaGlsZS5jbC9ub3RpY2lhcy9uYWNpb25hbC9yZWdpb24tZGUtbG9zLWxhZ29zLzIwMjIvMDgvMzEvYW1wL2RpcHV0YWRvLWJhcnJpYS1waWRlLWFwbGljYXItdGVzdC1wc2lxdWlhdHJpY28tYS1wYXJsYW1lbnRhcmlvcy10cmFzLWFncmVzaW9uLWRlLWRlLWxhLWNhcnJlcmEuc2h0bWw?hl=es-419&amp;gl=CL&amp;ceid=CL%3Aes-419" TargetMode="External"/><Relationship Id="rId66" Type="http://schemas.openxmlformats.org/officeDocument/2006/relationships/hyperlink" Target="https://news.google.com/articles/CBMisAFodHRwczovL3d3dy5iaW9iaW9jaGlsZS5jbC9ub3RpY2lhcy9uYWNpb25hbC9yZWdpb24tZGVsLWJpby1iaW8vMjAyMi8wOS8yMC91cnJpdGlhY29lY2hlYS10aWxkYS1kZS1pbXBydWRlbnRlLXJlY3Vyc28tcHJlc2VudGFkby1wb3ItZGlwdXRhZGFzLWVuLWNvbnRyYS1kZS10ZXN0LWRlLWRyb2dhcy5zaHRtbNIBtAFodHRwczovL3d3dy5iaW9iaW9jaGlsZS5jbC9ub3RpY2lhcy9uYWNpb25hbC9yZWdpb24tZGVsLWJpby1iaW8vMjAyMi8wOS8yMC9hbXAvdXJyaXRpYWNvZWNoZWEtdGlsZGEtZGUtaW1wcnVkZW50ZS1yZWN1cnNvLXByZXNlbnRhZG8tcG9yLWRpcHV0YWRhcy1lbi1jb250cmEtZGUtdGVzdC1kZS1kcm9nYXMuc2h0bWw?hl=es-419&amp;gl=CL&amp;ceid=CL%3Aes-419" TargetMode="External"/><Relationship Id="rId65" Type="http://schemas.openxmlformats.org/officeDocument/2006/relationships/hyperlink" Target="https://news.google.com/articles/CAIiEIPapeqMNwW_7guancqxj1kqGQgEKhAIACoHCAow7qmcCzCCtLQDMNvEggc?uo=CAUiowFodHRwczovL3d3dy5wdWJsaW1ldHJvLmNsL3NvY2lhbC8yMDIyLzA4LzE3L25vLWhhZ2FuLWxhLWNpbWFycmEtZGUtbGEtY2FycmVyYS15LXN1LXByb3ZvY2Fkb3ItdHVpdC1hLWRpcHV0YWRvcy1mcmVudGVhbXBsaXN0YXMtdHJhcy1zZXItc29ydGVhZG9zLWEtdGVzdC1kZS1kcm9nYXMv0gEA&amp;hl=es-419&amp;gl=CL&amp;ceid=CL%3Aes-419" TargetMode="External"/><Relationship Id="rId68" Type="http://schemas.openxmlformats.org/officeDocument/2006/relationships/hyperlink" Target="https://news.google.com/articles/CBMisAFodHRwczovL3d3dy5hZHByZW5zYS5jbC9wb2xpdGljYS9kaXB1dGFkYS1wYXVsYS1sYWJyYS1ybi1pbmQtc2Utb2ZyZWNlLXZvbHVudGFyaWEtYS1oYWNlci1lbC10ZXN0LWRlLWRyb2dhLWFudGUtbmVnYXRpdmEtZGUtYWxndW5vcy1wYXJsYW1lbnRhcmlvcy1kZS1jdW1wbGlyLWNvbi1yZXF1ZXJpbWllbnRvL9IBAA?hl=es-419&amp;gl=CL&amp;ceid=CL%3Aes-419" TargetMode="External"/><Relationship Id="rId67" Type="http://schemas.openxmlformats.org/officeDocument/2006/relationships/hyperlink" Target="https://news.google.com/articles/CBMijgFodHRwczovL3d3dy5hZHByZW5zYS5jbC9wb2xpdGljYS9kaXB1dGFkb3MtdWRpLWVsLWluZGgtc2UtdHJhbnNmb3Jtby1lbi11bi1wcm9ibGVtYS1wYXJhLWxhLWRlbW9jcmFjaWEtY3VhbmRvLWZ1ZS1jYXB0dXJhZG8tcG9yLWVsLXBjLXktZWwtZmEv0gEA?hl=es-419&amp;gl=CL&amp;ceid=CL%3Aes-419" TargetMode="External"/><Relationship Id="rId60" Type="http://schemas.openxmlformats.org/officeDocument/2006/relationships/hyperlink" Target="https://news.google.com/articles/CBMid2h0dHBzOi8vd3d3LmNvbmNpZXJ0by5jbC8yMDIyLzA2L2F2YW56YS1lbi1lbC1jb25ncmVzby1wcm95ZWN0by1kZS1sZXktcXVlLWJ1c2NhLWhhY2VyLXRlc3QtZGUtZHJvZ2FzLWEtcGFybGFtZW50YXJpb3Mv0gF7aHR0cHM6Ly93d3cuY29uY2llcnRvLmNsLzIwMjIvMDYvYXZhbnphLWVuLWVsLWNvbmdyZXNvLXByb3llY3RvLWRlLWxleS1xdWUtYnVzY2EtaGFjZXItdGVzdC1kZS1kcm9nYXMtYS1wYXJsYW1lbnRhcmlvcy9hbXAv?hl=es-419&amp;gl=CL&amp;ceid=CL%3Aes-419" TargetMode="External"/><Relationship Id="rId69" Type="http://schemas.openxmlformats.org/officeDocument/2006/relationships/hyperlink" Target="https://news.google.com/articles/CAIiEKDmpLcsVPpIyp9r-qayTcMqGQgEKhAIACoHCAowtaiWCzCoza0DMM6k7wY?uo=CAUivAFodHRwczovL3Zpdmltb3NsYW5vdGljaWEuY2wvbm90aWNpYXMvYWN0dWFsaWRhZC9wb2xpdGljYS8yMDIyLzA2LzIwL2RpcHV0YWRvLWZlbGlwZS1kb25vc28tZXhpZ2UtYWwtZ29iaWVybm8tcXVlLXNlLWFwbGlxdWUtdGVzdC1kZS1kcm9nYXMtYS1mdW5jaW9uYXJpb3MtZGVsLXBvZGVyLWxlZ2lzbGF0aXZvLXktZWplY3V0aXZvL9IBAA&amp;hl=es-419&amp;gl=CL&amp;ceid=CL%3Aes-419" TargetMode="External"/><Relationship Id="rId51" Type="http://schemas.openxmlformats.org/officeDocument/2006/relationships/hyperlink" Target="https://news.google.com/articles/CBMijgFodHRwczovL3d3dy5hZG5yYWRpby5jbC9lc3BlY3RhY3Vsb3MvMjAyMi8wNy8xNC9sb3MtdGVuZ28taWRlbnRpZmljYWRvcy1kb2N0b3JhLWNvcmRlcm8tYXJyZW1ldGUtY29udHJhLXBhcmxhbWVudGFyaW9zLXBvci10ZXN0LWRlLWRyb2dhcy5odG1s0gGUAWh0dHBzOi8vd3d3LmFkbnJhZGlvLmNsL2VzcGVjdGFjdWxvcy8yMDIyLzA3LzE0L2xvcy10ZW5nby1pZGVudGlmaWNhZG9zLWRvY3RvcmEtY29yZGVyby1hcnJlbWV0ZS1jb250cmEtcGFybGFtZW50YXJpb3MtcG9yLXRlc3QtZGUtZHJvZ2FzLmh0bWw_YW1wPTE?hl=es-419&amp;gl=CL&amp;ceid=CL%3Aes-419" TargetMode="External"/><Relationship Id="rId50" Type="http://schemas.openxmlformats.org/officeDocument/2006/relationships/hyperlink" Target="https://news.google.com/articles/CBMia2h0dHBzOi8vd3d3LjI0aG9yYXMuY2wvYWN0dWFsaWRhZC9wb2xpdGljYS90ZXN0LWRlLWRyb2dhcy1lbi1lbC1jb25ncmVzby1yZWdsYW1lbnRvLWZ1ZS1hcHJvYmFkby1lbi1nZW5lcmFs0gFraHR0cHM6Ly9hbXAuMjRob3Jhcy5jbC9hY3R1YWxpZGFkL3BvbGl0aWNhL3Rlc3QtZGUtZHJvZ2FzLWVuLWVsLWNvbmdyZXNvLXJlZ2xhbWVudG8tZnVlLWFwcm9iYWRvLWVuLWdlbmVyYWw?hl=es-419&amp;gl=CL&amp;ceid=CL%3Aes-419" TargetMode="External"/><Relationship Id="rId53" Type="http://schemas.openxmlformats.org/officeDocument/2006/relationships/hyperlink" Target="https://news.google.com/articles/CBMipAFodHRwczovL20uZWxtb3N0cmFkb3IuY2wvZGlhLzIwMjEvMTEvMDQvcHJlc3VwdWVzdG8tMjAyMi1jYW1hcmEtZGUtZGlwdXRhZG9zLWFwcnVlYmEtaW5kaWNhY2lvbi1kZS1sYS11ZGktcXVlLWRlc3RpbmEtcmVjdXJzb3MtcGFyYS10ZXN0LWRlLWRyb2dhcy1hLXBhcmxhbWVudGFyaW9zL9IBAA?hl=es-419&amp;gl=CL&amp;ceid=CL%3Aes-419" TargetMode="External"/><Relationship Id="rId52" Type="http://schemas.openxmlformats.org/officeDocument/2006/relationships/hyperlink" Target="https://news.google.com/articles/CAIiENGXiPIaj2SaxNbkbXzBMw8qMwgEKioIACIQ4UImbQs-dUT3WEeojnol4yoUCAoiEOFCJm0LPnVE91hHqI56JeMwgsPHBg?uo=CAUidGh0dHBzOi8vd3d3LmhlcmFsZG8uZXMvbm90aWNpYXMvaW50ZXJuYWNpb25hbC8yMDIyLzA5LzI4L2RpcHV0YWRvcy1jaGlsZW5vcy1kaWVyb24tbmVnYXRpdm8tdGVzdC1kcm9nYXMtMTYwMjQ0OS5odG1s0gEA&amp;hl=es-419&amp;gl=CL&amp;ceid=CL%3Aes-419" TargetMode="External"/><Relationship Id="rId55" Type="http://schemas.openxmlformats.org/officeDocument/2006/relationships/hyperlink" Target="https://news.google.com/articles/CAIiELTiXNR_wJX2t2jyO5BfPQIqMwgEKioIACIQ6COHnlHU784dI_DRPTSJdioUCAoiEOgjh55R1O_OHSPw0T00iXYwgcqIBw?uo=CAUiY2h0dHBzOi8vd3d3LnQxMy5jbC92aWRlb3MvcG9saXRpY2EvdmlkZW8tNzgtZGlwdXRhZG9zLWZ1ZXJvbi1zb3J0ZWFkb3MtaW5lZGl0by10ZXN0LWRyb2dhcy1jb25ncmVzb9IBAA&amp;hl=es-419&amp;gl=CL&amp;ceid=CL%3Aes-419" TargetMode="External"/><Relationship Id="rId54" Type="http://schemas.openxmlformats.org/officeDocument/2006/relationships/hyperlink" Target="https://news.google.com/articles/CBMiggFodHRwczovL20uZWxtb3N0cmFkb3IuY2wvZGlhLzIwMjIvMDgvMjIvcHJpbWVyYS1taW5pc3RyYS1kZS1maW5sYW5kaWEtZGEtbmVnYXRpdm8tZW4tdGVzdC1kZS1kcm9nYXMtcmVhbGl6YWRvLXRyYXMtcG9sZW1pY28tdmlkZW8v0gEA?hl=es-419&amp;gl=CL&amp;ceid=CL%3Aes-419" TargetMode="External"/><Relationship Id="rId57" Type="http://schemas.openxmlformats.org/officeDocument/2006/relationships/hyperlink" Target="https://news.google.com/articles/CAIiEKLW5ehN49_0_E1F3bP3SUgqMwgEKioIACIQ60V96zQIqyo0PPcLTMHd8ioUCAoiEOtFfes0CKsqNDz3C0zB3fIw8Y-IBw?uo=CAUiZmh0dHBzOi8vd3d3LjEzLmNsL3Byb2dyYW1hcy90dS1kaWEvbm90aWNpYXMvcGFybGFtZW50YXJpb3Mtc2UtcmVmaWVyZW4tYS10ZXN0LWRlLWRyb2dhcy1lbi1lbC1jb25ncmVzb9IBAA&amp;hl=es-419&amp;gl=CL&amp;ceid=CL%3Aes-419" TargetMode="External"/><Relationship Id="rId56" Type="http://schemas.openxmlformats.org/officeDocument/2006/relationships/hyperlink" Target="https://news.google.com/publications/CAAiEOtFfes0CKsqNDz3C0zB3fIqFAgKIhDrRX3rNAirKjQ89wtMwd3y?hl=es-419&amp;gl=CL&amp;ceid=CL%3Aes-419" TargetMode="External"/><Relationship Id="rId59" Type="http://schemas.openxmlformats.org/officeDocument/2006/relationships/hyperlink" Target="https://news.google.com/articles/CBMia2h0dHBzOi8vd3d3LnRoZWNsaW5pYy5jbC8yMDIyLzA4LzAxL2RpcHV0YWRhLWFuYS1tYXJpYS1nYXptdXJpLWNvbnN1bW8tY2FubmFiaXMtY3JpdGljYS10ZXN0LWRyb2dhcy1jYW1hcmEv0gFvaHR0cHM6Ly93d3cudGhlY2xpbmljLmNsLzIwMjIvMDgvMDEvZGlwdXRhZGEtYW5hLW1hcmlhLWdhem11cmktY29uc3Vtby1jYW5uYWJpcy1jcml0aWNhLXRlc3QtZHJvZ2FzLWNhbWFyYS9hbXAv?hl=es-419&amp;gl=CL&amp;ceid=CL%3Aes-419" TargetMode="External"/><Relationship Id="rId58" Type="http://schemas.openxmlformats.org/officeDocument/2006/relationships/hyperlink" Target="https://news.google.com/articles/CAIiEJtmJN8GjbZJKe1gFAKzlKIqMwgEKioIACIQVGcsbw39Ucci0s30uaM2FSoUCAoiEFRnLG8N_VHHItLN9LmjNhUwgpT2Bg?uo=CAUiigFodHRwczovL3d3dy5lbGRpbmFtby5jbC9wb2xpdGljYS9Qcm9wb25lbi1yZWFsaXphci10ZXN0LWRlLWRyb2dhcy15LWFsY29ob2wtYS1wZXJzb25hcy1xdWUtdHJhYmFqYW4tY29uLW1lbm9yZXMtZGUtZWRhZC0yMDIyMTAxMC0wMDEwLmh0bWzSAQA&amp;hl=es-419&amp;gl=CL&amp;ceid=CL%3Aes-419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google.com/articles/CAIiEAlZ-FHnstgayPz1b5JNa_EqGQgEKhAIACoHCAowwIGmCzCojL4DMMrejQc?uo=CAUijQFodHRwczovL3B1YmxpbWljcm8uY2wvZGVidXRvLWVzdGUtbHVuZXMtbGEtcmVuZGljaW9uLWRlLWxhLXBhZXMtZW4tdG9kby1jaGlsZS1leGFtZW4tcXVlLXJlZW1wbGF6YS1hLWxhLXBkdC1kZS10cmFuc2ljaW9uLXktYS1sYS1hbnRpZ3VhLXBzdS_SAQA&amp;hl=es-419&amp;gl=CL&amp;ceid=CL%3Aes-419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s://news.google.com/articles/CAIiEEJtJFYX_jfvCDuevIbl0vUqGQgEKhAIACoHCAowm52iCzDep7oDMPK32gc?uo=CAUifGh0dHBzOi8vd3d3LmVsbmFjaW9uYWwuY2F0L2VzL2ludGVybmFjaW9uYWwvcHJpbWVyYS1taW5pc3RyYS1maW5sYW5kaWEtc29tZXRlLXRlc3QtZHJvZ2FzLWxpbXBpYXItcmVwdXRhY2lvbl84NzExMDRfMTAyLmh0bWzSAQA&amp;hl=es-419&amp;gl=CL&amp;ceid=CL%3Aes-419" TargetMode="External"/><Relationship Id="rId43" Type="http://schemas.openxmlformats.org/officeDocument/2006/relationships/vmlDrawing" Target="../drawings/vmlDrawing2.vml"/><Relationship Id="rId31" Type="http://schemas.openxmlformats.org/officeDocument/2006/relationships/hyperlink" Target="https://news.google.com/articles/CAIiEPrdIvc1yjHrFnxwENTvQ_AqMwgEKioIACIQVGcsbw39Ucci0s30uaM2FSoUCAoiEFRnLG8N_VHHItLN9LmjNhUwgpT2Bg?uo=CAUimgFodHRwczovL3d3dy5lbGRpbmFtby5jbC9wb2xpdGljYS9EaXB1dGFkby1TYWV6LXJlYWZpcm1hLXN1LWNvbnN1bW8tZGUtbWFyaWh1YW5hLXktZGljZS1xdWUtdGVzdC1kZS1kcm9nYXMtZXMtcGlyb3RlY25pYS1wcm9wYWdhbmRpc3RpY2EtMjAyMjA4MTgtMDAxNi5odG1s0gEA&amp;hl=es-419&amp;gl=CL&amp;ceid=CL%3Aes-419" TargetMode="External"/><Relationship Id="rId30" Type="http://schemas.openxmlformats.org/officeDocument/2006/relationships/hyperlink" Target="https://news.google.com/articles/CAIiEGuyQIm2Q7XLJyBoKJJ_tewqGQgEKhAIACoHCAow292WCzCehK4DMJD3ywY?uo=CAUikAFodHRwczovL3d3dy5sYXRlcmNlcmEuY29tL2xhLXRlcmNlcmEtc2FiYWRvL25vdGljaWEvZXNjYW5lci1hLWpvc2UtbW9yYWxlcy1xdWUtcGllbnNhLWVsLWNhbmRpZGF0by1hLWZpc2NhbC1uYWNpb25hbC9XSkhGM1VRVVdKRU5MSVhPVkxSVk9YUjIyUS_SAQA&amp;hl=es-419&amp;gl=CL&amp;ceid=CL%3Aes-419" TargetMode="External"/><Relationship Id="rId33" Type="http://schemas.openxmlformats.org/officeDocument/2006/relationships/hyperlink" Target="https://news.google.com/articles/CAIiEErCdvxN0FruO-uMj6Gj7FwqGQgEKhAIACoHCAow54S1CzD0n8wDMITtywc?uo=CAUiigFodHRwczovL3d3dy5hbnRvZmFnYXN0YS50di9hbnRvZmFnYXN0YS90ZXN0LWRlLWRyb2dhcy1hLXRyZXMtcGFybGFtZW50YXJpby1kZS1sYS1yZWdpb24tZGUtYW50b2ZhZ2FzdGEvMjAyMi8wOC8zMC82MzBlOTA4ZmZhNDlkNTAwMGE1YjUwYmHSAQA&amp;hl=es-419&amp;gl=CL&amp;ceid=CL%3Aes-419" TargetMode="External"/><Relationship Id="rId32" Type="http://schemas.openxmlformats.org/officeDocument/2006/relationships/hyperlink" Target="https://news.google.com/articles/CAIiEDTpxbsMLDHVSQqVp15H0_kqMwgEKioIACIQVGcsbw39Ucci0s30uaM2FSoUCAoiEFRnLG8N_VHHItLN9LmjNhUwgpT2Bg?uo=CAUikQFodHRwczovL3d3dy5lbGRpbmFtby5jbC9wb2xpdGljYS9EaXB1dGFkb3MtYW1lbmF6YW4tY29uLWluc3RhbmNpYXMtaW50ZXJuYWNpb25hbGVzLXNpLXNlLXB1YmxpY2FuLXJlc3VsdGFkb3MtZGUtdGVzdC1kZS1kcm9nYXMtMjAyMjA5MjctMDAzNS5odG1s0gEA&amp;hl=es-419&amp;gl=CL&amp;ceid=CL%3Aes-419" TargetMode="External"/><Relationship Id="rId35" Type="http://schemas.openxmlformats.org/officeDocument/2006/relationships/hyperlink" Target="https://news.google.com/articles/CBMihAFodHRwczovL25vdGljaWFzLnVuYWIuY2wvcmFkaW8tYmlvLWJpby1lbnRyZXZpc3RhLWEtYWxlaWRhLWt1bGlrb2ZmLWFjYWRlbWljYS15LXRveGljb2xvZ2EtZGUtbGEtZXNjdWVsYS1kZS1xdWltaWNhLXktZmFybWFjaWEtdW5hYi_SAQA?hl=es-419&amp;gl=CL&amp;ceid=CL%3Aes-419" TargetMode="External"/><Relationship Id="rId34" Type="http://schemas.openxmlformats.org/officeDocument/2006/relationships/hyperlink" Target="https://news.google.com/articles/CBMikgFodHRwczovL3d3dy5kaWFyaW9jb25zdGl0dWNpb25hbC5jbC8yMDIyLzA5LzI3L2NvcnRlLWRlLXZhbHBhcmFpc28tcmVjaGF6YS1zb2xpY2l0dWQtZGUtZGljdGFyLW9yZGVuLWRlLW5vLWlubm92YXItcG9yLXRlc3QtZGUtZHJvZ2FzLWEtZGlwdXRhZG9zL9IBAA?hl=es-419&amp;gl=CL&amp;ceid=CL%3Aes-419" TargetMode="External"/><Relationship Id="rId37" Type="http://schemas.openxmlformats.org/officeDocument/2006/relationships/hyperlink" Target="https://news.google.com/articles/CBMilQFodHRwczovL3d3dy5hc2lhbmV3cy5pdC9ub3RpY2lhcy1lcy9BbmthcmE6LUVsLWwlQzMlQURkZXItZGUtbGEtb3Bvc2ljaSVDMyVCM24tZXMtbGEtcHJpbWVyYS12JUMzJUFEY3RpbWEtZGUtbGEtbGV5LWRlLWRlc2luZm9ybWFjaSVDMyVCM24tNTcwMjcuaHRtbNIBAA?hl=es-419&amp;gl=CL&amp;ceid=CL%3Aes-419" TargetMode="External"/><Relationship Id="rId36" Type="http://schemas.openxmlformats.org/officeDocument/2006/relationships/hyperlink" Target="https://news.google.com/articles/CAIiEN79dDtd7J_WLEkPzBQiGD0qMwgEKioIACIQVGcsbw39Ucci0s30uaM2FSoUCAoiEFRnLG8N_VHHItLN9LmjNhUwhZT2Bg?uo=CAUikQFodHRwczovL3d3dy5lbGRpbmFtby5jbC9lbnRyZXRlbmNpb24vTm8tdm95LWEtc2F0YW5pemFyLWVsLWNvbnN1bW8tZGUtZHJvZ2FzLUpvc2UtQW50b25pby1OZW1lLWFkbWl0aW8taGFiZXItcHJvYmFkby1tYXJpaHVhbmEtMjAyMjA2MTYtMDAyOC5odG1s0gEA&amp;hl=es-419&amp;gl=CL&amp;ceid=CL%3Aes-419" TargetMode="External"/><Relationship Id="rId39" Type="http://schemas.openxmlformats.org/officeDocument/2006/relationships/hyperlink" Target="https://news.google.com/articles/CBMiqQFodHRwczovL2VscGFpcy5jb20vZXNwYW5hLzIwMjItMDktMjIvZWwtcHNvZS15LXN1cy1zb2Npb3MtcGFybGFtZW50YXJpb3MtYWN1ZXJkYW4tc3VzdGl0dWlyLWxhcy1tdWx0YXMtcG9yLWNvbnN1bWlyLWRyb2dhLWVuLWxhLWNhbGxlLXBvci1hY3RpdmlkYWRlcy1kZS1yZWVkdWNhY2lvbi5odG1s0gG4AWh0dHBzOi8vZWxwYWlzLmNvbS9lc3BhbmEvMjAyMi0wOS0yMi9lbC1wc29lLXktc3VzLXNvY2lvcy1wYXJsYW1lbnRhcmlvcy1hY3VlcmRhbi1zdXN0aXR1aXItbGFzLW11bHRhcy1wb3ItY29uc3VtaXItZHJvZ2EtZW4tbGEtY2FsbGUtcG9yLWFjdGl2aWRhZGVzLWRlLXJlZWR1Y2FjaW9uLmh0bWw_b3V0cHV0VHlwZT1hbXA?hl=es-419&amp;gl=CL&amp;ceid=CL%3Aes-419" TargetMode="External"/><Relationship Id="rId38" Type="http://schemas.openxmlformats.org/officeDocument/2006/relationships/hyperlink" Target="https://news.google.com/articles/CBMikAFodHRwczovL2Nvb3BlcmF0aXZhLmNsL25vdGljaWFzL3NvY2llZGFkL3NhbHVkL2Ryb2dhcy9kaXB1dGFkYS1nYXptdXJpLXRhbWJpZW4tZnVtby15LW5vLW1lLWF2ZXJndWVuem8tY3VsdGl2by1wbGFudGFzLWVuLzIwMjItMDgtMDEvMDg1ODQxLmh0bWzSAVRodHRwczovL3d3dy5jb29wZXJhdGl2YS5jbC9ub3RpY2lhcy9zaXRlL2FydGljLzIwMjIwODAxL3BhZ3MtYW1wLzIwMjIwODAxMDg1ODQxLmh0bWw?hl=es-419&amp;gl=CL&amp;ceid=CL%3Aes-419" TargetMode="External"/><Relationship Id="rId20" Type="http://schemas.openxmlformats.org/officeDocument/2006/relationships/hyperlink" Target="https://news.google.com/publications/CAAqBwgKMNvdlgswnoSuAw?hl=es-419&amp;gl=CL&amp;ceid=CL%3Aes-419" TargetMode="External"/><Relationship Id="rId22" Type="http://schemas.openxmlformats.org/officeDocument/2006/relationships/hyperlink" Target="https://news.google.com/publications/CAAqBwgKMNvdlgswnoSuAw?hl=es-419&amp;gl=CL&amp;ceid=CL%3Aes-419" TargetMode="External"/><Relationship Id="rId21" Type="http://schemas.openxmlformats.org/officeDocument/2006/relationships/hyperlink" Target="https://news.google.com/articles/CAIiEGg7ssmAU7h1BbQYxqGvoy8qGQgEKhAIACoHCAow292WCzCehK4DMJD3ywY?uo=CAUihwFodHRwczovL3d3dy5sYXRlcmNlcmEuY29tL2Vhcmx5YWNjZXNzL25vdGljaWEvZWwtdHJhbmNlLWluY29tb2RvLWRlbC1mcmVudGUtYW1wbGlvLWZyZW50ZS1hbC10ZXN0LWRlLWRyb2dhcy9IWEQ1VFpXQ1RKRzZYT1JUT0VRWVJDWUo2VS_SAQA&amp;hl=es-419&amp;gl=CL&amp;ceid=CL%3Aes-419" TargetMode="External"/><Relationship Id="rId24" Type="http://schemas.openxmlformats.org/officeDocument/2006/relationships/hyperlink" Target="https://news.google.com/articles/CBMipQFodHRwczovL3d3dy5iaW9iaW9jaGlsZS5jbC9ub3RpY2lhcy9uYWNpb25hbC9jaGlsZS8yMDIyLzA4LzMxL3Rlc3QtZGUtZHJvZ2FzLWNhbWFyYS1iYWphLWV4dGllbmRlLXBsYXpvLXBhcmEtcXVlLTc4LXBhcmxhbWVudGFyaW9zLXNvcnRlYWRvcy1zZS1yZWFsaWNlbi1leGFtZW4uc2h0bWzSAakBaHR0cHM6Ly93d3cuYmlvYmlvY2hpbGUuY2wvbm90aWNpYXMvbmFjaW9uYWwvY2hpbGUvMjAyMi8wOC8zMS9hbXAvdGVzdC1kZS1kcm9nYXMtY2FtYXJhLWJhamEtZXh0aWVuZGUtcGxhem8tcGFyYS1xdWUtNzgtcGFybGFtZW50YXJpb3Mtc29ydGVhZG9zLXNlLXJlYWxpY2VuLWV4YW1lbi5zaHRtbA?hl=es-419&amp;gl=CL&amp;ceid=CL%3Aes-419" TargetMode="External"/><Relationship Id="rId23" Type="http://schemas.openxmlformats.org/officeDocument/2006/relationships/hyperlink" Target="https://news.google.com/articles/CAIiEGw26FCI2G4rH04p1uLkhbUqGQgEKhAIACoHCAow292WCzCehK4DMJD3ywY?uo=CAUivwFodHRwczovL3d3dy5sYXRlcmNlcmEuY29tL3BvbGl0aWNhL25vdGljaWEvY29taXNpb24tZGUtZXRpY2EtZGUtbGEtY2FtYXJhLW5vLWxsZWdhLWEtYWN1ZXJkby1lbi1sYXMtc2FuY2lvbmVzLXBhcmEtZGlwdXRhZG9zLXF1ZS1uby1zZS1yZWFsaXphcm9uLWVsLXRlc3QtZGUtZHJvZ2FzL05TWE9IWk9LNFZIVUJES1lJS1NWWFpSN0lBL9IBAA&amp;hl=es-419&amp;gl=CL&amp;ceid=CL%3Aes-419" TargetMode="External"/><Relationship Id="rId26" Type="http://schemas.openxmlformats.org/officeDocument/2006/relationships/hyperlink" Target="https://news.google.com/articles/CBMiggFodHRwczovL20uZWxtb3N0cmFkb3IuY2wvZGlhLzIwMjIvMDgvMjIvcHJpbWVyYS1taW5pc3RyYS1kZS1maW5sYW5kaWEtZGEtbmVnYXRpdm8tZW4tdGVzdC1kZS1kcm9nYXMtcmVhbGl6YWRvLXRyYXMtcG9sZW1pY28tdmlkZW8v0gEA?hl=es-419&amp;gl=CL&amp;ceid=CL%3Aes-419" TargetMode="External"/><Relationship Id="rId25" Type="http://schemas.openxmlformats.org/officeDocument/2006/relationships/hyperlink" Target="https://news.google.com/articles/CBMiVWh0dHBzOi8vd3d3LnBhdXRhLmNsL3BvbGl0aWNhL2NhbWlsYS1mbG9yZXMtcm4tdGVzdC1kZS1kcm9nYXMtZGlwdXRhZG9zLWNvbnN1bW8tZHJvZ2HSAQA?hl=es-419&amp;gl=CL&amp;ceid=CL%3Aes-419" TargetMode="External"/><Relationship Id="rId28" Type="http://schemas.openxmlformats.org/officeDocument/2006/relationships/hyperlink" Target="https://news.google.com/articles/CAIiEJUQDylNk3yZworyrnAQF0EqGQgEKhAIACoHCAow7qmcCzCCtLQDMNrEggc?uo=CAUimQFodHRwczovL3d3dy5wdWJsaW1ldHJvLmNsL25vdGljaWFzLzIwMjIvMDgvMTgvcHJpbWVyYS1kaXB1dGFkYS1xdWUtbm8tcXVpZXJlLXJlYWxpemFyc2UtdGVzdC1kZS1kcm9nYXMtZWwtcHJvY2VkaW1pZW50by1oYS1pbmZyaW5naWRvLW51ZXN0cmEtcHJpdmFjaWRhZC_SAQA&amp;hl=es-419&amp;gl=CL&amp;ceid=CL%3Aes-419" TargetMode="External"/><Relationship Id="rId27" Type="http://schemas.openxmlformats.org/officeDocument/2006/relationships/hyperlink" Target="https://news.google.com/articles/CAIiENGXiPIaj2SaxNbkbXzBMw8qMwgEKioIACIQ4UImbQs-dUT3WEeojnol4yoUCAoiEOFCJm0LPnVE91hHqI56JeMwgsPHBg?uo=CAUidGh0dHBzOi8vd3d3LmhlcmFsZG8uZXMvbm90aWNpYXMvaW50ZXJuYWNpb25hbC8yMDIyLzA5LzI4L2RpcHV0YWRvcy1jaGlsZW5vcy1kaWVyb24tbmVnYXRpdm8tdGVzdC1kcm9nYXMtMTYwMjQ0OS5odG1s0gEA&amp;hl=es-419&amp;gl=CL&amp;ceid=CL%3Aes-419" TargetMode="External"/><Relationship Id="rId29" Type="http://schemas.openxmlformats.org/officeDocument/2006/relationships/hyperlink" Target="https://news.google.com/publications/CAAqBwgKMNvdlgswnoSuAw?hl=es-419&amp;gl=CL&amp;ceid=CL%3Aes-419" TargetMode="External"/><Relationship Id="rId11" Type="http://schemas.openxmlformats.org/officeDocument/2006/relationships/hyperlink" Target="https://news.google.com/articles/CBMihgFodHRwczovL20uZWxtb3N0cmFkb3IuY2wvZGlhLzIwMjIvMDgvMjIvY29tZW56by1hcGxpY2FjaW9uLWRlLXRlc3QtZGUtZHJvZ2FzLWEtcGFybGFtZW50YXJpb3MtcmVzdWx0YWRvcy1kZW1vcmFyYW4tZW50cmUtMTAtYS0xNS1kaWFzL9IBAA?hl=es-419&amp;gl=CL&amp;ceid=CL%3Aes-419" TargetMode="External"/><Relationship Id="rId10" Type="http://schemas.openxmlformats.org/officeDocument/2006/relationships/hyperlink" Target="https://news.google.com/articles/CBMilwFodHRwczovL2VscGFpcy5jb20vY2hpbGUvMjAyMi0wOC0xOC90ZXN0LWRlLWRyb2dhcy1lbi1lbC1jb25ncmVzby1kZS1jaGlsZS1sb3MtcGFybGFtZW50YXJpb3Mtc2Utc29tZXRlbi1hLWFuYWxpc2lzLWRlbC1wZWxvLXBhcmEtZGV0ZWN0YXItY29uc3Vtby5odG1s0gGmAWh0dHBzOi8vZWxwYWlzLmNvbS9jaGlsZS8yMDIyLTA4LTE4L3Rlc3QtZGUtZHJvZ2FzLWVuLWVsLWNvbmdyZXNvLWRlLWNoaWxlLWxvcy1wYXJsYW1lbnRhcmlvcy1zZS1zb21ldGVuLWEtYW5hbGlzaXMtZGVsLXBlbG8tcGFyYS1kZXRlY3Rhci1jb25zdW1vLmh0bWw_b3V0cHV0VHlwZT1hbXA?hl=es-419&amp;gl=CL&amp;ceid=CL%3Aes-419" TargetMode="External"/><Relationship Id="rId13" Type="http://schemas.openxmlformats.org/officeDocument/2006/relationships/hyperlink" Target="https://news.google.com/articles/CAIiEAEM9XjeAaPG8iZhawMVxBwqGQgEKhAIACoHCAow292WCzCehK4DMJD3ywY?uo=CAUisQFodHRwczovL3d3dy5sYXRlcmNlcmEuY29tL2xhLXRlcmNlcmEtcG0vbm90aWNpYS9zdXNwZW5zby1lbi1sYS1jYW1hcmEtcmVzdWx0YWRvcy1kZS1wcmltZXJvcy10ZXN0LWRlLWRyb2dhcy1hLWRpcHV0YWRvcy1zZS1jb25vY2VyYW4tZWwtcHJveGltby1sdW5lcy8yRUtERFpLRVJGRFZIRVpLWTNDREpFRVFIUS_SAQA&amp;hl=es-419&amp;gl=CL&amp;ceid=CL%3Aes-419" TargetMode="External"/><Relationship Id="rId12" Type="http://schemas.openxmlformats.org/officeDocument/2006/relationships/hyperlink" Target="https://news.google.com/publications/CAAqBwgKMNvdlgswnoSuAw?hl=es-419&amp;gl=CL&amp;ceid=CL%3Aes-419" TargetMode="External"/><Relationship Id="rId15" Type="http://schemas.openxmlformats.org/officeDocument/2006/relationships/hyperlink" Target="https://news.google.com/articles/CBMikgFodHRwczovL3d3dy5iaW9iaW9jaGlsZS5jbC9ub3RpY2lhcy9uYWNpb25hbC9jaGlsZS8yMDIyLzA4LzI5L3Rlc3QtZGUtZHJvZ2FzLWRpcHV0YWRvcy1vZmljaWFsaXN0YXMtYWN1c2FuLW1hbmlvYnJhLXBvbGl0aWNhLWRlLWxhLW9wb3NpY2lvbi5zaHRtbNIBlgFodHRwczovL3d3dy5iaW9iaW9jaGlsZS5jbC9ub3RpY2lhcy9uYWNpb25hbC9jaGlsZS8yMDIyLzA4LzI5L2FtcC90ZXN0LWRlLWRyb2dhcy1kaXB1dGFkb3Mtb2ZpY2lhbGlzdGFzLWFjdXNhbi1tYW5pb2JyYS1wb2xpdGljYS1kZS1sYS1vcG9zaWNpb24uc2h0bWw?hl=es-419&amp;gl=CL&amp;ceid=CL%3Aes-419" TargetMode="External"/><Relationship Id="rId14" Type="http://schemas.openxmlformats.org/officeDocument/2006/relationships/hyperlink" Target="https://news.google.com/articles/CBMimQFodHRwczovL3d3dy5iaW9iaW9jaGlsZS5jbC9ub3RpY2lhcy9uYWNpb25hbC9jaGlsZS8yMDIyLzA3LzEzL3Jlc3VsdGFkb3Mtc2VyYW4tcHVibGljb3MtY2FtYXJhLWFwcnVlYmEtYXBsaWNhci10ZXN0LWRlLWRyb2dhLWFsZWF0b3Jpb3MtYS1kaXB1dGFkb3Muc2h0bWzSAZ0BaHR0cHM6Ly93d3cuYmlvYmlvY2hpbGUuY2wvbm90aWNpYXMvbmFjaW9uYWwvY2hpbGUvMjAyMi8wNy8xMy9hbXAvcmVzdWx0YWRvcy1zZXJhbi1wdWJsaWNvcy1jYW1hcmEtYXBydWViYS1hcGxpY2FyLXRlc3QtZGUtZHJvZ2EtYWxlYXRvcmlvcy1hLWRpcHV0YWRvcy5zaHRtbA?hl=es-419&amp;gl=CL&amp;ceid=CL%3Aes-419" TargetMode="External"/><Relationship Id="rId17" Type="http://schemas.openxmlformats.org/officeDocument/2006/relationships/hyperlink" Target="https://news.google.com/publications/CAAqBwgKMNvdlgswnoSuAw?hl=es-419&amp;gl=CL&amp;ceid=CL%3Aes-419" TargetMode="External"/><Relationship Id="rId16" Type="http://schemas.openxmlformats.org/officeDocument/2006/relationships/hyperlink" Target="https://news.google.com/articles/CBMiYWh0dHBzOi8vd3d3LnBhdXRhLmNsL2ZhY3RjaGVja2luZy9lbC1jb250ZXN0YWRvZy90ZXN0LWRlLXBlbG8tZHJvZ2FzLWNhbWFyYS1kaXB1dGFkb3MtZWZlY3RpdmlkYWTSAQA?hl=es-419&amp;gl=CL&amp;ceid=CL%3Aes-419" TargetMode="External"/><Relationship Id="rId19" Type="http://schemas.openxmlformats.org/officeDocument/2006/relationships/hyperlink" Target="https://news.google.com/articles/CBMingFodHRwczovL3d3dy5iaW9iaW9jaGlsZS5jbC9ub3RpY2lhcy9uYWNpb25hbC9jaGlsZS8yMDIyLzA4LzE4L25lY2VzYXJpby1zaG93LXktZXh0ZW5kZXJsby1hbC1nb2JpZXJuby1sYXMtcmVhY2Npb25lcy1kZS1wYXJsYW1lbnRhcmlvcy1hbC10ZXN0LWRlLWRyb2dhcy5zaHRtbNIBogFodHRwczovL3d3dy5iaW9iaW9jaGlsZS5jbC9ub3RpY2lhcy9uYWNpb25hbC9jaGlsZS8yMDIyLzA4LzE4L2FtcC9uZWNlc2FyaW8tc2hvdy15LWV4dGVuZGVybG8tYWwtZ29iaWVybm8tbGFzLXJlYWNjaW9uZXMtZGUtcGFybGFtZW50YXJpb3MtYWwtdGVzdC1kZS1kcm9nYXMuc2h0bWw?hl=es-419&amp;gl=CL&amp;ceid=CL%3Aes-419" TargetMode="External"/><Relationship Id="rId18" Type="http://schemas.openxmlformats.org/officeDocument/2006/relationships/hyperlink" Target="https://news.google.com/articles/CAIiELiqL-aQMceDR4BtBaKAtycqGQgEKhAIACoHCAow292WCzCehK4DMJD3ywY?uo=CAUivAFodHRwczovL3d3dy5sYXRlcmNlcmEuY29tL3BvbGl0aWNhL25vdGljaWEvdGVzdC1kZS1kcm9nYXMtZGlwdXRhZG9zLXF1ZS1uby1zZS1yZWFsaXphcm9uLWxhLXBydWViYS1lbnRyZWdhcm9uLXN1cy1kZXNjYXJnb3MtZW4tbGEtY29taXNpb24tZGUtZXRpY2EtZGUtbGEtY2FtYXJhL09GVkpFV1VUVU5IU0hOUENVTjRGQzMzTTVFL9IBAA&amp;hl=es-419&amp;gl=CL&amp;ceid=CL%3Aes-419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news.google.com/publications/CAAqBwgKMNvdlgswnoSuAw?hl=es-419&amp;gl=CL&amp;ceid=CL%3Aes-419" TargetMode="External"/><Relationship Id="rId3" Type="http://schemas.openxmlformats.org/officeDocument/2006/relationships/hyperlink" Target="https://news.google.com/articles/CAIiEPbJikIFyIanSyvgf0lOXUwqGQgEKhAIACoHCAow292WCzCehK4DMMmewAM?uo=CAUiuAFodHRwczovL3d3dy5sYXRlcmNlcmEuY29tL3BvbGl0aWNhL25vdGljaWEvdGVzdC1kZS1kcm9nYXMtc2VndW5kby1ncnVwby1kZS1kaXB1dGFkb3Mtbm8tYXJyb2phLXBvc2l0aXZvcy15LWRvcy1wYXJsYW1lbnRhcmlhcy1uby1zZS1wcmVzZW50YXJvbi1hLWxhLW11ZXN0cmEvSlhWRU5IWjIzTkY1Uk5NNzdNNjNISUFSNFEv0gEA&amp;hl=es-419&amp;gl=CL&amp;ceid=CL%3Aes-419" TargetMode="External"/><Relationship Id="rId4" Type="http://schemas.openxmlformats.org/officeDocument/2006/relationships/hyperlink" Target="https://news.google.com/articles/CBMib2h0dHBzOi8vd3d3LnN3aXNzaW5mby5jaC9zcGEvY2hpbGUtcGFybGFtZW50b19kaXB1dGFkb3MtY2hpbGVub3MtZGFuLW5lZ2F0aXZvLWEtc2VndW5kby10ZXN0LWRlLWRyb2dhcy80ODA1ODY4MtIBAA?hl=es-419&amp;gl=CL&amp;ceid=CL%3Aes-419" TargetMode="External"/><Relationship Id="rId9" Type="http://schemas.openxmlformats.org/officeDocument/2006/relationships/hyperlink" Target="https://news.google.com/stories/CAAqNggKIjBDQklTSGpvSmMzUnZjbmt0TXpZd1NoRUtEd2lSZ3FydkJSRmlPQnE0VGdQY3lpZ0FQAQ?hl=es-419&amp;gl=CL&amp;ceid=CL%3Aes-419" TargetMode="External"/><Relationship Id="rId5" Type="http://schemas.openxmlformats.org/officeDocument/2006/relationships/hyperlink" Target="https://news.google.com/stories/CAAqNggKIjBDQklTSGpvSmMzUnZjbmt0TXpZd1NoRUtEd2pIOHJxVkJoRk5GeWI4S1hvY0ppZ0FQAQ?hl=es-419&amp;gl=CL&amp;ceid=CL%3Aes-419" TargetMode="External"/><Relationship Id="rId6" Type="http://schemas.openxmlformats.org/officeDocument/2006/relationships/hyperlink" Target="https://news.google.com/publications/CAAqBwgKMNvdlgswnoSuAw?hl=es-419&amp;gl=CL&amp;ceid=CL%3Aes-419" TargetMode="External"/><Relationship Id="rId7" Type="http://schemas.openxmlformats.org/officeDocument/2006/relationships/hyperlink" Target="https://news.google.com/articles/CAIiEPowecoDUtTAd7zbci7V60wqGQgEKhAIACoHCAow292WCzCehK4DMMmewAM?uo=CAUimAFodHRwczovL3d3dy5sYXRlcmNlcmEuY29tL3BvbGl0aWNhL25vdGljaWEvZGlwdXRhZG9zLXJlY2liaWVyb24taG95LWV4YW1lbmVzLWRlLXRlc3QtZGUtZHJvZ2FzLW5vLWhhYnJpYW4tbXVlc3RyYXMtcG9zaXRpdmFzL1k1TTVHN0VVR1ZBSjVNTjNUVlk3NVYyUEJVL9IBAA&amp;hl=es-419&amp;gl=CL&amp;ceid=CL%3Aes-419" TargetMode="External"/><Relationship Id="rId8" Type="http://schemas.openxmlformats.org/officeDocument/2006/relationships/hyperlink" Target="https://news.google.com/articles/CBMipwFodHRwczovL3d3dy5iaW9iaW9jaGlsZS5jbC9ub3RpY2lhcy9uYWNpb25hbC9jaGlsZS8yMDIyLzA5LzI4L25pbmd1bi1kaXB1dGFkby1oYWJyaWEtZGFkby1wb3NpdGl2by1hLWRyb2dhcy1kdXJhcy10cmFzLXNvbWV0ZXJzZS1hLXRlc3QtdHJlcy1zZS1uZWdhcm9uLWFsLWV4YW1lbi5zaHRtbNIBqwFodHRwczovL3d3dy5iaW9iaW9jaGlsZS5jbC9ub3RpY2lhcy9uYWNpb25hbC9jaGlsZS8yMDIyLzA5LzI4L2FtcC9uaW5ndW4tZGlwdXRhZG8taGFicmlhLWRhZG8tcG9zaXRpdm8tYS1kcm9nYXMtZHVyYXMtdHJhcy1zb21ldGVyc2UtYS10ZXN0LXRyZXMtc2UtbmVnYXJvbi1hbC1leGFtZW4uc2h0bWw?hl=es-419&amp;gl=CL&amp;ceid=CL%3Aes-419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google.com/publications/CAAiEOtFfes0CKsqNDz3C0zB3fIqFAgKIhDrRX3rNAirKjQ89wtMwd3y?hl=es-419&amp;gl=CL&amp;ceid=CL%3Aes-419" TargetMode="External"/><Relationship Id="rId42" Type="http://schemas.openxmlformats.org/officeDocument/2006/relationships/hyperlink" Target="https://news.google.com/articles/CBMipAFodHRwczovL20uZWxtb3N0cmFkb3IuY2wvZGlhLzIwMjEvMTEvMDQvcHJlc3VwdWVzdG8tMjAyMi1jYW1hcmEtZGUtZGlwdXRhZG9zLWFwcnVlYmEtaW5kaWNhY2lvbi1kZS1sYS11ZGktcXVlLWRlc3RpbmEtcmVjdXJzb3MtcGFyYS10ZXN0LWRlLWRyb2dhcy1hLXBhcmxhbWVudGFyaW9zL9IBAA?hl=es-419&amp;gl=CL&amp;ceid=CL%3Aes-419" TargetMode="External"/><Relationship Id="rId41" Type="http://schemas.openxmlformats.org/officeDocument/2006/relationships/hyperlink" Target="https://news.google.com/articles/CAIiEKLW5ehN49_0_E1F3bP3SUgqMwgEKioIACIQ60V96zQIqyo0PPcLTMHd8ioUCAoiEOtFfes0CKsqNDz3C0zB3fIw8Y-IBw?uo=CAUiZmh0dHBzOi8vd3d3LjEzLmNsL3Byb2dyYW1hcy90dS1kaWEvbm90aWNpYXMvcGFybGFtZW50YXJpb3Mtc2UtcmVmaWVyZW4tYS10ZXN0LWRlLWRyb2dhcy1lbi1lbC1jb25ncmVzb9IBAA&amp;hl=es-419&amp;gl=CL&amp;ceid=CL%3Aes-419" TargetMode="External"/><Relationship Id="rId44" Type="http://schemas.openxmlformats.org/officeDocument/2006/relationships/hyperlink" Target="https://news.google.com/articles/CBMiVWh0dHBzOi8vd3d3LnBhdXRhLmNsL3BvbGl0aWNhL2NhbWlsYS1mbG9yZXMtcm4tdGVzdC1kZS1kcm9nYXMtZGlwdXRhZG9zLWNvbnN1bW8tZHJvZ2HSAQA?hl=es-419&amp;gl=CL&amp;ceid=CL%3Aes-419" TargetMode="External"/><Relationship Id="rId43" Type="http://schemas.openxmlformats.org/officeDocument/2006/relationships/hyperlink" Target="https://news.google.com/articles/CBMia2h0dHBzOi8vd3d3LjI0aG9yYXMuY2wvYWN0dWFsaWRhZC9wb2xpdGljYS90ZXN0LWRlLWRyb2dhcy1lbi1lbC1jb25ncmVzby1yZWdsYW1lbnRvLWZ1ZS1hcHJvYmFkby1lbi1nZW5lcmFs0gFraHR0cHM6Ly9hbXAuMjRob3Jhcy5jbC9hY3R1YWxpZGFkL3BvbGl0aWNhL3Rlc3QtZGUtZHJvZ2FzLWVuLWVsLWNvbmdyZXNvLXJlZ2xhbWVudG8tZnVlLWFwcm9iYWRvLWVuLWdlbmVyYWw?hl=es-419&amp;gl=CL&amp;ceid=CL%3Aes-419" TargetMode="External"/><Relationship Id="rId46" Type="http://schemas.openxmlformats.org/officeDocument/2006/relationships/hyperlink" Target="https://news.google.com/articles/CBMiYWh0dHBzOi8vd3d3LnBhdXRhLmNsL2ZhY3RjaGVja2luZy9lbC1jb250ZXN0YWRvZy90ZXN0LWRlLXBlbG8tZHJvZ2FzLWNhbWFyYS1kaXB1dGFkb3MtZWZlY3RpdmlkYWTSAQA?hl=es-419&amp;gl=CL&amp;ceid=CL%3Aes-419" TargetMode="External"/><Relationship Id="rId45" Type="http://schemas.openxmlformats.org/officeDocument/2006/relationships/hyperlink" Target="https://news.google.com/articles/CBMijgFodHRwczovL3d3dy5hZG5yYWRpby5jbC9lc3BlY3RhY3Vsb3MvMjAyMi8wNy8xNC9sb3MtdGVuZ28taWRlbnRpZmljYWRvcy1kb2N0b3JhLWNvcmRlcm8tYXJyZW1ldGUtY29udHJhLXBhcmxhbWVudGFyaW9zLXBvci10ZXN0LWRlLWRyb2dhcy5odG1s0gGUAWh0dHBzOi8vd3d3LmFkbnJhZGlvLmNsL2VzcGVjdGFjdWxvcy8yMDIyLzA3LzE0L2xvcy10ZW5nby1pZGVudGlmaWNhZG9zLWRvY3RvcmEtY29yZGVyby1hcnJlbWV0ZS1jb250cmEtcGFybGFtZW50YXJpb3MtcG9yLXRlc3QtZGUtZHJvZ2FzLmh0bWw_YW1wPTE?hl=es-419&amp;gl=CL&amp;ceid=CL%3Aes-419" TargetMode="External"/><Relationship Id="rId107" Type="http://schemas.openxmlformats.org/officeDocument/2006/relationships/hyperlink" Target="https://news.google.com/articles/CAIiECBOI62Pejc_QGCdibvVHSgqGQgEKhAIACoHCAowwIGmCzCojL4DMMrejQc?uo=CAUipgFodHRwczovL3B1YmxpbWljcm8uY2wvZW5jdWVzdGEtY3JpdGVyaWEtY2hpbGVub3Mtc2UtaW5jbGluYW4tZW4tdW4tNzAtbWFzLXBvci1sYS1zZWd1cmlkYWQtcXVlLXBvci1zb2JyZS1saWJlcnRhZC1hLWxhLWN1YWwtbGUtZGFuLXNvbG8tdW4tMzItZGUtdmFsb3ItcG9yLWVzdG9zLWRpYXMv0gEA&amp;hl=es-419&amp;gl=CL&amp;ceid=CL%3Aes-419" TargetMode="External"/><Relationship Id="rId106" Type="http://schemas.openxmlformats.org/officeDocument/2006/relationships/hyperlink" Target="https://news.google.com/articles/CAIiEAf02_k-FWJHq2H64RUUBC4qMwgEKioIACIQVGcsbw39Ucci0s30uaM2FSoUCAoiEFRnLG8N_VHHItLN9LmjNhUwgpT2Bg?uo=CAUihwFodHRwczovL3d3dy5lbGRpbmFtby5jbC9wb2xpdGljYS9DYW1hcmEtZGVudW5jaWEtYW1lbmF6YXMtY29udHJhLWRpcHV0YWRvcy1wb3ItY29udGludWlkYWQtZGVsLXByb2Nlc28tY29uc3RpdHV5ZW50ZS0yMDIyMDkxMS0wMDAxLmh0bWzSAQA&amp;hl=es-419&amp;gl=CL&amp;ceid=CL%3Aes-419" TargetMode="External"/><Relationship Id="rId105" Type="http://schemas.openxmlformats.org/officeDocument/2006/relationships/hyperlink" Target="https://news.google.com/articles/CBMiXmh0dHBzOi8vd3d3LmxhZGlzY3VzaW9uLmNsL2J1bG5lcy1lcXVpcG8tbXVuaWNpcGFsLXNlLXNvbWV0aW8tYS1leGFtZW4tZGUtZGV0ZWNjaW9uLWRlLWRyb2dhcy_SAQA?hl=es-419&amp;gl=CL&amp;ceid=CL%3Aes-419" TargetMode="External"/><Relationship Id="rId104" Type="http://schemas.openxmlformats.org/officeDocument/2006/relationships/hyperlink" Target="https://news.google.com/articles/CAIiEEJtJFYX_jfvCDuevIbl0vUqGQgEKhAIACoHCAowm52iCzDep7oDMPK32gc?uo=CAUifGh0dHBzOi8vd3d3LmVsbmFjaW9uYWwuY2F0L2VzL2ludGVybmFjaW9uYWwvcHJpbWVyYS1taW5pc3RyYS1maW5sYW5kaWEtc29tZXRlLXRlc3QtZHJvZ2FzLWxpbXBpYXItcmVwdXRhY2lvbl84NzExMDRfMTAyLmh0bWzSAQA&amp;hl=es-419&amp;gl=CL&amp;ceid=CL%3Aes-419" TargetMode="External"/><Relationship Id="rId109" Type="http://schemas.openxmlformats.org/officeDocument/2006/relationships/hyperlink" Target="https://news.google.com/articles/CAIiEEt7j4z18oCErdyKnLqt3GIqGQgEKhAIACoHCAowtaiWCzCoza0DMKOQyQY?uo=CAUimwFodHRwczovL3Zpdmltb3NsYW5vdGljaWEuY2wvbm90aWNpYXMvYWN0dWFsaWRhZC9wb2xpdGljYS8yMDIyLzA5LzI4L2RpcHV0YWRvLWZyYW5jaXNjby1wdWxnYXIteS10ZXN0LWRlLWRyb2dhcy1lcy11bi1ncmFuLXBhc28tZW4tbWF0ZXJpYS1kZS10cmFuc3BhcmVuY2lhL9IBAA&amp;hl=es-419&amp;gl=CL&amp;ceid=CL%3Aes-419" TargetMode="External"/><Relationship Id="rId108" Type="http://schemas.openxmlformats.org/officeDocument/2006/relationships/hyperlink" Target="https://news.google.com/articles/CAIiEMuPgaiQVbWkqa-zMvdAk4YqGQgEKhAIACoHCAowwIGmCzCojL4DMMrejQc?uo=CAUimwFodHRwczovL3B1YmxpbWljcm8uY2wvcGFyby1kZS1jYW1pb25lcm9zLWZhbnRhc21hLWRlLWRlc2FiYXN0ZWNpbWllbnRvLW8tbWVub3Jlcy1wcm9kdWN0b3Mtc3VtYWRvLWEtcG9zaWJsZXMtYXVtZW50b3MtZGUtcHJlY2lvcy1pbnRpbWlkYS10cmFuc3ZlcnNhbG1lbnRlL9IBAA&amp;hl=es-419&amp;gl=CL&amp;ceid=CL%3Aes-419" TargetMode="External"/><Relationship Id="rId48" Type="http://schemas.openxmlformats.org/officeDocument/2006/relationships/hyperlink" Target="https://news.google.com/publications/CAAqBwgKMNvdlgswnoSuAw?hl=es-419&amp;gl=CL&amp;ceid=CL%3Aes-419" TargetMode="External"/><Relationship Id="rId47" Type="http://schemas.openxmlformats.org/officeDocument/2006/relationships/hyperlink" Target="https://news.google.com/articles/CBMia2h0dHBzOi8vd3d3LnRoZWNsaW5pYy5jbC8yMDIyLzA4LzAxL2RpcHV0YWRhLWFuYS1tYXJpYS1nYXptdXJpLWNvbnN1bW8tY2FubmFiaXMtY3JpdGljYS10ZXN0LWRyb2dhcy1jYW1hcmEv0gFvaHR0cHM6Ly93d3cudGhlY2xpbmljLmNsLzIwMjIvMDgvMDEvZGlwdXRhZGEtYW5hLW1hcmlhLWdhem11cmktY29uc3Vtby1jYW5uYWJpcy1jcml0aWNhLXRlc3QtZHJvZ2FzLWNhbWFyYS9hbXAv?hl=es-419&amp;gl=CL&amp;ceid=CL%3Aes-419" TargetMode="External"/><Relationship Id="rId49" Type="http://schemas.openxmlformats.org/officeDocument/2006/relationships/hyperlink" Target="https://news.google.com/articles/CAIiEGw26FCI2G4rH04p1uLkhbUqGQgEKhAIACoHCAow292WCzCehK4DMJD3ywY?uo=CAUivwFodHRwczovL3d3dy5sYXRlcmNlcmEuY29tL3BvbGl0aWNhL25vdGljaWEvY29taXNpb24tZGUtZXRpY2EtZGUtbGEtY2FtYXJhLW5vLWxsZWdhLWEtYWN1ZXJkby1lbi1sYXMtc2FuY2lvbmVzLXBhcmEtZGlwdXRhZG9zLXF1ZS1uby1zZS1yZWFsaXphcm9uLWVsLXRlc3QtZGUtZHJvZ2FzL05TWE9IWk9LNFZIVUJES1lJS1NWWFpSN0lBL9IBAA&amp;hl=es-419&amp;gl=CL&amp;ceid=CL%3Aes-419" TargetMode="External"/><Relationship Id="rId103" Type="http://schemas.openxmlformats.org/officeDocument/2006/relationships/hyperlink" Target="https://news.google.com/articles/CAIiEKX0pmngEp-FBnHvgeJfChMqMwgEKioIACIQVGcsbw39Ucci0s30uaM2FSoUCAoiEFRnLG8N_VHHItLN9LmjNhUwrerFBg?uo=CAUiggFodHRwczovL3d3dy5lbGRpbmFtby5jbC9wYWlzL0dvYmllcm5vLWluZ3Jlc2EtcHJveWVjdG8tcGFyYS1leHB1bHNhci1hLWV4dHJhbmplcm9zLWNvbmRlbmFkb3MtcG9yLWxleS1kZS1kcm9nYXMtMjAyMjEwMTEtMDA0Ni5odG1s0gEA&amp;hl=es-419&amp;gl=CL&amp;ceid=CL%3Aes-419" TargetMode="External"/><Relationship Id="rId102" Type="http://schemas.openxmlformats.org/officeDocument/2006/relationships/hyperlink" Target="https://news.google.com/articles/CAIiEAlZ-FHnstgayPz1b5JNa_EqGQgEKhAIACoHCAowwIGmCzCojL4DMMrejQc?uo=CAUijQFodHRwczovL3B1YmxpbWljcm8uY2wvZGVidXRvLWVzdGUtbHVuZXMtbGEtcmVuZGljaW9uLWRlLWxhLXBhZXMtZW4tdG9kby1jaGlsZS1leGFtZW4tcXVlLXJlZW1wbGF6YS1hLWxhLXBkdC1kZS10cmFuc2ljaW9uLXktYS1sYS1hbnRpZ3VhLXBzdS_SAQA&amp;hl=es-419&amp;gl=CL&amp;ceid=CL%3Aes-419" TargetMode="External"/><Relationship Id="rId101" Type="http://schemas.openxmlformats.org/officeDocument/2006/relationships/hyperlink" Target="https://news.google.com/articles/CBMiZ2h0dHBzOi8vd3d3LmZ1dHVyby5jbC8yMDIyLzA5L21hcmlodWFuYS15LWNvY2FpbmEtZXN0dWRpby1yZXZlbGEtYXVtZW50by1lbi1lbC1jb25zdW1vLWRlLWVzdGFzLWRyb2dhcy_SAWtodHRwczovL3d3dy5mdXR1cm8uY2wvMjAyMi8wOS9tYXJpaHVhbmEteS1jb2NhaW5hLWVzdHVkaW8tcmV2ZWxhLWF1bWVudG8tZW4tZWwtY29uc3Vtby1kZS1lc3Rhcy1kcm9nYXMvYW1wLw?hl=es-419&amp;gl=CL&amp;ceid=CL%3Aes-419" TargetMode="External"/><Relationship Id="rId100" Type="http://schemas.openxmlformats.org/officeDocument/2006/relationships/hyperlink" Target="https://news.google.com/articles/CBMixAFodHRwczovL20uZWxtb3N0cmFkb3IuY2wvZGlhLzIwMjIvMDgvMjIvZGlwdXRhZG8tc290by1wb3ItZGljaG9zLWRlLXByZXNpZGVudGUtYm9yaWMtc29icmUtcmVkdW5kYW5jaWEtZGUtcGxlYmlzY2l0by1kZS1lbnRyYWRhLWFudGUtZXZlbnR1YWwtdHJpdW5mby1kZWwtcmVjaGF6by1uaW5ndW5vLXB1ZWRlLWltcG9uZXItc3UtcG9zaWNpb24v0gEA?hl=es-419&amp;gl=CL&amp;ceid=CL%3Aes-419" TargetMode="External"/><Relationship Id="rId31" Type="http://schemas.openxmlformats.org/officeDocument/2006/relationships/hyperlink" Target="https://news.google.com/articles/CBMidmh0dHBzOi8vd3d3LmV4LWFudGUuY2wvam9yZ2Utc2NoYXVsc29obi15LXRlc3QtZGUtZHJvZ2FzLWVzLXBhdGV0aWNvLXF1ZS1sb3MtcGFybGFtZW50YXJpb3Mtc2UtcHJlc3Rlbi1wYXJhLWVzdGUtc2hvdy_SAQA?hl=es-419&amp;gl=CL&amp;ceid=CL%3Aes-419" TargetMode="External"/><Relationship Id="rId30" Type="http://schemas.openxmlformats.org/officeDocument/2006/relationships/hyperlink" Target="https://news.google.com/articles/CBMif2h0dHBzOi8vd3d3LmFkbnJhZGlvLmNsL25hY2lvbmFsLzIwMjIvMDkvMTYvY29ydGUtc3VwcmVtYS1kZWNsYXJhLWFkbWlzaWJsZS1yZWN1cnNvLWNvbnRyYS10ZXN0LWRlLWRyb2dhcy1hLXBhcmxhbWVudGFyaW9zLmh0bWzSAYUBaHR0cHM6Ly93d3cuYWRucmFkaW8uY2wvbmFjaW9uYWwvMjAyMi8wOS8xNi9jb3J0ZS1zdXByZW1hLWRlY2xhcmEtYWRtaXNpYmxlLXJlY3Vyc28tY29udHJhLXRlc3QtZGUtZHJvZ2FzLWEtcGFybGFtZW50YXJpb3MuaHRtbD9hbXA9MQ?hl=es-419&amp;gl=CL&amp;ceid=CL%3Aes-419" TargetMode="External"/><Relationship Id="rId33" Type="http://schemas.openxmlformats.org/officeDocument/2006/relationships/hyperlink" Target="https://news.google.com/articles/CBMiogFodHRwczovL3d3dy5iaW9iaW9jaGlsZS5jbC9ub3RpY2lhcy9uYWNpb25hbC9jaGlsZS8yMDIyLzA4LzIxL3Rlc3QtZGUtZHJvZ2FzLWVuLWNhbWFyYS1iYWphLWVsLWRlYmF0ZS1zb2JyZS1zaS1sYS1tZWRpZGEtaW52YWRlLWVsLWRlcmVjaG8tYS1sYS12aWRhLXByaXZhZGEuc2h0bWzSAaYBaHR0cHM6Ly93d3cuYmlvYmlvY2hpbGUuY2wvbm90aWNpYXMvbmFjaW9uYWwvY2hpbGUvMjAyMi8wOC8yMS9hbXAvdGVzdC1kZS1kcm9nYXMtZW4tY2FtYXJhLWJhamEtZWwtZGViYXRlLXNvYnJlLXNpLWxhLW1lZGlkYS1pbnZhZGUtZWwtZGVyZWNoby1hLWxhLXZpZGEtcHJpdmFkYS5zaHRtbA?hl=es-419&amp;gl=CL&amp;ceid=CL%3Aes-419" TargetMode="External"/><Relationship Id="rId32" Type="http://schemas.openxmlformats.org/officeDocument/2006/relationships/hyperlink" Target="https://news.google.com/articles/CBMikgFodHRwczovL3d3dy5iaW9iaW9jaGlsZS5jbC9ub3RpY2lhcy9uYWNpb25hbC9jaGlsZS8yMDIyLzA4LzI5L3Rlc3QtZGUtZHJvZ2FzLWRpcHV0YWRvcy1vZmljaWFsaXN0YXMtYWN1c2FuLW1hbmlvYnJhLXBvbGl0aWNhLWRlLWxhLW9wb3NpY2lvbi5zaHRtbNIBlgFodHRwczovL3d3dy5iaW9iaW9jaGlsZS5jbC9ub3RpY2lhcy9uYWNpb25hbC9jaGlsZS8yMDIyLzA4LzI5L2FtcC90ZXN0LWRlLWRyb2dhcy1kaXB1dGFkb3Mtb2ZpY2lhbGlzdGFzLWFjdXNhbi1tYW5pb2JyYS1wb2xpdGljYS1kZS1sYS1vcG9zaWNpb24uc2h0bWw?hl=es-419&amp;gl=CL&amp;ceid=CL%3Aes-419" TargetMode="External"/><Relationship Id="rId35" Type="http://schemas.openxmlformats.org/officeDocument/2006/relationships/hyperlink" Target="https://news.google.com/publications/CAAqBwgKMNvdlgswnoSuAw?hl=es-419&amp;gl=CL&amp;ceid=CL%3Aes-419" TargetMode="External"/><Relationship Id="rId34" Type="http://schemas.openxmlformats.org/officeDocument/2006/relationships/hyperlink" Target="https://news.google.com/articles/CBMijAFodHRwczovL3d3dy5hZG5yYWRpby5jbC9uYWNpb25hbC8yMDIyLzA2LzE2L3BhbWVsYS1qaWxlcy1wb3ItdGVzdC1kZS1kcm9nYXMtYS1wYXJsYW1lbnRhcmlvcy1ub3RvLXVuLXNvc3BlY2hvc28tbmVydmlvc2lzbW8tcXVlLW9jdWx0YW4uaHRtbNIBkgFodHRwczovL3d3dy5hZG5yYWRpby5jbC9uYWNpb25hbC8yMDIyLzA2LzE2L3BhbWVsYS1qaWxlcy1wb3ItdGVzdC1kZS1kcm9nYXMtYS1wYXJsYW1lbnRhcmlvcy1ub3RvLXVuLXNvc3BlY2hvc28tbmVydmlvc2lzbW8tcXVlLW9jdWx0YW4uaHRtbD9hbXA9MQ?hl=es-419&amp;gl=CL&amp;ceid=CL%3Aes-419" TargetMode="External"/><Relationship Id="rId37" Type="http://schemas.openxmlformats.org/officeDocument/2006/relationships/hyperlink" Target="https://news.google.com/publications/CAAqBwgKMNvdlgswnoSuAw?hl=es-419&amp;gl=CL&amp;ceid=CL%3Aes-419" TargetMode="External"/><Relationship Id="rId36" Type="http://schemas.openxmlformats.org/officeDocument/2006/relationships/hyperlink" Target="https://news.google.com/articles/CAIiEGg7ssmAU7h1BbQYxqGvoy8qGQgEKhAIACoHCAow292WCzCehK4DMJD3ywY?uo=CAUihwFodHRwczovL3d3dy5sYXRlcmNlcmEuY29tL2Vhcmx5YWNjZXNzL25vdGljaWEvZWwtdHJhbmNlLWluY29tb2RvLWRlbC1mcmVudGUtYW1wbGlvLWZyZW50ZS1hbC10ZXN0LWRlLWRyb2dhcy9IWEQ1VFpXQ1RKRzZYT1JUT0VRWVJDWUo2VS_SAQA&amp;hl=es-419&amp;gl=CL&amp;ceid=CL%3Aes-419" TargetMode="External"/><Relationship Id="rId39" Type="http://schemas.openxmlformats.org/officeDocument/2006/relationships/hyperlink" Target="https://news.google.com/articles/CBMiQmh0dHBzOi8vZWxsaWJlcm8uY2wvb3Bpbmlvbi9wdWJsaWNpZGFkLW5lY2VzYXJpYS1vLXNob3ctbWVkaWF0aWNvL9IBAA?hl=es-419&amp;gl=CL&amp;ceid=CL%3Aes-419" TargetMode="External"/><Relationship Id="rId38" Type="http://schemas.openxmlformats.org/officeDocument/2006/relationships/hyperlink" Target="https://news.google.com/articles/CAIiEFgbL9Y2Knpt6Zy-nPXOgQsqGQgEKhAIACoHCAow292WCzCehK4DMJD3ywY?uo=CAUirQFodHRwczovL3d3dy5sYXRlcmNlcmEuY29tL3BvbGl0aWNhL25vdGljaWEvY29ydGUtZGUtYXBlbGFjaW9uZXMtZGUtdmFscGFyYWlzby1kYS1sdXotdmVyZGUtYS1kaWZ1c2lvbi1kZS1yZXN1bHRhZG9zLWRlLXRlc3QtZGUtZHJvZ2FzLWEtZGlwdXRhZG9zLzZFNk9ZUENMQUZHWFpGWVhON0UySjJIR0lJL9IBAA&amp;hl=es-419&amp;gl=CL&amp;ceid=CL%3Aes-419" TargetMode="External"/><Relationship Id="rId20" Type="http://schemas.openxmlformats.org/officeDocument/2006/relationships/hyperlink" Target="https://news.google.com/publications/CAAqBwgKMNvdlgswnoSuAw?hl=es-419&amp;gl=CL&amp;ceid=CL%3Aes-419" TargetMode="External"/><Relationship Id="rId22" Type="http://schemas.openxmlformats.org/officeDocument/2006/relationships/hyperlink" Target="https://news.google.com/publications/CAAqBwgKMNvdlgswnoSuAw?hl=es-419&amp;gl=CL&amp;ceid=CL%3Aes-419" TargetMode="External"/><Relationship Id="rId21" Type="http://schemas.openxmlformats.org/officeDocument/2006/relationships/hyperlink" Target="https://news.google.com/articles/CAIiEAEM9XjeAaPG8iZhawMVxBwqGQgEKhAIACoHCAow292WCzCehK4DMJD3ywY?uo=CAUisQFodHRwczovL3d3dy5sYXRlcmNlcmEuY29tL2xhLXRlcmNlcmEtcG0vbm90aWNpYS9zdXNwZW5zby1lbi1sYS1jYW1hcmEtcmVzdWx0YWRvcy1kZS1wcmltZXJvcy10ZXN0LWRlLWRyb2dhcy1hLWRpcHV0YWRvcy1zZS1jb25vY2VyYW4tZWwtcHJveGltby1sdW5lcy8yRUtERFpLRVJGRFZIRVpLWTNDREpFRVFIUS_SAQA&amp;hl=es-419&amp;gl=CL&amp;ceid=CL%3Aes-419" TargetMode="External"/><Relationship Id="rId24" Type="http://schemas.openxmlformats.org/officeDocument/2006/relationships/hyperlink" Target="https://news.google.com/publications/CAAqBwgKMNvdlgswnoSuAw?hl=es-419&amp;gl=CL&amp;ceid=CL%3Aes-419" TargetMode="External"/><Relationship Id="rId23" Type="http://schemas.openxmlformats.org/officeDocument/2006/relationships/hyperlink" Target="https://news.google.com/articles/CAIiELsW688tyI21ckg3kVI12YMqGQgEKhAIACoHCAow292WCzCehK4DMJD3ywY?uo=CAUixwFodHRwczovL3d3dy5sYXRlcmNlcmEuY29tL2xhLXRlcmNlcmEtcG0vbm90aWNpYS91bi10ZXN0LXF1ZS1pbmNvbW9kYS1sYXMtanVnYWRhcy1xdWUtYmFyYWphbi1sb3MtZGlwdXRhZG9zLXBhcmEtaW1wZWRpci1xdWUtc2UtcHVibGlxdWVuLWxvcy1yZXN1bHRhZG9zLWRlLWV4YW1lbi1kZS1kcm9nYXMvREJRVEpYQ1Y2UkUyRkVCRFFXT0hCVTJCTU0v0gEA&amp;hl=es-419&amp;gl=CL&amp;ceid=CL%3Aes-419" TargetMode="External"/><Relationship Id="rId26" Type="http://schemas.openxmlformats.org/officeDocument/2006/relationships/hyperlink" Target="https://news.google.com/publications/CAAqBwgKMNvdlgswnoSuAw?hl=es-419&amp;gl=CL&amp;ceid=CL%3Aes-419" TargetMode="External"/><Relationship Id="rId25" Type="http://schemas.openxmlformats.org/officeDocument/2006/relationships/hyperlink" Target="https://news.google.com/articles/CAIiEM22uXh3M_rKFnNdP0d5o_wqGQgEKhAIACoHCAow292WCzCehK4DMJD3ywY?uo=CAUiowFodHRwczovL3d3dy5sYXRlcmNlcmEuY29tL2xhLXRlcmNlcmEtcG0vbm90aWNpYS9lbC10ZXN0LWRlLWRyb2dhcy15LWxhLW9mZW5zaXZhLWRlLWxhLXVkaS15LWppbGVzLXF1ZS1pbmNvbW9kYS1hLWxhLWNhbWFyYS1kZS1kaXB1dGFkb3MvT0tBUlVQNUdDRkhHREdRTURaTlFXQU5aUkUv0gEA&amp;hl=es-419&amp;gl=CL&amp;ceid=CL%3Aes-419" TargetMode="External"/><Relationship Id="rId28" Type="http://schemas.openxmlformats.org/officeDocument/2006/relationships/hyperlink" Target="https://news.google.com/articles/CBMipQFodHRwczovL3d3dy5iaW9iaW9jaGlsZS5jbC9ub3RpY2lhcy9uYWNpb25hbC9jaGlsZS8yMDIyLzA4LzMxL3Rlc3QtZGUtZHJvZ2FzLWNhbWFyYS1iYWphLWV4dGllbmRlLXBsYXpvLXBhcmEtcXVlLTc4LXBhcmxhbWVudGFyaW9zLXNvcnRlYWRvcy1zZS1yZWFsaWNlbi1leGFtZW4uc2h0bWzSAakBaHR0cHM6Ly93d3cuYmlvYmlvY2hpbGUuY2wvbm90aWNpYXMvbmFjaW9uYWwvY2hpbGUvMjAyMi8wOC8zMS9hbXAvdGVzdC1kZS1kcm9nYXMtY2FtYXJhLWJhamEtZXh0aWVuZGUtcGxhem8tcGFyYS1xdWUtNzgtcGFybGFtZW50YXJpb3Mtc29ydGVhZG9zLXNlLXJlYWxpY2VuLWV4YW1lbi5zaHRtbA?hl=es-419&amp;gl=CL&amp;ceid=CL%3Aes-419" TargetMode="External"/><Relationship Id="rId27" Type="http://schemas.openxmlformats.org/officeDocument/2006/relationships/hyperlink" Target="https://news.google.com/articles/CAIiEL6jMnTKtngl3R8eWCU4e5gqGQgEKhAIACoHCAow292WCzCehK4DMJD3ywY?uo=CAUikQFodHRwczovL3d3dy5sYXRlcmNlcmEuY29tL2xhLXRlcmNlcmEtc2FiYWRvL25vdGljaWEvdGVzdC1kZS1kcm9nYXMtYS1wb2xpdGljb3MtdW4tdGVtYS1xdWUtY2F1c2EtcG9sZW1pY2EtZW4tZWwtbXVuZG8vUU9BM01SWEhXUkJSVkpZQlBSSEJLNEQzMk0v0gEA&amp;hl=es-419&amp;gl=CL&amp;ceid=CL%3Aes-419" TargetMode="External"/><Relationship Id="rId29" Type="http://schemas.openxmlformats.org/officeDocument/2006/relationships/hyperlink" Target="https://news.google.com/articles/CBMidWh0dHBzOi8vd3d3LmNvbmNpZXJ0by5jbC8yMDIyLzA4L3Rlc3QtZGUtZHJvZ2FzLWEtcGFybGFtZW50YXJpb3MtY29tby1hZmVjdGEtZWwtY29uc3Vtby1kZS1zdXN0YW5jaWFzLWVuLWVsLWNvbmdyZXNvL9IBeWh0dHBzOi8vd3d3LmNvbmNpZXJ0by5jbC8yMDIyLzA4L3Rlc3QtZGUtZHJvZ2FzLWEtcGFybGFtZW50YXJpb3MtY29tby1hZmVjdGEtZWwtY29uc3Vtby1kZS1zdXN0YW5jaWFzLWVuLWVsLWNvbmdyZXNvL2FtcC8?hl=es-419&amp;gl=CL&amp;ceid=CL%3Aes-419" TargetMode="External"/><Relationship Id="rId95" Type="http://schemas.openxmlformats.org/officeDocument/2006/relationships/hyperlink" Target="https://news.google.com/articles/CAIiEF3Xm8lUsr0JRbnsictsy9EqGQgEKhAIACoHCAowwIGmCzCojL4DMMrejQc?uo=CAUilwFodHRwczovL3B1YmxpbWljcm8uY2wvY292aWQtMTktY2Fzb3MtY29uZmlybWFkb3MtZGlzbWludXllbi0xNi1lbi1sb3MtdWx0aW1vcy03LWRpYXMtZXN0ZS1kb21pbmdvLXNlLXJlcG9ydGFyb24tNC0wNzctbnVldm9zLWNvbnRhZ2lvcy15LTIwLWZhbGxlY2lkb3Mv0gEA&amp;hl=es-419&amp;gl=CL&amp;ceid=CL%3Aes-419" TargetMode="External"/><Relationship Id="rId94" Type="http://schemas.openxmlformats.org/officeDocument/2006/relationships/hyperlink" Target="https://news.google.com/articles/CAIiEDVzLgMbvxdPmzmtEaTC5EkqMwgEKioIACIQ6COHnlHU784dI_DRPTSJdioUCAoiEOgjh55R1O_OHSPw0T00iXYwgcqIBw?uo=CAUiXmh0dHBzOi8vd3d3LnQxMy5jbC9ub3RpY2lhL3BvbGl0aWNhL3NleHRvLXJldGlyby1jcnVjZS1rYXJvbC1jYXJpb2xhLXktcGFtZWxhLWppbGVzLTA0LTA3LTIwMjLSAQA&amp;hl=es-419&amp;gl=CL&amp;ceid=CL%3Aes-419" TargetMode="External"/><Relationship Id="rId97" Type="http://schemas.openxmlformats.org/officeDocument/2006/relationships/hyperlink" Target="https://news.google.com/articles/CBMiWGh0dHBzOi8vd3d3LnRoZWNsaW5pYy5jbC8yMDIyLzEwLzAxL2VudHJldmlzdGEtY2FuYWxsYS1uZWxzb24tYXZpbGEtYWdyaWN1bHRvci1lc2NyaXRvci_SAVxodHRwczovL3d3dy50aGVjbGluaWMuY2wvMjAyMi8xMC8wMS9lbnRyZXZpc3RhLWNhbmFsbGEtbmVsc29uLWF2aWxhLWFncmljdWx0b3ItZXNjcml0b3IvYW1wLw?hl=es-419&amp;gl=CL&amp;ceid=CL%3Aes-419" TargetMode="External"/><Relationship Id="rId96" Type="http://schemas.openxmlformats.org/officeDocument/2006/relationships/hyperlink" Target="https://news.google.com/articles/CBMilwFodHRwczovL3d3dy5sYXRlcmNlcmEuY29tL2xhLXRlcmNlcmEtcG0vbm90aWNpYS9mbG9yY2l0YS1kcm9nYXMteS1wcmVqdWljaW9zLXBpZW5zYW4tcXVlLWxhLWdlbnRlLWRlLWl6cXVpZXJkYS1zZS1tZXRlLWN1YWxxdWllci1jb3NhLWEtbGEtYm9jYS82MDA1NDIv0gGmAWh0dHBzOi8vd3d3LmxhdGVyY2VyYS5jb20vbGEtdGVyY2VyYS1wbS9ub3RpY2lhL2Zsb3JjaXRhLWRyb2dhcy15LXByZWp1aWNpb3MtcGllbnNhbi1xdWUtbGEtZ2VudGUtZGUtaXpxdWllcmRhLXNlLW1ldGUtY3VhbHF1aWVyLWNvc2EtYS1sYS1ib2NhLzYwMDU0Mi8_b3V0cHV0VHlwZT1hbXA?hl=es-419&amp;gl=CL&amp;ceid=CL%3Aes-419" TargetMode="External"/><Relationship Id="rId11" Type="http://schemas.openxmlformats.org/officeDocument/2006/relationships/hyperlink" Target="https://news.google.com/articles/CBMihgFodHRwczovL20uZWxtb3N0cmFkb3IuY2wvZGlhLzIwMjIvMDgvMjIvY29tZW56by1hcGxpY2FjaW9uLWRlLXRlc3QtZGUtZHJvZ2FzLWEtcGFybGFtZW50YXJpb3MtcmVzdWx0YWRvcy1kZW1vcmFyYW4tZW50cmUtMTAtYS0xNS1kaWFzL9IBAA?hl=es-419&amp;gl=CL&amp;ceid=CL%3Aes-419" TargetMode="External"/><Relationship Id="rId99" Type="http://schemas.openxmlformats.org/officeDocument/2006/relationships/hyperlink" Target="https://news.google.com/articles/CAIiEBY9i10BYsLNVHLELwo3TNoqMwgEKioIACIQ6COHnlHU784dI_DRPTSJdioUCAoiEOgjh55R1O_OHSPw0T00iXYwgcqIBw?uo=CAUidmh0dHBzOi8vd3d3LnQxMy5jbC9ub3RpY2lhL25hY2lvbmFsL2hhY2tlby1lbWNvLWNvbnNlam8tdHJhbnNwYXJlbmNpYS0xMC1kaWFzLWhhYmlsZXMtZW50cmVnYXItYW50ZWNlZGVudGVzLTI4LTA5LTIwMjLSAQA&amp;hl=es-419&amp;gl=CL&amp;ceid=CL%3Aes-419" TargetMode="External"/><Relationship Id="rId10" Type="http://schemas.openxmlformats.org/officeDocument/2006/relationships/hyperlink" Target="https://news.google.com/articles/CAIiEN9XsI8MFVvAULFco4mcKZkqGQgEKhAIACoHCAow1c6WCzDY9K0DMNXq0wY?uo=CAUikwFodHRwczovL2FyYXVjYW5pYW5vdGljaWFzLmNsLzIwMjIvZGlwdXRhZG8tYmVja2VyLWRhLW5lZ2F0aXZvLWEtdGVzdC1kZS1kcm9nYXMtbGxhbS1hLXRyYW5zcGFyZW50YXItbG9zLXJlc3VsdGFkb3MtYW50ZS1sYS1vcGluaW4tcGJsaWNhLzExMTUyMjUxNjjSAQA&amp;hl=es-419&amp;gl=CL&amp;ceid=CL%3Aes-419" TargetMode="External"/><Relationship Id="rId98" Type="http://schemas.openxmlformats.org/officeDocument/2006/relationships/hyperlink" Target="https://news.google.com/articles/CAIiECZUQXORpPWxwlhuCsVvniUqGQgEKhAIACoHCAowwIGmCzCojL4DMMrejQc?uo=CAUiZGh0dHBzOi8vcHVibGltaWNyby5jbC9pcHNvcy1jb25maWFuemEtZGUtbG9zLWNvbnN1bWlkb3Jlcy1jaGlsZW5vcy12dWVsdmUtYS1iYWphci1kdXJhbnRlLW5vdmllbWJyZS_SAQA&amp;hl=es-419&amp;gl=CL&amp;ceid=CL%3Aes-419" TargetMode="External"/><Relationship Id="rId13" Type="http://schemas.openxmlformats.org/officeDocument/2006/relationships/hyperlink" Target="https://news.google.com/articles/CBMingFodHRwczovL3d3dy5iaW9iaW9jaGlsZS5jbC9ub3RpY2lhcy9uYWNpb25hbC9jaGlsZS8yMDIyLzA4LzE4L25lY2VzYXJpby1zaG93LXktZXh0ZW5kZXJsby1hbC1nb2JpZXJuby1sYXMtcmVhY2Npb25lcy1kZS1wYXJsYW1lbnRhcmlvcy1hbC10ZXN0LWRlLWRyb2dhcy5zaHRtbNIBogFodHRwczovL3d3dy5iaW9iaW9jaGlsZS5jbC9ub3RpY2lhcy9uYWNpb25hbC9jaGlsZS8yMDIyLzA4LzE4L2FtcC9uZWNlc2FyaW8tc2hvdy15LWV4dGVuZGVybG8tYWwtZ29iaWVybm8tbGFzLXJlYWNjaW9uZXMtZGUtcGFybGFtZW50YXJpb3MtYWwtdGVzdC1kZS1kcm9nYXMuc2h0bWw?hl=es-419&amp;gl=CL&amp;ceid=CL%3Aes-419" TargetMode="External"/><Relationship Id="rId12" Type="http://schemas.openxmlformats.org/officeDocument/2006/relationships/hyperlink" Target="https://news.google.com/articles/CBMilwFodHRwczovL2VscGFpcy5jb20vY2hpbGUvMjAyMi0wOC0xOC90ZXN0LWRlLWRyb2dhcy1lbi1lbC1jb25ncmVzby1kZS1jaGlsZS1sb3MtcGFybGFtZW50YXJpb3Mtc2Utc29tZXRlbi1hLWFuYWxpc2lzLWRlbC1wZWxvLXBhcmEtZGV0ZWN0YXItY29uc3Vtby5odG1s0gGmAWh0dHBzOi8vZWxwYWlzLmNvbS9jaGlsZS8yMDIyLTA4LTE4L3Rlc3QtZGUtZHJvZ2FzLWVuLWVsLWNvbmdyZXNvLWRlLWNoaWxlLWxvcy1wYXJsYW1lbnRhcmlvcy1zZS1zb21ldGVuLWEtYW5hbGlzaXMtZGVsLXBlbG8tcGFyYS1kZXRlY3Rhci1jb25zdW1vLmh0bWw_b3V0cHV0VHlwZT1hbXA?hl=es-419&amp;gl=CL&amp;ceid=CL%3Aes-419" TargetMode="External"/><Relationship Id="rId91" Type="http://schemas.openxmlformats.org/officeDocument/2006/relationships/hyperlink" Target="https://news.google.com/articles/CAIiEHD2TIMYeIisUNCwzEaxOAMqMwgEKioIACIQ6COHnlHU784dI_DRPTSJdioUCAoiEOgjh55R1O_OHSPw0T00iXYwgcqIBw?uo=CAUia2h0dHBzOi8vd3d3LnQxMy5jbC9ub3RpY2lhL25hY2lvbmFsL2RldGllbmVuLW1pZW1icm9zLW5hcmNvcy1jb2xvbWJpYW5vcy1kcm9nYS1jYWxpLXBlcnNhLWJpb2Jpby0yMy0wOC0yMDIy0gEA&amp;hl=es-419&amp;gl=CL&amp;ceid=CL%3Aes-419" TargetMode="External"/><Relationship Id="rId90" Type="http://schemas.openxmlformats.org/officeDocument/2006/relationships/hyperlink" Target="https://news.google.com/articles/CBMieGh0dHBzOi8vd3d3LjI0aG9yYXMuY2wvcHJvZ3JhbWFzL25vdGljaWFzLTI0L2p1YW4tYW50b25pby1jb2xvbWEtdWRpLXF1aXNpbW9zLWFncmVnYXItdW5hLXJlZm9ybWEtcXVlLW9ibGlndWUtdGVzdC1kcm9nYdIBeGh0dHBzOi8vYW1wLjI0aG9yYXMuY2wvcHJvZ3JhbWFzL25vdGljaWFzLTI0L2p1YW4tYW50b25pby1jb2xvbWEtdWRpLXF1aXNpbW9zLWFncmVnYXItdW5hLXJlZm9ybWEtcXVlLW9ibGlndWUtdGVzdC1kcm9nYQ?hl=es-419&amp;gl=CL&amp;ceid=CL%3Aes-419" TargetMode="External"/><Relationship Id="rId93" Type="http://schemas.openxmlformats.org/officeDocument/2006/relationships/hyperlink" Target="https://news.google.com/articles/CAIiEKX5bCTI1orI8i_Mt8QRh28qGQgEKhAIACoHCAowwIGmCzCojL4DMMrejQc?uo=CAUikQFodHRwczovL3B1YmxpbWljcm8uY2wvb3JnYW5pemFjaW9uLW11bmRpYWwtZGUtbGEtc2FsdWQtbGUtYXNpZ25vLXVuLW51ZXZvLW5vbWJyZS1hLWxhLXZpcnVlbGEtZGVsLW1vbm8tcGFyYS1ldml0YXItYnVybGFzLXktY29tZW50YXJpb3MtcmFjaXN0YXMv0gEA&amp;hl=es-419&amp;gl=CL&amp;ceid=CL%3Aes-419" TargetMode="External"/><Relationship Id="rId92" Type="http://schemas.openxmlformats.org/officeDocument/2006/relationships/hyperlink" Target="https://news.google.com/articles/CBMi1AFodHRwczovL3BhcnRpZG9yZXB1YmxpY2Fub2RlY2hpbGUuY2wvamVmZS1kZS1sYS1iYW5jYWRhLXJlcHVibGljYW5hLXktbGxhbWFkby1kZS12YWxsZWpvLWEtcXVlLW9wb3NpY2lvbi1zZS1wb25nYS1kZS1hY3VlcmRvLXBvci1wbGViaXNjaXRvLWRlamVuLWRlLWludGVydmVuaXItZW4tdW4tcHJvY2Vzby1kZW1vY3JhdGljby1xdWUtbm9zLXBlcnRlbmVjZS1hLXRvZG9zL9IBAA?hl=es-419&amp;gl=CL&amp;ceid=CL%3Aes-419" TargetMode="External"/><Relationship Id="rId118" Type="http://schemas.openxmlformats.org/officeDocument/2006/relationships/hyperlink" Target="https://news.google.com/articles/CBMidWh0dHBzOi8vbS5lbG1vc3RyYWRvci5jbC9icmFnYS8yMDIyLzA4LzIzL2lzYWJlbC1iZXJyaW9zLWxhLXByaW1lcmEtbXVqZXItZW50cmVuYWRvcmEtZGUtZnV0Ym9sLXByb2Zlc2lvbmFsLWVuLWNoaWxlL9IBAA?hl=es-419&amp;gl=CL&amp;ceid=CL%3Aes-419" TargetMode="External"/><Relationship Id="rId117" Type="http://schemas.openxmlformats.org/officeDocument/2006/relationships/hyperlink" Target="https://news.google.com/articles/CBMifmh0dHBzOi8vd3d3LmNoaWxldmlzaW9uLmNsL2NvbnRpZ28tZW4tbGEtbWFuYW5hL3BvbGl0aWNhL2Rlc2NvbnRyb2xhZGEtcmVhY2Npb24tZ2FzcGFyLXJpdmFzLWZ1ZS1leHB1bHNhZG8tZGUtbGEtbWVzYS1wYXJhbGVsYdIBAA?hl=es-419&amp;gl=CL&amp;ceid=CL%3Aes-419" TargetMode="External"/><Relationship Id="rId116" Type="http://schemas.openxmlformats.org/officeDocument/2006/relationships/hyperlink" Target="https://news.google.com/articles/CBMikQFodHRwczovL20uZWxtb3N0cmFkb3IuY2wvZGlhLzIwMjIvMDgvMTgvcG9yLWNvbnRyb3ZlcnNpYWxlcy1kaWNob3MtZGlwdXRhZG8tZ29uemFsby1kZS1sYS1jYXJyZXJhLXNlcmEtbGxldmFkby1hbC10cmlidW5hbC1kZS1ldGljYS1kZS1sYS1jYW1hcmEv0gEA?hl=es-419&amp;gl=CL&amp;ceid=CL%3Aes-419" TargetMode="External"/><Relationship Id="rId115" Type="http://schemas.openxmlformats.org/officeDocument/2006/relationships/hyperlink" Target="https://news.google.com/articles/CAIiEMvn30Xb3xux-Z3FxCvQrMwqGQgEKhAIACoHCAow292WCzCehK4DMJD3ywY?uo=CAUi1gFodHRwczovL3d3dy5sYXRlcmNlcmEuY29tL3BvbGl0aWNhL25vdGljaWEvY29tby1zb21vcy1tdWplcmVzLWhlbW9zLWFwcmVuZGlkby1hLWhhY2VyLXZhcmlhcy1jb3Nhcy1hLWxhLXZlei1sYS1yZXNwdWVzdGEtZGUtdG9oYS1hLWRpcHV0YWRvcy1xdWUtcmVjbGFtYXJvbi1uby1zZXItZXNjdWNoYWRvcy1lbi1sYS1jYW1hcmEvNDMzVEdCUk5HQkNVUkxNWDU3VkJISVk2V1kv0gEA&amp;hl=es-419&amp;gl=CL&amp;ceid=CL%3Aes-419" TargetMode="External"/><Relationship Id="rId119" Type="http://schemas.openxmlformats.org/officeDocument/2006/relationships/drawing" Target="../drawings/drawing4.xml"/><Relationship Id="rId15" Type="http://schemas.openxmlformats.org/officeDocument/2006/relationships/hyperlink" Target="https://news.google.com/publications/CAAqBwgKMNvdlgswnoSuAw?hl=es-419&amp;gl=CL&amp;ceid=CL%3Aes-419" TargetMode="External"/><Relationship Id="rId110" Type="http://schemas.openxmlformats.org/officeDocument/2006/relationships/hyperlink" Target="https://news.google.com/articles/CAIiECYLThRqYgYT8OBZbOyC5uUqGQgEKhAIACoHCAowwIGmCzCojL4DMMrejQc?uo=CAUidmh0dHBzOi8vcHVibGltaWNyby5jbC9jaGlsZS1pbXB1bHNhLWVsLXByaW1lci1mb3JvLWFudWFsLXNvYnJlLWRlZmVuc29yYXMteS1kZWZlbnNvcmVzLWRlLWRkaGgtZW4tYXN1bnRvcy1hbWJpZW50YWxlcy_SAQA&amp;hl=es-419&amp;gl=CL&amp;ceid=CL%3Aes-419" TargetMode="External"/><Relationship Id="rId14" Type="http://schemas.openxmlformats.org/officeDocument/2006/relationships/hyperlink" Target="https://news.google.com/articles/CAIiEBdCO97ONoIUc-YepSeWjOoqMwgEKioIACIQ6COHnlHU784dI_DRPTSJdioUCAoiEOgjh55R1O_OHSPw0T00iXYwgcqIBw?uo=CAUic2h0dHBzOi8vd3d3LnQxMy5jbC9ub3RpY2lhL3BvbGl0aWNhL2NvbWlzaW9uLXJlY2hhemEtcmVzdWx0YWRvcy10ZXN0LWRyb2dhcy1wYXJsYW1lbnRhcmlvcy1zZWFuLXB1YmxpY29zLTI4LTA2LTIwMjLSAQA&amp;hl=es-419&amp;gl=CL&amp;ceid=CL%3Aes-419" TargetMode="External"/><Relationship Id="rId17" Type="http://schemas.openxmlformats.org/officeDocument/2006/relationships/hyperlink" Target="https://news.google.com/articles/CBMiVWh0dHBzOi8vd3d3LnBhdXRhLmNsL25hY2lvbmFsL3Rlc3QtZHJvZ2EtY2FtYXJhLWFwcm9iYWNpb24tZGlwdXRhZG9zLWNvbmdyZXNvLWFwcnVlYmHSAQA?hl=es-419&amp;gl=CL&amp;ceid=CL%3Aes-419" TargetMode="External"/><Relationship Id="rId16" Type="http://schemas.openxmlformats.org/officeDocument/2006/relationships/hyperlink" Target="https://news.google.com/articles/CAIiEBNPyhksvcNE3wx9PL7pJcAqGQgEKhAIACoHCAow292WCzCehK4DMMmewAM?uo=CAUiqwFodHRwczovL3d3dy5sYXRlcmNlcmEuY29tL3BvbGl0aWNhL25vdGljaWEvdW4tYW1pZ28tc29ycHJlc2l2by1lbi1sYS1jb3J0ZS1pbmRoLXNhbGUtZW4tZGVmZW5zYS1kZS1kaXB1dGFkYXMtcXVlLXNlLXJlYmVsYXJvbi1hbC10ZXN0LWRlLWRyb2dhcy9PSFZXVE00Q1lOQUZKQ1dZTFZEUE1NUkhCNC_SAQA&amp;hl=es-419&amp;gl=CL&amp;ceid=CL%3Aes-419" TargetMode="External"/><Relationship Id="rId19" Type="http://schemas.openxmlformats.org/officeDocument/2006/relationships/hyperlink" Target="https://news.google.com/articles/CAIiEOUz3bCoxXUN3ARI7pyhMRgqGQgEKhAIACoHCAow292WCzCehK4DMJD3ywY?uo=CAUijAFodHRwczovL3d3dy5sYXRlcmNlcmEuY29tL2xhLXRlcmNlcmEtc2FiYWRvL25vdGljaWEvY29sdW1uYS1kZS1wYWJsby1jYXJ2YWNoby10ZXN0LWRlLWRyb2dhcy1wYXJhLXBhcmxhbWVudGFyaW9zL09FNFo0UUhMWU5BWUxQSDJNSkZYUVhSSzVBL9IBAA&amp;hl=es-419&amp;gl=CL&amp;ceid=CL%3Aes-419" TargetMode="External"/><Relationship Id="rId114" Type="http://schemas.openxmlformats.org/officeDocument/2006/relationships/hyperlink" Target="https://news.google.com/publications/CAAqBwgKMNvdlgswnoSuAw?hl=es-419&amp;gl=CL&amp;ceid=CL%3Aes-419" TargetMode="External"/><Relationship Id="rId18" Type="http://schemas.openxmlformats.org/officeDocument/2006/relationships/hyperlink" Target="https://news.google.com/publications/CAAqBwgKMNvdlgswnoSuAw?hl=es-419&amp;gl=CL&amp;ceid=CL%3Aes-419" TargetMode="External"/><Relationship Id="rId113" Type="http://schemas.openxmlformats.org/officeDocument/2006/relationships/hyperlink" Target="https://news.google.com/articles/CBMiemh0dHBzOi8vd3d3Lm9ic2VydmFkb3IuY2wvc2VuYWRvLWRlLWxhLXJlcHVibGljYS1hcHJ1ZWJhLXF1ZS11bmEtcGVyc29uYS1wdWVkYS1wbGFudGFyLWVuLXN1LWNhc2EtZGllei1tYXRhcy1kZS1tYXJpaHVhbmEv0gEA?hl=es-419&amp;gl=CL&amp;ceid=CL%3Aes-419" TargetMode="External"/><Relationship Id="rId112" Type="http://schemas.openxmlformats.org/officeDocument/2006/relationships/hyperlink" Target="https://news.google.com/articles/CBMiJWh0dHBzOi8vcG91c3RhLmNvbS9saWx5LXBlcmV6LWRyb2dhcy_SAQA?hl=es-419&amp;gl=CL&amp;ceid=CL%3Aes-419" TargetMode="External"/><Relationship Id="rId111" Type="http://schemas.openxmlformats.org/officeDocument/2006/relationships/hyperlink" Target="https://news.google.com/articles/CAIiEHp9ZO0Q7yajvruWiy8uJe8qGQgEKhAIACoHCAowwIGmCzCojL4DMMrejQc?uo=CAUiyAFodHRwczovL3B1YmxpbWljcm8uY2wvZGlwdXRhZGEtY2FtaWxhLWZsb3Jlcy1yZWNvbm9jZS1xdWUtc2Utc29ycHJlbmRpby1ncmF0YW1lbnRlLWNvbi1lbC1hcG95by1kZS1pcmluYS1rYXJhbWFub3MtdHJhcy1zdWZyaXItdmlvbGVuY2lhLWdpbmVjb2xvZ2ljYS1lbi1lbC1wYXJ0by1xdWUtbGEtdHV2by1ob3NwaXRhbGl6YWRhLXBvci1zZW1hbmFzL9IBAA&amp;hl=es-419&amp;gl=CL&amp;ceid=CL%3Aes-419" TargetMode="External"/><Relationship Id="rId84" Type="http://schemas.openxmlformats.org/officeDocument/2006/relationships/hyperlink" Target="https://news.google.com/articles/CAIiELPrEGArE_LswWLIt9OWoaAqGQgEKhAIACoHCAowtaiWCzCoza0DMM6k7wY?uo=CAUimAFodHRwczovL3Zpdmltb3NsYW5vdGljaWEuY2wvbm90aWNpYXMvYWN0dWFsaWRhZC9wb2xpdGljYS8yMDIyLzA4LzI0L2ZyYW5jaXNjby1wdWxnYXItZXMtZWwtcHJpbWVyLWRpcHV0YWRvLWRlbC1tYXVsZS1xdWUtc2Utc29tZXRlcnNlLWFsLXRlc3QtZGUtZHJvZ2FzL9IBAA&amp;hl=es-419&amp;gl=CL&amp;ceid=CL%3Aes-419" TargetMode="External"/><Relationship Id="rId83" Type="http://schemas.openxmlformats.org/officeDocument/2006/relationships/hyperlink" Target="https://news.google.com/articles/CAIiENBPUpuVAhI2Lkav5rSUEAcqMwgEKioIACIQ6COHnlHU784dI_DRPTSJdioUCAoiEOgjh55R1O_OHSPw0T00iXYwgcqIBw?uo=CAUicGh0dHBzOi8vd3d3LnQxMy5jbC9ub3RpY2lhL3BvbGl0aWNhL25hY2lvbmFsL3F1ZS1kaWNlLWxleS15LXJlZ2xhbWVudG8tY2FtYXJhLWNvbnN1bW8tYWxjb2hvbC10cmFiYWpvLTE4LTA4LTIwMjLSAQA&amp;hl=es-419&amp;gl=CL&amp;ceid=CL%3Aes-419" TargetMode="External"/><Relationship Id="rId86" Type="http://schemas.openxmlformats.org/officeDocument/2006/relationships/hyperlink" Target="https://news.google.com/articles/CBMieGh0dHBzOi8vd3d3LnJldmlzdGFkZWZyZW50ZS5jbC9jb3J0ZS1zdXByZW1hLWFkbWl0ZS1yZWN1cnNvLWNvbnRyYS10ZXN0LWRlLWRyb2dhcy1lbi1sYS1jYW1hcmEtZGUtZGlwdXRhZGFzLXktZGlwdXRhZG9zL9IBAA?hl=es-419&amp;gl=CL&amp;ceid=CL%3Aes-419" TargetMode="External"/><Relationship Id="rId85" Type="http://schemas.openxmlformats.org/officeDocument/2006/relationships/hyperlink" Target="https://news.google.com/articles/CBMib2h0dHBzOi8vd3d3LmNubmNoaWxlLmNvbS9wYWlzLzYzLWRpcHV0YWRvcy1jb25mZXNhcm9uLXF1ZS1jb25zdW1pZXJvbi1hbGd1bi10aXBvLWRlLWRyb2dhcy1hbGd1bmEtdmV6XzIwMTkwNTA2L9IBAA?hl=es-419&amp;gl=CL&amp;ceid=CL%3Aes-419" TargetMode="External"/><Relationship Id="rId88" Type="http://schemas.openxmlformats.org/officeDocument/2006/relationships/hyperlink" Target="https://news.google.com/articles/CBMibmh0dHBzOi8vd3d3LmxhdGVyY2VyYS5jb20vcG9saXRpY2Evbm90aWNpYS9sb3Mtb3Ryb3MtcG9saXRpY29zLXZpbmN1bGFkby1wYXJsYW1lbnRhcmlvcy1jb25zdW1vLWRyb2dhcy84NjA2MTIv0gF9aHR0cHM6Ly93d3cubGF0ZXJjZXJhLmNvbS9wb2xpdGljYS9ub3RpY2lhL2xvcy1vdHJvcy1wb2xpdGljb3MtdmluY3VsYWRvLXBhcmxhbWVudGFyaW9zLWNvbnN1bW8tZHJvZ2FzLzg2MDYxMi8_b3V0cHV0VHlwZT1hbXA?hl=es-419&amp;gl=CL&amp;ceid=CL%3Aes-419" TargetMode="External"/><Relationship Id="rId87" Type="http://schemas.openxmlformats.org/officeDocument/2006/relationships/hyperlink" Target="https://news.google.com/articles/CBMiYWh0dHBzOi8vd3d3LnRoZWNsaW5pYy5jbC8yMDIyLzA5LzI4L2FuZWNkb3RhLWRpcHV0YWRvLWxlb25pZGFzLXJvbWVyby1tdWVzdHJhLXBlbG8tZXhhbWVuLWRyb2dhcy_SAWVodHRwczovL3d3dy50aGVjbGluaWMuY2wvMjAyMi8wOS8yOC9hbmVjZG90YS1kaXB1dGFkby1sZW9uaWRhcy1yb21lcm8tbXVlc3RyYS1wZWxvLWV4YW1lbi1kcm9nYXMvYW1wLw?hl=es-419&amp;gl=CL&amp;ceid=CL%3Aes-419" TargetMode="External"/><Relationship Id="rId89" Type="http://schemas.openxmlformats.org/officeDocument/2006/relationships/hyperlink" Target="https://news.google.com/articles/CAIiEOvWvF-vJyjTj06rrgH6KmMqMwgEKioIACIQ6COHnlHU784dI_DRPTSJdioUCAoiEOgjh55R1O_OHSPw0T00iXYwgcqIBw?uo=CAUifmh0dHBzOi8vd3d3LnQxMy5jbC9ub3RpY2lhL25hY2lvbmFsL2RlYmlhLXZpZ2lsYXItbmFyY29zLWVyYS11bm8tYXNpLW9wZXJhYmEtZnVuY2lvbmFyaW8tZ29iaWVybm8tY29uZGVuYWRvLXRyYWZpY28tMjgtMDktMjAyMtIBAA&amp;hl=es-419&amp;gl=CL&amp;ceid=CL%3Aes-419" TargetMode="External"/><Relationship Id="rId80" Type="http://schemas.openxmlformats.org/officeDocument/2006/relationships/hyperlink" Target="https://news.google.com/articles/CAIiEDGZGmRzslc_Uh_D7oONw-YqMwgEKioIACIQVGcsbw39Ucci0s30uaM2FSoUCAoiEFRnLG8N_VHHItLN9LmjNhUwgpT2Bg?uo=CAUifWh0dHBzOi8vd3d3LmVsZGluYW1vLmNsL3BvbGl0aWNhL0xhLXBvbGVtaWNhLWVudHJlLUthc3QteS1TYWV6LXBvci1lbC1jb25zdW1vLWRlLW1hcmlodWFuYS1kZWwtZGlwdXRhZG8tUkQtMjAyMjA3MzEtMDAxMC5odG1s0gEA&amp;hl=es-419&amp;gl=CL&amp;ceid=CL%3Aes-419" TargetMode="External"/><Relationship Id="rId82" Type="http://schemas.openxmlformats.org/officeDocument/2006/relationships/hyperlink" Target="https://news.google.com/articles/CAIiEN79dDtd7J_WLEkPzBQiGD0qMwgEKioIACIQVGcsbw39Ucci0s30uaM2FSoUCAoiEFRnLG8N_VHHItLN9LmjNhUwhZT2Bg?uo=CAUikQFodHRwczovL3d3dy5lbGRpbmFtby5jbC9lbnRyZXRlbmNpb24vTm8tdm95LWEtc2F0YW5pemFyLWVsLWNvbnN1bW8tZGUtZHJvZ2FzLUpvc2UtQW50b25pby1OZW1lLWFkbWl0aW8taGFiZXItcHJvYmFkby1tYXJpaHVhbmEtMjAyMjA2MTYtMDAyOC5odG1s0gEA&amp;hl=es-419&amp;gl=CL&amp;ceid=CL%3Aes-419" TargetMode="External"/><Relationship Id="rId81" Type="http://schemas.openxmlformats.org/officeDocument/2006/relationships/hyperlink" Target="https://news.google.com/articles/CBMijQFodHRwczovL3d3dy5hYmMuZXMvZXNwYW5hL2NvbXVuaWRhZC12YWxlbmNpYW5hL2FiY2ktc2VuYWRvLXZldG8tY29udHJvbGVzLWRyb2dhLXBpZGUtcGFyYS1uby1vZmVuZGVyLXBhcmxhbWVudGFyaW9zLTIwMjAwNjE2MTczM19ub3RpY2lhLmh0bWzSAZEBaHR0cHM6Ly93d3cuYWJjLmVzL2VzcGFuYS9jb211bmlkYWQtdmFsZW5jaWFuYS9hYmNpLXNlbmFkby12ZXRvLWNvbnRyb2xlcy1kcm9nYS1waWRlLXBhcmEtbm8tb2ZlbmRlci1wYXJsYW1lbnRhcmlvcy0yMDIwMDYxNjE3MzNfbm90aWNpYV9hbXAuaHRtbA?hl=es-419&amp;gl=CL&amp;ceid=CL%3Aes-419" TargetMode="External"/><Relationship Id="rId1" Type="http://schemas.openxmlformats.org/officeDocument/2006/relationships/hyperlink" Target="https://news.google.com/publications/CAAqBwgKMNvdlgswnoSuAw?hl=es-419&amp;gl=CL&amp;ceid=CL%3Aes-419" TargetMode="External"/><Relationship Id="rId2" Type="http://schemas.openxmlformats.org/officeDocument/2006/relationships/hyperlink" Target="https://news.google.com/articles/CAIiEPbJikIFyIanSyvgf0lOXUwqGQgEKhAIACoHCAow292WCzCehK4DMMmewAM?uo=CAUiuAFodHRwczovL3d3dy5sYXRlcmNlcmEuY29tL3BvbGl0aWNhL25vdGljaWEvdGVzdC1kZS1kcm9nYXMtc2VndW5kby1ncnVwby1kZS1kaXB1dGFkb3Mtbm8tYXJyb2phLXBvc2l0aXZvcy15LWRvcy1wYXJsYW1lbnRhcmlhcy1uby1zZS1wcmVzZW50YXJvbi1hLWxhLW11ZXN0cmEvSlhWRU5IWjIzTkY1Uk5NNzdNNjNISUFSNFEv0gEA&amp;hl=es-419&amp;gl=CL&amp;ceid=CL%3Aes-419" TargetMode="External"/><Relationship Id="rId3" Type="http://schemas.openxmlformats.org/officeDocument/2006/relationships/hyperlink" Target="https://news.google.com/articles/CBMipwFodHRwczovL3d3dy5iaW9iaW9jaGlsZS5jbC9ub3RpY2lhcy9uYWNpb25hbC9jaGlsZS8yMDIyLzExLzE1L3Npbi1wb3NpdGl2b3Mtc2VndW5kby10ZXN0LWRlLWRyb2dhcy1hLWRpcHV0YWRvcy1mcmllcy15LWdhem11cmktc2UtbmVnYXJvbi1hLXByYWN0aWNhcnNlLWVsLWV4YW1lbi5zaHRtbNIBqwFodHRwczovL3d3dy5iaW9iaW9jaGlsZS5jbC9ub3RpY2lhcy9uYWNpb25hbC9jaGlsZS8yMDIyLzExLzE1L2FtcC9zaW4tcG9zaXRpdm9zLXNlZ3VuZG8tdGVzdC1kZS1kcm9nYXMtYS1kaXB1dGFkb3MtZnJpZXMteS1nYXptdXJpLXNlLW5lZ2Fyb24tYS1wcmFjdGljYXJzZS1lbC1leGFtZW4uc2h0bWw?hl=es-419&amp;gl=CL&amp;ceid=CL%3Aes-419" TargetMode="External"/><Relationship Id="rId4" Type="http://schemas.openxmlformats.org/officeDocument/2006/relationships/hyperlink" Target="https://news.google.com/stories/CAAqNggKIjBDQklTSGpvSmMzUnZjbmt0TXpZd1NoRUtEd2pIOHJxVkJoRk5GeWI4S1hvY0ppZ0FQAQ?hl=es-419&amp;gl=CL&amp;ceid=CL%3Aes-419" TargetMode="External"/><Relationship Id="rId9" Type="http://schemas.openxmlformats.org/officeDocument/2006/relationships/hyperlink" Target="https://news.google.com/publications/CAAqBwgKMNXOlgsw2PStAw?hl=es-419&amp;gl=CL&amp;ceid=CL%3Aes-419" TargetMode="External"/><Relationship Id="rId5" Type="http://schemas.openxmlformats.org/officeDocument/2006/relationships/hyperlink" Target="https://news.google.com/articles/CBMiggFodHRwczovL3d3dy5hZG5yYWRpby5jbC9wb2xpdGljYS8yMDIyLzA5LzI4L3Rlc3QtZGUtZHJvZ2FzLWVuLWVsLWNvbmdyZXNvLXRvZG9zLWxvcy1wYXJsYW1lbnRhcmlvcy1leGFtaW5hZG9zLWRpZXJvbi1uZWdhdGl2by5odG1s0gGIAWh0dHBzOi8vd3d3LmFkbnJhZGlvLmNsL3BvbGl0aWNhLzIwMjIvMDkvMjgvdGVzdC1kZS1kcm9nYXMtZW4tZWwtY29uZ3Jlc28tdG9kb3MtbG9zLXBhcmxhbWVudGFyaW9zLWV4YW1pbmFkb3MtZGllcm9uLW5lZ2F0aXZvLmh0bWw_YW1wPTE?hl=es-419&amp;gl=CL&amp;ceid=CL%3Aes-419" TargetMode="External"/><Relationship Id="rId6" Type="http://schemas.openxmlformats.org/officeDocument/2006/relationships/hyperlink" Target="https://news.google.com/articles/CAIiEN6lwLYt2Y7rvqbyPMUM9PMqGQgEKhAIACoHCAow292WCzCehK4DMMmewAM?uo=CAUinQFodHRwczovL3d3dy5sYXRlcmNlcmEuY29tL3BvbGl0aWNhL25vdGljaWEvdGVzdC1kZS1kcm9nYXMtYS1kaXB1dGFkb3MtcmVzdWx0YWRvcy1kZS1sb3MtcHJpbWVyb3MtZXhhbWVuZXMtc2UtY29ub2NlcmFuLWVzdGUtbHVuZXMvNVVKQTNXTUFGWkJIUEIzRktSQVlIUlVMRE0v0gEA&amp;hl=es-419&amp;gl=CL&amp;ceid=CL%3Aes-419" TargetMode="External"/><Relationship Id="rId7" Type="http://schemas.openxmlformats.org/officeDocument/2006/relationships/hyperlink" Target="https://news.google.com/publications/CAAqBwgKMNvdlgswnoSuAw?hl=es-419&amp;gl=CL&amp;ceid=CL%3Aes-419" TargetMode="External"/><Relationship Id="rId8" Type="http://schemas.openxmlformats.org/officeDocument/2006/relationships/hyperlink" Target="https://news.google.com/stories/CAAqNggKIjBDQklTSGpvSmMzUnZjbmt0TXpZd1NoRUtEd2lSZ3FydkJSSEpuRHZZSXBtbGVTZ0FQAQ?hl=es-419&amp;gl=CL&amp;ceid=CL%3Aes-419" TargetMode="External"/><Relationship Id="rId73" Type="http://schemas.openxmlformats.org/officeDocument/2006/relationships/hyperlink" Target="https://news.google.com/publications/CAAqBwgKMNvdlgswnoSuAw?hl=es-419&amp;gl=CL&amp;ceid=CL%3Aes-419" TargetMode="External"/><Relationship Id="rId72" Type="http://schemas.openxmlformats.org/officeDocument/2006/relationships/hyperlink" Target="https://news.google.com/articles/CBMisAFodHRwczovL3d3dy5lbGNpdWRhZGFuby5jb20vYWN0dWFsaWRhZC9jaWJlci1hY29zby15LWhvc3RpZ2FtaWVudG8tYS1kaXB1dGFkYXMtcG9yLXRlc3QtZGUtZHJvZ2FzLWN1YWwtZXMtZWwtbGltaXRlLWRlLWxhLXBlcnNlY3VjaW9uLWFudGktbmFyY290aWNvcy1kZW50cm8tZGUtbGEtY2FtYXJhLzA5LzI5L9IBAA?hl=es-419&amp;gl=CL&amp;ceid=CL%3Aes-419" TargetMode="External"/><Relationship Id="rId75" Type="http://schemas.openxmlformats.org/officeDocument/2006/relationships/hyperlink" Target="https://news.google.com/articles/CBMihAFodHRwczovL25vdGljaWFzLnVuYWIuY2wvcmFkaW8tYmlvLWJpby1lbnRyZXZpc3RhLWEtYWxlaWRhLWt1bGlrb2ZmLWFjYWRlbWljYS15LXRveGljb2xvZ2EtZGUtbGEtZXNjdWVsYS1kZS1xdWltaWNhLXktZmFybWFjaWEtdW5hYi_SAQA?hl=es-419&amp;gl=CL&amp;ceid=CL%3Aes-419" TargetMode="External"/><Relationship Id="rId74" Type="http://schemas.openxmlformats.org/officeDocument/2006/relationships/hyperlink" Target="https://news.google.com/articles/CAIiEINcyk0GqhWWRoivuHkLNQgqGQgEKhAIACoHCAow292WCzCehK4DMJD3ywY?uo=CAUiyAFodHRwczovL3d3dy5sYXRlcmNlcmEuY29tL2xhLXRlcmNlcmEtc2FiYWRvL25vdGljaWEvY3Jpc3RpYW4tY2FtYXJnby1kaXJlY3Rvci1kZWwtbGFib3JhdG9yaW8tZGUtYW5hbGlzaXMtYW50aWRvcGluZy1hbGd1aWVuLXF1ZS1lcy1hZGljdG8tYS11bmEtZHJvZ2EtZXMtZmFjaWwtZGUtY29ycm9tcGVyL0ZaUEM3Q1gzU1JEWkJEWjNGTFZLTllNSTVBL9IBAA&amp;hl=es-419&amp;gl=CL&amp;ceid=CL%3Aes-419" TargetMode="External"/><Relationship Id="rId77" Type="http://schemas.openxmlformats.org/officeDocument/2006/relationships/hyperlink" Target="https://news.google.com/articles/CBMijgFodHRwczovL3d3dy5hZHByZW5zYS5jbC9wb2xpdGljYS9kaXB1dGFkb3MtdWRpLWVsLWluZGgtc2UtdHJhbnNmb3Jtby1lbi11bi1wcm9ibGVtYS1wYXJhLWxhLWRlbW9jcmFjaWEtY3VhbmRvLWZ1ZS1jYXB0dXJhZG8tcG9yLWVsLXBjLXktZWwtZmEv0gEA?hl=es-419&amp;gl=CL&amp;ceid=CL%3Aes-419" TargetMode="External"/><Relationship Id="rId76" Type="http://schemas.openxmlformats.org/officeDocument/2006/relationships/hyperlink" Target="https://news.google.com/articles/CBMisAFodHRwczovL3d3dy5iaW9iaW9jaGlsZS5jbC9iaW9iaW90di9wcm9ncmFtYXMvcG9kcmlhLXNlci1wZW9yLzIwMjIvMDcvMTQvZGlwdXRhZGEtcGFtZWxhLWppbGVzLW5vLXB1ZWRlLWhhYmVyLXBsYXRhLW1lam9yLWdhc3RhZGEtcXVlLXBhcmEtc2FiZXItc2ktdGVuZW1vcy1uYXJjb2RpcHV0YWRvcy5zaHRtbNIBAA?hl=es-419&amp;gl=CL&amp;ceid=CL%3Aes-419" TargetMode="External"/><Relationship Id="rId79" Type="http://schemas.openxmlformats.org/officeDocument/2006/relationships/hyperlink" Target="https://news.google.com/articles/CAIiEJqdKjXefqRIN5TMRlZFbPoqMwgEKioIACIQVGcsbw39Ucci0s30uaM2FSoUCAoiEFRnLG8N_VHHItLN9LmjNhUwrerFBg?uo=CAUingFodHRwczovL3d3dy5lbGRpbmFtby5jbC9wYWlzL0VtaWxpYS1TY2huZWlkZXItc2UtcmVmaXJpby1hLXN1LWFkaWNjaW9uLWEtbGFzLWRyb2dhcy1lbi1sYS1hZG9sZXNjZW5jaWEtQ29uc3VtaS1tdWNoYXMtc3VzdGFuY2lhcy1wZWxpZ3Jvc2FzLTIwMjIxMDIyLTAwMTQuaHRtbNIBAA&amp;hl=es-419&amp;gl=CL&amp;ceid=CL%3Aes-419" TargetMode="External"/><Relationship Id="rId78" Type="http://schemas.openxmlformats.org/officeDocument/2006/relationships/hyperlink" Target="https://news.google.com/articles/CBMiXmh0dHBzOi8vd3d3LnRoZWNsaW5pYy5jbC8yMDIyLzA4LzE4L2pvc2UtbHVpcy1yZXBlbm5pbmctaW50ZXJjYW1iaW8tY2FtaWxhLWZsb3Jlcy10ZXN0LWRyb2dhcy_SAWJodHRwczovL3d3dy50aGVjbGluaWMuY2wvMjAyMi8wOC8xOC9qb3NlLWx1aXMtcmVwZW5uaW5nLWludGVyY2FtYmlvLWNhbWlsYS1mbG9yZXMtdGVzdC1kcm9nYXMvYW1wLw?hl=es-419&amp;gl=CL&amp;ceid=CL%3Aes-419" TargetMode="External"/><Relationship Id="rId71" Type="http://schemas.openxmlformats.org/officeDocument/2006/relationships/hyperlink" Target="https://news.google.com/articles/CBMijQFodHRwczovL2c1bm90aWNpYXMuY2wvMjAyMi8wNy8xMy9kaXB1dGFkby1nYXNwYXItcml2YXMtcGRnLWNyaXRpY2EtcG9zdHVyYXMtZGUtbG9zLXNlY3RvcmVzLXBvbGl0aWNvcy1kZS1sYS1jYW1hcmEtYWNlcmNhLWRlbC10ZXN0LWRlLWRyb2dhcy_SAQA?hl=es-419&amp;gl=CL&amp;ceid=CL%3Aes-419" TargetMode="External"/><Relationship Id="rId70" Type="http://schemas.openxmlformats.org/officeDocument/2006/relationships/hyperlink" Target="https://news.google.com/articles/CBMid2h0dHBzOi8vd3d3LmRpYXJpb2NvbnN0aXR1Y2lvbmFsLmNsLzIwMjIvMDgvMTgvY2FtYXJhLXNvcnRlYS1hLWxvcy1wcmltZXJvcy1wYXJsYW1lbnRhcmlvcy1wYXJhLWluaWNpYXItdGVzdC1kZS1kcm9nYXMv0gEA?hl=es-419&amp;gl=CL&amp;ceid=CL%3Aes-419" TargetMode="External"/><Relationship Id="rId62" Type="http://schemas.openxmlformats.org/officeDocument/2006/relationships/hyperlink" Target="https://news.google.com/articles/CBMikAFodHRwczovL3d3dy5lbGRlc2NvbmNpZXJ0by5jbC9uYWNpb25hbC8yMDIyLzA5LzI3L3Rlc3QtZGUtZHJvZ2FzLWVuLWVsLWNvbmdyZXNvLWNvcnRlLWRlLWFwZWxhY2lvbmVzLWRhLWdvbHBlLWEtcGFybGFtZW50YXJpYXMtb2ZpY2lhbGlzdGFzLmh0bWzSAQA?hl=es-419&amp;gl=CL&amp;ceid=CL%3Aes-419" TargetMode="External"/><Relationship Id="rId61" Type="http://schemas.openxmlformats.org/officeDocument/2006/relationships/hyperlink" Target="https://news.google.com/articles/CBMif2h0dHBzOi8vd3d3LjI0aG9yYXMuY2wvcHJvZ3JhbWFzL25vdGljaWFzLTI0L2FuYS1tYXJpYS1nYXptdXJpLXBvci1wcm95ZWN0by1kZS10ZXN0LWRlLWRyb2dhcy1lbi1jYW1hcmEtdmEtZGlyZWNjaW9uLWVxdWl2b2NhZGHSAX9odHRwczovL2FtcC4yNGhvcmFzLmNsL3Byb2dyYW1hcy9ub3RpY2lhcy0yNC9hbmEtbWFyaWEtZ2F6bXVyaS1wb3ItcHJveWVjdG8tZGUtdGVzdC1kZS1kcm9nYXMtZW4tY2FtYXJhLXZhLWRpcmVjY2lvbi1lcXVpdm9jYWRh?hl=es-419&amp;gl=CL&amp;ceid=CL%3Aes-419" TargetMode="External"/><Relationship Id="rId64" Type="http://schemas.openxmlformats.org/officeDocument/2006/relationships/hyperlink" Target="https://news.google.com/articles/CAIiEKDmpLcsVPpIyp9r-qayTcMqGQgEKhAIACoHCAowtaiWCzCoza0DMM6k7wY?uo=CAUivAFodHRwczovL3Zpdmltb3NsYW5vdGljaWEuY2wvbm90aWNpYXMvYWN0dWFsaWRhZC9wb2xpdGljYS8yMDIyLzA2LzIwL2RpcHV0YWRvLWZlbGlwZS1kb25vc28tZXhpZ2UtYWwtZ29iaWVybm8tcXVlLXNlLWFwbGlxdWUtdGVzdC1kZS1kcm9nYXMtYS1mdW5jaW9uYXJpb3MtZGVsLXBvZGVyLWxlZ2lzbGF0aXZvLXktZWplY3V0aXZvL9IBAA&amp;hl=es-419&amp;gl=CL&amp;ceid=CL%3Aes-419" TargetMode="External"/><Relationship Id="rId63" Type="http://schemas.openxmlformats.org/officeDocument/2006/relationships/hyperlink" Target="https://news.google.com/articles/CAIiECNwuORTFAFlV1BM_byXPnIqGQgEKhAIACoHCAowj_uNCzDXzaADMPz-iwc?uo=CAUigAFodHRwczovL3d3dy5kdXBsb3MuY2wvdGVuZGVuY2lhcy9kb2N0b3JhLWNvcmRlcm8tY3Vlc3Rpb25vLXRlc3QtZGUtZHJvZ2FzLWEtcGFybGFtZW50YXJpb3MtZXN0YS10b2RvLWFycmVnbGFkby83MjU3OC8yMDIyLzEwLzA3L9IBAA&amp;hl=es-419&amp;gl=CL&amp;ceid=CL%3Aes-419" TargetMode="External"/><Relationship Id="rId66" Type="http://schemas.openxmlformats.org/officeDocument/2006/relationships/hyperlink" Target="https://news.google.com/articles/CAIiEIPapeqMNwW_7guancqxj1kqGQgEKhAIACoHCAow7qmcCzCCtLQDMNvEggc?uo=CAUiowFodHRwczovL3d3dy5wdWJsaW1ldHJvLmNsL3NvY2lhbC8yMDIyLzA4LzE3L25vLWhhZ2FuLWxhLWNpbWFycmEtZGUtbGEtY2FycmVyYS15LXN1LXByb3ZvY2Fkb3ItdHVpdC1hLWRpcHV0YWRvcy1mcmVudGVhbXBsaXN0YXMtdHJhcy1zZXItc29ydGVhZG9zLWEtdGVzdC1kZS1kcm9nYXMv0gEA&amp;hl=es-419&amp;gl=CL&amp;ceid=CL%3Aes-419" TargetMode="External"/><Relationship Id="rId65" Type="http://schemas.openxmlformats.org/officeDocument/2006/relationships/hyperlink" Target="https://news.google.com/articles/CBMisAFodHRwczovL3d3dy5hZHByZW5zYS5jbC9wb2xpdGljYS9kaXB1dGFkYS1wYXVsYS1sYWJyYS1ybi1pbmQtc2Utb2ZyZWNlLXZvbHVudGFyaWEtYS1oYWNlci1lbC10ZXN0LWRlLWRyb2dhLWFudGUtbmVnYXRpdmEtZGUtYWxndW5vcy1wYXJsYW1lbnRhcmlvcy1kZS1jdW1wbGlyLWNvbi1yZXF1ZXJpbWllbnRvL9IBAA?hl=es-419&amp;gl=CL&amp;ceid=CL%3Aes-419" TargetMode="External"/><Relationship Id="rId68" Type="http://schemas.openxmlformats.org/officeDocument/2006/relationships/hyperlink" Target="https://news.google.com/articles/CBMisAFodHRwczovL3d3dy5iaW9iaW9jaGlsZS5jbC9ub3RpY2lhcy9uYWNpb25hbC9yZWdpb24tZGVsLWJpby1iaW8vMjAyMi8wOS8yMC91cnJpdGlhY29lY2hlYS10aWxkYS1kZS1pbXBydWRlbnRlLXJlY3Vyc28tcHJlc2VudGFkby1wb3ItZGlwdXRhZGFzLWVuLWNvbnRyYS1kZS10ZXN0LWRlLWRyb2dhcy5zaHRtbNIBtAFodHRwczovL3d3dy5iaW9iaW9jaGlsZS5jbC9ub3RpY2lhcy9uYWNpb25hbC9yZWdpb24tZGVsLWJpby1iaW8vMjAyMi8wOS8yMC9hbXAvdXJyaXRpYWNvZWNoZWEtdGlsZGEtZGUtaW1wcnVkZW50ZS1yZWN1cnNvLXByZXNlbnRhZG8tcG9yLWRpcHV0YWRhcy1lbi1jb250cmEtZGUtdGVzdC1kZS1kcm9nYXMuc2h0bWw?hl=es-419&amp;gl=CL&amp;ceid=CL%3Aes-419" TargetMode="External"/><Relationship Id="rId67" Type="http://schemas.openxmlformats.org/officeDocument/2006/relationships/hyperlink" Target="https://news.google.com/articles/CBMiX2h0dHBzOi8vbGFwcmVuc2FhdXN0cmFsLmNsLzIwMjIvMTEvMTYvc2VndW5kby1ncnVwby1kZS1kaXB1dGFkb3MtZGlvLW5lZ2F0aXZvLWEtdGVzdC1kZS1kcm9nYXMv0gEA?hl=es-419&amp;gl=CL&amp;ceid=CL%3Aes-419" TargetMode="External"/><Relationship Id="rId60" Type="http://schemas.openxmlformats.org/officeDocument/2006/relationships/hyperlink" Target="https://news.google.com/articles/CBMikwFodHRwczovL3d3dy5lbGRlc2NvbmNpZXJ0by5jbC9yZXBvcnRhamVzLzIwMjIvMTAvMDkvdGVzdC1kZS1kcm9nYXMtYS1kaXB1dGFkb3MteS1jYW1iaW9zLWFsLXVzby1yZWNyZWFjaW9uYWwtZGUtbGEtbWFyaWh1YW5hLXByZW5kZW4tZWwtZGViYXRlLmh0bWzSAQA?hl=es-419&amp;gl=CL&amp;ceid=CL%3Aes-419" TargetMode="External"/><Relationship Id="rId69" Type="http://schemas.openxmlformats.org/officeDocument/2006/relationships/hyperlink" Target="https://news.google.com/articles/CBMikgFodHRwczovL3d3dy5kaWFyaW9jb25zdGl0dWNpb25hbC5jbC8yMDIyLzA5LzI3L2NvcnRlLWRlLXZhbHBhcmFpc28tcmVjaGF6YS1zb2xpY2l0dWQtZGUtZGljdGFyLW9yZGVuLWRlLW5vLWlubm92YXItcG9yLXRlc3QtZGUtZHJvZ2FzLWEtZGlwdXRhZG9zL9IBAA?hl=es-419&amp;gl=CL&amp;ceid=CL%3Aes-419" TargetMode="External"/><Relationship Id="rId51" Type="http://schemas.openxmlformats.org/officeDocument/2006/relationships/hyperlink" Target="https://news.google.com/publications/CAAqBwgKMNvdlgswnoSuAw?hl=es-419&amp;gl=CL&amp;ceid=CL%3Aes-419" TargetMode="External"/><Relationship Id="rId50" Type="http://schemas.openxmlformats.org/officeDocument/2006/relationships/hyperlink" Target="https://news.google.com/articles/CBMid2h0dHBzOi8vd3d3LmNvbmNpZXJ0by5jbC8yMDIyLzA2L2F2YW56YS1lbi1lbC1jb25ncmVzby1wcm95ZWN0by1kZS1sZXktcXVlLWJ1c2NhLWhhY2VyLXRlc3QtZGUtZHJvZ2FzLWEtcGFybGFtZW50YXJpb3Mv0gF7aHR0cHM6Ly93d3cuY29uY2llcnRvLmNsLzIwMjIvMDYvYXZhbnphLWVuLWVsLWNvbmdyZXNvLXByb3llY3RvLWRlLWxleS1xdWUtYnVzY2EtaGFjZXItdGVzdC1kZS1kcm9nYXMtYS1wYXJsYW1lbnRhcmlvcy9hbXAv?hl=es-419&amp;gl=CL&amp;ceid=CL%3Aes-419" TargetMode="External"/><Relationship Id="rId53" Type="http://schemas.openxmlformats.org/officeDocument/2006/relationships/hyperlink" Target="https://news.google.com/articles/CBMiggFodHRwczovL20uZWxtb3N0cmFkb3IuY2wvZGlhLzIwMjIvMDgvMjIvcHJpbWVyYS1taW5pc3RyYS1kZS1maW5sYW5kaWEtZGEtbmVnYXRpdm8tZW4tdGVzdC1kZS1kcm9nYXMtcmVhbGl6YWRvLXRyYXMtcG9sZW1pY28tdmlkZW8v0gEA?hl=es-419&amp;gl=CL&amp;ceid=CL%3Aes-419" TargetMode="External"/><Relationship Id="rId52" Type="http://schemas.openxmlformats.org/officeDocument/2006/relationships/hyperlink" Target="https://news.google.com/articles/CAIiELiqL-aQMceDR4BtBaKAtycqGQgEKhAIACoHCAow292WCzCehK4DMJD3ywY?uo=CAUivAFodHRwczovL3d3dy5sYXRlcmNlcmEuY29tL3BvbGl0aWNhL25vdGljaWEvdGVzdC1kZS1kcm9nYXMtZGlwdXRhZG9zLXF1ZS1uby1zZS1yZWFsaXphcm9uLWxhLXBydWViYS1lbnRyZWdhcm9uLXN1cy1kZXNjYXJnb3MtZW4tbGEtY29taXNpb24tZGUtZXRpY2EtZGUtbGEtY2FtYXJhL09GVkpFV1VUVU5IU0hOUENVTjRGQzMzTTVFL9IBAA&amp;hl=es-419&amp;gl=CL&amp;ceid=CL%3Aes-419" TargetMode="External"/><Relationship Id="rId55" Type="http://schemas.openxmlformats.org/officeDocument/2006/relationships/hyperlink" Target="https://news.google.com/articles/CBMilwFodHRwczovL3d3dy5iaW9iaW9jaGlsZS5jbC9ub3RpY2lhcy9uYWNpb25hbC9jaGlsZS8yMDIyLzA4LzE3L2RpcHV0YWRhLXJpcXVlbG1lLXBpZW5zYS1uby1yZWFsaXphcnNlLXRlc3QtZGUtZHJvZ2FzLWFjdXNhLXZ1bG5lcmFjaW9uLWRlLWRlcmVjaG9zLnNodG1s0gGbAWh0dHBzOi8vd3d3LmJpb2Jpb2NoaWxlLmNsL25vdGljaWFzL25hY2lvbmFsL2NoaWxlLzIwMjIvMDgvMTcvYW1wL2RpcHV0YWRhLXJpcXVlbG1lLXBpZW5zYS1uby1yZWFsaXphcnNlLXRlc3QtZGUtZHJvZ2FzLWFjdXNhLXZ1bG5lcmFjaW9uLWRlLWRlcmVjaG9zLnNodG1s?hl=es-419&amp;gl=CL&amp;ceid=CL%3Aes-419" TargetMode="External"/><Relationship Id="rId54" Type="http://schemas.openxmlformats.org/officeDocument/2006/relationships/hyperlink" Target="https://news.google.com/articles/CBMiS2h0dHBzOi8vZWxwaW5ndWluby5jb20vbm90aWNpYS8yMDIyLzExLzEzL3JlcXVpc2l0b3MtcGFyYS1zZXItcGFybGFtZW50YXJpb9IBAA?hl=es-419&amp;gl=CL&amp;ceid=CL%3Aes-419" TargetMode="External"/><Relationship Id="rId57" Type="http://schemas.openxmlformats.org/officeDocument/2006/relationships/hyperlink" Target="https://news.google.com/articles/CBMisAFodHRwczovL3d3dy5iaW9iaW9jaGlsZS5jbC9ub3RpY2lhcy9uYWNpb25hbC9yZWdpb24tZGUtbG9zLWxhZ29zLzIwMjIvMDgvMzEvZGlwdXRhZG8tYmFycmlhLXBpZGUtYXBsaWNhci10ZXN0LXBzaXF1aWF0cmljby1hLXBhcmxhbWVudGFyaW9zLXRyYXMtYWdyZXNpb24tZGUtZGUtbGEtY2FycmVyYS5zaHRtbNIBtAFodHRwczovL3d3dy5iaW9iaW9jaGlsZS5jbC9ub3RpY2lhcy9uYWNpb25hbC9yZWdpb24tZGUtbG9zLWxhZ29zLzIwMjIvMDgvMzEvYW1wL2RpcHV0YWRvLWJhcnJpYS1waWRlLWFwbGljYXItdGVzdC1wc2lxdWlhdHJpY28tYS1wYXJsYW1lbnRhcmlvcy10cmFzLWFncmVzaW9uLWRlLWRlLWxhLWNhcnJlcmEuc2h0bWw?hl=es-419&amp;gl=CL&amp;ceid=CL%3Aes-419" TargetMode="External"/><Relationship Id="rId56" Type="http://schemas.openxmlformats.org/officeDocument/2006/relationships/hyperlink" Target="https://news.google.com/articles/CBMilwFodHRwczovL20uZWxtb3N0cmFkb3IuY2wvZGlhLzIwMjIvMDkvMzAvaW5mb3JtZS1leHBvbmUtYWNjaW9uYXItZGUtbGEtdWx0cmFkZXJlY2hhLWVuLXR3aXR0ZXItcGFyYS1tYWduaWZpY2FyLXJlc3VsdGFkb3MtZGVsLXRlc3QtZGUtZHJvZ2EtYS1kaXB1dGFkb3Mv0gEA?hl=es-419&amp;gl=CL&amp;ceid=CL%3Aes-419" TargetMode="External"/><Relationship Id="rId59" Type="http://schemas.openxmlformats.org/officeDocument/2006/relationships/hyperlink" Target="https://news.google.com/articles/CAIiEJtmJN8GjbZJKe1gFAKzlKIqMwgEKioIACIQVGcsbw39Ucci0s30uaM2FSoUCAoiEFRnLG8N_VHHItLN9LmjNhUwgpT2Bg?uo=CAUiigFodHRwczovL3d3dy5lbGRpbmFtby5jbC9wb2xpdGljYS9Qcm9wb25lbi1yZWFsaXphci10ZXN0LWRlLWRyb2dhcy15LWFsY29ob2wtYS1wZXJzb25hcy1xdWUtdHJhYmFqYW4tY29uLW1lbm9yZXMtZGUtZWRhZC0yMDIyMTAxMC0wMDEwLmh0bWzSAQA&amp;hl=es-419&amp;gl=CL&amp;ceid=CL%3Aes-419" TargetMode="External"/><Relationship Id="rId58" Type="http://schemas.openxmlformats.org/officeDocument/2006/relationships/hyperlink" Target="https://news.google.com/articles/CAIiENGXiPIaj2SaxNbkbXzBMw8qMwgEKioIACIQ4UImbQs-dUT3WEeojnol4yoUCAoiEOFCJm0LPnVE91hHqI56JeMwgsPHBg?uo=CAUidGh0dHBzOi8vd3d3LmhlcmFsZG8uZXMvbm90aWNpYXMvaW50ZXJuYWNpb25hbC8yMDIyLzA5LzI4L2RpcHV0YWRvcy1jaGlsZW5vcy1kaWVyb24tbmVnYXRpdm8tdGVzdC1kcm9nYXMtMTYwMjQ0OS5odG1s0gEA&amp;hl=es-419&amp;gl=CL&amp;ceid=CL%3Aes-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8.0"/>
    <col customWidth="1" min="3" max="3" width="37.57"/>
    <col customWidth="1" min="4" max="4" width="10.43"/>
    <col customWidth="1" min="5" max="5" width="172.14"/>
    <col customWidth="1" min="6" max="26" width="10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>
      <c r="A2" s="1">
        <v>1.0</v>
      </c>
      <c r="B2" s="6">
        <v>44879.0</v>
      </c>
      <c r="C2" s="2" t="s">
        <v>10</v>
      </c>
      <c r="D2" s="2" t="str">
        <f t="shared" ref="D2:D131" si="1">LEFT(C2,14)</f>
        <v>Test de drogas</v>
      </c>
      <c r="E2" s="2" t="s">
        <v>11</v>
      </c>
      <c r="H2" s="4">
        <f>IF(IFERROR(VLOOKUP(C2,'"prueba""drogas""parlamentarios'!C:C,1,0),0)&gt;0,1,0)</f>
        <v>1</v>
      </c>
      <c r="I2" s="4">
        <f>IF(IFERROR(VLOOKUP(C2,'"test""drogas""parlamentarios"'!C:C,1,0),0)&gt;0,1,0)</f>
        <v>1</v>
      </c>
      <c r="J2" s="4">
        <f>IF(IFERROR(VLOOKUP(C2,'test de drogas parlamentarios'!C:C,1,0),0)&gt;0,1,0)</f>
        <v>1</v>
      </c>
    </row>
    <row r="3">
      <c r="A3" s="1">
        <v>1.0</v>
      </c>
      <c r="B3" s="6">
        <v>44880.0</v>
      </c>
      <c r="C3" s="2" t="s">
        <v>12</v>
      </c>
      <c r="D3" s="2" t="str">
        <f t="shared" si="1"/>
        <v>Sin positivos </v>
      </c>
      <c r="E3" s="2" t="s">
        <v>13</v>
      </c>
      <c r="F3" s="5" t="s">
        <v>14</v>
      </c>
      <c r="H3" s="4">
        <f>IF(IFERROR(VLOOKUP(C3,'"prueba""drogas""parlamentarios'!C:C,1,0),0)&gt;0,1,0)</f>
        <v>0</v>
      </c>
      <c r="I3" s="4">
        <f>IF(IFERROR(VLOOKUP(C3,'"test""drogas""parlamentarios"'!C:C,1,0),0)&gt;0,1,0)</f>
        <v>1</v>
      </c>
      <c r="J3" s="4">
        <f>IF(IFERROR(VLOOKUP(C3,'test de drogas parlamentarios'!C:C,1,0),0)&gt;0,1,0)</f>
        <v>1</v>
      </c>
    </row>
    <row r="4">
      <c r="A4" s="1">
        <v>1.0</v>
      </c>
      <c r="B4" s="6">
        <v>44880.0</v>
      </c>
      <c r="C4" s="2" t="s">
        <v>15</v>
      </c>
      <c r="D4" s="2" t="str">
        <f t="shared" si="1"/>
        <v>Diputado Becke</v>
      </c>
      <c r="E4" s="2" t="s">
        <v>16</v>
      </c>
      <c r="H4" s="4">
        <f>IF(IFERROR(VLOOKUP(C4,'"prueba""drogas""parlamentarios'!C:C,1,0),0)&gt;0,1,0)</f>
        <v>0</v>
      </c>
      <c r="I4" s="4">
        <f>IF(IFERROR(VLOOKUP(C4,'"test""drogas""parlamentarios"'!C:C,1,0),0)&gt;0,1,0)</f>
        <v>1</v>
      </c>
      <c r="J4" s="4">
        <f>IF(IFERROR(VLOOKUP(C4,'test de drogas parlamentarios'!C:C,1,0),0)&gt;0,1,0)</f>
        <v>1</v>
      </c>
    </row>
    <row r="5">
      <c r="A5" s="1">
        <v>1.0</v>
      </c>
      <c r="B5" s="6">
        <v>44830.0</v>
      </c>
      <c r="C5" s="2" t="s">
        <v>17</v>
      </c>
      <c r="D5" s="2" t="str">
        <f t="shared" si="1"/>
        <v>Test de drogas</v>
      </c>
      <c r="E5" s="2" t="s">
        <v>18</v>
      </c>
      <c r="F5" s="5" t="s">
        <v>14</v>
      </c>
      <c r="H5" s="4">
        <f>IF(IFERROR(VLOOKUP(C5,'"prueba""drogas""parlamentarios'!C:C,1,0),0)&gt;0,1,0)</f>
        <v>0</v>
      </c>
      <c r="I5" s="4">
        <f>IF(IFERROR(VLOOKUP(C5,'"test""drogas""parlamentarios"'!C:C,1,0),0)&gt;0,1,0)</f>
        <v>1</v>
      </c>
      <c r="J5" s="4">
        <f>IF(IFERROR(VLOOKUP(C5,'test de drogas parlamentarios'!C:C,1,0),0)&gt;0,1,0)</f>
        <v>1</v>
      </c>
    </row>
    <row r="6">
      <c r="A6" s="1">
        <v>1.0</v>
      </c>
      <c r="B6" s="6">
        <v>44790.0</v>
      </c>
      <c r="C6" s="2" t="s">
        <v>19</v>
      </c>
      <c r="D6" s="2" t="str">
        <f t="shared" si="1"/>
        <v>Revisa la list</v>
      </c>
      <c r="E6" s="2" t="s">
        <v>20</v>
      </c>
      <c r="H6" s="4">
        <f>IF(IFERROR(VLOOKUP(C6,'"prueba""drogas""parlamentarios'!C:C,1,0),0)&gt;0,1,0)</f>
        <v>0</v>
      </c>
      <c r="I6" s="4">
        <f>IF(IFERROR(VLOOKUP(C6,'"test""drogas""parlamentarios"'!C:C,1,0),0)&gt;0,1,0)</f>
        <v>0</v>
      </c>
      <c r="J6" s="4">
        <f>IF(IFERROR(VLOOKUP(C6,'test de drogas parlamentarios'!C:C,1,0),0)&gt;0,1,0)</f>
        <v>1</v>
      </c>
    </row>
    <row r="7">
      <c r="A7" s="1">
        <v>1.0</v>
      </c>
      <c r="B7" s="6">
        <v>44795.0</v>
      </c>
      <c r="C7" s="2" t="s">
        <v>21</v>
      </c>
      <c r="D7" s="2" t="str">
        <f t="shared" si="1"/>
        <v>Comenzó aplica</v>
      </c>
      <c r="E7" s="2" t="s">
        <v>22</v>
      </c>
      <c r="H7" s="4">
        <f>IF(IFERROR(VLOOKUP(C7,'"prueba""drogas""parlamentarios'!C:C,1,0),0)&gt;0,1,0)</f>
        <v>1</v>
      </c>
      <c r="I7" s="4">
        <f>IF(IFERROR(VLOOKUP(C7,'"test""drogas""parlamentarios"'!C:C,1,0),0)&gt;0,1,0)</f>
        <v>1</v>
      </c>
      <c r="J7" s="4">
        <f>IF(IFERROR(VLOOKUP(C7,'test de drogas parlamentarios'!C:C,1,0),0)&gt;0,1,0)</f>
        <v>1</v>
      </c>
    </row>
    <row r="8">
      <c r="A8" s="1">
        <v>1.0</v>
      </c>
      <c r="B8" s="6">
        <v>44824.0</v>
      </c>
      <c r="C8" s="2" t="s">
        <v>23</v>
      </c>
      <c r="D8" s="2" t="str">
        <f t="shared" si="1"/>
        <v>Suspenso en la</v>
      </c>
      <c r="E8" s="2" t="s">
        <v>24</v>
      </c>
      <c r="H8" s="4">
        <f>IF(IFERROR(VLOOKUP(C8,'"prueba""drogas""parlamentarios'!C:C,1,0),0)&gt;0,1,0)</f>
        <v>1</v>
      </c>
      <c r="I8" s="4">
        <f>IF(IFERROR(VLOOKUP(C8,'"test""drogas""parlamentarios"'!C:C,1,0),0)&gt;0,1,0)</f>
        <v>1</v>
      </c>
      <c r="J8" s="4">
        <f>IF(IFERROR(VLOOKUP(C8,'test de drogas parlamentarios'!C:C,1,0),0)&gt;0,1,0)</f>
        <v>1</v>
      </c>
    </row>
    <row r="9">
      <c r="A9" s="1">
        <v>1.0</v>
      </c>
      <c r="B9" s="6">
        <v>44872.0</v>
      </c>
      <c r="C9" s="2" t="s">
        <v>25</v>
      </c>
      <c r="D9" s="2" t="str">
        <f t="shared" si="1"/>
        <v>Un amigo sorpr</v>
      </c>
      <c r="E9" s="7" t="s">
        <v>26</v>
      </c>
      <c r="H9" s="4">
        <f>IF(IFERROR(VLOOKUP(C9,'"prueba""drogas""parlamentarios'!C:C,1,0),0)&gt;0,1,0)</f>
        <v>0</v>
      </c>
      <c r="I9" s="4">
        <f>IF(IFERROR(VLOOKUP(C9,'"test""drogas""parlamentarios"'!C:C,1,0),0)&gt;0,1,0)</f>
        <v>1</v>
      </c>
      <c r="J9" s="4">
        <f>IF(IFERROR(VLOOKUP(C9,'test de drogas parlamentarios'!C:C,1,0),0)&gt;0,1,0)</f>
        <v>1</v>
      </c>
    </row>
    <row r="10">
      <c r="A10" s="1">
        <v>1.0</v>
      </c>
      <c r="B10" s="6">
        <v>44755.0</v>
      </c>
      <c r="C10" s="2" t="s">
        <v>27</v>
      </c>
      <c r="D10" s="2" t="str">
        <f t="shared" si="1"/>
        <v>Cámara aprueba</v>
      </c>
      <c r="E10" s="2" t="s">
        <v>28</v>
      </c>
      <c r="H10" s="4">
        <f>IF(IFERROR(VLOOKUP(C10,'"prueba""drogas""parlamentarios'!C:C,1,0),0)&gt;0,1,0)</f>
        <v>0</v>
      </c>
      <c r="I10" s="4">
        <f>IF(IFERROR(VLOOKUP(C10,'"test""drogas""parlamentarios"'!C:C,1,0),0)&gt;0,1,0)</f>
        <v>0</v>
      </c>
      <c r="J10" s="4">
        <f>IF(IFERROR(VLOOKUP(C10,'test de drogas parlamentarios'!C:C,1,0),0)&gt;0,1,0)</f>
        <v>1</v>
      </c>
    </row>
    <row r="11">
      <c r="A11" s="1">
        <v>1.0</v>
      </c>
      <c r="B11" s="6">
        <v>44791.0</v>
      </c>
      <c r="C11" s="2" t="s">
        <v>29</v>
      </c>
      <c r="D11" s="2" t="str">
        <f t="shared" si="1"/>
        <v>"Necesario", "</v>
      </c>
      <c r="E11" s="2" t="s">
        <v>30</v>
      </c>
      <c r="H11" s="4">
        <f>IF(IFERROR(VLOOKUP(C11,'"prueba""drogas""parlamentarios'!C:C,1,0),0)&gt;0,1,0)</f>
        <v>1</v>
      </c>
      <c r="I11" s="4">
        <f>IF(IFERROR(VLOOKUP(C11,'"test""drogas""parlamentarios"'!C:C,1,0),0)&gt;0,1,0)</f>
        <v>1</v>
      </c>
      <c r="J11" s="4">
        <f>IF(IFERROR(VLOOKUP(C11,'test de drogas parlamentarios'!C:C,1,0),0)&gt;0,1,0)</f>
        <v>1</v>
      </c>
    </row>
    <row r="12">
      <c r="A12" s="1">
        <v>1.0</v>
      </c>
      <c r="B12" s="6">
        <v>44790.0</v>
      </c>
      <c r="C12" s="2" t="s">
        <v>31</v>
      </c>
      <c r="D12" s="2" t="str">
        <f t="shared" si="1"/>
        <v>Un test que in</v>
      </c>
      <c r="E12" s="2" t="s">
        <v>32</v>
      </c>
      <c r="H12" s="4">
        <f>IF(IFERROR(VLOOKUP(C12,'"prueba""drogas""parlamentarios'!C:C,1,0),0)&gt;0,1,0)</f>
        <v>0</v>
      </c>
      <c r="I12" s="4">
        <f>IF(IFERROR(VLOOKUP(C12,'"test""drogas""parlamentarios"'!C:C,1,0),0)&gt;0,1,0)</f>
        <v>1</v>
      </c>
      <c r="J12" s="4">
        <f>IF(IFERROR(VLOOKUP(C12,'test de drogas parlamentarios'!C:C,1,0),0)&gt;0,1,0)</f>
        <v>1</v>
      </c>
    </row>
    <row r="13">
      <c r="A13" s="1">
        <v>1.0</v>
      </c>
      <c r="B13" s="6">
        <v>44740.0</v>
      </c>
      <c r="C13" s="7" t="s">
        <v>33</v>
      </c>
      <c r="D13" s="2" t="str">
        <f t="shared" si="1"/>
        <v>Test de drogas</v>
      </c>
      <c r="E13" s="2" t="s">
        <v>34</v>
      </c>
      <c r="H13" s="4">
        <f>IF(IFERROR(VLOOKUP(C13,'"prueba""drogas""parlamentarios'!C:C,1,0),0)&gt;0,1,0)</f>
        <v>0</v>
      </c>
      <c r="I13" s="4">
        <f>IF(IFERROR(VLOOKUP(C13,'"test""drogas""parlamentarios"'!C:C,1,0),0)&gt;0,1,0)</f>
        <v>0</v>
      </c>
      <c r="J13" s="4">
        <f>IF(IFERROR(VLOOKUP(C13,'test de drogas parlamentarios'!C:C,1,0),0)&gt;0,1,0)</f>
        <v>1</v>
      </c>
    </row>
    <row r="14">
      <c r="A14" s="1">
        <v>1.0</v>
      </c>
      <c r="B14" s="6">
        <v>44802.0</v>
      </c>
      <c r="C14" s="2" t="s">
        <v>35</v>
      </c>
      <c r="D14" s="2" t="str">
        <f t="shared" si="1"/>
        <v>Test de drogas</v>
      </c>
      <c r="E14" s="2" t="s">
        <v>36</v>
      </c>
      <c r="H14" s="4">
        <f>IF(IFERROR(VLOOKUP(C14,'"prueba""drogas""parlamentarios'!C:C,1,0),0)&gt;0,1,0)</f>
        <v>1</v>
      </c>
      <c r="I14" s="4">
        <f>IF(IFERROR(VLOOKUP(C14,'"test""drogas""parlamentarios"'!C:C,1,0),0)&gt;0,1,0)</f>
        <v>1</v>
      </c>
      <c r="J14" s="4">
        <f>IF(IFERROR(VLOOKUP(C14,'test de drogas parlamentarios'!C:C,1,0),0)&gt;0,1,0)</f>
        <v>1</v>
      </c>
    </row>
    <row r="15">
      <c r="A15" s="1">
        <v>1.0</v>
      </c>
      <c r="B15" s="6">
        <v>44726.0</v>
      </c>
      <c r="C15" s="2" t="s">
        <v>37</v>
      </c>
      <c r="D15" s="2" t="str">
        <f t="shared" si="1"/>
        <v>El test de dro</v>
      </c>
      <c r="E15" s="2" t="s">
        <v>38</v>
      </c>
      <c r="H15" s="4">
        <f>IF(IFERROR(VLOOKUP(C15,'"prueba""drogas""parlamentarios'!C:C,1,0),0)&gt;0,1,0)</f>
        <v>0</v>
      </c>
      <c r="I15" s="4">
        <f>IF(IFERROR(VLOOKUP(C15,'"test""drogas""parlamentarios"'!C:C,1,0),0)&gt;0,1,0)</f>
        <v>1</v>
      </c>
      <c r="J15" s="4">
        <f>IF(IFERROR(VLOOKUP(C15,'test de drogas parlamentarios'!C:C,1,0),0)&gt;0,1,0)</f>
        <v>1</v>
      </c>
    </row>
    <row r="16">
      <c r="A16" s="1">
        <v>1.0</v>
      </c>
      <c r="B16" s="6">
        <v>44799.0</v>
      </c>
      <c r="C16" s="2" t="s">
        <v>39</v>
      </c>
      <c r="D16" s="2" t="str">
        <f t="shared" si="1"/>
        <v>Columna de Pab</v>
      </c>
      <c r="E16" s="2" t="s">
        <v>40</v>
      </c>
      <c r="F16" s="5" t="s">
        <v>41</v>
      </c>
      <c r="H16" s="4">
        <f>IF(IFERROR(VLOOKUP(C16,'"prueba""drogas""parlamentarios'!C:C,1,0),0)&gt;0,1,0)</f>
        <v>0</v>
      </c>
      <c r="I16" s="4">
        <f>IF(IFERROR(VLOOKUP(C16,'"test""drogas""parlamentarios"'!C:C,1,0),0)&gt;0,1,0)</f>
        <v>1</v>
      </c>
      <c r="J16" s="4">
        <f>IF(IFERROR(VLOOKUP(C16,'test de drogas parlamentarios'!C:C,1,0),0)&gt;0,1,0)</f>
        <v>1</v>
      </c>
    </row>
    <row r="17">
      <c r="A17" s="1">
        <v>1.0</v>
      </c>
      <c r="B17" s="6">
        <v>44799.0</v>
      </c>
      <c r="C17" s="7" t="s">
        <v>42</v>
      </c>
      <c r="D17" s="2" t="str">
        <f t="shared" si="1"/>
        <v>Test de drogas</v>
      </c>
      <c r="E17" s="2" t="s">
        <v>43</v>
      </c>
      <c r="F17" s="4" t="s">
        <v>44</v>
      </c>
      <c r="H17" s="4">
        <f>IF(IFERROR(VLOOKUP(C17,'"prueba""drogas""parlamentarios'!C:C,1,0),0)&gt;0,1,0)</f>
        <v>1</v>
      </c>
      <c r="I17" s="4">
        <f>IF(IFERROR(VLOOKUP(C17,'"test""drogas""parlamentarios"'!C:C,1,0),0)&gt;0,1,0)</f>
        <v>1</v>
      </c>
      <c r="J17" s="4">
        <f>IF(IFERROR(VLOOKUP(C17,'test de drogas parlamentarios'!C:C,1,0),0)&gt;0,1,0)</f>
        <v>1</v>
      </c>
    </row>
    <row r="18">
      <c r="A18" s="1">
        <v>1.0</v>
      </c>
      <c r="B18" s="6">
        <v>44831.0</v>
      </c>
      <c r="C18" s="2" t="s">
        <v>45</v>
      </c>
      <c r="D18" s="2" t="str">
        <f t="shared" si="1"/>
        <v>Corte de Apela</v>
      </c>
      <c r="E18" s="2" t="s">
        <v>46</v>
      </c>
      <c r="H18" s="4">
        <f>IF(IFERROR(VLOOKUP(C18,'"prueba""drogas""parlamentarios'!C:C,1,0),0)&gt;0,1,0)</f>
        <v>0</v>
      </c>
      <c r="I18" s="4">
        <f>IF(IFERROR(VLOOKUP(C18,'"test""drogas""parlamentarios"'!C:C,1,0),0)&gt;0,1,0)</f>
        <v>1</v>
      </c>
      <c r="J18" s="4">
        <f>IF(IFERROR(VLOOKUP(C18,'test de drogas parlamentarios'!C:C,1,0),0)&gt;0,1,0)</f>
        <v>1</v>
      </c>
    </row>
    <row r="19">
      <c r="A19" s="1">
        <v>1.0</v>
      </c>
      <c r="B19" s="6">
        <v>44764.0</v>
      </c>
      <c r="C19" s="2" t="s">
        <v>47</v>
      </c>
      <c r="D19" s="2" t="str">
        <f t="shared" si="1"/>
        <v>Test de drogas</v>
      </c>
      <c r="E19" s="2" t="s">
        <v>48</v>
      </c>
      <c r="F19" s="8" t="s">
        <v>49</v>
      </c>
      <c r="H19" s="4">
        <f>IF(IFERROR(VLOOKUP(C19,'"prueba""drogas""parlamentarios'!C:C,1,0),0)&gt;0,1,0)</f>
        <v>0</v>
      </c>
      <c r="I19" s="4">
        <f>IF(IFERROR(VLOOKUP(C19,'"test""drogas""parlamentarios"'!C:C,1,0),0)&gt;0,1,0)</f>
        <v>1</v>
      </c>
      <c r="J19" s="4">
        <f>IF(IFERROR(VLOOKUP(C19,'test de drogas parlamentarios'!C:C,1,0),0)&gt;0,1,0)</f>
        <v>1</v>
      </c>
    </row>
    <row r="20">
      <c r="A20" s="1">
        <v>1.0</v>
      </c>
      <c r="B20" s="6">
        <v>44804.0</v>
      </c>
      <c r="C20" s="2" t="s">
        <v>50</v>
      </c>
      <c r="D20" s="2" t="str">
        <f t="shared" si="1"/>
        <v>Test de drogas</v>
      </c>
      <c r="E20" s="2" t="s">
        <v>51</v>
      </c>
      <c r="H20" s="4">
        <f>IF(IFERROR(VLOOKUP(C20,'"prueba""drogas""parlamentarios'!C:C,1,0),0)&gt;0,1,0)</f>
        <v>1</v>
      </c>
      <c r="I20" s="4">
        <f>IF(IFERROR(VLOOKUP(C20,'"test""drogas""parlamentarios"'!C:C,1,0),0)&gt;0,1,0)</f>
        <v>1</v>
      </c>
      <c r="J20" s="4">
        <f>IF(IFERROR(VLOOKUP(C20,'test de drogas parlamentarios'!C:C,1,0),0)&gt;0,1,0)</f>
        <v>1</v>
      </c>
    </row>
    <row r="21" ht="15.75" customHeight="1">
      <c r="A21" s="1">
        <v>1.0</v>
      </c>
      <c r="B21" s="6">
        <v>44796.0</v>
      </c>
      <c r="C21" s="2" t="s">
        <v>52</v>
      </c>
      <c r="D21" s="2" t="str">
        <f t="shared" si="1"/>
        <v>Jorge Schaulso</v>
      </c>
      <c r="E21" s="2" t="s">
        <v>53</v>
      </c>
      <c r="H21" s="4">
        <f>IF(IFERROR(VLOOKUP(C21,'"prueba""drogas""parlamentarios'!C:C,1,0),0)&gt;0,1,0)</f>
        <v>0</v>
      </c>
      <c r="I21" s="4">
        <f>IF(IFERROR(VLOOKUP(C21,'"test""drogas""parlamentarios"'!C:C,1,0),0)&gt;0,1,0)</f>
        <v>1</v>
      </c>
      <c r="J21" s="4">
        <f>IF(IFERROR(VLOOKUP(C21,'test de drogas parlamentarios'!C:C,1,0),0)&gt;0,1,0)</f>
        <v>1</v>
      </c>
    </row>
    <row r="22" ht="15.75" customHeight="1">
      <c r="A22" s="1">
        <v>1.0</v>
      </c>
      <c r="B22" s="6">
        <v>44794.0</v>
      </c>
      <c r="C22" s="2" t="s">
        <v>54</v>
      </c>
      <c r="D22" s="2" t="str">
        <f t="shared" si="1"/>
        <v>Test de drogas</v>
      </c>
      <c r="E22" s="2" t="s">
        <v>55</v>
      </c>
      <c r="F22" s="5" t="s">
        <v>41</v>
      </c>
      <c r="H22" s="4">
        <f>IF(IFERROR(VLOOKUP(C22,'"prueba""drogas""parlamentarios'!C:C,1,0),0)&gt;0,1,0)</f>
        <v>0</v>
      </c>
      <c r="I22" s="4">
        <f>IF(IFERROR(VLOOKUP(C22,'"test""drogas""parlamentarios"'!C:C,1,0),0)&gt;0,1,0)</f>
        <v>1</v>
      </c>
      <c r="J22" s="4">
        <f>IF(IFERROR(VLOOKUP(C22,'test de drogas parlamentarios'!C:C,1,0),0)&gt;0,1,0)</f>
        <v>1</v>
      </c>
    </row>
    <row r="23" ht="15.75" customHeight="1">
      <c r="A23" s="1">
        <v>1.0</v>
      </c>
      <c r="B23" s="6">
        <v>44853.0</v>
      </c>
      <c r="C23" s="2" t="s">
        <v>56</v>
      </c>
      <c r="D23" s="2" t="str">
        <f t="shared" si="1"/>
        <v>Test de drogas</v>
      </c>
      <c r="E23" s="2" t="s">
        <v>57</v>
      </c>
      <c r="H23" s="4">
        <f>IF(IFERROR(VLOOKUP(C23,'"prueba""drogas""parlamentarios'!C:C,1,0),0)&gt;0,1,0)</f>
        <v>1</v>
      </c>
      <c r="I23" s="4">
        <f>IF(IFERROR(VLOOKUP(C23,'"test""drogas""parlamentarios"'!C:C,1,0),0)&gt;0,1,0)</f>
        <v>1</v>
      </c>
      <c r="J23" s="4">
        <f>IF(IFERROR(VLOOKUP(C23,'test de drogas parlamentarios'!C:C,1,0),0)&gt;0,1,0)</f>
        <v>1</v>
      </c>
    </row>
    <row r="24" ht="15.75" customHeight="1">
      <c r="A24" s="1">
        <v>1.0</v>
      </c>
      <c r="B24" s="6">
        <v>44860.0</v>
      </c>
      <c r="C24" s="2" t="s">
        <v>58</v>
      </c>
      <c r="D24" s="2" t="str">
        <f t="shared" si="1"/>
        <v>Comisión de Ét</v>
      </c>
      <c r="E24" s="2" t="s">
        <v>59</v>
      </c>
      <c r="H24" s="4">
        <f>IF(IFERROR(VLOOKUP(C24,'"prueba""drogas""parlamentarios'!C:C,1,0),0)&gt;0,1,0)</f>
        <v>1</v>
      </c>
      <c r="I24" s="4">
        <f>IF(IFERROR(VLOOKUP(C24,'"test""drogas""parlamentarios"'!C:C,1,0),0)&gt;0,1,0)</f>
        <v>1</v>
      </c>
      <c r="J24" s="4">
        <f>IF(IFERROR(VLOOKUP(C24,'test de drogas parlamentarios'!C:C,1,0),0)&gt;0,1,0)</f>
        <v>1</v>
      </c>
    </row>
    <row r="25" ht="15.75" customHeight="1">
      <c r="A25" s="1">
        <v>1.0</v>
      </c>
      <c r="B25" s="6">
        <v>44777.0</v>
      </c>
      <c r="C25" s="7" t="s">
        <v>60</v>
      </c>
      <c r="D25" s="2" t="str">
        <f t="shared" si="1"/>
        <v>Test de drogas</v>
      </c>
      <c r="E25" s="2" t="s">
        <v>61</v>
      </c>
      <c r="H25" s="4">
        <f>IF(IFERROR(VLOOKUP(C25,'"prueba""drogas""parlamentarios'!C:C,1,0),0)&gt;0,1,0)</f>
        <v>0</v>
      </c>
      <c r="I25" s="4">
        <f>IF(IFERROR(VLOOKUP(C25,'"test""drogas""parlamentarios"'!C:C,1,0),0)&gt;0,1,0)</f>
        <v>1</v>
      </c>
      <c r="J25" s="4">
        <f>IF(IFERROR(VLOOKUP(C25,'test de drogas parlamentarios'!C:C,1,0),0)&gt;0,1,0)</f>
        <v>1</v>
      </c>
    </row>
    <row r="26" ht="15.75" customHeight="1">
      <c r="A26" s="1">
        <v>1.0</v>
      </c>
      <c r="B26" s="6">
        <v>44818.0</v>
      </c>
      <c r="C26" s="2" t="s">
        <v>62</v>
      </c>
      <c r="D26" s="2" t="str">
        <f t="shared" si="1"/>
        <v>El trance incó</v>
      </c>
      <c r="E26" s="2" t="s">
        <v>63</v>
      </c>
      <c r="F26" s="4" t="s">
        <v>64</v>
      </c>
      <c r="H26" s="4">
        <f>IF(IFERROR(VLOOKUP(C26,'"prueba""drogas""parlamentarios'!C:C,1,0),0)&gt;0,1,0)</f>
        <v>1</v>
      </c>
      <c r="I26" s="4">
        <f>IF(IFERROR(VLOOKUP(C26,'"test""drogas""parlamentarios"'!C:C,1,0),0)&gt;0,1,0)</f>
        <v>1</v>
      </c>
      <c r="J26" s="4">
        <f>IF(IFERROR(VLOOKUP(C26,'test de drogas parlamentarios'!C:C,1,0),0)&gt;0,1,0)</f>
        <v>1</v>
      </c>
    </row>
    <row r="27" ht="15.75" customHeight="1">
      <c r="A27" s="1">
        <v>1.0</v>
      </c>
      <c r="B27" s="6">
        <v>44820.0</v>
      </c>
      <c r="C27" s="2" t="s">
        <v>65</v>
      </c>
      <c r="D27" s="2" t="str">
        <f t="shared" si="1"/>
        <v>Corte Suprema </v>
      </c>
      <c r="E27" s="2" t="s">
        <v>66</v>
      </c>
      <c r="F27" s="5" t="s">
        <v>67</v>
      </c>
      <c r="H27" s="4">
        <f>IF(IFERROR(VLOOKUP(C27,'"prueba""drogas""parlamentarios'!C:C,1,0),0)&gt;0,1,0)</f>
        <v>0</v>
      </c>
      <c r="I27" s="4">
        <f>IF(IFERROR(VLOOKUP(C27,'"test""drogas""parlamentarios"'!C:C,1,0),0)&gt;0,1,0)</f>
        <v>1</v>
      </c>
      <c r="J27" s="4">
        <f>IF(IFERROR(VLOOKUP(C27,'test de drogas parlamentarios'!C:C,1,0),0)&gt;0,1,0)</f>
        <v>1</v>
      </c>
    </row>
    <row r="28" ht="15.75" customHeight="1">
      <c r="A28" s="1">
        <v>1.0</v>
      </c>
      <c r="B28" s="6">
        <v>44834.0</v>
      </c>
      <c r="C28" s="2" t="s">
        <v>68</v>
      </c>
      <c r="D28" s="2" t="str">
        <f t="shared" si="1"/>
        <v>Informe expone</v>
      </c>
      <c r="E28" s="2" t="s">
        <v>69</v>
      </c>
      <c r="F28" s="5" t="s">
        <v>41</v>
      </c>
      <c r="H28" s="4">
        <f>IF(IFERROR(VLOOKUP(C28,'"prueba""drogas""parlamentarios'!C:C,1,0),0)&gt;0,1,0)</f>
        <v>0</v>
      </c>
      <c r="I28" s="4">
        <f>IF(IFERROR(VLOOKUP(C28,'"test""drogas""parlamentarios"'!C:C,1,0),0)&gt;0,1,0)</f>
        <v>1</v>
      </c>
      <c r="J28" s="4">
        <f>IF(IFERROR(VLOOKUP(C28,'test de drogas parlamentarios'!C:C,1,0),0)&gt;0,1,0)</f>
        <v>1</v>
      </c>
    </row>
    <row r="29" ht="15.75" customHeight="1">
      <c r="A29" s="1">
        <v>1.0</v>
      </c>
      <c r="B29" s="6">
        <v>44728.0</v>
      </c>
      <c r="C29" s="2" t="s">
        <v>70</v>
      </c>
      <c r="D29" s="2" t="str">
        <f t="shared" si="1"/>
        <v>Pamela Jiles p</v>
      </c>
      <c r="E29" s="2" t="s">
        <v>71</v>
      </c>
      <c r="H29" s="4">
        <f>IF(IFERROR(VLOOKUP(C29,'"prueba""drogas""parlamentarios'!C:C,1,0),0)&gt;0,1,0)</f>
        <v>0</v>
      </c>
      <c r="I29" s="4">
        <f>IF(IFERROR(VLOOKUP(C29,'"test""drogas""parlamentarios"'!C:C,1,0),0)&gt;0,1,0)</f>
        <v>1</v>
      </c>
      <c r="J29" s="4">
        <f>IF(IFERROR(VLOOKUP(C29,'test de drogas parlamentarios'!C:C,1,0),0)&gt;0,1,0)</f>
        <v>1</v>
      </c>
    </row>
    <row r="30" ht="15.75" customHeight="1">
      <c r="A30" s="1">
        <v>1.0</v>
      </c>
      <c r="B30" s="6">
        <v>44791.0</v>
      </c>
      <c r="C30" s="2" t="s">
        <v>72</v>
      </c>
      <c r="D30" s="2" t="str">
        <f t="shared" si="1"/>
        <v>Diputada Flore</v>
      </c>
      <c r="E30" s="2" t="s">
        <v>73</v>
      </c>
      <c r="H30" s="4">
        <f>IF(IFERROR(VLOOKUP(C30,'"prueba""drogas""parlamentarios'!C:C,1,0),0)&gt;0,1,0)</f>
        <v>1</v>
      </c>
      <c r="I30" s="4">
        <f>IF(IFERROR(VLOOKUP(C30,'"test""drogas""parlamentarios"'!C:C,1,0),0)&gt;0,1,0)</f>
        <v>1</v>
      </c>
      <c r="J30" s="4">
        <f>IF(IFERROR(VLOOKUP(C30,'test de drogas parlamentarios'!C:C,1,0),0)&gt;0,1,0)</f>
        <v>1</v>
      </c>
    </row>
    <row r="31" ht="15.75" customHeight="1">
      <c r="A31" s="1">
        <v>1.0</v>
      </c>
      <c r="B31" s="6">
        <v>44790.0</v>
      </c>
      <c r="C31" s="2" t="s">
        <v>74</v>
      </c>
      <c r="D31" s="2" t="str">
        <f t="shared" si="1"/>
        <v>Diputada Rique</v>
      </c>
      <c r="E31" s="2" t="s">
        <v>75</v>
      </c>
      <c r="H31" s="4">
        <f>IF(IFERROR(VLOOKUP(C31,'"prueba""drogas""parlamentarios'!C:C,1,0),0)&gt;0,1,0)</f>
        <v>0</v>
      </c>
      <c r="I31" s="4">
        <f>IF(IFERROR(VLOOKUP(C31,'"test""drogas""parlamentarios"'!C:C,1,0),0)&gt;0,1,0)</f>
        <v>1</v>
      </c>
      <c r="J31" s="4">
        <f>IF(IFERROR(VLOOKUP(C31,'test de drogas parlamentarios'!C:C,1,0),0)&gt;0,1,0)</f>
        <v>1</v>
      </c>
    </row>
    <row r="32" ht="15.75" customHeight="1">
      <c r="A32" s="1">
        <v>1.0</v>
      </c>
      <c r="B32" s="6">
        <v>44799.0</v>
      </c>
      <c r="C32" s="2" t="s">
        <v>76</v>
      </c>
      <c r="D32" s="2" t="str">
        <f t="shared" si="1"/>
        <v>Sofía Salas: ¿</v>
      </c>
      <c r="E32" s="2" t="s">
        <v>77</v>
      </c>
      <c r="F32" s="5" t="s">
        <v>41</v>
      </c>
      <c r="H32" s="4">
        <f>IF(IFERROR(VLOOKUP(C32,'"prueba""drogas""parlamentarios'!C:C,1,0),0)&gt;0,1,0)</f>
        <v>0</v>
      </c>
      <c r="I32" s="4">
        <f>IF(IFERROR(VLOOKUP(C32,'"test""drogas""parlamentarios"'!C:C,1,0),0)&gt;0,1,0)</f>
        <v>1</v>
      </c>
      <c r="J32" s="4">
        <f>IF(IFERROR(VLOOKUP(C32,'test de drogas parlamentarios'!C:C,1,0),0)&gt;0,1,0)</f>
        <v>1</v>
      </c>
    </row>
    <row r="33" ht="15.75" customHeight="1">
      <c r="A33" s="1">
        <v>1.0</v>
      </c>
      <c r="B33" s="6">
        <v>44843.0</v>
      </c>
      <c r="C33" s="2" t="s">
        <v>78</v>
      </c>
      <c r="D33" s="2" t="str">
        <f t="shared" si="1"/>
        <v>Test de drogas</v>
      </c>
      <c r="E33" s="2" t="s">
        <v>79</v>
      </c>
      <c r="H33" s="4">
        <f>IF(IFERROR(VLOOKUP(C33,'"prueba""drogas""parlamentarios'!C:C,1,0),0)&gt;0,1,0)</f>
        <v>0</v>
      </c>
      <c r="I33" s="4">
        <f>IF(IFERROR(VLOOKUP(C33,'"test""drogas""parlamentarios"'!C:C,1,0),0)&gt;0,1,0)</f>
        <v>1</v>
      </c>
      <c r="J33" s="4">
        <f>IF(IFERROR(VLOOKUP(C33,'test de drogas parlamentarios'!C:C,1,0),0)&gt;0,1,0)</f>
        <v>1</v>
      </c>
    </row>
    <row r="34" ht="15.75" customHeight="1">
      <c r="A34" s="1">
        <v>1.0</v>
      </c>
      <c r="B34" s="6">
        <v>44831.0</v>
      </c>
      <c r="C34" s="2" t="s">
        <v>80</v>
      </c>
      <c r="D34" s="2" t="str">
        <f t="shared" si="1"/>
        <v>Test de drogas</v>
      </c>
      <c r="E34" s="2" t="s">
        <v>81</v>
      </c>
      <c r="H34" s="4">
        <f>IF(IFERROR(VLOOKUP(C34,'"prueba""drogas""parlamentarios'!C:C,1,0),0)&gt;0,1,0)</f>
        <v>0</v>
      </c>
      <c r="I34" s="4">
        <f>IF(IFERROR(VLOOKUP(C34,'"test""drogas""parlamentarios"'!C:C,1,0),0)&gt;0,1,0)</f>
        <v>1</v>
      </c>
      <c r="J34" s="4">
        <f>IF(IFERROR(VLOOKUP(C34,'test de drogas parlamentarios'!C:C,1,0),0)&gt;0,1,0)</f>
        <v>1</v>
      </c>
    </row>
    <row r="35" ht="15.75" customHeight="1">
      <c r="A35" s="1">
        <v>1.0</v>
      </c>
      <c r="B35" s="6">
        <v>44741.0</v>
      </c>
      <c r="C35" s="2" t="s">
        <v>82</v>
      </c>
      <c r="D35" s="2" t="str">
        <f t="shared" si="1"/>
        <v>Test de drogas</v>
      </c>
      <c r="E35" s="2" t="s">
        <v>83</v>
      </c>
      <c r="F35" s="4" t="s">
        <v>84</v>
      </c>
      <c r="H35" s="4">
        <f>IF(IFERROR(VLOOKUP(C35,'"prueba""drogas""parlamentarios'!C:C,1,0),0)&gt;0,1,0)</f>
        <v>0</v>
      </c>
      <c r="I35" s="4">
        <f>IF(IFERROR(VLOOKUP(C35,'"test""drogas""parlamentarios"'!C:C,1,0),0)&gt;0,1,0)</f>
        <v>1</v>
      </c>
      <c r="J35" s="4">
        <f>IF(IFERROR(VLOOKUP(C35,'test de drogas parlamentarios'!C:C,1,0),0)&gt;0,1,0)</f>
        <v>1</v>
      </c>
    </row>
    <row r="36" ht="15.75" customHeight="1">
      <c r="A36" s="1">
        <v>1.0</v>
      </c>
      <c r="B36" s="6">
        <v>44756.0</v>
      </c>
      <c r="C36" s="2" t="s">
        <v>85</v>
      </c>
      <c r="D36" s="2" t="str">
        <f t="shared" si="1"/>
        <v>“Los tengo ide</v>
      </c>
      <c r="E36" s="2" t="s">
        <v>86</v>
      </c>
      <c r="H36" s="4">
        <f>IF(IFERROR(VLOOKUP(C36,'"prueba""drogas""parlamentarios'!C:C,1,0),0)&gt;0,1,0)</f>
        <v>0</v>
      </c>
      <c r="I36" s="4">
        <f>IF(IFERROR(VLOOKUP(C36,'"test""drogas""parlamentarios"'!C:C,1,0),0)&gt;0,1,0)</f>
        <v>1</v>
      </c>
      <c r="J36" s="4">
        <f>IF(IFERROR(VLOOKUP(C36,'test de drogas parlamentarios'!C:C,1,0),0)&gt;0,1,0)</f>
        <v>1</v>
      </c>
    </row>
    <row r="37" ht="15.75" customHeight="1">
      <c r="A37" s="1">
        <v>1.0</v>
      </c>
      <c r="B37" s="6">
        <v>44832.0</v>
      </c>
      <c r="C37" s="2" t="s">
        <v>87</v>
      </c>
      <c r="D37" s="2" t="str">
        <f t="shared" si="1"/>
        <v>Los diputados </v>
      </c>
      <c r="E37" s="2" t="s">
        <v>88</v>
      </c>
      <c r="F37" s="5" t="s">
        <v>14</v>
      </c>
      <c r="H37" s="4">
        <f>IF(IFERROR(VLOOKUP(C37,'"prueba""drogas""parlamentarios'!C:C,1,0),0)&gt;0,1,0)</f>
        <v>1</v>
      </c>
      <c r="I37" s="4">
        <f>IF(IFERROR(VLOOKUP(C37,'"test""drogas""parlamentarios"'!C:C,1,0),0)&gt;0,1,0)</f>
        <v>1</v>
      </c>
      <c r="J37" s="4">
        <f>IF(IFERROR(VLOOKUP(C37,'test de drogas parlamentarios'!C:C,1,0),0)&gt;0,1,0)</f>
        <v>1</v>
      </c>
    </row>
    <row r="38" ht="15.75" customHeight="1">
      <c r="A38" s="1">
        <v>1.0</v>
      </c>
      <c r="B38" s="6">
        <v>44504.0</v>
      </c>
      <c r="C38" s="2" t="s">
        <v>89</v>
      </c>
      <c r="D38" s="2" t="str">
        <f t="shared" si="1"/>
        <v>Presupuesto 20</v>
      </c>
      <c r="E38" s="2" t="s">
        <v>90</v>
      </c>
      <c r="H38" s="4">
        <f>IF(IFERROR(VLOOKUP(C38,'"prueba""drogas""parlamentarios'!C:C,1,0),0)&gt;0,1,0)</f>
        <v>0</v>
      </c>
      <c r="I38" s="4">
        <f>IF(IFERROR(VLOOKUP(C38,'"test""drogas""parlamentarios"'!C:C,1,0),0)&gt;0,1,0)</f>
        <v>1</v>
      </c>
      <c r="J38" s="4">
        <f>IF(IFERROR(VLOOKUP(C38,'test de drogas parlamentarios'!C:C,1,0),0)&gt;0,1,0)</f>
        <v>1</v>
      </c>
    </row>
    <row r="39" ht="15.75" customHeight="1">
      <c r="A39" s="1">
        <v>1.0</v>
      </c>
      <c r="B39" s="6">
        <v>44795.0</v>
      </c>
      <c r="C39" s="2" t="s">
        <v>91</v>
      </c>
      <c r="D39" s="2" t="str">
        <f t="shared" si="1"/>
        <v>Primera minist</v>
      </c>
      <c r="E39" s="2" t="s">
        <v>92</v>
      </c>
      <c r="F39" s="4" t="s">
        <v>49</v>
      </c>
      <c r="H39" s="4">
        <f>IF(IFERROR(VLOOKUP(C39,'"prueba""drogas""parlamentarios'!C:C,1,0),0)&gt;0,1,0)</f>
        <v>1</v>
      </c>
      <c r="I39" s="4">
        <f>IF(IFERROR(VLOOKUP(C39,'"test""drogas""parlamentarios"'!C:C,1,0),0)&gt;0,1,0)</f>
        <v>1</v>
      </c>
      <c r="J39" s="4">
        <f>IF(IFERROR(VLOOKUP(C39,'test de drogas parlamentarios'!C:C,1,0),0)&gt;0,1,0)</f>
        <v>1</v>
      </c>
    </row>
    <row r="40" ht="15.75" customHeight="1">
      <c r="A40" s="1">
        <v>1.0</v>
      </c>
      <c r="B40" s="6">
        <v>44790.0</v>
      </c>
      <c r="C40" s="2" t="s">
        <v>93</v>
      </c>
      <c r="D40" s="2" t="str">
        <f t="shared" si="1"/>
        <v>[VIDEO] 78 dip</v>
      </c>
      <c r="E40" s="2" t="s">
        <v>94</v>
      </c>
      <c r="F40" s="4" t="s">
        <v>84</v>
      </c>
      <c r="H40" s="4">
        <f>IF(IFERROR(VLOOKUP(C40,'"prueba""drogas""parlamentarios'!C:C,1,0),0)&gt;0,1,0)</f>
        <v>0</v>
      </c>
      <c r="I40" s="4">
        <f>IF(IFERROR(VLOOKUP(C40,'"test""drogas""parlamentarios"'!C:C,1,0),0)&gt;0,1,0)</f>
        <v>0</v>
      </c>
      <c r="J40" s="4">
        <f>IF(IFERROR(VLOOKUP(C40,'test de drogas parlamentarios'!C:C,1,0),0)&gt;0,1,0)</f>
        <v>1</v>
      </c>
    </row>
    <row r="41" ht="15.75" customHeight="1">
      <c r="A41" s="1">
        <v>1.0</v>
      </c>
      <c r="B41" s="6">
        <v>44791.0</v>
      </c>
      <c r="C41" s="2" t="s">
        <v>95</v>
      </c>
      <c r="D41" s="2" t="str">
        <f t="shared" si="1"/>
        <v>Parlamentarios</v>
      </c>
      <c r="E41" s="2" t="s">
        <v>96</v>
      </c>
      <c r="F41" s="4" t="s">
        <v>84</v>
      </c>
      <c r="H41" s="4">
        <f>IF(IFERROR(VLOOKUP(C41,'"prueba""drogas""parlamentarios'!C:C,1,0),0)&gt;0,1,0)</f>
        <v>0</v>
      </c>
      <c r="I41" s="4">
        <f>IF(IFERROR(VLOOKUP(C41,'"test""drogas""parlamentarios"'!C:C,1,0),0)&gt;0,1,0)</f>
        <v>1</v>
      </c>
      <c r="J41" s="4">
        <f>IF(IFERROR(VLOOKUP(C41,'test de drogas parlamentarios'!C:C,1,0),0)&gt;0,1,0)</f>
        <v>1</v>
      </c>
    </row>
    <row r="42" ht="15.75" customHeight="1">
      <c r="A42" s="1">
        <v>1.0</v>
      </c>
      <c r="B42" s="6">
        <v>44844.0</v>
      </c>
      <c r="C42" s="2" t="s">
        <v>97</v>
      </c>
      <c r="D42" s="2" t="str">
        <f t="shared" si="1"/>
        <v>Proponen reali</v>
      </c>
      <c r="E42" s="2" t="s">
        <v>98</v>
      </c>
      <c r="F42" s="5" t="s">
        <v>99</v>
      </c>
      <c r="H42" s="4">
        <f>IF(IFERROR(VLOOKUP(C42,'"prueba""drogas""parlamentarios'!C:C,1,0),0)&gt;0,1,0)</f>
        <v>0</v>
      </c>
      <c r="I42" s="4">
        <f>IF(IFERROR(VLOOKUP(C42,'"test""drogas""parlamentarios"'!C:C,1,0),0)&gt;0,1,0)</f>
        <v>1</v>
      </c>
      <c r="J42" s="4">
        <f>IF(IFERROR(VLOOKUP(C42,'test de drogas parlamentarios'!C:C,1,0),0)&gt;0,1,0)</f>
        <v>1</v>
      </c>
    </row>
    <row r="43" ht="15.75" customHeight="1">
      <c r="A43" s="1">
        <v>1.0</v>
      </c>
      <c r="B43" s="6">
        <v>44774.0</v>
      </c>
      <c r="C43" s="2" t="s">
        <v>100</v>
      </c>
      <c r="D43" s="2" t="str">
        <f t="shared" si="1"/>
        <v>“No solo no me</v>
      </c>
      <c r="E43" s="2" t="s">
        <v>101</v>
      </c>
      <c r="H43" s="4">
        <f>IF(IFERROR(VLOOKUP(C43,'"prueba""drogas""parlamentarios'!C:C,1,0),0)&gt;0,1,0)</f>
        <v>0</v>
      </c>
      <c r="I43" s="4">
        <f>IF(IFERROR(VLOOKUP(C43,'"test""drogas""parlamentarios"'!C:C,1,0),0)&gt;0,1,0)</f>
        <v>1</v>
      </c>
      <c r="J43" s="4">
        <f>IF(IFERROR(VLOOKUP(C43,'test de drogas parlamentarios'!C:C,1,0),0)&gt;0,1,0)</f>
        <v>1</v>
      </c>
    </row>
    <row r="44" ht="15.75" customHeight="1">
      <c r="A44" s="1">
        <v>1.0</v>
      </c>
      <c r="B44" s="6">
        <v>44742.0</v>
      </c>
      <c r="C44" s="2" t="s">
        <v>102</v>
      </c>
      <c r="D44" s="2" t="str">
        <f t="shared" si="1"/>
        <v>Avanza proyect</v>
      </c>
      <c r="E44" s="2" t="s">
        <v>103</v>
      </c>
      <c r="F44" s="5" t="s">
        <v>104</v>
      </c>
      <c r="H44" s="4">
        <f>IF(IFERROR(VLOOKUP(C44,'"prueba""drogas""parlamentarios'!C:C,1,0),0)&gt;0,1,0)</f>
        <v>0</v>
      </c>
      <c r="I44" s="4">
        <f>IF(IFERROR(VLOOKUP(C44,'"test""drogas""parlamentarios"'!C:C,1,0),0)&gt;0,1,0)</f>
        <v>1</v>
      </c>
      <c r="J44" s="4">
        <f>IF(IFERROR(VLOOKUP(C44,'test de drogas parlamentarios'!C:C,1,0),0)&gt;0,1,0)</f>
        <v>1</v>
      </c>
    </row>
    <row r="45" ht="15.75" customHeight="1">
      <c r="A45" s="1">
        <v>1.0</v>
      </c>
      <c r="B45" s="6">
        <v>44878.0</v>
      </c>
      <c r="C45" s="2" t="s">
        <v>105</v>
      </c>
      <c r="D45" s="2" t="str">
        <f t="shared" si="1"/>
        <v>Requisitos par</v>
      </c>
      <c r="E45" s="2" t="s">
        <v>106</v>
      </c>
      <c r="F45" s="5" t="s">
        <v>107</v>
      </c>
      <c r="H45" s="4">
        <f>IF(IFERROR(VLOOKUP(C45,'"prueba""drogas""parlamentarios'!C:C,1,0),0)&gt;0,1,0)</f>
        <v>0</v>
      </c>
      <c r="I45" s="4">
        <f>IF(IFERROR(VLOOKUP(C45,'"test""drogas""parlamentarios"'!C:C,1,0),0)&gt;0,1,0)</f>
        <v>1</v>
      </c>
      <c r="J45" s="4">
        <f>IF(IFERROR(VLOOKUP(C45,'test de drogas parlamentarios'!C:C,1,0),0)&gt;0,1,0)</f>
        <v>1</v>
      </c>
    </row>
    <row r="46" ht="15.75" customHeight="1">
      <c r="A46" s="1">
        <v>1.0</v>
      </c>
      <c r="B46" s="6">
        <v>44741.0</v>
      </c>
      <c r="C46" s="7" t="s">
        <v>108</v>
      </c>
      <c r="D46" s="2" t="str">
        <f t="shared" si="1"/>
        <v>Ana María Gazm</v>
      </c>
      <c r="E46" s="2" t="s">
        <v>109</v>
      </c>
      <c r="F46" s="4" t="s">
        <v>84</v>
      </c>
      <c r="H46" s="4">
        <f>IF(IFERROR(VLOOKUP(C46,'"prueba""drogas""parlamentarios'!C:C,1,0),0)&gt;0,1,0)</f>
        <v>0</v>
      </c>
      <c r="I46" s="4">
        <f>IF(IFERROR(VLOOKUP(C46,'"test""drogas""parlamentarios"'!C:C,1,0),0)&gt;0,1,0)</f>
        <v>1</v>
      </c>
      <c r="J46" s="4">
        <f>IF(IFERROR(VLOOKUP(C46,'test de drogas parlamentarios'!C:C,1,0),0)&gt;0,1,0)</f>
        <v>1</v>
      </c>
    </row>
    <row r="47" ht="15.75" customHeight="1">
      <c r="A47" s="1">
        <v>1.0</v>
      </c>
      <c r="B47" s="6">
        <v>44804.0</v>
      </c>
      <c r="C47" s="2" t="s">
        <v>110</v>
      </c>
      <c r="D47" s="2" t="str">
        <f t="shared" si="1"/>
        <v>Diputado Barri</v>
      </c>
      <c r="E47" s="2" t="s">
        <v>111</v>
      </c>
      <c r="H47" s="4">
        <f>IF(IFERROR(VLOOKUP(C47,'"prueba""drogas""parlamentarios'!C:C,1,0),0)&gt;0,1,0)</f>
        <v>0</v>
      </c>
      <c r="I47" s="4">
        <f>IF(IFERROR(VLOOKUP(C47,'"test""drogas""parlamentarios"'!C:C,1,0),0)&gt;0,1,0)</f>
        <v>1</v>
      </c>
      <c r="J47" s="4">
        <f>IF(IFERROR(VLOOKUP(C47,'test de drogas parlamentarios'!C:C,1,0),0)&gt;0,1,0)</f>
        <v>1</v>
      </c>
    </row>
    <row r="48" ht="15.75" customHeight="1">
      <c r="A48" s="1">
        <v>1.0</v>
      </c>
      <c r="B48" s="6">
        <v>44831.0</v>
      </c>
      <c r="C48" s="2" t="s">
        <v>112</v>
      </c>
      <c r="D48" s="2" t="str">
        <f t="shared" si="1"/>
        <v>Corte de Valpa</v>
      </c>
      <c r="E48" s="2" t="s">
        <v>113</v>
      </c>
      <c r="F48" s="5" t="s">
        <v>114</v>
      </c>
      <c r="H48" s="4">
        <f>IF(IFERROR(VLOOKUP(C48,'"prueba""drogas""parlamentarios'!C:C,1,0),0)&gt;0,1,0)</f>
        <v>1</v>
      </c>
      <c r="I48" s="4">
        <f>IF(IFERROR(VLOOKUP(C48,'"test""drogas""parlamentarios"'!C:C,1,0),0)&gt;0,1,0)</f>
        <v>1</v>
      </c>
      <c r="J48" s="4">
        <f>IF(IFERROR(VLOOKUP(C48,'test de drogas parlamentarios'!C:C,1,0),0)&gt;0,1,0)</f>
        <v>1</v>
      </c>
    </row>
    <row r="49" ht="15.75" customHeight="1">
      <c r="A49" s="1">
        <v>1.0</v>
      </c>
      <c r="B49" s="6">
        <v>44790.0</v>
      </c>
      <c r="C49" s="2" t="s">
        <v>115</v>
      </c>
      <c r="D49" s="2" t="str">
        <f t="shared" si="1"/>
        <v>“No hagan la c</v>
      </c>
      <c r="E49" s="2" t="s">
        <v>116</v>
      </c>
      <c r="H49" s="4">
        <f>IF(IFERROR(VLOOKUP(C49,'"prueba""drogas""parlamentarios'!C:C,1,0),0)&gt;0,1,0)</f>
        <v>0</v>
      </c>
      <c r="I49" s="4">
        <f>IF(IFERROR(VLOOKUP(C49,'"test""drogas""parlamentarios"'!C:C,1,0),0)&gt;0,1,0)</f>
        <v>1</v>
      </c>
      <c r="J49" s="4">
        <f>IF(IFERROR(VLOOKUP(C49,'test de drogas parlamentarios'!C:C,1,0),0)&gt;0,1,0)</f>
        <v>1</v>
      </c>
    </row>
    <row r="50" ht="15.75" customHeight="1">
      <c r="A50" s="1">
        <v>1.0</v>
      </c>
      <c r="B50" s="6">
        <v>44814.0</v>
      </c>
      <c r="C50" s="2" t="s">
        <v>117</v>
      </c>
      <c r="D50" s="2" t="str">
        <f t="shared" si="1"/>
        <v>Urruticoechea </v>
      </c>
      <c r="E50" s="2" t="s">
        <v>118</v>
      </c>
      <c r="H50" s="4">
        <f>IF(IFERROR(VLOOKUP(C50,'"prueba""drogas""parlamentarios'!C:C,1,0),0)&gt;0,1,0)</f>
        <v>0</v>
      </c>
      <c r="I50" s="4">
        <f>IF(IFERROR(VLOOKUP(C50,'"test""drogas""parlamentarios"'!C:C,1,0),0)&gt;0,1,0)</f>
        <v>1</v>
      </c>
      <c r="J50" s="4">
        <f>IF(IFERROR(VLOOKUP(C50,'test de drogas parlamentarios'!C:C,1,0),0)&gt;0,1,0)</f>
        <v>1</v>
      </c>
    </row>
    <row r="51" ht="15.75" customHeight="1">
      <c r="A51" s="1">
        <v>1.0</v>
      </c>
      <c r="B51" s="6">
        <v>44884.0</v>
      </c>
      <c r="C51" s="2" t="s">
        <v>119</v>
      </c>
      <c r="D51" s="2" t="str">
        <f t="shared" si="1"/>
        <v>Diputados UDI:</v>
      </c>
      <c r="E51" s="2" t="s">
        <v>120</v>
      </c>
      <c r="H51" s="4">
        <f>IF(IFERROR(VLOOKUP(C51,'"prueba""drogas""parlamentarios'!C:C,1,0),0)&gt;0,1,0)</f>
        <v>0</v>
      </c>
      <c r="I51" s="4">
        <f>IF(IFERROR(VLOOKUP(C51,'"test""drogas""parlamentarios"'!C:C,1,0),0)&gt;0,1,0)</f>
        <v>1</v>
      </c>
      <c r="J51" s="4">
        <f>IF(IFERROR(VLOOKUP(C51,'test de drogas parlamentarios'!C:C,1,0),0)&gt;0,1,0)</f>
        <v>1</v>
      </c>
    </row>
    <row r="52" ht="15.75" customHeight="1">
      <c r="A52" s="1">
        <v>1.0</v>
      </c>
      <c r="B52" s="6">
        <v>44793.0</v>
      </c>
      <c r="C52" s="2" t="s">
        <v>121</v>
      </c>
      <c r="D52" s="2" t="str">
        <f t="shared" si="1"/>
        <v>Diputada Paula</v>
      </c>
      <c r="E52" s="2" t="s">
        <v>122</v>
      </c>
      <c r="H52" s="4">
        <f>IF(IFERROR(VLOOKUP(C52,'"prueba""drogas""parlamentarios'!C:C,1,0),0)&gt;0,1,0)</f>
        <v>0</v>
      </c>
      <c r="I52" s="4">
        <f>IF(IFERROR(VLOOKUP(C52,'"test""drogas""parlamentarios"'!C:C,1,0),0)&gt;0,1,0)</f>
        <v>1</v>
      </c>
      <c r="J52" s="4">
        <f>IF(IFERROR(VLOOKUP(C52,'test de drogas parlamentarios'!C:C,1,0),0)&gt;0,1,0)</f>
        <v>1</v>
      </c>
    </row>
    <row r="53" ht="15.75" customHeight="1">
      <c r="A53" s="1">
        <v>1.0</v>
      </c>
      <c r="B53" s="6">
        <v>44732.0</v>
      </c>
      <c r="C53" s="2" t="s">
        <v>123</v>
      </c>
      <c r="D53" s="2" t="str">
        <f t="shared" si="1"/>
        <v>Diputado Felip</v>
      </c>
      <c r="E53" s="2" t="s">
        <v>124</v>
      </c>
      <c r="H53" s="4">
        <f>IF(IFERROR(VLOOKUP(C53,'"prueba""drogas""parlamentarios'!C:C,1,0),0)&gt;0,1,0)</f>
        <v>0</v>
      </c>
      <c r="I53" s="4">
        <f>IF(IFERROR(VLOOKUP(C53,'"test""drogas""parlamentarios"'!C:C,1,0),0)&gt;0,1,0)</f>
        <v>1</v>
      </c>
      <c r="J53" s="4">
        <f>IF(IFERROR(VLOOKUP(C53,'test de drogas parlamentarios'!C:C,1,0),0)&gt;0,1,0)</f>
        <v>1</v>
      </c>
    </row>
    <row r="54" ht="15.75" customHeight="1">
      <c r="A54" s="1">
        <v>1.0</v>
      </c>
      <c r="B54" s="6">
        <v>44791.0</v>
      </c>
      <c r="C54" s="2" t="s">
        <v>125</v>
      </c>
      <c r="D54" s="2" t="str">
        <f t="shared" si="1"/>
        <v>“Le rogaría qu</v>
      </c>
      <c r="E54" s="2" t="s">
        <v>126</v>
      </c>
      <c r="H54" s="4">
        <f>IF(IFERROR(VLOOKUP(C54,'"prueba""drogas""parlamentarios'!C:C,1,0),0)&gt;0,1,0)</f>
        <v>0</v>
      </c>
      <c r="I54" s="4">
        <f>IF(IFERROR(VLOOKUP(C54,'"test""drogas""parlamentarios"'!C:C,1,0),0)&gt;0,1,0)</f>
        <v>1</v>
      </c>
      <c r="J54" s="4">
        <f>IF(IFERROR(VLOOKUP(C54,'test de drogas parlamentarios'!C:C,1,0),0)&gt;0,1,0)</f>
        <v>1</v>
      </c>
    </row>
    <row r="55" ht="15.75" customHeight="1">
      <c r="A55" s="1">
        <v>1.0</v>
      </c>
      <c r="B55" s="6">
        <v>44841.0</v>
      </c>
      <c r="C55" s="2" t="s">
        <v>127</v>
      </c>
      <c r="D55" s="2" t="str">
        <f t="shared" si="1"/>
        <v>Doctora Corder</v>
      </c>
      <c r="E55" s="2" t="s">
        <v>128</v>
      </c>
      <c r="H55" s="4">
        <f>IF(IFERROR(VLOOKUP(C55,'"prueba""drogas""parlamentarios'!C:C,1,0),0)&gt;0,1,0)</f>
        <v>0</v>
      </c>
      <c r="I55" s="4">
        <f>IF(IFERROR(VLOOKUP(C55,'"test""drogas""parlamentarios"'!C:C,1,0),0)&gt;0,1,0)</f>
        <v>1</v>
      </c>
      <c r="J55" s="4">
        <f>IF(IFERROR(VLOOKUP(C55,'test de drogas parlamentarios'!C:C,1,0),0)&gt;0,1,0)</f>
        <v>1</v>
      </c>
    </row>
    <row r="56" ht="15.75" customHeight="1">
      <c r="A56" s="1">
        <v>1.0</v>
      </c>
      <c r="B56" s="6">
        <v>44756.0</v>
      </c>
      <c r="C56" s="2" t="s">
        <v>129</v>
      </c>
      <c r="D56" s="2" t="str">
        <f t="shared" si="1"/>
        <v>Diputada Pamel</v>
      </c>
      <c r="E56" s="2" t="s">
        <v>130</v>
      </c>
      <c r="H56" s="4">
        <f>IF(IFERROR(VLOOKUP(C56,'"prueba""drogas""parlamentarios'!C:C,1,0),0)&gt;0,1,0)</f>
        <v>0</v>
      </c>
      <c r="I56" s="4">
        <f>IF(IFERROR(VLOOKUP(C56,'"test""drogas""parlamentarios"'!C:C,1,0),0)&gt;0,1,0)</f>
        <v>1</v>
      </c>
      <c r="J56" s="4">
        <f>IF(IFERROR(VLOOKUP(C56,'test de drogas parlamentarios'!C:C,1,0),0)&gt;0,1,0)</f>
        <v>1</v>
      </c>
    </row>
    <row r="57" ht="15.75" customHeight="1">
      <c r="A57" s="1">
        <v>1.0</v>
      </c>
      <c r="B57" s="6">
        <v>44764.0</v>
      </c>
      <c r="C57" s="2" t="s">
        <v>131</v>
      </c>
      <c r="D57" s="2" t="str">
        <f t="shared" si="1"/>
        <v>Cristian Camar</v>
      </c>
      <c r="E57" s="2" t="s">
        <v>132</v>
      </c>
      <c r="F57" s="5" t="s">
        <v>41</v>
      </c>
      <c r="H57" s="4">
        <f>IF(IFERROR(VLOOKUP(C57,'"prueba""drogas""parlamentarios'!C:C,1,0),0)&gt;0,1,0)</f>
        <v>0</v>
      </c>
      <c r="I57" s="4">
        <f>IF(IFERROR(VLOOKUP(C57,'"test""drogas""parlamentarios"'!C:C,1,0),0)&gt;0,1,0)</f>
        <v>1</v>
      </c>
      <c r="J57" s="4">
        <f>IF(IFERROR(VLOOKUP(C57,'test de drogas parlamentarios'!C:C,1,0),0)&gt;0,1,0)</f>
        <v>1</v>
      </c>
    </row>
    <row r="58" ht="15.75" customHeight="1">
      <c r="A58" s="1">
        <v>1.0</v>
      </c>
      <c r="B58" s="6">
        <v>44820.0</v>
      </c>
      <c r="C58" s="2" t="s">
        <v>133</v>
      </c>
      <c r="D58" s="2" t="str">
        <f t="shared" si="1"/>
        <v>Corte Suprema </v>
      </c>
      <c r="E58" s="2" t="s">
        <v>134</v>
      </c>
      <c r="H58" s="4">
        <f>IF(IFERROR(VLOOKUP(C58,'"prueba""drogas""parlamentarios'!C:C,1,0),0)&gt;0,1,0)</f>
        <v>0</v>
      </c>
      <c r="I58" s="4">
        <f>IF(IFERROR(VLOOKUP(C58,'"test""drogas""parlamentarios"'!C:C,1,0),0)&gt;0,1,0)</f>
        <v>1</v>
      </c>
      <c r="J58" s="4">
        <f>IF(IFERROR(VLOOKUP(C58,'test de drogas parlamentarios'!C:C,1,0),0)&gt;0,1,0)</f>
        <v>1</v>
      </c>
    </row>
    <row r="59" ht="15.75" customHeight="1">
      <c r="A59" s="1">
        <v>1.0</v>
      </c>
      <c r="B59" s="6">
        <v>44755.0</v>
      </c>
      <c r="C59" s="2" t="s">
        <v>135</v>
      </c>
      <c r="D59" s="2" t="str">
        <f t="shared" si="1"/>
        <v>Diputado Gaspa</v>
      </c>
      <c r="E59" s="2" t="s">
        <v>136</v>
      </c>
      <c r="H59" s="4">
        <f>IF(IFERROR(VLOOKUP(C59,'"prueba""drogas""parlamentarios'!C:C,1,0),0)&gt;0,1,0)</f>
        <v>0</v>
      </c>
      <c r="I59" s="4">
        <f>IF(IFERROR(VLOOKUP(C59,'"test""drogas""parlamentarios"'!C:C,1,0),0)&gt;0,1,0)</f>
        <v>1</v>
      </c>
      <c r="J59" s="4">
        <f>IF(IFERROR(VLOOKUP(C59,'test de drogas parlamentarios'!C:C,1,0),0)&gt;0,1,0)</f>
        <v>1</v>
      </c>
    </row>
    <row r="60" ht="15.75" customHeight="1">
      <c r="A60" s="1">
        <v>1.0</v>
      </c>
      <c r="B60" s="6">
        <v>44833.0</v>
      </c>
      <c r="C60" s="2" t="s">
        <v>137</v>
      </c>
      <c r="D60" s="2" t="str">
        <f t="shared" si="1"/>
        <v>Ciber acoso y </v>
      </c>
      <c r="E60" s="2" t="s">
        <v>138</v>
      </c>
      <c r="F60" s="5" t="s">
        <v>139</v>
      </c>
      <c r="H60" s="4">
        <f>IF(IFERROR(VLOOKUP(C60,'"prueba""drogas""parlamentarios'!C:C,1,0),0)&gt;0,1,0)</f>
        <v>0</v>
      </c>
      <c r="I60" s="4">
        <f>IF(IFERROR(VLOOKUP(C60,'"test""drogas""parlamentarios"'!C:C,1,0),0)&gt;0,1,0)</f>
        <v>1</v>
      </c>
      <c r="J60" s="4">
        <f>IF(IFERROR(VLOOKUP(C60,'test de drogas parlamentarios'!C:C,1,0),0)&gt;0,1,0)</f>
        <v>1</v>
      </c>
    </row>
    <row r="61" ht="15.75" customHeight="1">
      <c r="A61" s="1">
        <v>1.0</v>
      </c>
      <c r="B61" s="6">
        <v>44761.0</v>
      </c>
      <c r="C61" s="2" t="s">
        <v>140</v>
      </c>
      <c r="D61" s="2" t="str">
        <f t="shared" si="1"/>
        <v>Radio Bío Bío </v>
      </c>
      <c r="E61" s="2" t="s">
        <v>141</v>
      </c>
      <c r="F61" s="5" t="s">
        <v>142</v>
      </c>
      <c r="H61" s="4">
        <f>IF(IFERROR(VLOOKUP(C61,'"prueba""drogas""parlamentarios'!C:C,1,0),0)&gt;0,1,0)</f>
        <v>1</v>
      </c>
      <c r="I61" s="4">
        <f>IF(IFERROR(VLOOKUP(C61,'"test""drogas""parlamentarios"'!C:C,1,0),0)&gt;0,1,0)</f>
        <v>1</v>
      </c>
      <c r="J61" s="4">
        <f>IF(IFERROR(VLOOKUP(C61,'test de drogas parlamentarios'!C:C,1,0),0)&gt;0,1,0)</f>
        <v>1</v>
      </c>
    </row>
    <row r="62" ht="15.75" customHeight="1">
      <c r="A62" s="1">
        <v>1.0</v>
      </c>
      <c r="B62" s="6">
        <v>44832.0</v>
      </c>
      <c r="C62" s="2" t="s">
        <v>143</v>
      </c>
      <c r="D62" s="2" t="str">
        <f t="shared" si="1"/>
        <v>«Evitamos baja</v>
      </c>
      <c r="E62" s="2" t="s">
        <v>144</v>
      </c>
      <c r="H62" s="4">
        <f>IF(IFERROR(VLOOKUP(C62,'"prueba""drogas""parlamentarios'!C:C,1,0),0)&gt;0,1,0)</f>
        <v>0</v>
      </c>
      <c r="I62" s="4">
        <f>IF(IFERROR(VLOOKUP(C62,'"test""drogas""parlamentarios"'!C:C,1,0),0)&gt;0,1,0)</f>
        <v>1</v>
      </c>
      <c r="J62" s="4">
        <f>IF(IFERROR(VLOOKUP(C62,'test de drogas parlamentarios'!C:C,1,0),0)&gt;0,1,0)</f>
        <v>1</v>
      </c>
    </row>
    <row r="63" ht="15.75" customHeight="1">
      <c r="A63" s="1">
        <v>1.0</v>
      </c>
      <c r="B63" s="6">
        <v>44791.0</v>
      </c>
      <c r="C63" s="2" t="s">
        <v>145</v>
      </c>
      <c r="D63" s="2" t="str">
        <f t="shared" si="1"/>
        <v>¿Qué dice la l</v>
      </c>
      <c r="E63" s="2" t="s">
        <v>146</v>
      </c>
      <c r="H63" s="4">
        <f>IF(IFERROR(VLOOKUP(C63,'"prueba""drogas""parlamentarios'!C:C,1,0),0)&gt;0,1,0)</f>
        <v>0</v>
      </c>
      <c r="I63" s="4">
        <f>IF(IFERROR(VLOOKUP(C63,'"test""drogas""parlamentarios"'!C:C,1,0),0)&gt;0,1,0)</f>
        <v>1</v>
      </c>
      <c r="J63" s="4">
        <f>IF(IFERROR(VLOOKUP(C63,'test de drogas parlamentarios'!C:C,1,0),0)&gt;0,1,0)</f>
        <v>1</v>
      </c>
    </row>
    <row r="64" ht="15.75" customHeight="1">
      <c r="A64" s="1">
        <v>1.0</v>
      </c>
      <c r="B64" s="6">
        <v>44791.0</v>
      </c>
      <c r="C64" s="2" t="s">
        <v>147</v>
      </c>
      <c r="D64" s="2" t="str">
        <f t="shared" si="1"/>
        <v>Cámara sortea </v>
      </c>
      <c r="E64" s="2" t="s">
        <v>148</v>
      </c>
      <c r="F64" s="9" t="s">
        <v>14</v>
      </c>
      <c r="H64" s="4">
        <f>IF(IFERROR(VLOOKUP(C64,'"prueba""drogas""parlamentarios'!C:C,1,0),0)&gt;0,1,0)</f>
        <v>0</v>
      </c>
      <c r="I64" s="4">
        <f>IF(IFERROR(VLOOKUP(C64,'"test""drogas""parlamentarios"'!C:C,1,0),0)&gt;0,1,0)</f>
        <v>1</v>
      </c>
      <c r="J64" s="4">
        <f>IF(IFERROR(VLOOKUP(C64,'test de drogas parlamentarios'!C:C,1,0),0)&gt;0,1,0)</f>
        <v>1</v>
      </c>
    </row>
    <row r="65" ht="15.75" customHeight="1">
      <c r="A65" s="1">
        <v>1.0</v>
      </c>
      <c r="B65" s="6">
        <v>44856.0</v>
      </c>
      <c r="C65" s="2" t="s">
        <v>149</v>
      </c>
      <c r="D65" s="2" t="str">
        <f t="shared" si="1"/>
        <v>Emilia Schneid</v>
      </c>
      <c r="E65" s="2" t="s">
        <v>150</v>
      </c>
      <c r="H65" s="4">
        <f>IF(IFERROR(VLOOKUP(C65,'"prueba""drogas""parlamentarios'!C:C,1,0),0)&gt;0,1,0)</f>
        <v>0</v>
      </c>
      <c r="I65" s="4">
        <f>IF(IFERROR(VLOOKUP(C65,'"test""drogas""parlamentarios"'!C:C,1,0),0)&gt;0,1,0)</f>
        <v>1</v>
      </c>
      <c r="J65" s="4">
        <f>IF(IFERROR(VLOOKUP(C65,'test de drogas parlamentarios'!C:C,1,0),0)&gt;0,1,0)</f>
        <v>1</v>
      </c>
    </row>
    <row r="66" ht="15.75" customHeight="1">
      <c r="A66" s="1">
        <v>1.0</v>
      </c>
      <c r="B66" s="6">
        <v>44728.0</v>
      </c>
      <c r="C66" s="2" t="s">
        <v>151</v>
      </c>
      <c r="D66" s="2" t="str">
        <f t="shared" si="1"/>
        <v>"No voy a sata</v>
      </c>
      <c r="E66" s="2" t="s">
        <v>152</v>
      </c>
      <c r="F66" s="5" t="s">
        <v>41</v>
      </c>
      <c r="H66" s="4">
        <f>IF(IFERROR(VLOOKUP(C66,'"prueba""drogas""parlamentarios'!C:C,1,0),0)&gt;0,1,0)</f>
        <v>1</v>
      </c>
      <c r="I66" s="4">
        <f>IF(IFERROR(VLOOKUP(C66,'"test""drogas""parlamentarios"'!C:C,1,0),0)&gt;0,1,0)</f>
        <v>1</v>
      </c>
      <c r="J66" s="4">
        <f>IF(IFERROR(VLOOKUP(C66,'test de drogas parlamentarios'!C:C,1,0),0)&gt;0,1,0)</f>
        <v>1</v>
      </c>
    </row>
    <row r="67" ht="15.75" customHeight="1">
      <c r="A67" s="1">
        <v>1.0</v>
      </c>
      <c r="B67" s="6">
        <v>44797.0</v>
      </c>
      <c r="C67" s="2" t="s">
        <v>153</v>
      </c>
      <c r="D67" s="2" t="str">
        <f t="shared" si="1"/>
        <v>Francisco Pulg</v>
      </c>
      <c r="E67" s="2" t="s">
        <v>154</v>
      </c>
      <c r="H67" s="4">
        <f>IF(IFERROR(VLOOKUP(C67,'"prueba""drogas""parlamentarios'!C:C,1,0),0)&gt;0,1,0)</f>
        <v>0</v>
      </c>
      <c r="I67" s="4">
        <f>IF(IFERROR(VLOOKUP(C67,'"test""drogas""parlamentarios"'!C:C,1,0),0)&gt;0,1,0)</f>
        <v>1</v>
      </c>
      <c r="J67" s="4">
        <f>IF(IFERROR(VLOOKUP(C67,'test de drogas parlamentarios'!C:C,1,0),0)&gt;0,1,0)</f>
        <v>1</v>
      </c>
    </row>
    <row r="68" ht="15.75" customHeight="1">
      <c r="A68" s="1">
        <v>1.0</v>
      </c>
      <c r="B68" s="6">
        <v>44773.0</v>
      </c>
      <c r="C68" s="2" t="s">
        <v>155</v>
      </c>
      <c r="D68" s="2" t="str">
        <f t="shared" si="1"/>
        <v>La polémica en</v>
      </c>
      <c r="E68" s="2" t="s">
        <v>156</v>
      </c>
      <c r="H68" s="4">
        <f>IF(IFERROR(VLOOKUP(C68,'"prueba""drogas""parlamentarios'!C:C,1,0),0)&gt;0,1,0)</f>
        <v>0</v>
      </c>
      <c r="I68" s="4">
        <f>IF(IFERROR(VLOOKUP(C68,'"test""drogas""parlamentarios"'!C:C,1,0),0)&gt;0,1,0)</f>
        <v>1</v>
      </c>
      <c r="J68" s="4">
        <f>IF(IFERROR(VLOOKUP(C68,'test de drogas parlamentarios'!C:C,1,0),0)&gt;0,1,0)</f>
        <v>1</v>
      </c>
    </row>
    <row r="69" ht="15.75" customHeight="1">
      <c r="A69" s="1">
        <v>1.0</v>
      </c>
      <c r="B69" s="6">
        <v>44759.0</v>
      </c>
      <c r="C69" s="2" t="s">
        <v>157</v>
      </c>
      <c r="D69" s="2" t="str">
        <f t="shared" si="1"/>
        <v>[VIDEO] Diputa</v>
      </c>
      <c r="E69" s="2" t="s">
        <v>158</v>
      </c>
      <c r="F69" s="4" t="s">
        <v>84</v>
      </c>
      <c r="H69" s="4">
        <f>IF(IFERROR(VLOOKUP(C69,'"prueba""drogas""parlamentarios'!C:C,1,0),0)&gt;0,1,0)</f>
        <v>0</v>
      </c>
      <c r="I69" s="4">
        <f>IF(IFERROR(VLOOKUP(C69,'"test""drogas""parlamentarios"'!C:C,1,0),0)&gt;0,1,0)</f>
        <v>0</v>
      </c>
      <c r="J69" s="4">
        <f>IF(IFERROR(VLOOKUP(C69,'test de drogas parlamentarios'!C:C,1,0),0)&gt;0,1,0)</f>
        <v>1</v>
      </c>
    </row>
    <row r="70" ht="15.75" customHeight="1">
      <c r="A70" s="1">
        <v>1.0</v>
      </c>
      <c r="B70" s="6">
        <v>44732.0</v>
      </c>
      <c r="C70" s="2" t="s">
        <v>159</v>
      </c>
      <c r="D70" s="2" t="str">
        <f t="shared" si="1"/>
        <v>Juan Antonio C</v>
      </c>
      <c r="E70" s="2" t="s">
        <v>160</v>
      </c>
      <c r="F70" s="5" t="s">
        <v>14</v>
      </c>
      <c r="H70" s="4">
        <f>IF(IFERROR(VLOOKUP(C70,'"prueba""drogas""parlamentarios'!C:C,1,0),0)&gt;0,1,0)</f>
        <v>0</v>
      </c>
      <c r="I70" s="4">
        <f>IF(IFERROR(VLOOKUP(C70,'"test""drogas""parlamentarios"'!C:C,1,0),0)&gt;0,1,0)</f>
        <v>1</v>
      </c>
      <c r="J70" s="4">
        <f>IF(IFERROR(VLOOKUP(C70,'test de drogas parlamentarios'!C:C,1,0),0)&gt;0,1,0)</f>
        <v>1</v>
      </c>
    </row>
    <row r="71" ht="15.75" customHeight="1">
      <c r="A71" s="1">
        <v>1.0</v>
      </c>
      <c r="B71" s="6">
        <v>44894.0</v>
      </c>
      <c r="C71" s="2" t="s">
        <v>161</v>
      </c>
      <c r="D71" s="2" t="str">
        <f t="shared" si="1"/>
        <v>Cuatro detenid</v>
      </c>
      <c r="E71" s="2" t="s">
        <v>162</v>
      </c>
      <c r="F71" s="4" t="s">
        <v>163</v>
      </c>
      <c r="H71" s="4">
        <f>IF(IFERROR(VLOOKUP(C71,'"prueba""drogas""parlamentarios'!C:C,1,0),0)&gt;0,1,0)</f>
        <v>0</v>
      </c>
      <c r="I71" s="4">
        <f>IF(IFERROR(VLOOKUP(C71,'"test""drogas""parlamentarios"'!C:C,1,0),0)&gt;0,1,0)</f>
        <v>0</v>
      </c>
      <c r="J71" s="4">
        <f>IF(IFERROR(VLOOKUP(C71,'test de drogas parlamentarios'!C:C,1,0),0)&gt;0,1,0)</f>
        <v>1</v>
      </c>
    </row>
    <row r="72" ht="15.75" customHeight="1">
      <c r="A72" s="1">
        <v>1.0</v>
      </c>
      <c r="B72" s="6">
        <v>44791.0</v>
      </c>
      <c r="C72" s="2" t="s">
        <v>164</v>
      </c>
      <c r="D72" s="2" t="str">
        <f t="shared" si="1"/>
        <v>Diputado Colom</v>
      </c>
      <c r="E72" s="2" t="s">
        <v>165</v>
      </c>
      <c r="H72" s="4">
        <f>IF(IFERROR(VLOOKUP(C72,'"prueba""drogas""parlamentarios'!C:C,1,0),0)&gt;0,1,0)</f>
        <v>0</v>
      </c>
      <c r="I72" s="4">
        <f>IF(IFERROR(VLOOKUP(C72,'"test""drogas""parlamentarios"'!C:C,1,0),0)&gt;0,1,0)</f>
        <v>0</v>
      </c>
      <c r="J72" s="4">
        <f>IF(IFERROR(VLOOKUP(C72,'test de drogas parlamentarios'!C:C,1,0),0)&gt;0,1,0)</f>
        <v>1</v>
      </c>
    </row>
    <row r="73" ht="15.75" customHeight="1">
      <c r="A73" s="1">
        <v>1.0</v>
      </c>
      <c r="B73" s="6">
        <v>44728.0</v>
      </c>
      <c r="C73" s="2" t="s">
        <v>166</v>
      </c>
      <c r="D73" s="2" t="str">
        <f t="shared" si="1"/>
        <v>El Senado vetó</v>
      </c>
      <c r="E73" s="2" t="s">
        <v>167</v>
      </c>
      <c r="F73" s="5" t="s">
        <v>49</v>
      </c>
      <c r="H73" s="4">
        <f>IF(IFERROR(VLOOKUP(C73,'"prueba""drogas""parlamentarios'!C:C,1,0),0)&gt;0,1,0)</f>
        <v>0</v>
      </c>
      <c r="I73" s="4">
        <f>IF(IFERROR(VLOOKUP(C73,'"test""drogas""parlamentarios"'!C:C,1,0),0)&gt;0,1,0)</f>
        <v>1</v>
      </c>
      <c r="J73" s="4">
        <f>IF(IFERROR(VLOOKUP(C73,'test de drogas parlamentarios'!C:C,1,0),0)&gt;0,1,0)</f>
        <v>1</v>
      </c>
    </row>
    <row r="74" ht="15.75" customHeight="1">
      <c r="A74" s="1">
        <v>1.0</v>
      </c>
      <c r="B74" s="6">
        <v>43591.0</v>
      </c>
      <c r="C74" s="2" t="s">
        <v>168</v>
      </c>
      <c r="D74" s="2" t="str">
        <f t="shared" si="1"/>
        <v>63 diputados c</v>
      </c>
      <c r="E74" s="2" t="s">
        <v>169</v>
      </c>
      <c r="H74" s="4">
        <f>IF(IFERROR(VLOOKUP(C74,'"prueba""drogas""parlamentarios'!C:C,1,0),0)&gt;0,1,0)</f>
        <v>0</v>
      </c>
      <c r="I74" s="4">
        <f>IF(IFERROR(VLOOKUP(C74,'"test""drogas""parlamentarios"'!C:C,1,0),0)&gt;0,1,0)</f>
        <v>1</v>
      </c>
      <c r="J74" s="4">
        <f>IF(IFERROR(VLOOKUP(C74,'test de drogas parlamentarios'!C:C,1,0),0)&gt;0,1,0)</f>
        <v>1</v>
      </c>
    </row>
    <row r="75" ht="15.75" customHeight="1">
      <c r="A75" s="1">
        <v>1.0</v>
      </c>
      <c r="B75" s="6">
        <v>44796.0</v>
      </c>
      <c r="C75" s="2" t="s">
        <v>170</v>
      </c>
      <c r="D75" s="2" t="str">
        <f t="shared" si="1"/>
        <v>Vendían en el </v>
      </c>
      <c r="E75" s="2" t="s">
        <v>171</v>
      </c>
      <c r="F75" s="8" t="s">
        <v>172</v>
      </c>
      <c r="H75" s="4">
        <f>IF(IFERROR(VLOOKUP(C75,'"prueba""drogas""parlamentarios'!C:C,1,0),0)&gt;0,1,0)</f>
        <v>0</v>
      </c>
      <c r="I75" s="4">
        <f>IF(IFERROR(VLOOKUP(C75,'"test""drogas""parlamentarios"'!C:C,1,0),0)&gt;0,1,0)</f>
        <v>1</v>
      </c>
      <c r="J75" s="4">
        <f>IF(IFERROR(VLOOKUP(C75,'test de drogas parlamentarios'!C:C,1,0),0)&gt;0,1,0)</f>
        <v>1</v>
      </c>
    </row>
    <row r="76" ht="15.75" customHeight="1">
      <c r="A76" s="1">
        <v>1.0</v>
      </c>
      <c r="B76" s="6">
        <v>44791.0</v>
      </c>
      <c r="C76" s="2" t="s">
        <v>173</v>
      </c>
      <c r="D76" s="2" t="str">
        <f t="shared" si="1"/>
        <v>Por controvers</v>
      </c>
      <c r="E76" s="2" t="s">
        <v>174</v>
      </c>
      <c r="F76" s="4" t="s">
        <v>163</v>
      </c>
      <c r="H76" s="4">
        <f>IF(IFERROR(VLOOKUP(C76,'"prueba""drogas""parlamentarios'!C:C,1,0),0)&gt;0,1,0)</f>
        <v>0</v>
      </c>
      <c r="I76" s="4">
        <f>IF(IFERROR(VLOOKUP(C76,'"test""drogas""parlamentarios"'!C:C,1,0),0)&gt;0,1,0)</f>
        <v>1</v>
      </c>
      <c r="J76" s="4">
        <f>IF(IFERROR(VLOOKUP(C76,'test de drogas parlamentarios'!C:C,1,0),0)&gt;0,1,0)</f>
        <v>1</v>
      </c>
    </row>
    <row r="77" ht="15.75" customHeight="1">
      <c r="A77" s="1">
        <v>1.0</v>
      </c>
      <c r="B77" s="6">
        <v>44791.0</v>
      </c>
      <c r="C77" s="2" t="s">
        <v>175</v>
      </c>
      <c r="D77" s="2" t="str">
        <f t="shared" si="1"/>
        <v>Jefe de la Ban</v>
      </c>
      <c r="E77" s="2" t="s">
        <v>176</v>
      </c>
      <c r="H77" s="4">
        <f>IF(IFERROR(VLOOKUP(C77,'"prueba""drogas""parlamentarios'!C:C,1,0),0)&gt;0,1,0)</f>
        <v>0</v>
      </c>
      <c r="I77" s="4">
        <f>IF(IFERROR(VLOOKUP(C77,'"test""drogas""parlamentarios"'!C:C,1,0),0)&gt;0,1,0)</f>
        <v>1</v>
      </c>
      <c r="J77" s="4">
        <f>IF(IFERROR(VLOOKUP(C77,'test de drogas parlamentarios'!C:C,1,0),0)&gt;0,1,0)</f>
        <v>1</v>
      </c>
    </row>
    <row r="78" ht="15.75" customHeight="1">
      <c r="A78" s="1">
        <v>1.0</v>
      </c>
      <c r="B78" s="6">
        <v>44894.0</v>
      </c>
      <c r="C78" s="2" t="s">
        <v>177</v>
      </c>
      <c r="D78" s="2" t="str">
        <f t="shared" si="1"/>
        <v>Debutó este lu</v>
      </c>
      <c r="E78" s="2" t="s">
        <v>178</v>
      </c>
      <c r="F78" s="4" t="s">
        <v>163</v>
      </c>
      <c r="H78" s="4">
        <f>IF(IFERROR(VLOOKUP(C78,'"prueba""drogas""parlamentarios'!C:C,1,0),0)&gt;0,1,0)</f>
        <v>1</v>
      </c>
      <c r="I78" s="4">
        <f>IF(IFERROR(VLOOKUP(C78,'"test""drogas""parlamentarios"'!C:C,1,0),0)&gt;0,1,0)</f>
        <v>1</v>
      </c>
      <c r="J78" s="4">
        <f>IF(IFERROR(VLOOKUP(C78,'test de drogas parlamentarios'!C:C,1,0),0)&gt;0,1,0)</f>
        <v>1</v>
      </c>
    </row>
    <row r="79" ht="15.75" customHeight="1">
      <c r="A79" s="1">
        <v>1.0</v>
      </c>
      <c r="B79" s="6">
        <v>44830.0</v>
      </c>
      <c r="C79" s="2" t="s">
        <v>179</v>
      </c>
      <c r="D79" s="2" t="str">
        <f t="shared" si="1"/>
        <v>Presupuesto 20</v>
      </c>
      <c r="E79" s="2" t="s">
        <v>180</v>
      </c>
      <c r="F79" s="4" t="s">
        <v>163</v>
      </c>
      <c r="H79" s="4">
        <f>IF(IFERROR(VLOOKUP(C79,'"prueba""drogas""parlamentarios'!C:C,1,0),0)&gt;0,1,0)</f>
        <v>0</v>
      </c>
      <c r="I79" s="4">
        <f>IF(IFERROR(VLOOKUP(C79,'"test""drogas""parlamentarios"'!C:C,1,0),0)&gt;0,1,0)</f>
        <v>0</v>
      </c>
      <c r="J79" s="4">
        <f>IF(IFERROR(VLOOKUP(C79,'test de drogas parlamentarios'!C:C,1,0),0)&gt;0,1,0)</f>
        <v>1</v>
      </c>
    </row>
    <row r="80" ht="15.75" customHeight="1">
      <c r="A80" s="1">
        <v>1.0</v>
      </c>
      <c r="B80" s="6">
        <v>44832.0</v>
      </c>
      <c r="C80" s="2" t="s">
        <v>181</v>
      </c>
      <c r="D80" s="2" t="str">
        <f t="shared" si="1"/>
        <v>Debía vigilar </v>
      </c>
      <c r="E80" s="2" t="s">
        <v>182</v>
      </c>
      <c r="F80" s="4" t="s">
        <v>163</v>
      </c>
      <c r="H80" s="4">
        <f>IF(IFERROR(VLOOKUP(C80,'"prueba""drogas""parlamentarios'!C:C,1,0),0)&gt;0,1,0)</f>
        <v>0</v>
      </c>
      <c r="I80" s="4">
        <f>IF(IFERROR(VLOOKUP(C80,'"test""drogas""parlamentarios"'!C:C,1,0),0)&gt;0,1,0)</f>
        <v>1</v>
      </c>
      <c r="J80" s="4">
        <f>IF(IFERROR(VLOOKUP(C80,'test de drogas parlamentarios'!C:C,1,0),0)&gt;0,1,0)</f>
        <v>1</v>
      </c>
    </row>
    <row r="81" ht="15.75" customHeight="1">
      <c r="A81" s="1">
        <v>1.0</v>
      </c>
      <c r="B81" s="6">
        <v>44746.0</v>
      </c>
      <c r="C81" s="10" t="s">
        <v>183</v>
      </c>
      <c r="D81" s="2" t="str">
        <f t="shared" si="1"/>
        <v>El tenso cruce</v>
      </c>
      <c r="E81" s="2" t="s">
        <v>184</v>
      </c>
      <c r="F81" s="4" t="s">
        <v>163</v>
      </c>
      <c r="H81" s="4">
        <f>IF(IFERROR(VLOOKUP(C81,'"prueba""drogas""parlamentarios'!C:C,1,0),0)&gt;0,1,0)</f>
        <v>0</v>
      </c>
      <c r="I81" s="4">
        <f>IF(IFERROR(VLOOKUP(C81,'"test""drogas""parlamentarios"'!C:C,1,0),0)&gt;0,1,0)</f>
        <v>1</v>
      </c>
      <c r="J81" s="4">
        <f>IF(IFERROR(VLOOKUP(C81,'test de drogas parlamentarios'!C:C,1,0),0)&gt;0,1,0)</f>
        <v>1</v>
      </c>
    </row>
    <row r="82" ht="15.75" customHeight="1">
      <c r="A82" s="1">
        <v>1.0</v>
      </c>
      <c r="B82" s="6">
        <v>44831.0</v>
      </c>
      <c r="C82" s="2" t="s">
        <v>185</v>
      </c>
      <c r="D82" s="2" t="str">
        <f t="shared" si="1"/>
        <v>“Como somos mu</v>
      </c>
      <c r="E82" s="2" t="s">
        <v>186</v>
      </c>
      <c r="F82" s="8" t="s">
        <v>172</v>
      </c>
      <c r="H82" s="4">
        <f>IF(IFERROR(VLOOKUP(C82,'"prueba""drogas""parlamentarios'!C:C,1,0),0)&gt;0,1,0)</f>
        <v>0</v>
      </c>
      <c r="I82" s="4">
        <f>IF(IFERROR(VLOOKUP(C82,'"test""drogas""parlamentarios"'!C:C,1,0),0)&gt;0,1,0)</f>
        <v>1</v>
      </c>
      <c r="J82" s="4">
        <f>IF(IFERROR(VLOOKUP(C82,'test de drogas parlamentarios'!C:C,1,0),0)&gt;0,1,0)</f>
        <v>1</v>
      </c>
    </row>
    <row r="83" ht="15.75" customHeight="1">
      <c r="A83" s="1">
        <v>1.0</v>
      </c>
      <c r="B83" s="6">
        <v>44815.0</v>
      </c>
      <c r="C83" s="2" t="s">
        <v>187</v>
      </c>
      <c r="D83" s="2" t="str">
        <f t="shared" si="1"/>
        <v>Cámara denunci</v>
      </c>
      <c r="E83" s="2" t="s">
        <v>188</v>
      </c>
      <c r="F83" s="8" t="s">
        <v>172</v>
      </c>
      <c r="H83" s="4">
        <f>IF(IFERROR(VLOOKUP(C83,'"prueba""drogas""parlamentarios'!C:C,1,0),0)&gt;0,1,0)</f>
        <v>0</v>
      </c>
      <c r="I83" s="4">
        <f>IF(IFERROR(VLOOKUP(C83,'"test""drogas""parlamentarios"'!C:C,1,0),0)&gt;0,1,0)</f>
        <v>1</v>
      </c>
      <c r="J83" s="4">
        <f>IF(IFERROR(VLOOKUP(C83,'test de drogas parlamentarios'!C:C,1,0),0)&gt;0,1,0)</f>
        <v>1</v>
      </c>
    </row>
    <row r="84" ht="15.75" customHeight="1">
      <c r="A84" s="1">
        <v>1.0</v>
      </c>
      <c r="B84" s="6">
        <v>43753.0</v>
      </c>
      <c r="C84" s="2" t="s">
        <v>189</v>
      </c>
      <c r="D84" s="2" t="str">
        <f t="shared" si="1"/>
        <v>Los otros polí</v>
      </c>
      <c r="E84" s="2" t="s">
        <v>190</v>
      </c>
      <c r="H84" s="4">
        <f>IF(IFERROR(VLOOKUP(C84,'"prueba""drogas""parlamentarios'!C:C,1,0),0)&gt;0,1,0)</f>
        <v>0</v>
      </c>
      <c r="I84" s="4">
        <f>IF(IFERROR(VLOOKUP(C84,'"test""drogas""parlamentarios"'!C:C,1,0),0)&gt;0,1,0)</f>
        <v>1</v>
      </c>
      <c r="J84" s="4">
        <f>IF(IFERROR(VLOOKUP(C84,'test de drogas parlamentarios'!C:C,1,0),0)&gt;0,1,0)</f>
        <v>1</v>
      </c>
    </row>
    <row r="85" ht="15.75" customHeight="1">
      <c r="A85" s="1">
        <v>1.0</v>
      </c>
      <c r="B85" s="6">
        <v>44795.0</v>
      </c>
      <c r="C85" s="2" t="s">
        <v>191</v>
      </c>
      <c r="D85" s="2" t="str">
        <f t="shared" si="1"/>
        <v>Moller &amp; Pérez</v>
      </c>
      <c r="E85" s="2" t="s">
        <v>192</v>
      </c>
      <c r="F85" s="8" t="s">
        <v>172</v>
      </c>
      <c r="H85" s="4">
        <f>IF(IFERROR(VLOOKUP(C85,'"prueba""drogas""parlamentarios'!C:C,1,0),0)&gt;0,1,0)</f>
        <v>0</v>
      </c>
      <c r="I85" s="4">
        <f>IF(IFERROR(VLOOKUP(C85,'"test""drogas""parlamentarios"'!C:C,1,0),0)&gt;0,1,0)</f>
        <v>0</v>
      </c>
      <c r="J85" s="4">
        <f>IF(IFERROR(VLOOKUP(C85,'test de drogas parlamentarios'!C:C,1,0),0)&gt;0,1,0)</f>
        <v>1</v>
      </c>
    </row>
    <row r="86" ht="15.75" customHeight="1">
      <c r="A86" s="1">
        <v>1.0</v>
      </c>
      <c r="B86" s="6">
        <v>44894.0</v>
      </c>
      <c r="C86" s="2" t="s">
        <v>193</v>
      </c>
      <c r="D86" s="2" t="str">
        <f t="shared" si="1"/>
        <v>A un acuerdo t</v>
      </c>
      <c r="E86" s="2" t="s">
        <v>194</v>
      </c>
      <c r="F86" s="8" t="s">
        <v>172</v>
      </c>
      <c r="H86" s="4">
        <f>IF(IFERROR(VLOOKUP(C86,'"prueba""drogas""parlamentarios'!C:C,1,0),0)&gt;0,1,0)</f>
        <v>0</v>
      </c>
      <c r="I86" s="4">
        <f>IF(IFERROR(VLOOKUP(C86,'"test""drogas""parlamentarios"'!C:C,1,0),0)&gt;0,1,0)</f>
        <v>0</v>
      </c>
      <c r="J86" s="4">
        <f>IF(IFERROR(VLOOKUP(C86,'test de drogas parlamentarios'!C:C,1,0),0)&gt;0,1,0)</f>
        <v>1</v>
      </c>
    </row>
    <row r="87" ht="15.75" customHeight="1">
      <c r="A87" s="1">
        <v>1.0</v>
      </c>
      <c r="B87" s="6">
        <v>44488.0</v>
      </c>
      <c r="C87" s="2" t="s">
        <v>195</v>
      </c>
      <c r="D87" s="2" t="str">
        <f t="shared" si="1"/>
        <v>Bulnes: Equipo</v>
      </c>
      <c r="E87" s="2" t="s">
        <v>196</v>
      </c>
      <c r="F87" s="5" t="s">
        <v>197</v>
      </c>
      <c r="H87" s="4">
        <f>IF(IFERROR(VLOOKUP(C87,'"prueba""drogas""parlamentarios'!C:C,1,0),0)&gt;0,1,0)</f>
        <v>0</v>
      </c>
      <c r="I87" s="4">
        <f>IF(IFERROR(VLOOKUP(C87,'"test""drogas""parlamentarios"'!C:C,1,0),0)&gt;0,1,0)</f>
        <v>1</v>
      </c>
      <c r="J87" s="4">
        <f>IF(IFERROR(VLOOKUP(C87,'test de drogas parlamentarios'!C:C,1,0),0)&gt;0,1,0)</f>
        <v>1</v>
      </c>
    </row>
    <row r="88" ht="15.75" customHeight="1">
      <c r="A88" s="1">
        <v>1.0</v>
      </c>
      <c r="B88" s="6">
        <v>44894.0</v>
      </c>
      <c r="C88" s="2" t="s">
        <v>198</v>
      </c>
      <c r="D88" s="2" t="str">
        <f t="shared" si="1"/>
        <v>Organización M</v>
      </c>
      <c r="E88" s="2" t="s">
        <v>199</v>
      </c>
      <c r="F88" s="4" t="s">
        <v>163</v>
      </c>
      <c r="H88" s="4">
        <f>IF(IFERROR(VLOOKUP(C88,'"prueba""drogas""parlamentarios'!C:C,1,0),0)&gt;0,1,0)</f>
        <v>0</v>
      </c>
      <c r="I88" s="4">
        <f>IF(IFERROR(VLOOKUP(C88,'"test""drogas""parlamentarios"'!C:C,1,0),0)&gt;0,1,0)</f>
        <v>1</v>
      </c>
      <c r="J88" s="4">
        <f>IF(IFERROR(VLOOKUP(C88,'test de drogas parlamentarios'!C:C,1,0),0)&gt;0,1,0)</f>
        <v>1</v>
      </c>
    </row>
    <row r="89" ht="15.75" customHeight="1">
      <c r="A89" s="1">
        <v>1.0</v>
      </c>
      <c r="B89" s="6">
        <v>44764.0</v>
      </c>
      <c r="C89" s="2" t="s">
        <v>200</v>
      </c>
      <c r="D89" s="2" t="str">
        <f t="shared" si="1"/>
        <v>Saludo a la ba</v>
      </c>
      <c r="E89" s="2" t="s">
        <v>201</v>
      </c>
      <c r="F89" s="5" t="s">
        <v>41</v>
      </c>
      <c r="H89" s="4">
        <f>IF(IFERROR(VLOOKUP(C89,'"prueba""drogas""parlamentarios'!C:C,1,0),0)&gt;0,1,0)</f>
        <v>0</v>
      </c>
      <c r="I89" s="4">
        <f>IF(IFERROR(VLOOKUP(C89,'"test""drogas""parlamentarios"'!C:C,1,0),0)&gt;0,1,0)</f>
        <v>0</v>
      </c>
      <c r="J89" s="4">
        <f>IF(IFERROR(VLOOKUP(C89,'test de drogas parlamentarios'!C:C,1,0),0)&gt;0,1,0)</f>
        <v>1</v>
      </c>
    </row>
    <row r="90" ht="15.75" customHeight="1">
      <c r="A90" s="1">
        <v>1.0</v>
      </c>
      <c r="B90" s="6">
        <v>44893.0</v>
      </c>
      <c r="C90" s="2" t="s">
        <v>202</v>
      </c>
      <c r="D90" s="2" t="str">
        <f t="shared" si="1"/>
        <v>COVID-19: Caso</v>
      </c>
      <c r="E90" s="2" t="s">
        <v>203</v>
      </c>
      <c r="F90" s="8" t="s">
        <v>172</v>
      </c>
      <c r="H90" s="4">
        <f>IF(IFERROR(VLOOKUP(C90,'"prueba""drogas""parlamentarios'!C:C,1,0),0)&gt;0,1,0)</f>
        <v>0</v>
      </c>
      <c r="I90" s="4">
        <f>IF(IFERROR(VLOOKUP(C90,'"test""drogas""parlamentarios"'!C:C,1,0),0)&gt;0,1,0)</f>
        <v>1</v>
      </c>
      <c r="J90" s="4">
        <f>IF(IFERROR(VLOOKUP(C90,'test de drogas parlamentarios'!C:C,1,0),0)&gt;0,1,0)</f>
        <v>1</v>
      </c>
    </row>
    <row r="91" ht="15.75" customHeight="1">
      <c r="A91" s="1">
        <v>1.0</v>
      </c>
      <c r="B91" s="6">
        <v>44893.0</v>
      </c>
      <c r="C91" s="2" t="s">
        <v>204</v>
      </c>
      <c r="D91" s="2" t="str">
        <f t="shared" si="1"/>
        <v>Diputada Camil</v>
      </c>
      <c r="E91" s="2" t="s">
        <v>205</v>
      </c>
      <c r="F91" s="4" t="s">
        <v>163</v>
      </c>
      <c r="H91" s="4">
        <f>IF(IFERROR(VLOOKUP(C91,'"prueba""drogas""parlamentarios'!C:C,1,0),0)&gt;0,1,0)</f>
        <v>0</v>
      </c>
      <c r="I91" s="4">
        <f>IF(IFERROR(VLOOKUP(C91,'"test""drogas""parlamentarios"'!C:C,1,0),0)&gt;0,1,0)</f>
        <v>1</v>
      </c>
      <c r="J91" s="4">
        <f>IF(IFERROR(VLOOKUP(C91,'test de drogas parlamentarios'!C:C,1,0),0)&gt;0,1,0)</f>
        <v>1</v>
      </c>
    </row>
    <row r="92" ht="15.75" customHeight="1">
      <c r="A92" s="1">
        <v>1.0</v>
      </c>
      <c r="B92" s="6">
        <v>44832.0</v>
      </c>
      <c r="C92" s="2" t="s">
        <v>206</v>
      </c>
      <c r="D92" s="2" t="str">
        <f t="shared" si="1"/>
        <v>Diputado Franc</v>
      </c>
      <c r="E92" s="2" t="s">
        <v>207</v>
      </c>
      <c r="H92" s="4">
        <f>IF(IFERROR(VLOOKUP(C92,'"prueba""drogas""parlamentarios'!C:C,1,0),0)&gt;0,1,0)</f>
        <v>0</v>
      </c>
      <c r="I92" s="4">
        <f>IF(IFERROR(VLOOKUP(C92,'"test""drogas""parlamentarios"'!C:C,1,0),0)&gt;0,1,0)</f>
        <v>1</v>
      </c>
      <c r="J92" s="4">
        <f>IF(IFERROR(VLOOKUP(C92,'test de drogas parlamentarios'!C:C,1,0),0)&gt;0,1,0)</f>
        <v>1</v>
      </c>
    </row>
    <row r="93" ht="15.75" customHeight="1">
      <c r="A93" s="1">
        <v>1.0</v>
      </c>
      <c r="B93" s="6">
        <v>44835.0</v>
      </c>
      <c r="C93" s="2" t="s">
        <v>208</v>
      </c>
      <c r="D93" s="2" t="str">
        <f t="shared" si="1"/>
        <v>Nelson Ávila, </v>
      </c>
      <c r="E93" s="2" t="s">
        <v>209</v>
      </c>
      <c r="F93" s="5" t="s">
        <v>210</v>
      </c>
      <c r="H93" s="4">
        <f>IF(IFERROR(VLOOKUP(C93,'"prueba""drogas""parlamentarios'!C:C,1,0),0)&gt;0,1,0)</f>
        <v>0</v>
      </c>
      <c r="I93" s="4">
        <f>IF(IFERROR(VLOOKUP(C93,'"test""drogas""parlamentarios"'!C:C,1,0),0)&gt;0,1,0)</f>
        <v>1</v>
      </c>
      <c r="J93" s="4">
        <f>IF(IFERROR(VLOOKUP(C93,'test de drogas parlamentarios'!C:C,1,0),0)&gt;0,1,0)</f>
        <v>1</v>
      </c>
    </row>
    <row r="94" ht="15.75" customHeight="1">
      <c r="A94" s="1">
        <v>1.0</v>
      </c>
      <c r="B94" s="6">
        <v>43559.0</v>
      </c>
      <c r="C94" s="2" t="s">
        <v>211</v>
      </c>
      <c r="D94" s="2" t="str">
        <f t="shared" si="1"/>
        <v>Florcita, drog</v>
      </c>
      <c r="E94" s="2" t="s">
        <v>212</v>
      </c>
      <c r="F94" s="5" t="s">
        <v>213</v>
      </c>
      <c r="H94" s="4">
        <f>IF(IFERROR(VLOOKUP(C94,'"prueba""drogas""parlamentarios'!C:C,1,0),0)&gt;0,1,0)</f>
        <v>0</v>
      </c>
      <c r="I94" s="4">
        <f>IF(IFERROR(VLOOKUP(C94,'"test""drogas""parlamentarios"'!C:C,1,0),0)&gt;0,1,0)</f>
        <v>1</v>
      </c>
      <c r="J94" s="4">
        <f>IF(IFERROR(VLOOKUP(C94,'test de drogas parlamentarios'!C:C,1,0),0)&gt;0,1,0)</f>
        <v>1</v>
      </c>
    </row>
    <row r="95" ht="15.75" customHeight="1">
      <c r="A95" s="1">
        <v>1.0</v>
      </c>
      <c r="B95" s="6">
        <v>44830.0</v>
      </c>
      <c r="C95" s="2" t="s">
        <v>214</v>
      </c>
      <c r="D95" s="2" t="str">
        <f t="shared" si="1"/>
        <v>TPP11: Senado </v>
      </c>
      <c r="E95" s="2" t="s">
        <v>215</v>
      </c>
      <c r="F95" s="8" t="s">
        <v>172</v>
      </c>
      <c r="H95" s="4">
        <f>IF(IFERROR(VLOOKUP(C95,'"prueba""drogas""parlamentarios'!C:C,1,0),0)&gt;0,1,0)</f>
        <v>0</v>
      </c>
      <c r="I95" s="4">
        <f>IF(IFERROR(VLOOKUP(C95,'"test""drogas""parlamentarios"'!C:C,1,0),0)&gt;0,1,0)</f>
        <v>0</v>
      </c>
      <c r="J95" s="4">
        <f>IF(IFERROR(VLOOKUP(C95,'test de drogas parlamentarios'!C:C,1,0),0)&gt;0,1,0)</f>
        <v>1</v>
      </c>
    </row>
    <row r="96" ht="15.75" customHeight="1">
      <c r="A96" s="1">
        <v>1.0</v>
      </c>
      <c r="B96" s="6">
        <v>44460.0</v>
      </c>
      <c r="C96" s="2" t="s">
        <v>216</v>
      </c>
      <c r="D96" s="2" t="str">
        <f t="shared" si="1"/>
        <v>Wladimir Pizar</v>
      </c>
      <c r="E96" s="2" t="s">
        <v>217</v>
      </c>
      <c r="H96" s="4">
        <f>IF(IFERROR(VLOOKUP(C96,'"prueba""drogas""parlamentarios'!C:C,1,0),0)&gt;0,1,0)</f>
        <v>0</v>
      </c>
      <c r="I96" s="4">
        <f>IF(IFERROR(VLOOKUP(C96,'"test""drogas""parlamentarios"'!C:C,1,0),0)&gt;0,1,0)</f>
        <v>0</v>
      </c>
      <c r="J96" s="4">
        <f>IF(IFERROR(VLOOKUP(C96,'test de drogas parlamentarios'!C:C,1,0),0)&gt;0,1,0)</f>
        <v>1</v>
      </c>
    </row>
    <row r="97" ht="15.75" customHeight="1">
      <c r="A97" s="1">
        <v>1.0</v>
      </c>
      <c r="B97" s="6">
        <v>44544.0</v>
      </c>
      <c r="C97" s="2" t="s">
        <v>218</v>
      </c>
      <c r="D97" s="2" t="str">
        <f t="shared" si="1"/>
        <v>Boric se moles</v>
      </c>
      <c r="E97" s="2" t="s">
        <v>219</v>
      </c>
      <c r="F97" s="4" t="s">
        <v>163</v>
      </c>
      <c r="H97" s="4">
        <f>IF(IFERROR(VLOOKUP(C97,'"prueba""drogas""parlamentarios'!C:C,1,0),0)&gt;0,1,0)</f>
        <v>0</v>
      </c>
      <c r="I97" s="4">
        <f>IF(IFERROR(VLOOKUP(C97,'"test""drogas""parlamentarios"'!C:C,1,0),0)&gt;0,1,0)</f>
        <v>0</v>
      </c>
      <c r="J97" s="4">
        <f>IF(IFERROR(VLOOKUP(C97,'test de drogas parlamentarios'!C:C,1,0),0)&gt;0,1,0)</f>
        <v>1</v>
      </c>
    </row>
    <row r="98" ht="15.75" customHeight="1">
      <c r="A98" s="1">
        <v>1.0</v>
      </c>
      <c r="B98" s="6">
        <v>44894.0</v>
      </c>
      <c r="C98" s="2" t="s">
        <v>220</v>
      </c>
      <c r="D98" s="2" t="str">
        <f t="shared" si="1"/>
        <v>Ipsos: Confian</v>
      </c>
      <c r="E98" s="2" t="s">
        <v>221</v>
      </c>
      <c r="F98" s="4" t="s">
        <v>163</v>
      </c>
      <c r="H98" s="4">
        <f>IF(IFERROR(VLOOKUP(C98,'"prueba""drogas""parlamentarios'!C:C,1,0),0)&gt;0,1,0)</f>
        <v>0</v>
      </c>
      <c r="I98" s="4">
        <f>IF(IFERROR(VLOOKUP(C98,'"test""drogas""parlamentarios"'!C:C,1,0),0)&gt;0,1,0)</f>
        <v>1</v>
      </c>
      <c r="J98" s="4">
        <f>IF(IFERROR(VLOOKUP(C98,'test de drogas parlamentarios'!C:C,1,0),0)&gt;0,1,0)</f>
        <v>1</v>
      </c>
    </row>
    <row r="99" ht="15.75" customHeight="1">
      <c r="A99" s="1">
        <v>1.0</v>
      </c>
      <c r="B99" s="6">
        <v>44893.0</v>
      </c>
      <c r="C99" s="2" t="s">
        <v>222</v>
      </c>
      <c r="D99" s="2" t="str">
        <f t="shared" si="1"/>
        <v>Paro de camion</v>
      </c>
      <c r="E99" s="2" t="s">
        <v>223</v>
      </c>
      <c r="F99" s="4" t="s">
        <v>163</v>
      </c>
      <c r="H99" s="4">
        <f>IF(IFERROR(VLOOKUP(C99,'"prueba""drogas""parlamentarios'!C:C,1,0),0)&gt;0,1,0)</f>
        <v>0</v>
      </c>
      <c r="I99" s="4">
        <f>IF(IFERROR(VLOOKUP(C99,'"test""drogas""parlamentarios"'!C:C,1,0),0)&gt;0,1,0)</f>
        <v>1</v>
      </c>
      <c r="J99" s="4">
        <f>IF(IFERROR(VLOOKUP(C99,'test de drogas parlamentarios'!C:C,1,0),0)&gt;0,1,0)</f>
        <v>1</v>
      </c>
    </row>
    <row r="100" ht="15.75" customHeight="1">
      <c r="A100" s="1">
        <v>1.0</v>
      </c>
      <c r="B100" s="6">
        <v>44856.0</v>
      </c>
      <c r="C100" s="2" t="s">
        <v>224</v>
      </c>
      <c r="D100" s="2" t="str">
        <f t="shared" si="1"/>
        <v>Presidente de </v>
      </c>
      <c r="E100" s="2" t="s">
        <v>225</v>
      </c>
      <c r="F100" s="4" t="s">
        <v>163</v>
      </c>
      <c r="H100" s="4">
        <f>IF(IFERROR(VLOOKUP(C100,'"prueba""drogas""parlamentarios'!C:C,1,0),0)&gt;0,1,0)</f>
        <v>0</v>
      </c>
      <c r="I100" s="4">
        <f>IF(IFERROR(VLOOKUP(C100,'"test""drogas""parlamentarios"'!C:C,1,0),0)&gt;0,1,0)</f>
        <v>0</v>
      </c>
      <c r="J100" s="4">
        <f>IF(IFERROR(VLOOKUP(C100,'test de drogas parlamentarios'!C:C,1,0),0)&gt;0,1,0)</f>
        <v>1</v>
      </c>
    </row>
    <row r="101" ht="15.75" customHeight="1">
      <c r="A101" s="1">
        <v>1.0</v>
      </c>
      <c r="B101" s="6">
        <v>44892.0</v>
      </c>
      <c r="C101" s="2" t="s">
        <v>226</v>
      </c>
      <c r="D101" s="2" t="str">
        <f t="shared" si="1"/>
        <v>Chile impulsa </v>
      </c>
      <c r="E101" s="2" t="s">
        <v>227</v>
      </c>
      <c r="F101" s="4" t="s">
        <v>163</v>
      </c>
      <c r="H101" s="4">
        <f>IF(IFERROR(VLOOKUP(C101,'"prueba""drogas""parlamentarios'!C:C,1,0),0)&gt;0,1,0)</f>
        <v>0</v>
      </c>
      <c r="I101" s="4">
        <f>IF(IFERROR(VLOOKUP(C101,'"test""drogas""parlamentarios"'!C:C,1,0),0)&gt;0,1,0)</f>
        <v>1</v>
      </c>
      <c r="J101" s="4">
        <f>IF(IFERROR(VLOOKUP(C101,'test de drogas parlamentarios'!C:C,1,0),0)&gt;0,1,0)</f>
        <v>1</v>
      </c>
    </row>
    <row r="102" ht="15.75" customHeight="1">
      <c r="A102" s="1">
        <v>1.0</v>
      </c>
      <c r="B102" s="6">
        <v>44729.0</v>
      </c>
      <c r="C102" s="6" t="s">
        <v>228</v>
      </c>
      <c r="D102" s="2" t="str">
        <f t="shared" si="1"/>
        <v>Columna de Dia</v>
      </c>
      <c r="E102" s="2" t="s">
        <v>229</v>
      </c>
      <c r="F102" s="5" t="s">
        <v>230</v>
      </c>
      <c r="H102" s="4">
        <f>IF(IFERROR(VLOOKUP(C102,'"prueba""drogas""parlamentarios'!C:C,1,0),0)&gt;0,1,0)</f>
        <v>0</v>
      </c>
      <c r="I102" s="4">
        <f>IF(IFERROR(VLOOKUP(C102,'"test""drogas""parlamentarios"'!C:C,1,0),0)&gt;0,1,0)</f>
        <v>0</v>
      </c>
      <c r="J102" s="4">
        <f>IF(IFERROR(VLOOKUP(C102,'test de drogas parlamentarios'!C:C,1,0),0)&gt;0,1,0)</f>
        <v>1</v>
      </c>
    </row>
    <row r="103" ht="15.75" customHeight="1">
      <c r="A103" s="11">
        <v>2.0</v>
      </c>
      <c r="B103" s="12" t="s">
        <v>231</v>
      </c>
      <c r="C103" s="2" t="s">
        <v>232</v>
      </c>
      <c r="D103" s="2" t="str">
        <f t="shared" si="1"/>
        <v>Diputados chil</v>
      </c>
      <c r="E103" s="13" t="s">
        <v>233</v>
      </c>
      <c r="F103" s="5" t="s">
        <v>114</v>
      </c>
      <c r="H103" s="4">
        <f>IF(IFERROR(VLOOKUP(C103,'"prueba""drogas""parlamentarios'!C:C,1,0),0)&gt;0,1,0)</f>
        <v>1</v>
      </c>
      <c r="I103" s="4">
        <f>IF(IFERROR(VLOOKUP(C103,'"test""drogas""parlamentarios"'!C:C,1,0),0)&gt;0,1,0)</f>
        <v>0</v>
      </c>
      <c r="J103" s="4">
        <f>IF(IFERROR(VLOOKUP(C103,'test de drogas parlamentarios'!C:C,1,0),0)&gt;0,1,0)</f>
        <v>0</v>
      </c>
    </row>
    <row r="104" ht="15.75" customHeight="1">
      <c r="A104" s="11">
        <v>2.0</v>
      </c>
      <c r="B104" s="12" t="s">
        <v>234</v>
      </c>
      <c r="C104" s="3" t="s">
        <v>235</v>
      </c>
      <c r="D104" s="2" t="str">
        <f t="shared" si="1"/>
        <v>Ningún diputad</v>
      </c>
      <c r="E104" s="13" t="s">
        <v>236</v>
      </c>
      <c r="H104" s="4">
        <f>IF(IFERROR(VLOOKUP(C104,'"prueba""drogas""parlamentarios'!C:C,1,0),0)&gt;0,1,0)</f>
        <v>1</v>
      </c>
      <c r="I104" s="4">
        <f>IF(IFERROR(VLOOKUP(C104,'"test""drogas""parlamentarios"'!C:C,1,0),0)&gt;0,1,0)</f>
        <v>0</v>
      </c>
      <c r="J104" s="4">
        <f>IF(IFERROR(VLOOKUP(C104,'test de drogas parlamentarios'!C:C,1,0),0)&gt;0,1,0)</f>
        <v>0</v>
      </c>
    </row>
    <row r="105" ht="15.75" customHeight="1">
      <c r="A105" s="11">
        <v>2.0</v>
      </c>
      <c r="B105" s="12" t="s">
        <v>237</v>
      </c>
      <c r="C105" s="2" t="s">
        <v>238</v>
      </c>
      <c r="D105" s="2" t="str">
        <f t="shared" si="1"/>
        <v>Resultados ser</v>
      </c>
      <c r="E105" s="13" t="s">
        <v>239</v>
      </c>
      <c r="H105" s="4">
        <f>IF(IFERROR(VLOOKUP(C105,'"prueba""drogas""parlamentarios'!C:C,1,0),0)&gt;0,1,0)</f>
        <v>1</v>
      </c>
      <c r="I105" s="4">
        <f>IF(IFERROR(VLOOKUP(C105,'"test""drogas""parlamentarios"'!C:C,1,0),0)&gt;0,1,0)</f>
        <v>0</v>
      </c>
      <c r="J105" s="4">
        <f>IF(IFERROR(VLOOKUP(C105,'test de drogas parlamentarios'!C:C,1,0),0)&gt;0,1,0)</f>
        <v>0</v>
      </c>
    </row>
    <row r="106" ht="15.75" customHeight="1">
      <c r="A106" s="11">
        <v>2.0</v>
      </c>
      <c r="B106" s="12" t="s">
        <v>240</v>
      </c>
      <c r="C106" s="3" t="s">
        <v>241</v>
      </c>
      <c r="D106" s="2" t="str">
        <f t="shared" si="1"/>
        <v>SWI swissinfo.</v>
      </c>
      <c r="E106" s="13" t="s">
        <v>233</v>
      </c>
      <c r="F106" s="5" t="s">
        <v>242</v>
      </c>
      <c r="H106" s="4">
        <f>IF(IFERROR(VLOOKUP(C106,'"prueba""drogas""parlamentarios'!C:C,1,0),0)&gt;0,1,0)</f>
        <v>1</v>
      </c>
      <c r="I106" s="4">
        <f>IF(IFERROR(VLOOKUP(C106,'"test""drogas""parlamentarios"'!C:C,1,0),0)&gt;0,1,0)</f>
        <v>0</v>
      </c>
      <c r="J106" s="4">
        <f>IF(IFERROR(VLOOKUP(C106,'test de drogas parlamentarios'!C:C,1,0),0)&gt;0,1,0)</f>
        <v>0</v>
      </c>
    </row>
    <row r="107" ht="15.75" customHeight="1">
      <c r="A107" s="11">
        <v>2.0</v>
      </c>
      <c r="B107" s="12" t="s">
        <v>243</v>
      </c>
      <c r="C107" s="2" t="s">
        <v>244</v>
      </c>
      <c r="D107" s="2" t="str">
        <f t="shared" si="1"/>
        <v>Primera diputa</v>
      </c>
      <c r="E107" s="13" t="s">
        <v>245</v>
      </c>
      <c r="H107" s="4">
        <f>IF(IFERROR(VLOOKUP(C107,'"prueba""drogas""parlamentarios'!C:C,1,0),0)&gt;0,1,0)</f>
        <v>1</v>
      </c>
      <c r="I107" s="4">
        <f>IF(IFERROR(VLOOKUP(C107,'"test""drogas""parlamentarios"'!C:C,1,0),0)&gt;0,1,0)</f>
        <v>0</v>
      </c>
      <c r="J107" s="4">
        <f>IF(IFERROR(VLOOKUP(C107,'test de drogas parlamentarios'!C:C,1,0),0)&gt;0,1,0)</f>
        <v>0</v>
      </c>
    </row>
    <row r="108" ht="15.75" customHeight="1">
      <c r="A108" s="11">
        <v>2.0</v>
      </c>
      <c r="B108" s="12" t="s">
        <v>246</v>
      </c>
      <c r="C108" s="2" t="s">
        <v>247</v>
      </c>
      <c r="D108" s="2" t="str">
        <f t="shared" si="1"/>
        <v>Escáner a José</v>
      </c>
      <c r="E108" s="13" t="s">
        <v>248</v>
      </c>
      <c r="F108" s="5" t="s">
        <v>163</v>
      </c>
      <c r="H108" s="4">
        <f>IF(IFERROR(VLOOKUP(C108,'"prueba""drogas""parlamentarios'!C:C,1,0),0)&gt;0,1,0)</f>
        <v>1</v>
      </c>
      <c r="I108" s="4">
        <f>IF(IFERROR(VLOOKUP(C108,'"test""drogas""parlamentarios"'!C:C,1,0),0)&gt;0,1,0)</f>
        <v>0</v>
      </c>
      <c r="J108" s="4">
        <f>IF(IFERROR(VLOOKUP(C108,'test de drogas parlamentarios'!C:C,1,0),0)&gt;0,1,0)</f>
        <v>0</v>
      </c>
    </row>
    <row r="109" ht="15.75" customHeight="1">
      <c r="A109" s="11">
        <v>2.0</v>
      </c>
      <c r="B109" s="12" t="s">
        <v>243</v>
      </c>
      <c r="C109" s="2" t="s">
        <v>249</v>
      </c>
      <c r="D109" s="2" t="str">
        <f t="shared" si="1"/>
        <v>Diputado Sáez </v>
      </c>
      <c r="E109" s="13" t="s">
        <v>250</v>
      </c>
      <c r="H109" s="4">
        <f>IF(IFERROR(VLOOKUP(C109,'"prueba""drogas""parlamentarios'!C:C,1,0),0)&gt;0,1,0)</f>
        <v>1</v>
      </c>
      <c r="I109" s="4">
        <f>IF(IFERROR(VLOOKUP(C109,'"test""drogas""parlamentarios"'!C:C,1,0),0)&gt;0,1,0)</f>
        <v>0</v>
      </c>
      <c r="J109" s="4">
        <f>IF(IFERROR(VLOOKUP(C109,'test de drogas parlamentarios'!C:C,1,0),0)&gt;0,1,0)</f>
        <v>0</v>
      </c>
    </row>
    <row r="110" ht="15.75" customHeight="1">
      <c r="A110" s="11">
        <v>2.0</v>
      </c>
      <c r="B110" s="12" t="s">
        <v>251</v>
      </c>
      <c r="C110" s="2" t="s">
        <v>252</v>
      </c>
      <c r="D110" s="2" t="str">
        <f t="shared" si="1"/>
        <v>Diputados de l</v>
      </c>
      <c r="E110" s="13" t="s">
        <v>253</v>
      </c>
      <c r="F110" s="5" t="s">
        <v>14</v>
      </c>
      <c r="H110" s="4">
        <f>IF(IFERROR(VLOOKUP(C110,'"prueba""drogas""parlamentarios'!C:C,1,0),0)&gt;0,1,0)</f>
        <v>1</v>
      </c>
      <c r="I110" s="4">
        <f>IF(IFERROR(VLOOKUP(C110,'"test""drogas""parlamentarios"'!C:C,1,0),0)&gt;0,1,0)</f>
        <v>0</v>
      </c>
      <c r="J110" s="4">
        <f>IF(IFERROR(VLOOKUP(C110,'test de drogas parlamentarios'!C:C,1,0),0)&gt;0,1,0)</f>
        <v>0</v>
      </c>
    </row>
    <row r="111" ht="15.75" customHeight="1">
      <c r="A111" s="11">
        <v>2.0</v>
      </c>
      <c r="B111" s="12" t="s">
        <v>254</v>
      </c>
      <c r="C111" s="2" t="s">
        <v>112</v>
      </c>
      <c r="D111" s="2" t="str">
        <f t="shared" si="1"/>
        <v>Corte de Valpa</v>
      </c>
      <c r="E111" s="13" t="s">
        <v>113</v>
      </c>
      <c r="F111" s="5" t="s">
        <v>255</v>
      </c>
      <c r="H111" s="4">
        <f>IF(IFERROR(VLOOKUP(C111,'"prueba""drogas""parlamentarios'!C:C,1,0),0)&gt;0,1,0)</f>
        <v>1</v>
      </c>
      <c r="I111" s="4">
        <f>IF(IFERROR(VLOOKUP(C111,'"test""drogas""parlamentarios"'!C:C,1,0),0)&gt;0,1,0)</f>
        <v>1</v>
      </c>
      <c r="J111" s="4">
        <f>IF(IFERROR(VLOOKUP(C111,'test de drogas parlamentarios'!C:C,1,0),0)&gt;0,1,0)</f>
        <v>1</v>
      </c>
    </row>
    <row r="112" ht="15.75" customHeight="1">
      <c r="A112" s="11">
        <v>2.0</v>
      </c>
      <c r="B112" s="14">
        <v>44662.0</v>
      </c>
      <c r="C112" s="2" t="s">
        <v>256</v>
      </c>
      <c r="D112" s="2" t="str">
        <f t="shared" si="1"/>
        <v>TURQUÍIA Ankar</v>
      </c>
      <c r="E112" s="13" t="s">
        <v>257</v>
      </c>
      <c r="F112" s="5" t="s">
        <v>163</v>
      </c>
      <c r="H112" s="4">
        <f>IF(IFERROR(VLOOKUP(C112,'"prueba""drogas""parlamentarios'!C:C,1,0),0)&gt;0,1,0)</f>
        <v>1</v>
      </c>
      <c r="I112" s="4">
        <f>IF(IFERROR(VLOOKUP(C112,'"test""drogas""parlamentarios"'!C:C,1,0),0)&gt;0,1,0)</f>
        <v>0</v>
      </c>
      <c r="J112" s="4">
        <f>IF(IFERROR(VLOOKUP(C112,'test de drogas parlamentarios'!C:C,1,0),0)&gt;0,1,0)</f>
        <v>0</v>
      </c>
    </row>
    <row r="113" ht="15.75" customHeight="1">
      <c r="A113" s="11">
        <v>2.0</v>
      </c>
      <c r="B113" s="14">
        <v>44569.0</v>
      </c>
      <c r="C113" s="2" t="s">
        <v>258</v>
      </c>
      <c r="D113" s="2" t="str">
        <f t="shared" si="1"/>
        <v>Diputada Gazmu</v>
      </c>
      <c r="E113" s="13" t="s">
        <v>259</v>
      </c>
      <c r="H113" s="4">
        <f>IF(IFERROR(VLOOKUP(C113,'"prueba""drogas""parlamentarios'!C:C,1,0),0)&gt;0,1,0)</f>
        <v>1</v>
      </c>
      <c r="I113" s="4">
        <f>IF(IFERROR(VLOOKUP(C113,'"test""drogas""parlamentarios"'!C:C,1,0),0)&gt;0,1,0)</f>
        <v>0</v>
      </c>
      <c r="J113" s="4">
        <f>IF(IFERROR(VLOOKUP(C113,'test de drogas parlamentarios'!C:C,1,0),0)&gt;0,1,0)</f>
        <v>0</v>
      </c>
    </row>
    <row r="114" ht="15.75" customHeight="1">
      <c r="A114" s="11">
        <v>2.0</v>
      </c>
      <c r="B114" s="12" t="s">
        <v>260</v>
      </c>
      <c r="C114" s="2" t="s">
        <v>261</v>
      </c>
      <c r="D114" s="2" t="str">
        <f t="shared" si="1"/>
        <v>El PSOE y sus </v>
      </c>
      <c r="E114" s="13" t="s">
        <v>262</v>
      </c>
      <c r="F114" s="5" t="s">
        <v>163</v>
      </c>
      <c r="H114" s="4">
        <f>IF(IFERROR(VLOOKUP(C114,'"prueba""drogas""parlamentarios'!C:C,1,0),0)&gt;0,1,0)</f>
        <v>1</v>
      </c>
      <c r="I114" s="4">
        <f>IF(IFERROR(VLOOKUP(C114,'"test""drogas""parlamentarios"'!C:C,1,0),0)&gt;0,1,0)</f>
        <v>0</v>
      </c>
      <c r="J114" s="4">
        <f>IF(IFERROR(VLOOKUP(C114,'test de drogas parlamentarios'!C:C,1,0),0)&gt;0,1,0)</f>
        <v>0</v>
      </c>
    </row>
    <row r="115" ht="15.75" customHeight="1">
      <c r="A115" s="11">
        <v>2.0</v>
      </c>
      <c r="B115" s="12" t="s">
        <v>263</v>
      </c>
      <c r="C115" s="2" t="s">
        <v>264</v>
      </c>
      <c r="D115" s="2" t="str">
        <f t="shared" si="1"/>
        <v>La primera min</v>
      </c>
      <c r="E115" s="13" t="s">
        <v>265</v>
      </c>
      <c r="F115" s="5" t="s">
        <v>163</v>
      </c>
      <c r="H115" s="4">
        <f>IF(IFERROR(VLOOKUP(C115,'"prueba""drogas""parlamentarios'!C:C,1,0),0)&gt;0,1,0)</f>
        <v>1</v>
      </c>
      <c r="I115" s="4">
        <f>IF(IFERROR(VLOOKUP(C115,'"test""drogas""parlamentarios"'!C:C,1,0),0)&gt;0,1,0)</f>
        <v>1</v>
      </c>
      <c r="J115" s="4">
        <f>IF(IFERROR(VLOOKUP(C115,'test de drogas parlamentarios'!C:C,1,0),0)&gt;0,1,0)</f>
        <v>0</v>
      </c>
    </row>
    <row r="116" ht="15.75" customHeight="1">
      <c r="A116" s="11">
        <v>2.0</v>
      </c>
      <c r="B116" s="12" t="s">
        <v>254</v>
      </c>
      <c r="C116" s="2" t="s">
        <v>266</v>
      </c>
      <c r="D116" s="2" t="str">
        <f t="shared" si="1"/>
        <v>Diputados amen</v>
      </c>
      <c r="E116" s="13" t="s">
        <v>267</v>
      </c>
      <c r="H116" s="4">
        <f>IF(IFERROR(VLOOKUP(C116,'"prueba""drogas""parlamentarios'!C:C,1,0),0)&gt;0,1,0)</f>
        <v>1</v>
      </c>
      <c r="I116" s="4">
        <f>IF(IFERROR(VLOOKUP(C116,'"test""drogas""parlamentarios"'!C:C,1,0),0)&gt;0,1,0)</f>
        <v>0</v>
      </c>
      <c r="J116" s="4">
        <f>IF(IFERROR(VLOOKUP(C116,'test de drogas parlamentarios'!C:C,1,0),0)&gt;0,1,0)</f>
        <v>0</v>
      </c>
    </row>
    <row r="117" ht="15.75" customHeight="1">
      <c r="A117" s="11">
        <v>3.0</v>
      </c>
      <c r="B117" s="12" t="s">
        <v>268</v>
      </c>
      <c r="C117" s="2" t="s">
        <v>269</v>
      </c>
      <c r="D117" s="2" t="str">
        <f t="shared" si="1"/>
        <v>Comisión recha</v>
      </c>
      <c r="E117" s="13" t="s">
        <v>270</v>
      </c>
      <c r="H117" s="4">
        <f>IF(IFERROR(VLOOKUP(C117,'"prueba""drogas""parlamentarios'!C:C,1,0),0)&gt;0,1,0)</f>
        <v>0</v>
      </c>
      <c r="I117" s="4">
        <f>IF(IFERROR(VLOOKUP(C117,'"test""drogas""parlamentarios"'!C:C,1,0),0)&gt;0,1,0)</f>
        <v>1</v>
      </c>
      <c r="J117" s="4">
        <f>IF(IFERROR(VLOOKUP(C117,'test de drogas parlamentarios'!C:C,1,0),0)&gt;0,1,0)</f>
        <v>0</v>
      </c>
    </row>
    <row r="118" ht="15.75" customHeight="1">
      <c r="A118" s="11">
        <v>3.0</v>
      </c>
      <c r="B118" s="12" t="s">
        <v>237</v>
      </c>
      <c r="C118" s="2" t="s">
        <v>271</v>
      </c>
      <c r="D118" s="2" t="str">
        <f t="shared" si="1"/>
        <v>La Cámara de D</v>
      </c>
      <c r="E118" s="13" t="s">
        <v>272</v>
      </c>
      <c r="H118" s="4">
        <f>IF(IFERROR(VLOOKUP(C118,'"prueba""drogas""parlamentarios'!C:C,1,0),0)&gt;0,1,0)</f>
        <v>0</v>
      </c>
      <c r="I118" s="4">
        <f>IF(IFERROR(VLOOKUP(C118,'"test""drogas""parlamentarios"'!C:C,1,0),0)&gt;0,1,0)</f>
        <v>1</v>
      </c>
      <c r="J118" s="4">
        <f>IF(IFERROR(VLOOKUP(C118,'test de drogas parlamentarios'!C:C,1,0),0)&gt;0,1,0)</f>
        <v>0</v>
      </c>
    </row>
    <row r="119" ht="15.75" customHeight="1">
      <c r="A119" s="11">
        <v>3.0</v>
      </c>
      <c r="B119" s="12" t="s">
        <v>273</v>
      </c>
      <c r="C119" s="2" t="s">
        <v>105</v>
      </c>
      <c r="D119" s="2" t="str">
        <f t="shared" si="1"/>
        <v>Requisitos par</v>
      </c>
      <c r="E119" s="13" t="s">
        <v>106</v>
      </c>
      <c r="F119" s="5" t="s">
        <v>242</v>
      </c>
      <c r="H119" s="4">
        <f>IF(IFERROR(VLOOKUP(C119,'"prueba""drogas""parlamentarios'!C:C,1,0),0)&gt;0,1,0)</f>
        <v>0</v>
      </c>
      <c r="I119" s="4">
        <f>IF(IFERROR(VLOOKUP(C119,'"test""drogas""parlamentarios"'!C:C,1,0),0)&gt;0,1,0)</f>
        <v>1</v>
      </c>
      <c r="J119" s="4">
        <f>IF(IFERROR(VLOOKUP(C119,'test de drogas parlamentarios'!C:C,1,0),0)&gt;0,1,0)</f>
        <v>1</v>
      </c>
      <c r="N119" s="15"/>
    </row>
    <row r="120" ht="15.75" customHeight="1">
      <c r="A120" s="11">
        <v>3.0</v>
      </c>
      <c r="B120" s="12" t="s">
        <v>274</v>
      </c>
      <c r="C120" s="2" t="s">
        <v>275</v>
      </c>
      <c r="D120" s="2" t="str">
        <f t="shared" si="1"/>
        <v>Segundo grupo </v>
      </c>
      <c r="E120" s="13" t="s">
        <v>276</v>
      </c>
      <c r="F120" s="9" t="s">
        <v>14</v>
      </c>
      <c r="H120" s="4">
        <f>IF(IFERROR(VLOOKUP(C120,'"prueba""drogas""parlamentarios'!C:C,1,0),0)&gt;0,1,0)</f>
        <v>0</v>
      </c>
      <c r="I120" s="4">
        <f>IF(IFERROR(VLOOKUP(C120,'"test""drogas""parlamentarios"'!C:C,1,0),0)&gt;0,1,0)</f>
        <v>1</v>
      </c>
      <c r="J120" s="4">
        <f>IF(IFERROR(VLOOKUP(C120,'test de drogas parlamentarios'!C:C,1,0),0)&gt;0,1,0)</f>
        <v>0</v>
      </c>
    </row>
    <row r="121" ht="15.75" customHeight="1">
      <c r="A121" s="11">
        <v>3.0</v>
      </c>
      <c r="B121" s="12" t="s">
        <v>277</v>
      </c>
      <c r="C121" s="3" t="s">
        <v>140</v>
      </c>
      <c r="D121" s="2" t="str">
        <f t="shared" si="1"/>
        <v>Radio Bío Bío </v>
      </c>
      <c r="E121" s="13" t="s">
        <v>141</v>
      </c>
      <c r="F121" s="9" t="s">
        <v>255</v>
      </c>
      <c r="H121" s="4">
        <f>IF(IFERROR(VLOOKUP(C121,'"prueba""drogas""parlamentarios'!C:C,1,0),0)&gt;0,1,0)</f>
        <v>1</v>
      </c>
      <c r="I121" s="4">
        <f>IF(IFERROR(VLOOKUP(C121,'"test""drogas""parlamentarios"'!C:C,1,0),0)&gt;0,1,0)</f>
        <v>1</v>
      </c>
      <c r="J121" s="4">
        <f>IF(IFERROR(VLOOKUP(C121,'test de drogas parlamentarios'!C:C,1,0),0)&gt;0,1,0)</f>
        <v>1</v>
      </c>
    </row>
    <row r="122" ht="15.75" customHeight="1">
      <c r="A122" s="11">
        <v>3.0</v>
      </c>
      <c r="B122" s="12" t="s">
        <v>234</v>
      </c>
      <c r="C122" s="10" t="s">
        <v>278</v>
      </c>
      <c r="D122" s="2" t="str">
        <f t="shared" si="1"/>
        <v>Hackeo al EMCO</v>
      </c>
      <c r="E122" s="16" t="s">
        <v>279</v>
      </c>
      <c r="F122" s="8" t="s">
        <v>163</v>
      </c>
      <c r="H122" s="4">
        <f>IF(IFERROR(VLOOKUP(C122,'"prueba""drogas""parlamentarios'!C:C,1,0),0)&gt;0,1,0)</f>
        <v>0</v>
      </c>
      <c r="I122" s="4">
        <f>IF(IFERROR(VLOOKUP(C122,'"test""drogas""parlamentarios"'!C:C,1,0),0)&gt;0,1,0)</f>
        <v>1</v>
      </c>
      <c r="J122" s="4">
        <f>IF(IFERROR(VLOOKUP(C122,'test de drogas parlamentarios'!C:C,1,0),0)&gt;0,1,0)</f>
        <v>0</v>
      </c>
    </row>
    <row r="123" ht="15.75" customHeight="1">
      <c r="A123" s="11">
        <v>3.0</v>
      </c>
      <c r="B123" s="12" t="s">
        <v>260</v>
      </c>
      <c r="C123" s="2" t="s">
        <v>280</v>
      </c>
      <c r="D123" s="2" t="str">
        <f t="shared" si="1"/>
        <v>Diputado Soto </v>
      </c>
      <c r="E123" s="13" t="s">
        <v>281</v>
      </c>
      <c r="F123" s="8" t="s">
        <v>172</v>
      </c>
      <c r="H123" s="4">
        <f>IF(IFERROR(VLOOKUP(C123,'"prueba""drogas""parlamentarios'!C:C,1,0),0)&gt;0,1,0)</f>
        <v>0</v>
      </c>
      <c r="I123" s="4">
        <f>IF(IFERROR(VLOOKUP(C123,'"test""drogas""parlamentarios"'!C:C,1,0),0)&gt;0,1,0)</f>
        <v>1</v>
      </c>
      <c r="J123" s="4">
        <f>IF(IFERROR(VLOOKUP(C123,'test de drogas parlamentarios'!C:C,1,0),0)&gt;0,1,0)</f>
        <v>0</v>
      </c>
    </row>
    <row r="124" ht="15.75" customHeight="1">
      <c r="A124" s="11">
        <v>3.0</v>
      </c>
      <c r="B124" s="12" t="s">
        <v>282</v>
      </c>
      <c r="C124" s="2" t="s">
        <v>283</v>
      </c>
      <c r="D124" s="2" t="str">
        <f t="shared" si="1"/>
        <v>Marihuana y co</v>
      </c>
      <c r="E124" s="13" t="s">
        <v>284</v>
      </c>
      <c r="F124" s="5" t="s">
        <v>14</v>
      </c>
      <c r="H124" s="4">
        <f>IF(IFERROR(VLOOKUP(C124,'"prueba""drogas""parlamentarios'!C:C,1,0),0)&gt;0,1,0)</f>
        <v>0</v>
      </c>
      <c r="I124" s="4">
        <f>IF(IFERROR(VLOOKUP(C124,'"test""drogas""parlamentarios"'!C:C,1,0),0)&gt;0,1,0)</f>
        <v>1</v>
      </c>
      <c r="J124" s="4">
        <f>IF(IFERROR(VLOOKUP(C124,'test de drogas parlamentarios'!C:C,1,0),0)&gt;0,1,0)</f>
        <v>0</v>
      </c>
    </row>
    <row r="125" ht="15.75" customHeight="1">
      <c r="A125" s="11">
        <v>3.0</v>
      </c>
      <c r="B125" s="17">
        <v>44875.0</v>
      </c>
      <c r="C125" s="2" t="s">
        <v>285</v>
      </c>
      <c r="D125" s="2" t="str">
        <f t="shared" si="1"/>
        <v>Gobierno ingre</v>
      </c>
      <c r="E125" s="13" t="s">
        <v>286</v>
      </c>
      <c r="F125" s="5" t="s">
        <v>163</v>
      </c>
      <c r="H125" s="4">
        <f>IF(IFERROR(VLOOKUP(C125,'"prueba""drogas""parlamentarios'!C:C,1,0),0)&gt;0,1,0)</f>
        <v>0</v>
      </c>
      <c r="I125" s="4">
        <f>IF(IFERROR(VLOOKUP(C125,'"test""drogas""parlamentarios"'!C:C,1,0),0)&gt;0,1,0)</f>
        <v>1</v>
      </c>
      <c r="J125" s="4">
        <f>IF(IFERROR(VLOOKUP(C125,'test de drogas parlamentarios'!C:C,1,0),0)&gt;0,1,0)</f>
        <v>0</v>
      </c>
    </row>
    <row r="126" ht="15.75" customHeight="1">
      <c r="A126" s="11">
        <v>3.0</v>
      </c>
      <c r="B126" s="12" t="s">
        <v>287</v>
      </c>
      <c r="C126" s="2" t="s">
        <v>288</v>
      </c>
      <c r="D126" s="2" t="str">
        <f t="shared" si="1"/>
        <v>Encuesta Crite</v>
      </c>
      <c r="E126" s="13" t="s">
        <v>289</v>
      </c>
      <c r="F126" s="8" t="s">
        <v>172</v>
      </c>
      <c r="H126" s="4">
        <f>IF(IFERROR(VLOOKUP(C126,'"prueba""drogas""parlamentarios'!C:C,1,0),0)&gt;0,1,0)</f>
        <v>0</v>
      </c>
      <c r="I126" s="4">
        <f>IF(IFERROR(VLOOKUP(C126,'"test""drogas""parlamentarios"'!C:C,1,0),0)&gt;0,1,0)</f>
        <v>1</v>
      </c>
      <c r="J126" s="4">
        <f>IF(IFERROR(VLOOKUP(C126,'test de drogas parlamentarios'!C:C,1,0),0)&gt;0,1,0)</f>
        <v>0</v>
      </c>
    </row>
    <row r="127" ht="15.75" customHeight="1">
      <c r="A127" s="11">
        <v>3.0</v>
      </c>
      <c r="B127" s="12" t="s">
        <v>290</v>
      </c>
      <c r="C127" s="2" t="s">
        <v>291</v>
      </c>
      <c r="D127" s="2" t="str">
        <f t="shared" si="1"/>
        <v>Lily Pérez qui</v>
      </c>
      <c r="E127" s="13" t="s">
        <v>292</v>
      </c>
      <c r="F127" s="5" t="s">
        <v>41</v>
      </c>
      <c r="H127" s="4">
        <f>IF(IFERROR(VLOOKUP(C127,'"prueba""drogas""parlamentarios'!C:C,1,0),0)&gt;0,1,0)</f>
        <v>0</v>
      </c>
      <c r="I127" s="4">
        <f>IF(IFERROR(VLOOKUP(C127,'"test""drogas""parlamentarios"'!C:C,1,0),0)&gt;0,1,0)</f>
        <v>1</v>
      </c>
      <c r="J127" s="4">
        <f>IF(IFERROR(VLOOKUP(C127,'test de drogas parlamentarios'!C:C,1,0),0)&gt;0,1,0)</f>
        <v>0</v>
      </c>
    </row>
    <row r="128" ht="15.75" customHeight="1">
      <c r="A128" s="11">
        <v>3.0</v>
      </c>
      <c r="B128" s="12" t="s">
        <v>293</v>
      </c>
      <c r="C128" s="2" t="s">
        <v>294</v>
      </c>
      <c r="D128" s="2" t="str">
        <f t="shared" si="1"/>
        <v>Senado de la R</v>
      </c>
      <c r="E128" s="13" t="s">
        <v>295</v>
      </c>
      <c r="F128" s="5" t="s">
        <v>163</v>
      </c>
      <c r="H128" s="4">
        <f>IF(IFERROR(VLOOKUP(C128,'"prueba""drogas""parlamentarios'!C:C,1,0),0)&gt;0,1,0)</f>
        <v>0</v>
      </c>
      <c r="I128" s="4">
        <f>IF(IFERROR(VLOOKUP(C128,'"test""drogas""parlamentarios"'!C:C,1,0),0)&gt;0,1,0)</f>
        <v>1</v>
      </c>
      <c r="J128" s="4">
        <f>IF(IFERROR(VLOOKUP(C128,'test de drogas parlamentarios'!C:C,1,0),0)&gt;0,1,0)</f>
        <v>0</v>
      </c>
    </row>
    <row r="129" ht="15.75" customHeight="1">
      <c r="A129" s="11">
        <v>3.0</v>
      </c>
      <c r="B129" s="12" t="s">
        <v>296</v>
      </c>
      <c r="C129" s="2" t="s">
        <v>297</v>
      </c>
      <c r="D129" s="2" t="str">
        <f t="shared" si="1"/>
        <v>Descontrolada </v>
      </c>
      <c r="E129" s="13" t="s">
        <v>298</v>
      </c>
      <c r="F129" s="4" t="s">
        <v>84</v>
      </c>
      <c r="H129" s="4">
        <f>IF(IFERROR(VLOOKUP(C129,'"prueba""drogas""parlamentarios'!C:C,1,0),0)&gt;0,1,0)</f>
        <v>0</v>
      </c>
      <c r="I129" s="4">
        <f>IF(IFERROR(VLOOKUP(C129,'"test""drogas""parlamentarios"'!C:C,1,0),0)&gt;0,1,0)</f>
        <v>1</v>
      </c>
      <c r="J129" s="4">
        <f>IF(IFERROR(VLOOKUP(C129,'test de drogas parlamentarios'!C:C,1,0),0)&gt;0,1,0)</f>
        <v>0</v>
      </c>
    </row>
    <row r="130" ht="15.75" customHeight="1">
      <c r="A130" s="11">
        <v>3.0</v>
      </c>
      <c r="B130" s="12" t="s">
        <v>299</v>
      </c>
      <c r="C130" s="2" t="s">
        <v>300</v>
      </c>
      <c r="D130" s="2" t="str">
        <f t="shared" si="1"/>
        <v>Isabel Berríos</v>
      </c>
      <c r="E130" s="13" t="s">
        <v>301</v>
      </c>
      <c r="F130" s="8" t="s">
        <v>163</v>
      </c>
      <c r="H130" s="4">
        <f>IF(IFERROR(VLOOKUP(C130,'"prueba""drogas""parlamentarios'!C:C,1,0),0)&gt;0,1,0)</f>
        <v>0</v>
      </c>
      <c r="I130" s="4">
        <f>IF(IFERROR(VLOOKUP(C130,'"test""drogas""parlamentarios"'!C:C,1,0),0)&gt;0,1,0)</f>
        <v>1</v>
      </c>
      <c r="J130" s="4">
        <f>IF(IFERROR(VLOOKUP(C130,'test de drogas parlamentarios'!C:C,1,0),0)&gt;0,1,0)</f>
        <v>0</v>
      </c>
    </row>
    <row r="131" ht="15.75" customHeight="1">
      <c r="A131" s="2"/>
      <c r="B131" s="2"/>
      <c r="C131" s="2"/>
      <c r="D131" s="2" t="str">
        <f t="shared" si="1"/>
        <v/>
      </c>
      <c r="E131" s="2"/>
    </row>
  </sheetData>
  <autoFilter ref="$A$1:$J$130"/>
  <customSheetViews>
    <customSheetView guid="{701C9FD6-8769-40B1-AD3E-48179B0C1386}" filter="1" showAutoFilter="1">
      <autoFilter ref="$A$1:$J$130"/>
      <extLst>
        <ext uri="GoogleSheetsCustomDataVersion1">
          <go:sheetsCustomData xmlns:go="http://customooxmlschemas.google.com/" filterViewId="902396858"/>
        </ext>
      </extLst>
    </customSheetView>
  </customSheetViews>
  <conditionalFormatting sqref="E1:E130">
    <cfRule type="expression" dxfId="0" priority="1">
      <formula>countif(E:E,E1)&gt;1</formula>
    </cfRule>
  </conditionalFormatting>
  <hyperlinks>
    <hyperlink r:id="rId2" ref="E122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74.71"/>
    <col customWidth="1" min="3" max="6" width="10.71"/>
    <col customWidth="1" min="7" max="7" width="156.71"/>
    <col customWidth="1" min="8" max="27" width="10.71"/>
  </cols>
  <sheetData>
    <row r="1">
      <c r="B1" s="18" t="s">
        <v>302</v>
      </c>
    </row>
    <row r="2">
      <c r="B2" s="19" t="s">
        <v>303</v>
      </c>
      <c r="C2" s="20" t="s">
        <v>304</v>
      </c>
      <c r="D2" s="20" t="s">
        <v>305</v>
      </c>
      <c r="G2" s="4" t="str">
        <f>IFERROR(__xludf.DUMMYFUNCTION("query(C:E,"" select C where D &gt;18 AND NOT C matches 'BioBioChileHace 14 días|Ver cobertura completa|Noticias Universidad Andrés Bello|Partido Republicano' "")")," vinculos")</f>
        <v> vinculos</v>
      </c>
    </row>
    <row r="3">
      <c r="B3" s="21" t="s">
        <v>10</v>
      </c>
      <c r="C3" s="4" t="str">
        <f t="shared" ref="C3:C703" si="1">""&amp;B3</f>
        <v>Test de drogas: segundo grupo de diputados no arroja positivos y dos parlamentarias no se presentaron a la muestra</v>
      </c>
      <c r="D3" s="4">
        <f t="shared" ref="D3:D703" si="2">lenb(C3)</f>
        <v>114</v>
      </c>
      <c r="E3" s="4">
        <f>IF(IFERROR(VLOOKUP(LEFT(C3,14),consolidado!D:D,1,0),0)&gt;0,1,0)</f>
        <v>1</v>
      </c>
      <c r="G3" s="4" t="str">
        <f>IFERROR(__xludf.DUMMYFUNCTION("""COMPUTED_VALUE"""),"Test de drogas: segundo grupo de diputados no arroja positivos y dos parlamentarias no se presentaron a la muestra")</f>
        <v>Test de drogas: segundo grupo de diputados no arroja positivos y dos parlamentarias no se presentaron a la muestra</v>
      </c>
      <c r="H3" s="22">
        <f>IF(IFERROR(VLOOKUP(LEFT(C3,14),consolidado!D:D,1,0),0)&gt;0,1,0)</f>
        <v>1</v>
      </c>
    </row>
    <row r="4">
      <c r="B4" s="23" t="s">
        <v>306</v>
      </c>
      <c r="C4" s="4" t="str">
        <f t="shared" si="1"/>
        <v>Hace 15 días</v>
      </c>
      <c r="D4" s="4">
        <f t="shared" si="2"/>
        <v>12</v>
      </c>
      <c r="E4" s="4">
        <f>IF(IFERROR(VLOOKUP(LEFT(C4,14),consolidado!D:D,1,0),0)&gt;0,1,0)</f>
        <v>0</v>
      </c>
      <c r="G4" s="4" t="str">
        <f>IFERROR(__xludf.DUMMYFUNCTION("""COMPUTED_VALUE"""),"Sin positivos el segundo test de drogas a diputados: Fries y Gazmuri se negaron al examen")</f>
        <v>Sin positivos el segundo test de drogas a diputados: Fries y Gazmuri se negaron al examen</v>
      </c>
      <c r="H4" s="22">
        <f>IF(IFERROR(VLOOKUP(LEFT(C4,14),consolidado!D:D,1,0),0)&gt;0,1,0)</f>
        <v>0</v>
      </c>
    </row>
    <row r="5">
      <c r="B5" s="24" t="s">
        <v>307</v>
      </c>
      <c r="C5" s="4" t="str">
        <f t="shared" si="1"/>
        <v>bookmark_border</v>
      </c>
      <c r="D5" s="4">
        <f t="shared" si="2"/>
        <v>15</v>
      </c>
      <c r="E5" s="4">
        <f>IF(IFERROR(VLOOKUP(LEFT(C5,14),consolidado!D:D,1,0),0)&gt;0,1,0)</f>
        <v>0</v>
      </c>
      <c r="G5" s="8" t="str">
        <f>IFERROR(__xludf.DUMMYFUNCTION("""COMPUTED_VALUE"""),"Diputado Becker da negativo a test de drogas: llamó a transparentar los resultados ante la opini&amp;oac...")</f>
        <v>Diputado Becker da negativo a test de drogas: llamó a transparentar los resultados ante la opini&amp;oac...</v>
      </c>
      <c r="H5" s="22">
        <f>IF(IFERROR(VLOOKUP(LEFT(C5,14),consolidado!D:D,1,0),0)&gt;0,1,0)</f>
        <v>0</v>
      </c>
    </row>
    <row r="6">
      <c r="B6" s="24" t="s">
        <v>308</v>
      </c>
      <c r="C6" s="4" t="str">
        <f t="shared" si="1"/>
        <v>share</v>
      </c>
      <c r="D6" s="4">
        <f t="shared" si="2"/>
        <v>5</v>
      </c>
      <c r="E6" s="4">
        <f>IF(IFERROR(VLOOKUP(LEFT(C6,14),consolidado!D:D,1,0),0)&gt;0,1,0)</f>
        <v>0</v>
      </c>
      <c r="G6" s="4" t="str">
        <f>IFERROR(__xludf.DUMMYFUNCTION("""COMPUTED_VALUE"""),"Test de drogas a diputados: resultados de los primeros exámenes se conocerán este lunes")</f>
        <v>Test de drogas a diputados: resultados de los primeros exámenes se conocerán este lunes</v>
      </c>
      <c r="H6" s="22">
        <f>IF(IFERROR(VLOOKUP(LEFT(C6,14),consolidado!D:D,1,0),0)&gt;0,1,0)</f>
        <v>0</v>
      </c>
    </row>
    <row r="7">
      <c r="B7" s="24" t="s">
        <v>309</v>
      </c>
      <c r="C7" s="4" t="str">
        <f t="shared" si="1"/>
        <v>more_vert</v>
      </c>
      <c r="D7" s="4">
        <f t="shared" si="2"/>
        <v>9</v>
      </c>
      <c r="E7" s="4">
        <f>IF(IFERROR(VLOOKUP(LEFT(C7,14),consolidado!D:D,1,0),0)&gt;0,1,0)</f>
        <v>0</v>
      </c>
      <c r="G7" s="4" t="str">
        <f>IFERROR(__xludf.DUMMYFUNCTION("""COMPUTED_VALUE"""),"Revisa la lista: Cámara sortea a los primeros 78 diputados que deberán someterse a test de drogas")</f>
        <v>Revisa la lista: Cámara sortea a los primeros 78 diputados que deberán someterse a test de drogas</v>
      </c>
      <c r="H7" s="22">
        <f>IF(IFERROR(VLOOKUP(LEFT(C7,14),consolidado!D:D,1,0),0)&gt;0,1,0)</f>
        <v>0</v>
      </c>
    </row>
    <row r="8">
      <c r="B8" s="21" t="s">
        <v>12</v>
      </c>
      <c r="C8" s="4" t="str">
        <f t="shared" si="1"/>
        <v>Sin positivos el segundo test de drogas a diputados: Fries y Gazmuri se negaron al examen</v>
      </c>
      <c r="D8" s="4">
        <f t="shared" si="2"/>
        <v>89</v>
      </c>
      <c r="E8" s="4">
        <f>IF(IFERROR(VLOOKUP(LEFT(C8,14),consolidado!D:D,1,0),0)&gt;0,1,0)</f>
        <v>1</v>
      </c>
      <c r="G8" s="4" t="str">
        <f>IFERROR(__xludf.DUMMYFUNCTION("""COMPUTED_VALUE"""),"Comenzó aplicación de test de drogas a parlamentarios: resultados demorarán entre 10 a 15 días")</f>
        <v>Comenzó aplicación de test de drogas a parlamentarios: resultados demorarán entre 10 a 15 días</v>
      </c>
      <c r="H8" s="22">
        <f>IF(IFERROR(VLOOKUP(LEFT(C8,14),consolidado!D:D,1,0),0)&gt;0,1,0)</f>
        <v>1</v>
      </c>
    </row>
    <row r="9">
      <c r="B9" s="23" t="s">
        <v>310</v>
      </c>
      <c r="C9" s="4" t="str">
        <f t="shared" si="1"/>
        <v>BioBioChileHace 14 días</v>
      </c>
      <c r="D9" s="4">
        <f t="shared" si="2"/>
        <v>23</v>
      </c>
      <c r="E9" s="4">
        <f>IF(IFERROR(VLOOKUP(LEFT(C9,14),consolidado!D:D,1,0),0)&gt;0,1,0)</f>
        <v>0</v>
      </c>
      <c r="G9" s="4" t="str">
        <f>IFERROR(__xludf.DUMMYFUNCTION("""COMPUTED_VALUE"""),"Suspenso en la Cámara: resultados de primeros test de drogas a diputados se conocerán el próximo lunes")</f>
        <v>Suspenso en la Cámara: resultados de primeros test de drogas a diputados se conocerán el próximo lunes</v>
      </c>
      <c r="H9" s="22">
        <f>IF(IFERROR(VLOOKUP(LEFT(C9,14),consolidado!D:D,1,0),0)&gt;0,1,0)</f>
        <v>0</v>
      </c>
    </row>
    <row r="10">
      <c r="B10" s="24" t="s">
        <v>307</v>
      </c>
      <c r="C10" s="4" t="str">
        <f t="shared" si="1"/>
        <v>bookmark_border</v>
      </c>
      <c r="D10" s="4">
        <f t="shared" si="2"/>
        <v>15</v>
      </c>
      <c r="E10" s="4">
        <f>IF(IFERROR(VLOOKUP(LEFT(C10,14),consolidado!D:D,1,0),0)&gt;0,1,0)</f>
        <v>0</v>
      </c>
      <c r="G10" s="4" t="str">
        <f>IFERROR(__xludf.DUMMYFUNCTION("""COMPUTED_VALUE"""),"Un amigo sorpresivo en la corte: INDH sale en defensa de diputadas que se rebelaron al test de drogas")</f>
        <v>Un amigo sorpresivo en la corte: INDH sale en defensa de diputadas que se rebelaron al test de drogas</v>
      </c>
      <c r="H10" s="22">
        <f>IF(IFERROR(VLOOKUP(LEFT(C10,14),consolidado!D:D,1,0),0)&gt;0,1,0)</f>
        <v>0</v>
      </c>
    </row>
    <row r="11">
      <c r="B11" s="24" t="s">
        <v>308</v>
      </c>
      <c r="C11" s="4" t="str">
        <f t="shared" si="1"/>
        <v>share</v>
      </c>
      <c r="D11" s="4">
        <f t="shared" si="2"/>
        <v>5</v>
      </c>
      <c r="E11" s="4">
        <f>IF(IFERROR(VLOOKUP(LEFT(C11,14),consolidado!D:D,1,0),0)&gt;0,1,0)</f>
        <v>0</v>
      </c>
      <c r="G11" s="4" t="str">
        <f>IFERROR(__xludf.DUMMYFUNCTION("""COMPUTED_VALUE"""),"Cámara aprueba test de drogas a diputados: iniciativa incluye que resultados sean públicos y elimina inhabilidades directas")</f>
        <v>Cámara aprueba test de drogas a diputados: iniciativa incluye que resultados sean públicos y elimina inhabilidades directas</v>
      </c>
      <c r="H11" s="22">
        <f>IF(IFERROR(VLOOKUP(LEFT(C11,14),consolidado!D:D,1,0),0)&gt;0,1,0)</f>
        <v>0</v>
      </c>
    </row>
    <row r="12">
      <c r="B12" s="24" t="s">
        <v>309</v>
      </c>
      <c r="C12" s="4" t="str">
        <f t="shared" si="1"/>
        <v>more_vert</v>
      </c>
      <c r="D12" s="4">
        <f t="shared" si="2"/>
        <v>9</v>
      </c>
      <c r="E12" s="4">
        <f>IF(IFERROR(VLOOKUP(LEFT(C12,14),consolidado!D:D,1,0),0)&gt;0,1,0)</f>
        <v>0</v>
      </c>
      <c r="G12" s="4" t="str">
        <f>IFERROR(__xludf.DUMMYFUNCTION("""COMPUTED_VALUE"""),"""Necesario"", ""show"" y ""extenderlo al Gobierno"": las reacciones de parlamentarios al test de drogas")</f>
        <v>"Necesario", "show" y "extenderlo al Gobierno": las reacciones de parlamentarios al test de drogas</v>
      </c>
      <c r="H12" s="22">
        <f>IF(IFERROR(VLOOKUP(LEFT(C12,14),consolidado!D:D,1,0),0)&gt;0,1,0)</f>
        <v>0</v>
      </c>
    </row>
    <row r="13">
      <c r="B13" s="25"/>
      <c r="C13" s="4" t="str">
        <f t="shared" si="1"/>
        <v/>
      </c>
      <c r="D13" s="4">
        <f t="shared" si="2"/>
        <v>0</v>
      </c>
      <c r="E13" s="4">
        <f>IF(IFERROR(VLOOKUP(LEFT(C13,14),consolidado!D:D,1,0),0)&gt;0,1,0)</f>
        <v>1</v>
      </c>
      <c r="G13" s="4" t="str">
        <f>IFERROR(__xludf.DUMMYFUNCTION("""COMPUTED_VALUE"""),"Un test que incomoda: las jugadas que barajan los diputados para impedir que se publiquen los resultados de examen de drogas")</f>
        <v>Un test que incomoda: las jugadas que barajan los diputados para impedir que se publiquen los resultados de examen de drogas</v>
      </c>
      <c r="H13" s="22">
        <f>IF(IFERROR(VLOOKUP(LEFT(C13,14),consolidado!D:D,1,0),0)&gt;0,1,0)</f>
        <v>1</v>
      </c>
    </row>
    <row r="14">
      <c r="B14" s="26" t="s">
        <v>311</v>
      </c>
      <c r="C14" s="4" t="str">
        <f t="shared" si="1"/>
        <v>Ver cobertura completa</v>
      </c>
      <c r="D14" s="4">
        <f t="shared" si="2"/>
        <v>22</v>
      </c>
      <c r="E14" s="4">
        <f>IF(IFERROR(VLOOKUP(LEFT(C14,14),consolidado!D:D,1,0),0)&gt;0,1,0)</f>
        <v>0</v>
      </c>
      <c r="G14" s="4" t="str">
        <f>IFERROR(__xludf.DUMMYFUNCTION("""COMPUTED_VALUE"""),"Test de drogas a diputados avanza en la Cámara: propuesta incluye inhabilidades y alza de secreto bancario")</f>
        <v>Test de drogas a diputados avanza en la Cámara: propuesta incluye inhabilidades y alza de secreto bancario</v>
      </c>
      <c r="H14" s="22">
        <f>IF(IFERROR(VLOOKUP(LEFT(C14,14),consolidado!D:D,1,0),0)&gt;0,1,0)</f>
        <v>0</v>
      </c>
    </row>
    <row r="15">
      <c r="B15" s="27" t="s">
        <v>312</v>
      </c>
      <c r="C15" s="4" t="str">
        <f t="shared" si="1"/>
        <v>keyboard_arrow_up</v>
      </c>
      <c r="D15" s="4">
        <f t="shared" si="2"/>
        <v>17</v>
      </c>
      <c r="E15" s="4">
        <f>IF(IFERROR(VLOOKUP(LEFT(C15,14),consolidado!D:D,1,0),0)&gt;0,1,0)</f>
        <v>0</v>
      </c>
      <c r="G15" s="4" t="str">
        <f>IFERROR(__xludf.DUMMYFUNCTION("""COMPUTED_VALUE"""),"Test de drogas: diputados oficialistas acusan maniobra política de la oposición")</f>
        <v>Test de drogas: diputados oficialistas acusan maniobra política de la oposición</v>
      </c>
      <c r="H15" s="22">
        <f>IF(IFERROR(VLOOKUP(LEFT(C15,14),consolidado!D:D,1,0),0)&gt;0,1,0)</f>
        <v>0</v>
      </c>
    </row>
    <row r="16">
      <c r="B16" s="28"/>
      <c r="C16" s="4" t="str">
        <f t="shared" si="1"/>
        <v/>
      </c>
      <c r="D16" s="4">
        <f t="shared" si="2"/>
        <v>0</v>
      </c>
      <c r="E16" s="4">
        <f>IF(IFERROR(VLOOKUP(LEFT(C16,14),consolidado!D:D,1,0),0)&gt;0,1,0)</f>
        <v>1</v>
      </c>
      <c r="G16" s="4" t="str">
        <f>IFERROR(__xludf.DUMMYFUNCTION("""COMPUTED_VALUE"""),"El test de drogas (y la ofensiva de la UDI y Jiles) que incomoda a la Cámara de Diputados")</f>
        <v>El test de drogas (y la ofensiva de la UDI y Jiles) que incomoda a la Cámara de Diputados</v>
      </c>
      <c r="H16" s="22">
        <f>IF(IFERROR(VLOOKUP(LEFT(C16,14),consolidado!D:D,1,0),0)&gt;0,1,0)</f>
        <v>1</v>
      </c>
    </row>
    <row r="17">
      <c r="B17" s="19" t="s">
        <v>313</v>
      </c>
      <c r="C17" s="4" t="str">
        <f t="shared" si="1"/>
        <v>Araucanía Noticias</v>
      </c>
      <c r="D17" s="4">
        <f t="shared" si="2"/>
        <v>18</v>
      </c>
      <c r="E17" s="4">
        <f>IF(IFERROR(VLOOKUP(LEFT(C17,14),consolidado!D:D,1,0),0)&gt;0,1,0)</f>
        <v>0</v>
      </c>
      <c r="G17" s="4" t="str">
        <f>IFERROR(__xludf.DUMMYFUNCTION("""COMPUTED_VALUE"""),"Columna de Pablo Carvacho: Test de drogas para parlamentarios")</f>
        <v>Columna de Pablo Carvacho: Test de drogas para parlamentarios</v>
      </c>
      <c r="H17" s="22">
        <f>IF(IFERROR(VLOOKUP(LEFT(C17,14),consolidado!D:D,1,0),0)&gt;0,1,0)</f>
        <v>0</v>
      </c>
    </row>
    <row r="18">
      <c r="B18" s="21" t="s">
        <v>15</v>
      </c>
      <c r="C18" s="4" t="str">
        <f t="shared" si="1"/>
        <v>Diputado Becker da negativo a test de drogas: llamó a transparentar los resultados ante la opini&amp;oac...</v>
      </c>
      <c r="D18" s="4">
        <f t="shared" si="2"/>
        <v>103</v>
      </c>
      <c r="E18" s="4">
        <f>IF(IFERROR(VLOOKUP(LEFT(C18,14),consolidado!D:D,1,0),0)&gt;0,1,0)</f>
        <v>1</v>
      </c>
      <c r="G18" s="4" t="str">
        <f>IFERROR(__xludf.DUMMYFUNCTION("""COMPUTED_VALUE"""),"Test de drogas para diputados: ¿Cómo funciona el examen de pelo para detectar el consumo?")</f>
        <v>Test de drogas para diputados: ¿Cómo funciona el examen de pelo para detectar el consumo?</v>
      </c>
      <c r="H18" s="22">
        <f>IF(IFERROR(VLOOKUP(LEFT(C18,14),consolidado!D:D,1,0),0)&gt;0,1,0)</f>
        <v>1</v>
      </c>
    </row>
    <row r="19">
      <c r="B19" s="23" t="s">
        <v>314</v>
      </c>
      <c r="C19" s="4" t="str">
        <f t="shared" si="1"/>
        <v>Hace 14 días</v>
      </c>
      <c r="D19" s="4">
        <f t="shared" si="2"/>
        <v>12</v>
      </c>
      <c r="E19" s="4">
        <f>IF(IFERROR(VLOOKUP(LEFT(C19,14),consolidado!D:D,1,0),0)&gt;0,1,0)</f>
        <v>0</v>
      </c>
      <c r="G19" s="4" t="str">
        <f>IFERROR(__xludf.DUMMYFUNCTION("""COMPUTED_VALUE"""),"Corte de Apelaciones de Valparaíso da luz verde a difusión de resultados de test de drogas a diputados")</f>
        <v>Corte de Apelaciones de Valparaíso da luz verde a difusión de resultados de test de drogas a diputados</v>
      </c>
      <c r="H19" s="22">
        <f>IF(IFERROR(VLOOKUP(LEFT(C19,14),consolidado!D:D,1,0),0)&gt;0,1,0)</f>
        <v>0</v>
      </c>
    </row>
    <row r="20">
      <c r="B20" s="24" t="s">
        <v>307</v>
      </c>
      <c r="C20" s="4" t="str">
        <f t="shared" si="1"/>
        <v>bookmark_border</v>
      </c>
      <c r="D20" s="4">
        <f t="shared" si="2"/>
        <v>15</v>
      </c>
      <c r="E20" s="4">
        <f>IF(IFERROR(VLOOKUP(LEFT(C20,14),consolidado!D:D,1,0),0)&gt;0,1,0)</f>
        <v>0</v>
      </c>
      <c r="G20" s="4" t="str">
        <f>IFERROR(__xludf.DUMMYFUNCTION("""COMPUTED_VALUE"""),"Test de drogas a políticos: un tema que causa polémica en el mundo")</f>
        <v>Test de drogas a políticos: un tema que causa polémica en el mundo</v>
      </c>
      <c r="H20" s="22">
        <f>IF(IFERROR(VLOOKUP(LEFT(C20,14),consolidado!D:D,1,0),0)&gt;0,1,0)</f>
        <v>0</v>
      </c>
    </row>
    <row r="21" ht="15.75" customHeight="1">
      <c r="B21" s="24" t="s">
        <v>308</v>
      </c>
      <c r="C21" s="4" t="str">
        <f t="shared" si="1"/>
        <v>share</v>
      </c>
      <c r="D21" s="4">
        <f t="shared" si="2"/>
        <v>5</v>
      </c>
      <c r="E21" s="4">
        <f>IF(IFERROR(VLOOKUP(LEFT(C21,14),consolidado!D:D,1,0),0)&gt;0,1,0)</f>
        <v>0</v>
      </c>
      <c r="G21" s="4" t="str">
        <f>IFERROR(__xludf.DUMMYFUNCTION("""COMPUTED_VALUE"""),"Test de drogas: Cámara Baja extiende plazo para que 78 parlamentarios sorteados se realicen examen")</f>
        <v>Test de drogas: Cámara Baja extiende plazo para que 78 parlamentarios sorteados se realicen examen</v>
      </c>
      <c r="H21" s="22">
        <f>IF(IFERROR(VLOOKUP(LEFT(C21,14),consolidado!D:D,1,0),0)&gt;0,1,0)</f>
        <v>0</v>
      </c>
    </row>
    <row r="22" ht="15.75" customHeight="1">
      <c r="B22" s="24" t="s">
        <v>309</v>
      </c>
      <c r="C22" s="4" t="str">
        <f t="shared" si="1"/>
        <v>more_vert</v>
      </c>
      <c r="D22" s="4">
        <f t="shared" si="2"/>
        <v>9</v>
      </c>
      <c r="E22" s="4">
        <f>IF(IFERROR(VLOOKUP(LEFT(C22,14),consolidado!D:D,1,0),0)&gt;0,1,0)</f>
        <v>0</v>
      </c>
      <c r="G22" s="4" t="str">
        <f>IFERROR(__xludf.DUMMYFUNCTION("""COMPUTED_VALUE"""),"Jorge Schaulsohn y test de drogas: “Es patético que los parlamentarios se presten para este show”")</f>
        <v>Jorge Schaulsohn y test de drogas: “Es patético que los parlamentarios se presten para este show”</v>
      </c>
      <c r="H22" s="22">
        <f>IF(IFERROR(VLOOKUP(LEFT(C22,14),consolidado!D:D,1,0),0)&gt;0,1,0)</f>
        <v>0</v>
      </c>
    </row>
    <row r="23" ht="15.75" customHeight="1">
      <c r="B23" s="28"/>
      <c r="C23" s="4" t="str">
        <f t="shared" si="1"/>
        <v/>
      </c>
      <c r="D23" s="4">
        <f t="shared" si="2"/>
        <v>0</v>
      </c>
      <c r="E23" s="4">
        <f>IF(IFERROR(VLOOKUP(LEFT(C23,14),consolidado!D:D,1,0),0)&gt;0,1,0)</f>
        <v>1</v>
      </c>
      <c r="G23" s="4" t="str">
        <f>IFERROR(__xludf.DUMMYFUNCTION("""COMPUTED_VALUE"""),"Test de drogas en Cámara Baja: el debate sobre si la medida invade el derecho a la vida privada")</f>
        <v>Test de drogas en Cámara Baja: el debate sobre si la medida invade el derecho a la vida privada</v>
      </c>
      <c r="H23" s="22">
        <f>IF(IFERROR(VLOOKUP(LEFT(C23,14),consolidado!D:D,1,0),0)&gt;0,1,0)</f>
        <v>1</v>
      </c>
    </row>
    <row r="24" ht="15.75" customHeight="1">
      <c r="B24" s="19" t="s">
        <v>303</v>
      </c>
      <c r="C24" s="4" t="str">
        <f t="shared" si="1"/>
        <v>La Tercera</v>
      </c>
      <c r="D24" s="4">
        <f t="shared" si="2"/>
        <v>10</v>
      </c>
      <c r="E24" s="4">
        <f>IF(IFERROR(VLOOKUP(LEFT(C24,14),consolidado!D:D,1,0),0)&gt;0,1,0)</f>
        <v>0</v>
      </c>
      <c r="G24" s="4" t="str">
        <f>IFERROR(__xludf.DUMMYFUNCTION("""COMPUTED_VALUE"""),"Test de drogas: diputadas que no se realizaron la prueba entregaron sus descargos en la comisión de Ética de la Cámara")</f>
        <v>Test de drogas: diputadas que no se realizaron la prueba entregaron sus descargos en la comisión de Ética de la Cámara</v>
      </c>
      <c r="H24" s="22">
        <f>IF(IFERROR(VLOOKUP(LEFT(C24,14),consolidado!D:D,1,0),0)&gt;0,1,0)</f>
        <v>0</v>
      </c>
    </row>
    <row r="25" ht="15.75" customHeight="1">
      <c r="B25" s="21" t="s">
        <v>17</v>
      </c>
      <c r="C25" s="4" t="str">
        <f t="shared" si="1"/>
        <v>Test de drogas a diputados: resultados de los primeros exámenes se conocerán este lunes</v>
      </c>
      <c r="D25" s="4">
        <f t="shared" si="2"/>
        <v>87</v>
      </c>
      <c r="E25" s="4">
        <f>IF(IFERROR(VLOOKUP(LEFT(C25,14),consolidado!D:D,1,0),0)&gt;0,1,0)</f>
        <v>1</v>
      </c>
      <c r="G25" s="4" t="str">
        <f>IFERROR(__xludf.DUMMYFUNCTION("""COMPUTED_VALUE"""),"Comisión de Ética de la Cámara no llega a acuerdo en las sanciones para diputados que no se realizaron el test de drogas")</f>
        <v>Comisión de Ética de la Cámara no llega a acuerdo en las sanciones para diputados que no se realizaron el test de drogas</v>
      </c>
      <c r="H25" s="22">
        <f>IF(IFERROR(VLOOKUP(LEFT(C25,14),consolidado!D:D,1,0),0)&gt;0,1,0)</f>
        <v>1</v>
      </c>
    </row>
    <row r="26" ht="15.75" customHeight="1">
      <c r="B26" s="29">
        <v>44830.0</v>
      </c>
      <c r="C26" s="4" t="str">
        <f t="shared" si="1"/>
        <v>44830</v>
      </c>
      <c r="D26" s="4">
        <f t="shared" si="2"/>
        <v>5</v>
      </c>
      <c r="E26" s="4">
        <f>IF(IFERROR(VLOOKUP(LEFT(C26,14),consolidado!D:D,1,0),0)&gt;0,1,0)</f>
        <v>0</v>
      </c>
      <c r="G26" s="4" t="str">
        <f>IFERROR(__xludf.DUMMYFUNCTION("""COMPUTED_VALUE"""),"Test de drogas: ¿Influye el consumo de sustancias de los parlamentarios?")</f>
        <v>Test de drogas: ¿Influye el consumo de sustancias de los parlamentarios?</v>
      </c>
      <c r="H26" s="22">
        <f>IF(IFERROR(VLOOKUP(LEFT(C26,14),consolidado!D:D,1,0),0)&gt;0,1,0)</f>
        <v>0</v>
      </c>
    </row>
    <row r="27" ht="15.75" customHeight="1">
      <c r="B27" s="24" t="s">
        <v>307</v>
      </c>
      <c r="C27" s="4" t="str">
        <f t="shared" si="1"/>
        <v>bookmark_border</v>
      </c>
      <c r="D27" s="4">
        <f t="shared" si="2"/>
        <v>15</v>
      </c>
      <c r="E27" s="4">
        <f>IF(IFERROR(VLOOKUP(LEFT(C27,14),consolidado!D:D,1,0),0)&gt;0,1,0)</f>
        <v>0</v>
      </c>
      <c r="G27" s="4" t="str">
        <f>IFERROR(__xludf.DUMMYFUNCTION("""COMPUTED_VALUE"""),"El trance incómodo del Frente Amplio frente al test de drogas")</f>
        <v>El trance incómodo del Frente Amplio frente al test de drogas</v>
      </c>
      <c r="H27" s="22">
        <f>IF(IFERROR(VLOOKUP(LEFT(C27,14),consolidado!D:D,1,0),0)&gt;0,1,0)</f>
        <v>0</v>
      </c>
    </row>
    <row r="28" ht="15.75" customHeight="1">
      <c r="B28" s="24" t="s">
        <v>308</v>
      </c>
      <c r="C28" s="4" t="str">
        <f t="shared" si="1"/>
        <v>share</v>
      </c>
      <c r="D28" s="4">
        <f t="shared" si="2"/>
        <v>5</v>
      </c>
      <c r="E28" s="4">
        <f>IF(IFERROR(VLOOKUP(LEFT(C28,14),consolidado!D:D,1,0),0)&gt;0,1,0)</f>
        <v>0</v>
      </c>
      <c r="G28" s="4" t="str">
        <f>IFERROR(__xludf.DUMMYFUNCTION("""COMPUTED_VALUE"""),"Corte Suprema declara admisible recurso contra test de drogas a parlamentarios")</f>
        <v>Corte Suprema declara admisible recurso contra test de drogas a parlamentarios</v>
      </c>
      <c r="H28" s="22">
        <f>IF(IFERROR(VLOOKUP(LEFT(C28,14),consolidado!D:D,1,0),0)&gt;0,1,0)</f>
        <v>0</v>
      </c>
    </row>
    <row r="29" ht="15.75" customHeight="1">
      <c r="B29" s="24" t="s">
        <v>309</v>
      </c>
      <c r="C29" s="4" t="str">
        <f t="shared" si="1"/>
        <v>more_vert</v>
      </c>
      <c r="D29" s="4">
        <f t="shared" si="2"/>
        <v>9</v>
      </c>
      <c r="E29" s="4">
        <f>IF(IFERROR(VLOOKUP(LEFT(C29,14),consolidado!D:D,1,0),0)&gt;0,1,0)</f>
        <v>0</v>
      </c>
      <c r="G29" s="4" t="str">
        <f>IFERROR(__xludf.DUMMYFUNCTION("""COMPUTED_VALUE"""),"Informe expone accionar de la ultraderecha en Twitter para magnificar resultados del test de droga a Diputados")</f>
        <v>Informe expone accionar de la ultraderecha en Twitter para magnificar resultados del test de droga a Diputados</v>
      </c>
      <c r="H29" s="22">
        <f>IF(IFERROR(VLOOKUP(LEFT(C29,14),consolidado!D:D,1,0),0)&gt;0,1,0)</f>
        <v>0</v>
      </c>
    </row>
    <row r="30" ht="15.75" customHeight="1">
      <c r="B30" s="28"/>
      <c r="C30" s="4" t="str">
        <f t="shared" si="1"/>
        <v/>
      </c>
      <c r="D30" s="4">
        <f t="shared" si="2"/>
        <v>0</v>
      </c>
      <c r="E30" s="4">
        <f>IF(IFERROR(VLOOKUP(LEFT(C30,14),consolidado!D:D,1,0),0)&gt;0,1,0)</f>
        <v>1</v>
      </c>
      <c r="G30" s="4" t="str">
        <f>IFERROR(__xludf.DUMMYFUNCTION("""COMPUTED_VALUE"""),"Pamela Jiles por test de drogas a parlamentarios: “Noto un sospechoso nerviosismo ¿Qué ocultan?”")</f>
        <v>Pamela Jiles por test de drogas a parlamentarios: “Noto un sospechoso nerviosismo ¿Qué ocultan?”</v>
      </c>
      <c r="H30" s="22">
        <f>IF(IFERROR(VLOOKUP(LEFT(C30,14),consolidado!D:D,1,0),0)&gt;0,1,0)</f>
        <v>1</v>
      </c>
    </row>
    <row r="31" ht="15.75" customHeight="1">
      <c r="B31" s="30" t="s">
        <v>315</v>
      </c>
      <c r="C31" s="4" t="str">
        <f t="shared" si="1"/>
        <v>BioBioChile</v>
      </c>
      <c r="D31" s="4">
        <f t="shared" si="2"/>
        <v>11</v>
      </c>
      <c r="E31" s="4">
        <f>IF(IFERROR(VLOOKUP(LEFT(C31,14),consolidado!D:D,1,0),0)&gt;0,1,0)</f>
        <v>0</v>
      </c>
      <c r="G31" s="4" t="str">
        <f>IFERROR(__xludf.DUMMYFUNCTION("""COMPUTED_VALUE"""),"Diputada Flores (RN) y test de drogas: ""El que consume droga, debiera perder su cargo""")</f>
        <v>Diputada Flores (RN) y test de drogas: "El que consume droga, debiera perder su cargo"</v>
      </c>
      <c r="H31" s="22">
        <f>IF(IFERROR(VLOOKUP(LEFT(C31,14),consolidado!D:D,1,0),0)&gt;0,1,0)</f>
        <v>0</v>
      </c>
    </row>
    <row r="32" ht="15.75" customHeight="1">
      <c r="B32" s="21" t="s">
        <v>19</v>
      </c>
      <c r="C32" s="4" t="str">
        <f t="shared" si="1"/>
        <v>Revisa la lista: Cámara sortea a los primeros 78 diputados que deberán someterse a test de drogas</v>
      </c>
      <c r="D32" s="4">
        <f t="shared" si="2"/>
        <v>97</v>
      </c>
      <c r="E32" s="4">
        <f>IF(IFERROR(VLOOKUP(LEFT(C32,14),consolidado!D:D,1,0),0)&gt;0,1,0)</f>
        <v>1</v>
      </c>
      <c r="G32" s="4" t="str">
        <f>IFERROR(__xludf.DUMMYFUNCTION("""COMPUTED_VALUE"""),"Diputada Riquelme (Ind-FA) piensa no realizarse test de drogas: acusa ""vulneración de derechos""")</f>
        <v>Diputada Riquelme (Ind-FA) piensa no realizarse test de drogas: acusa "vulneración de derechos"</v>
      </c>
      <c r="H32" s="22">
        <f>IF(IFERROR(VLOOKUP(LEFT(C32,14),consolidado!D:D,1,0),0)&gt;0,1,0)</f>
        <v>1</v>
      </c>
    </row>
    <row r="33" ht="15.75" customHeight="1">
      <c r="B33" s="29">
        <v>44790.0</v>
      </c>
      <c r="C33" s="4" t="str">
        <f t="shared" si="1"/>
        <v>44790</v>
      </c>
      <c r="D33" s="4">
        <f t="shared" si="2"/>
        <v>5</v>
      </c>
      <c r="E33" s="4">
        <f>IF(IFERROR(VLOOKUP(LEFT(C33,14),consolidado!D:D,1,0),0)&gt;0,1,0)</f>
        <v>0</v>
      </c>
      <c r="G33" s="4" t="str">
        <f>IFERROR(__xludf.DUMMYFUNCTION("""COMPUTED_VALUE"""),"Sofía Salas: ¿Publicidad necesaria o show mediático?")</f>
        <v>Sofía Salas: ¿Publicidad necesaria o show mediático?</v>
      </c>
      <c r="H33" s="22">
        <f>IF(IFERROR(VLOOKUP(LEFT(C33,14),consolidado!D:D,1,0),0)&gt;0,1,0)</f>
        <v>0</v>
      </c>
    </row>
    <row r="34" ht="15.75" customHeight="1">
      <c r="B34" s="24" t="s">
        <v>307</v>
      </c>
      <c r="C34" s="4" t="str">
        <f t="shared" si="1"/>
        <v>bookmark_border</v>
      </c>
      <c r="D34" s="4">
        <f t="shared" si="2"/>
        <v>15</v>
      </c>
      <c r="E34" s="4">
        <f>IF(IFERROR(VLOOKUP(LEFT(C34,14),consolidado!D:D,1,0),0)&gt;0,1,0)</f>
        <v>0</v>
      </c>
      <c r="G34" s="4" t="str">
        <f>IFERROR(__xludf.DUMMYFUNCTION("""COMPUTED_VALUE"""),"Test de drogas a diputados y cambios al uso recreacional de la marihuana prenden el debate")</f>
        <v>Test de drogas a diputados y cambios al uso recreacional de la marihuana prenden el debate</v>
      </c>
      <c r="H34" s="22">
        <f>IF(IFERROR(VLOOKUP(LEFT(C34,14),consolidado!D:D,1,0),0)&gt;0,1,0)</f>
        <v>0</v>
      </c>
    </row>
    <row r="35" ht="15.75" customHeight="1">
      <c r="B35" s="24" t="s">
        <v>308</v>
      </c>
      <c r="C35" s="4" t="str">
        <f t="shared" si="1"/>
        <v>share</v>
      </c>
      <c r="D35" s="4">
        <f t="shared" si="2"/>
        <v>5</v>
      </c>
      <c r="E35" s="4">
        <f>IF(IFERROR(VLOOKUP(LEFT(C35,14),consolidado!D:D,1,0),0)&gt;0,1,0)</f>
        <v>0</v>
      </c>
      <c r="G35" s="4" t="str">
        <f>IFERROR(__xludf.DUMMYFUNCTION("""COMPUTED_VALUE"""),"Test de drogas en el Congreso: Corte de Apelaciones da golpe a diputadas oficialistas")</f>
        <v>Test de drogas en el Congreso: Corte de Apelaciones da golpe a diputadas oficialistas</v>
      </c>
      <c r="H35" s="22">
        <f>IF(IFERROR(VLOOKUP(LEFT(C35,14),consolidado!D:D,1,0),0)&gt;0,1,0)</f>
        <v>0</v>
      </c>
    </row>
    <row r="36" ht="15.75" customHeight="1">
      <c r="B36" s="24" t="s">
        <v>309</v>
      </c>
      <c r="C36" s="4" t="str">
        <f t="shared" si="1"/>
        <v>more_vert</v>
      </c>
      <c r="D36" s="4">
        <f t="shared" si="2"/>
        <v>9</v>
      </c>
      <c r="E36" s="4">
        <f>IF(IFERROR(VLOOKUP(LEFT(C36,14),consolidado!D:D,1,0),0)&gt;0,1,0)</f>
        <v>0</v>
      </c>
      <c r="G36" s="4" t="str">
        <f>IFERROR(__xludf.DUMMYFUNCTION("""COMPUTED_VALUE"""),"Test de drogas en el Congreso: reglamento fue aprobado en general en la Cámara")</f>
        <v>Test de drogas en el Congreso: reglamento fue aprobado en general en la Cámara</v>
      </c>
      <c r="H36" s="22">
        <f>IF(IFERROR(VLOOKUP(LEFT(C36,14),consolidado!D:D,1,0),0)&gt;0,1,0)</f>
        <v>0</v>
      </c>
    </row>
    <row r="37" ht="15.75" customHeight="1">
      <c r="B37" s="28"/>
      <c r="C37" s="4" t="str">
        <f t="shared" si="1"/>
        <v/>
      </c>
      <c r="D37" s="4">
        <f t="shared" si="2"/>
        <v>0</v>
      </c>
      <c r="E37" s="4">
        <f>IF(IFERROR(VLOOKUP(LEFT(C37,14),consolidado!D:D,1,0),0)&gt;0,1,0)</f>
        <v>1</v>
      </c>
      <c r="G37" s="4" t="str">
        <f>IFERROR(__xludf.DUMMYFUNCTION("""COMPUTED_VALUE"""),"“Los tengo identificados”: Doctora Cordero arremete contra parlamentarios por test de drogas")</f>
        <v>“Los tengo identificados”: Doctora Cordero arremete contra parlamentarios por test de drogas</v>
      </c>
      <c r="H37" s="22">
        <f>IF(IFERROR(VLOOKUP(LEFT(C37,14),consolidado!D:D,1,0),0)&gt;0,1,0)</f>
        <v>1</v>
      </c>
    </row>
    <row r="38" ht="15.75" customHeight="1">
      <c r="B38" s="30" t="s">
        <v>316</v>
      </c>
      <c r="C38" s="4" t="str">
        <f t="shared" si="1"/>
        <v>El Mostrador</v>
      </c>
      <c r="D38" s="4">
        <f t="shared" si="2"/>
        <v>12</v>
      </c>
      <c r="E38" s="4">
        <f>IF(IFERROR(VLOOKUP(LEFT(C38,14),consolidado!D:D,1,0),0)&gt;0,1,0)</f>
        <v>0</v>
      </c>
      <c r="G38" s="4" t="str">
        <f>IFERROR(__xludf.DUMMYFUNCTION("""COMPUTED_VALUE"""),"Los diputados chilenos dieron negativo en el test de drogas")</f>
        <v>Los diputados chilenos dieron negativo en el test de drogas</v>
      </c>
      <c r="H38" s="22">
        <f>IF(IFERROR(VLOOKUP(LEFT(C38,14),consolidado!D:D,1,0),0)&gt;0,1,0)</f>
        <v>0</v>
      </c>
    </row>
    <row r="39" ht="15.75" customHeight="1">
      <c r="B39" s="21" t="s">
        <v>21</v>
      </c>
      <c r="C39" s="4" t="str">
        <f t="shared" si="1"/>
        <v>Comenzó aplicación de test de drogas a parlamentarios: resultados demorarán entre 10 a 15 días</v>
      </c>
      <c r="D39" s="4">
        <f t="shared" si="2"/>
        <v>94</v>
      </c>
      <c r="E39" s="4">
        <f>IF(IFERROR(VLOOKUP(LEFT(C39,14),consolidado!D:D,1,0),0)&gt;0,1,0)</f>
        <v>1</v>
      </c>
      <c r="G39" s="4" t="str">
        <f>IFERROR(__xludf.DUMMYFUNCTION("""COMPUTED_VALUE"""),"Presupuesto 2022: Cámara de Diputados aprueba indicación de la UDI que destina recursos para test de drogas a parlamentarios")</f>
        <v>Presupuesto 2022: Cámara de Diputados aprueba indicación de la UDI que destina recursos para test de drogas a parlamentarios</v>
      </c>
      <c r="H39" s="22">
        <f>IF(IFERROR(VLOOKUP(LEFT(C39,14),consolidado!D:D,1,0),0)&gt;0,1,0)</f>
        <v>1</v>
      </c>
    </row>
    <row r="40" ht="15.75" customHeight="1">
      <c r="B40" s="29">
        <v>44795.0</v>
      </c>
      <c r="C40" s="4" t="str">
        <f t="shared" si="1"/>
        <v>44795</v>
      </c>
      <c r="D40" s="4">
        <f t="shared" si="2"/>
        <v>5</v>
      </c>
      <c r="E40" s="4">
        <f>IF(IFERROR(VLOOKUP(LEFT(C40,14),consolidado!D:D,1,0),0)&gt;0,1,0)</f>
        <v>0</v>
      </c>
      <c r="G40" s="4" t="str">
        <f>IFERROR(__xludf.DUMMYFUNCTION("""COMPUTED_VALUE"""),"Primera ministra de Finlandia da negativo en test de drogas realizado tras polémico vídeo")</f>
        <v>Primera ministra de Finlandia da negativo en test de drogas realizado tras polémico vídeo</v>
      </c>
      <c r="H40" s="22">
        <f>IF(IFERROR(VLOOKUP(LEFT(C40,14),consolidado!D:D,1,0),0)&gt;0,1,0)</f>
        <v>0</v>
      </c>
    </row>
    <row r="41" ht="15.75" customHeight="1">
      <c r="B41" s="24" t="s">
        <v>307</v>
      </c>
      <c r="C41" s="4" t="str">
        <f t="shared" si="1"/>
        <v>bookmark_border</v>
      </c>
      <c r="D41" s="4">
        <f t="shared" si="2"/>
        <v>15</v>
      </c>
      <c r="E41" s="4">
        <f>IF(IFERROR(VLOOKUP(LEFT(C41,14),consolidado!D:D,1,0),0)&gt;0,1,0)</f>
        <v>0</v>
      </c>
      <c r="G41" s="4" t="str">
        <f>IFERROR(__xludf.DUMMYFUNCTION("""COMPUTED_VALUE"""),"[VIDEO] 78 diputados fueron sorteados para inédito test de drogas en el Congreso")</f>
        <v>[VIDEO] 78 diputados fueron sorteados para inédito test de drogas en el Congreso</v>
      </c>
      <c r="H41" s="22">
        <f>IF(IFERROR(VLOOKUP(LEFT(C41,14),consolidado!D:D,1,0),0)&gt;0,1,0)</f>
        <v>0</v>
      </c>
    </row>
    <row r="42" ht="15.75" customHeight="1">
      <c r="B42" s="24" t="s">
        <v>308</v>
      </c>
      <c r="C42" s="4" t="str">
        <f t="shared" si="1"/>
        <v>share</v>
      </c>
      <c r="D42" s="4">
        <f t="shared" si="2"/>
        <v>5</v>
      </c>
      <c r="E42" s="4">
        <f>IF(IFERROR(VLOOKUP(LEFT(C42,14),consolidado!D:D,1,0),0)&gt;0,1,0)</f>
        <v>0</v>
      </c>
      <c r="G42" s="4" t="str">
        <f>IFERROR(__xludf.DUMMYFUNCTION("""COMPUTED_VALUE"""),"Parlamentarios se refieren a test de drogas en el Congreso")</f>
        <v>Parlamentarios se refieren a test de drogas en el Congreso</v>
      </c>
      <c r="H42" s="22">
        <f>IF(IFERROR(VLOOKUP(LEFT(C42,14),consolidado!D:D,1,0),0)&gt;0,1,0)</f>
        <v>0</v>
      </c>
    </row>
    <row r="43" ht="15.75" customHeight="1">
      <c r="B43" s="24" t="s">
        <v>309</v>
      </c>
      <c r="C43" s="4" t="str">
        <f t="shared" si="1"/>
        <v>more_vert</v>
      </c>
      <c r="D43" s="4">
        <f t="shared" si="2"/>
        <v>9</v>
      </c>
      <c r="E43" s="4">
        <f>IF(IFERROR(VLOOKUP(LEFT(C43,14),consolidado!D:D,1,0),0)&gt;0,1,0)</f>
        <v>0</v>
      </c>
      <c r="G43" s="4" t="str">
        <f>IFERROR(__xludf.DUMMYFUNCTION("""COMPUTED_VALUE"""),"Proponen realizar test de drogas y alcohol a personas que trabajan con menores de edad")</f>
        <v>Proponen realizar test de drogas y alcohol a personas que trabajan con menores de edad</v>
      </c>
      <c r="H43" s="22">
        <f>IF(IFERROR(VLOOKUP(LEFT(C43,14),consolidado!D:D,1,0),0)&gt;0,1,0)</f>
        <v>0</v>
      </c>
    </row>
    <row r="44" ht="15.75" customHeight="1">
      <c r="B44" s="28"/>
      <c r="C44" s="4" t="str">
        <f t="shared" si="1"/>
        <v/>
      </c>
      <c r="D44" s="4">
        <f t="shared" si="2"/>
        <v>0</v>
      </c>
      <c r="E44" s="4">
        <f>IF(IFERROR(VLOOKUP(LEFT(C44,14),consolidado!D:D,1,0),0)&gt;0,1,0)</f>
        <v>1</v>
      </c>
      <c r="G44" s="4" t="str">
        <f>IFERROR(__xludf.DUMMYFUNCTION("""COMPUTED_VALUE"""),"“No solo no me avergüenzo…”: diputada Gazmuri reconoció consumo de cannabis y lanzó dura crítica al test de drogas en la Cámara")</f>
        <v>“No solo no me avergüenzo…”: diputada Gazmuri reconoció consumo de cannabis y lanzó dura crítica al test de drogas en la Cámara</v>
      </c>
      <c r="H44" s="22">
        <f>IF(IFERROR(VLOOKUP(LEFT(C44,14),consolidado!D:D,1,0),0)&gt;0,1,0)</f>
        <v>1</v>
      </c>
    </row>
    <row r="45" ht="15.75" customHeight="1">
      <c r="B45" s="19" t="s">
        <v>303</v>
      </c>
      <c r="C45" s="4" t="str">
        <f t="shared" si="1"/>
        <v>La Tercera</v>
      </c>
      <c r="D45" s="4">
        <f t="shared" si="2"/>
        <v>10</v>
      </c>
      <c r="E45" s="4">
        <f>IF(IFERROR(VLOOKUP(LEFT(C45,14),consolidado!D:D,1,0),0)&gt;0,1,0)</f>
        <v>0</v>
      </c>
      <c r="G45" s="4" t="str">
        <f>IFERROR(__xludf.DUMMYFUNCTION("""COMPUTED_VALUE"""),"Avanza proyecto que busca hacer test de drogas a parlamentarios")</f>
        <v>Avanza proyecto que busca hacer test de drogas a parlamentarios</v>
      </c>
      <c r="H45" s="22">
        <f>IF(IFERROR(VLOOKUP(LEFT(C45,14),consolidado!D:D,1,0),0)&gt;0,1,0)</f>
        <v>0</v>
      </c>
    </row>
    <row r="46" ht="15.75" customHeight="1">
      <c r="B46" s="21" t="s">
        <v>23</v>
      </c>
      <c r="C46" s="4" t="str">
        <f t="shared" si="1"/>
        <v>Suspenso en la Cámara: resultados de primeros test de drogas a diputados se conocerán el próximo lunes</v>
      </c>
      <c r="D46" s="4">
        <f t="shared" si="2"/>
        <v>102</v>
      </c>
      <c r="E46" s="4">
        <f>IF(IFERROR(VLOOKUP(LEFT(C46,14),consolidado!D:D,1,0),0)&gt;0,1,0)</f>
        <v>1</v>
      </c>
      <c r="G46" s="4" t="str">
        <f>IFERROR(__xludf.DUMMYFUNCTION("""COMPUTED_VALUE"""),"Requisitos para ser parlamentario")</f>
        <v>Requisitos para ser parlamentario</v>
      </c>
      <c r="H46" s="22">
        <f>IF(IFERROR(VLOOKUP(LEFT(C46,14),consolidado!D:D,1,0),0)&gt;0,1,0)</f>
        <v>1</v>
      </c>
    </row>
    <row r="47" ht="15.75" customHeight="1">
      <c r="B47" s="29">
        <v>44824.0</v>
      </c>
      <c r="C47" s="4" t="str">
        <f t="shared" si="1"/>
        <v>44824</v>
      </c>
      <c r="D47" s="4">
        <f t="shared" si="2"/>
        <v>5</v>
      </c>
      <c r="E47" s="4">
        <f>IF(IFERROR(VLOOKUP(LEFT(C47,14),consolidado!D:D,1,0),0)&gt;0,1,0)</f>
        <v>0</v>
      </c>
      <c r="G47" s="4" t="str">
        <f>IFERROR(__xludf.DUMMYFUNCTION("""COMPUTED_VALUE"""),"Ana María Gazmuri por proyecto de test de drogas en Cámara; ""Va en la dirección equivocada""")</f>
        <v>Ana María Gazmuri por proyecto de test de drogas en Cámara; "Va en la dirección equivocada"</v>
      </c>
      <c r="H47" s="22">
        <f>IF(IFERROR(VLOOKUP(LEFT(C47,14),consolidado!D:D,1,0),0)&gt;0,1,0)</f>
        <v>0</v>
      </c>
    </row>
    <row r="48" ht="15.75" customHeight="1">
      <c r="B48" s="24" t="s">
        <v>307</v>
      </c>
      <c r="C48" s="4" t="str">
        <f t="shared" si="1"/>
        <v>bookmark_border</v>
      </c>
      <c r="D48" s="4">
        <f t="shared" si="2"/>
        <v>15</v>
      </c>
      <c r="E48" s="4">
        <f>IF(IFERROR(VLOOKUP(LEFT(C48,14),consolidado!D:D,1,0),0)&gt;0,1,0)</f>
        <v>0</v>
      </c>
      <c r="G48" s="4" t="str">
        <f>IFERROR(__xludf.DUMMYFUNCTION("""COMPUTED_VALUE"""),"Diputado Barria pide aplicar ""test psiquiátrico"" a parlamentarios tras agresión de De la Carrera")</f>
        <v>Diputado Barria pide aplicar "test psiquiátrico" a parlamentarios tras agresión de De la Carrera</v>
      </c>
      <c r="H48" s="22">
        <f>IF(IFERROR(VLOOKUP(LEFT(C48,14),consolidado!D:D,1,0),0)&gt;0,1,0)</f>
        <v>0</v>
      </c>
    </row>
    <row r="49" ht="15.75" customHeight="1">
      <c r="B49" s="24" t="s">
        <v>308</v>
      </c>
      <c r="C49" s="4" t="str">
        <f t="shared" si="1"/>
        <v>share</v>
      </c>
      <c r="D49" s="4">
        <f t="shared" si="2"/>
        <v>5</v>
      </c>
      <c r="E49" s="4">
        <f>IF(IFERROR(VLOOKUP(LEFT(C49,14),consolidado!D:D,1,0),0)&gt;0,1,0)</f>
        <v>0</v>
      </c>
      <c r="G49" s="4" t="str">
        <f>IFERROR(__xludf.DUMMYFUNCTION("""COMPUTED_VALUE"""),"Corte de Valparaíso rechaza solicitud de dictar orden de no innovar por test de drogas a diputados. - Diario Constitucional")</f>
        <v>Corte de Valparaíso rechaza solicitud de dictar orden de no innovar por test de drogas a diputados. - Diario Constitucional</v>
      </c>
      <c r="H49" s="22">
        <f>IF(IFERROR(VLOOKUP(LEFT(C49,14),consolidado!D:D,1,0),0)&gt;0,1,0)</f>
        <v>0</v>
      </c>
    </row>
    <row r="50" ht="15.75" customHeight="1">
      <c r="B50" s="24" t="s">
        <v>309</v>
      </c>
      <c r="C50" s="4" t="str">
        <f t="shared" si="1"/>
        <v>more_vert</v>
      </c>
      <c r="D50" s="4">
        <f t="shared" si="2"/>
        <v>9</v>
      </c>
      <c r="E50" s="4">
        <f>IF(IFERROR(VLOOKUP(LEFT(C50,14),consolidado!D:D,1,0),0)&gt;0,1,0)</f>
        <v>0</v>
      </c>
      <c r="G50" s="4" t="str">
        <f>IFERROR(__xludf.DUMMYFUNCTION("""COMPUTED_VALUE"""),"“No hagan la cimarra”: De la Carrera y su provocador tuit a diputados frenteamplistas tras ser sorteados a test de drogas")</f>
        <v>“No hagan la cimarra”: De la Carrera y su provocador tuit a diputados frenteamplistas tras ser sorteados a test de drogas</v>
      </c>
      <c r="H50" s="22">
        <f>IF(IFERROR(VLOOKUP(LEFT(C50,14),consolidado!D:D,1,0),0)&gt;0,1,0)</f>
        <v>0</v>
      </c>
    </row>
    <row r="51" ht="15.75" customHeight="1">
      <c r="B51" s="28"/>
      <c r="C51" s="4" t="str">
        <f t="shared" si="1"/>
        <v/>
      </c>
      <c r="D51" s="4">
        <f t="shared" si="2"/>
        <v>0</v>
      </c>
      <c r="E51" s="4">
        <f>IF(IFERROR(VLOOKUP(LEFT(C51,14),consolidado!D:D,1,0),0)&gt;0,1,0)</f>
        <v>1</v>
      </c>
      <c r="G51" s="4" t="str">
        <f>IFERROR(__xludf.DUMMYFUNCTION("""COMPUTED_VALUE"""),"Urruticoechea tilda de ""imprudente"" recurso presentado por diputadas en contra de test de drogas")</f>
        <v>Urruticoechea tilda de "imprudente" recurso presentado por diputadas en contra de test de drogas</v>
      </c>
      <c r="H51" s="22">
        <f>IF(IFERROR(VLOOKUP(LEFT(C51,14),consolidado!D:D,1,0),0)&gt;0,1,0)</f>
        <v>1</v>
      </c>
    </row>
    <row r="52" ht="15.75" customHeight="1">
      <c r="B52" s="19" t="s">
        <v>303</v>
      </c>
      <c r="C52" s="4" t="str">
        <f t="shared" si="1"/>
        <v>La Tercera</v>
      </c>
      <c r="D52" s="4">
        <f t="shared" si="2"/>
        <v>10</v>
      </c>
      <c r="E52" s="4">
        <f>IF(IFERROR(VLOOKUP(LEFT(C52,14),consolidado!D:D,1,0),0)&gt;0,1,0)</f>
        <v>0</v>
      </c>
      <c r="G52" s="4" t="str">
        <f>IFERROR(__xludf.DUMMYFUNCTION("""COMPUTED_VALUE"""),"Diputados UDI: ""El INDH se transformó en un problema para la democracia cuando fue capturado por el PC y el FA""")</f>
        <v>Diputados UDI: "El INDH se transformó en un problema para la democracia cuando fue capturado por el PC y el FA"</v>
      </c>
      <c r="H52" s="22">
        <f>IF(IFERROR(VLOOKUP(LEFT(C52,14),consolidado!D:D,1,0),0)&gt;0,1,0)</f>
        <v>0</v>
      </c>
    </row>
    <row r="53" ht="15.75" customHeight="1">
      <c r="B53" s="21" t="s">
        <v>25</v>
      </c>
      <c r="C53" s="4" t="str">
        <f t="shared" si="1"/>
        <v>Un amigo sorpresivo en la corte: INDH sale en defensa de diputadas que se rebelaron al test de drogas</v>
      </c>
      <c r="D53" s="4">
        <f t="shared" si="2"/>
        <v>101</v>
      </c>
      <c r="E53" s="4">
        <f>IF(IFERROR(VLOOKUP(LEFT(C53,14),consolidado!D:D,1,0),0)&gt;0,1,0)</f>
        <v>1</v>
      </c>
      <c r="G53" s="4" t="str">
        <f>IFERROR(__xludf.DUMMYFUNCTION("""COMPUTED_VALUE"""),"Diputada Paula Labra (RN-IND) se ofrece voluntaria a hacer el test de droga ante negativa de algunos parlamentarios de cumplir con requerimiento")</f>
        <v>Diputada Paula Labra (RN-IND) se ofrece voluntaria a hacer el test de droga ante negativa de algunos parlamentarios de cumplir con requerimiento</v>
      </c>
      <c r="H53" s="22">
        <f>IF(IFERROR(VLOOKUP(LEFT(C53,14),consolidado!D:D,1,0),0)&gt;0,1,0)</f>
        <v>1</v>
      </c>
    </row>
    <row r="54" ht="15.75" customHeight="1">
      <c r="B54" s="23" t="s">
        <v>317</v>
      </c>
      <c r="C54" s="4" t="str">
        <f t="shared" si="1"/>
        <v>Hace 22 días</v>
      </c>
      <c r="D54" s="4">
        <f t="shared" si="2"/>
        <v>12</v>
      </c>
      <c r="E54" s="4">
        <f>IF(IFERROR(VLOOKUP(LEFT(C54,14),consolidado!D:D,1,0),0)&gt;0,1,0)</f>
        <v>0</v>
      </c>
      <c r="G54" s="4" t="str">
        <f>IFERROR(__xludf.DUMMYFUNCTION("""COMPUTED_VALUE"""),"Diputado Felipe Donoso exige al Gobierno que se aplique test de drogas a funcionarios del poder Legislativo y Ejecutivo")</f>
        <v>Diputado Felipe Donoso exige al Gobierno que se aplique test de drogas a funcionarios del poder Legislativo y Ejecutivo</v>
      </c>
      <c r="H54" s="22">
        <f>IF(IFERROR(VLOOKUP(LEFT(C54,14),consolidado!D:D,1,0),0)&gt;0,1,0)</f>
        <v>0</v>
      </c>
    </row>
    <row r="55" ht="15.75" customHeight="1">
      <c r="B55" s="24" t="s">
        <v>307</v>
      </c>
      <c r="C55" s="4" t="str">
        <f t="shared" si="1"/>
        <v>bookmark_border</v>
      </c>
      <c r="D55" s="4">
        <f t="shared" si="2"/>
        <v>15</v>
      </c>
      <c r="E55" s="4">
        <f>IF(IFERROR(VLOOKUP(LEFT(C55,14),consolidado!D:D,1,0),0)&gt;0,1,0)</f>
        <v>0</v>
      </c>
      <c r="G55" s="4" t="str">
        <f>IFERROR(__xludf.DUMMYFUNCTION("""COMPUTED_VALUE"""),"“Le rogaría que me explicara…”: la dura pregunta que José Luis Repenning le arrojó a Camila Flores por debate sobre test de drogas a diputados")</f>
        <v>“Le rogaría que me explicara…”: la dura pregunta que José Luis Repenning le arrojó a Camila Flores por debate sobre test de drogas a diputados</v>
      </c>
      <c r="H55" s="22">
        <f>IF(IFERROR(VLOOKUP(LEFT(C55,14),consolidado!D:D,1,0),0)&gt;0,1,0)</f>
        <v>0</v>
      </c>
    </row>
    <row r="56" ht="15.75" customHeight="1">
      <c r="B56" s="24" t="s">
        <v>308</v>
      </c>
      <c r="C56" s="4" t="str">
        <f t="shared" si="1"/>
        <v>share</v>
      </c>
      <c r="D56" s="4">
        <f t="shared" si="2"/>
        <v>5</v>
      </c>
      <c r="E56" s="4">
        <f>IF(IFERROR(VLOOKUP(LEFT(C56,14),consolidado!D:D,1,0),0)&gt;0,1,0)</f>
        <v>0</v>
      </c>
      <c r="G56" s="4" t="str">
        <f>IFERROR(__xludf.DUMMYFUNCTION("""COMPUTED_VALUE"""),"Doctora Cordero cuestionó test de drogas a parlamentarios: “Está todo arreglado”")</f>
        <v>Doctora Cordero cuestionó test de drogas a parlamentarios: “Está todo arreglado”</v>
      </c>
      <c r="H56" s="22">
        <f>IF(IFERROR(VLOOKUP(LEFT(C56,14),consolidado!D:D,1,0),0)&gt;0,1,0)</f>
        <v>0</v>
      </c>
    </row>
    <row r="57" ht="15.75" customHeight="1">
      <c r="B57" s="24" t="s">
        <v>309</v>
      </c>
      <c r="C57" s="4" t="str">
        <f t="shared" si="1"/>
        <v>more_vert</v>
      </c>
      <c r="D57" s="4">
        <f t="shared" si="2"/>
        <v>9</v>
      </c>
      <c r="E57" s="4">
        <f>IF(IFERROR(VLOOKUP(LEFT(C57,14),consolidado!D:D,1,0),0)&gt;0,1,0)</f>
        <v>0</v>
      </c>
      <c r="G57" s="4" t="str">
        <f>IFERROR(__xludf.DUMMYFUNCTION("""COMPUTED_VALUE"""),"Diputada Pamela Jiles: ""No puede haber plata mejor gastada que para saber si tenemos narcodiputados""")</f>
        <v>Diputada Pamela Jiles: "No puede haber plata mejor gastada que para saber si tenemos narcodiputados"</v>
      </c>
      <c r="H57" s="22">
        <f>IF(IFERROR(VLOOKUP(LEFT(C57,14),consolidado!D:D,1,0),0)&gt;0,1,0)</f>
        <v>0</v>
      </c>
    </row>
    <row r="58" ht="15.75" customHeight="1">
      <c r="B58" s="28"/>
      <c r="C58" s="4" t="str">
        <f t="shared" si="1"/>
        <v/>
      </c>
      <c r="D58" s="4">
        <f t="shared" si="2"/>
        <v>0</v>
      </c>
      <c r="E58" s="4">
        <f>IF(IFERROR(VLOOKUP(LEFT(C58,14),consolidado!D:D,1,0),0)&gt;0,1,0)</f>
        <v>1</v>
      </c>
      <c r="G58" s="4" t="str">
        <f>IFERROR(__xludf.DUMMYFUNCTION("""COMPUTED_VALUE"""),"Cristian Camargo, director del Laboratorio de Análisis Antidoping : “Alguien que es adicto a una droga es fácil de corromper”")</f>
        <v>Cristian Camargo, director del Laboratorio de Análisis Antidoping : “Alguien que es adicto a una droga es fácil de corromper”</v>
      </c>
      <c r="H58" s="22">
        <f>IF(IFERROR(VLOOKUP(LEFT(C58,14),consolidado!D:D,1,0),0)&gt;0,1,0)</f>
        <v>1</v>
      </c>
    </row>
    <row r="59" ht="15.75" customHeight="1">
      <c r="B59" s="19" t="s">
        <v>303</v>
      </c>
      <c r="C59" s="4" t="str">
        <f t="shared" si="1"/>
        <v>La Tercera</v>
      </c>
      <c r="D59" s="4">
        <f t="shared" si="2"/>
        <v>10</v>
      </c>
      <c r="E59" s="4">
        <f>IF(IFERROR(VLOOKUP(LEFT(C59,14),consolidado!D:D,1,0),0)&gt;0,1,0)</f>
        <v>0</v>
      </c>
      <c r="G59" s="4" t="str">
        <f>IFERROR(__xludf.DUMMYFUNCTION("""COMPUTED_VALUE"""),"Corte Suprema admite recurso contra Test de Drogas en la Cámara de Diputadas y Diputados")</f>
        <v>Corte Suprema admite recurso contra Test de Drogas en la Cámara de Diputadas y Diputados</v>
      </c>
      <c r="H59" s="22">
        <f>IF(IFERROR(VLOOKUP(LEFT(C59,14),consolidado!D:D,1,0),0)&gt;0,1,0)</f>
        <v>0</v>
      </c>
    </row>
    <row r="60" ht="15.75" customHeight="1">
      <c r="B60" s="21" t="s">
        <v>27</v>
      </c>
      <c r="C60" s="4" t="str">
        <f t="shared" si="1"/>
        <v>Cámara aprueba test de drogas a diputados: iniciativa incluye que resultados sean públicos y elimina inhabilidades directas</v>
      </c>
      <c r="D60" s="4">
        <f t="shared" si="2"/>
        <v>123</v>
      </c>
      <c r="E60" s="4">
        <f>IF(IFERROR(VLOOKUP(LEFT(C60,14),consolidado!D:D,1,0),0)&gt;0,1,0)</f>
        <v>1</v>
      </c>
      <c r="G60" s="4" t="str">
        <f>IFERROR(__xludf.DUMMYFUNCTION("""COMPUTED_VALUE"""),"Diputado Gaspar Rivas (PDG) critica posturas de los sectores políticos de la Cámara acerca del test de drogas")</f>
        <v>Diputado Gaspar Rivas (PDG) critica posturas de los sectores políticos de la Cámara acerca del test de drogas</v>
      </c>
      <c r="H60" s="22">
        <f>IF(IFERROR(VLOOKUP(LEFT(C60,14),consolidado!D:D,1,0),0)&gt;0,1,0)</f>
        <v>1</v>
      </c>
    </row>
    <row r="61" ht="15.75" customHeight="1">
      <c r="B61" s="29">
        <v>44755.0</v>
      </c>
      <c r="C61" s="4" t="str">
        <f t="shared" si="1"/>
        <v>44755</v>
      </c>
      <c r="D61" s="4">
        <f t="shared" si="2"/>
        <v>5</v>
      </c>
      <c r="E61" s="4">
        <f>IF(IFERROR(VLOOKUP(LEFT(C61,14),consolidado!D:D,1,0),0)&gt;0,1,0)</f>
        <v>0</v>
      </c>
      <c r="G61" s="4" t="str">
        <f>IFERROR(__xludf.DUMMYFUNCTION("""COMPUTED_VALUE"""),"Ciber acoso y hostigamiento a diputadas por test de Drogas: ¿Cuál es el límite de la persecución anti narcóticos dentro de la Cámara?")</f>
        <v>Ciber acoso y hostigamiento a diputadas por test de Drogas: ¿Cuál es el límite de la persecución anti narcóticos dentro de la Cámara?</v>
      </c>
      <c r="H61" s="22">
        <f>IF(IFERROR(VLOOKUP(LEFT(C61,14),consolidado!D:D,1,0),0)&gt;0,1,0)</f>
        <v>0</v>
      </c>
    </row>
    <row r="62" ht="15.75" customHeight="1">
      <c r="B62" s="24" t="s">
        <v>307</v>
      </c>
      <c r="C62" s="4" t="str">
        <f t="shared" si="1"/>
        <v>bookmark_border</v>
      </c>
      <c r="D62" s="4">
        <f t="shared" si="2"/>
        <v>15</v>
      </c>
      <c r="E62" s="4">
        <f>IF(IFERROR(VLOOKUP(LEFT(C62,14),consolidado!D:D,1,0),0)&gt;0,1,0)</f>
        <v>0</v>
      </c>
      <c r="G62" s="4" t="str">
        <f>IFERROR(__xludf.DUMMYFUNCTION("""COMPUTED_VALUE"""),"Radio Bío Bío | Entrevista a Aleida Kulikoff, académica y toxicóloga de la Escuela de Química y Farmacia UNAB")</f>
        <v>Radio Bío Bío | Entrevista a Aleida Kulikoff, académica y toxicóloga de la Escuela de Química y Farmacia UNAB</v>
      </c>
      <c r="H62" s="22">
        <f>IF(IFERROR(VLOOKUP(LEFT(C62,14),consolidado!D:D,1,0),0)&gt;0,1,0)</f>
        <v>0</v>
      </c>
    </row>
    <row r="63" ht="15.75" customHeight="1">
      <c r="B63" s="24" t="s">
        <v>308</v>
      </c>
      <c r="C63" s="4" t="str">
        <f t="shared" si="1"/>
        <v>share</v>
      </c>
      <c r="D63" s="4">
        <f t="shared" si="2"/>
        <v>5</v>
      </c>
      <c r="E63" s="4">
        <f>IF(IFERROR(VLOOKUP(LEFT(C63,14),consolidado!D:D,1,0),0)&gt;0,1,0)</f>
        <v>0</v>
      </c>
      <c r="G63" s="4" t="str">
        <f>IFERROR(__xludf.DUMMYFUNCTION("""COMPUTED_VALUE"""),"«Evitamos bajar a los genitales»: la singular anécdota del diputado Romero al tomarse muestra de pelo para el examen de drogas")</f>
        <v>«Evitamos bajar a los genitales»: la singular anécdota del diputado Romero al tomarse muestra de pelo para el examen de drogas</v>
      </c>
      <c r="H63" s="22">
        <f>IF(IFERROR(VLOOKUP(LEFT(C63,14),consolidado!D:D,1,0),0)&gt;0,1,0)</f>
        <v>0</v>
      </c>
    </row>
    <row r="64" ht="15.75" customHeight="1">
      <c r="B64" s="24" t="s">
        <v>309</v>
      </c>
      <c r="C64" s="4" t="str">
        <f t="shared" si="1"/>
        <v>more_vert</v>
      </c>
      <c r="D64" s="4">
        <f t="shared" si="2"/>
        <v>9</v>
      </c>
      <c r="E64" s="4">
        <f>IF(IFERROR(VLOOKUP(LEFT(C64,14),consolidado!D:D,1,0),0)&gt;0,1,0)</f>
        <v>0</v>
      </c>
      <c r="G64" s="4" t="str">
        <f>IFERROR(__xludf.DUMMYFUNCTION("""COMPUTED_VALUE"""),"¿Qué dice la ley (y el reglamento de la Cámara) sobre el consumo de alcohol en el trabajo?")</f>
        <v>¿Qué dice la ley (y el reglamento de la Cámara) sobre el consumo de alcohol en el trabajo?</v>
      </c>
      <c r="H64" s="22">
        <f>IF(IFERROR(VLOOKUP(LEFT(C64,14),consolidado!D:D,1,0),0)&gt;0,1,0)</f>
        <v>0</v>
      </c>
    </row>
    <row r="65" ht="15.75" customHeight="1">
      <c r="B65" s="28"/>
      <c r="C65" s="4" t="str">
        <f t="shared" si="1"/>
        <v/>
      </c>
      <c r="D65" s="4">
        <f t="shared" si="2"/>
        <v>0</v>
      </c>
      <c r="E65" s="4">
        <f>IF(IFERROR(VLOOKUP(LEFT(C65,14),consolidado!D:D,1,0),0)&gt;0,1,0)</f>
        <v>1</v>
      </c>
      <c r="G65" s="4" t="str">
        <f>IFERROR(__xludf.DUMMYFUNCTION("""COMPUTED_VALUE"""),"Cámara sortea a los primeros parlamentarios para iniciar test de drogas. - Diario Constitucional")</f>
        <v>Cámara sortea a los primeros parlamentarios para iniciar test de drogas. - Diario Constitucional</v>
      </c>
      <c r="H65" s="22">
        <f>IF(IFERROR(VLOOKUP(LEFT(C65,14),consolidado!D:D,1,0),0)&gt;0,1,0)</f>
        <v>1</v>
      </c>
    </row>
    <row r="66" ht="15.75" customHeight="1">
      <c r="B66" s="30" t="s">
        <v>315</v>
      </c>
      <c r="C66" s="4" t="str">
        <f t="shared" si="1"/>
        <v>BioBioChile</v>
      </c>
      <c r="D66" s="4">
        <f t="shared" si="2"/>
        <v>11</v>
      </c>
      <c r="E66" s="4">
        <f>IF(IFERROR(VLOOKUP(LEFT(C66,14),consolidado!D:D,1,0),0)&gt;0,1,0)</f>
        <v>0</v>
      </c>
      <c r="G66" s="4" t="str">
        <f>IFERROR(__xludf.DUMMYFUNCTION("""COMPUTED_VALUE"""),"Emilia Schneider se refirió a su adicción a las drogas en la adolescencia: ""Consumí muchas sustancias pelig...")</f>
        <v>Emilia Schneider se refirió a su adicción a las drogas en la adolescencia: "Consumí muchas sustancias pelig...</v>
      </c>
      <c r="H66" s="22">
        <f>IF(IFERROR(VLOOKUP(LEFT(C66,14),consolidado!D:D,1,0),0)&gt;0,1,0)</f>
        <v>0</v>
      </c>
    </row>
    <row r="67" ht="15.75" customHeight="1">
      <c r="B67" s="21" t="s">
        <v>29</v>
      </c>
      <c r="C67" s="4" t="str">
        <f t="shared" si="1"/>
        <v>"Necesario", "show" y "extenderlo al Gobierno": las reacciones de parlamentarios al test de drogas</v>
      </c>
      <c r="D67" s="4">
        <f t="shared" si="2"/>
        <v>98</v>
      </c>
      <c r="E67" s="4">
        <f>IF(IFERROR(VLOOKUP(LEFT(C67,14),consolidado!D:D,1,0),0)&gt;0,1,0)</f>
        <v>1</v>
      </c>
      <c r="G67" s="4" t="str">
        <f>IFERROR(__xludf.DUMMYFUNCTION("""COMPUTED_VALUE"""),"""No voy a satanizar el consumo de drogas"": José Antonio Neme admitió haber probado marihuana")</f>
        <v>"No voy a satanizar el consumo de drogas": José Antonio Neme admitió haber probado marihuana</v>
      </c>
      <c r="H67" s="22">
        <f>IF(IFERROR(VLOOKUP(LEFT(C67,14),consolidado!D:D,1,0),0)&gt;0,1,0)</f>
        <v>1</v>
      </c>
    </row>
    <row r="68" ht="15.75" customHeight="1">
      <c r="B68" s="29">
        <v>44791.0</v>
      </c>
      <c r="C68" s="4" t="str">
        <f t="shared" si="1"/>
        <v>44791</v>
      </c>
      <c r="D68" s="4">
        <f t="shared" si="2"/>
        <v>5</v>
      </c>
      <c r="E68" s="4">
        <f>IF(IFERROR(VLOOKUP(LEFT(C68,14),consolidado!D:D,1,0),0)&gt;0,1,0)</f>
        <v>0</v>
      </c>
      <c r="G68" s="4" t="str">
        <f>IFERROR(__xludf.DUMMYFUNCTION("""COMPUTED_VALUE"""),"Francisco Pulgar es el primer diputado del Maule que se someterse al test de drogas")</f>
        <v>Francisco Pulgar es el primer diputado del Maule que se someterse al test de drogas</v>
      </c>
      <c r="H68" s="22">
        <f>IF(IFERROR(VLOOKUP(LEFT(C68,14),consolidado!D:D,1,0),0)&gt;0,1,0)</f>
        <v>0</v>
      </c>
    </row>
    <row r="69" ht="15.75" customHeight="1">
      <c r="B69" s="24" t="s">
        <v>307</v>
      </c>
      <c r="C69" s="4" t="str">
        <f t="shared" si="1"/>
        <v>bookmark_border</v>
      </c>
      <c r="D69" s="4">
        <f t="shared" si="2"/>
        <v>15</v>
      </c>
      <c r="E69" s="4">
        <f>IF(IFERROR(VLOOKUP(LEFT(C69,14),consolidado!D:D,1,0),0)&gt;0,1,0)</f>
        <v>0</v>
      </c>
      <c r="G69" s="4" t="str">
        <f>IFERROR(__xludf.DUMMYFUNCTION("""COMPUTED_VALUE"""),"La polémica entre Kast y Sáez por el consumo de marihuana del diputado RD")</f>
        <v>La polémica entre Kast y Sáez por el consumo de marihuana del diputado RD</v>
      </c>
      <c r="H69" s="22">
        <f>IF(IFERROR(VLOOKUP(LEFT(C69,14),consolidado!D:D,1,0),0)&gt;0,1,0)</f>
        <v>0</v>
      </c>
    </row>
    <row r="70" ht="15.75" customHeight="1">
      <c r="B70" s="24" t="s">
        <v>308</v>
      </c>
      <c r="C70" s="4" t="str">
        <f t="shared" si="1"/>
        <v>share</v>
      </c>
      <c r="D70" s="4">
        <f t="shared" si="2"/>
        <v>5</v>
      </c>
      <c r="E70" s="4">
        <f>IF(IFERROR(VLOOKUP(LEFT(C70,14),consolidado!D:D,1,0),0)&gt;0,1,0)</f>
        <v>0</v>
      </c>
      <c r="G70" s="4" t="str">
        <f>IFERROR(__xludf.DUMMYFUNCTION("""COMPUTED_VALUE"""),"[VIDEO] Diputados deberán someterse a test de drogas")</f>
        <v>[VIDEO] Diputados deberán someterse a test de drogas</v>
      </c>
      <c r="H70" s="22">
        <f>IF(IFERROR(VLOOKUP(LEFT(C70,14),consolidado!D:D,1,0),0)&gt;0,1,0)</f>
        <v>0</v>
      </c>
    </row>
    <row r="71" ht="15.75" customHeight="1">
      <c r="B71" s="24" t="s">
        <v>309</v>
      </c>
      <c r="C71" s="4" t="str">
        <f t="shared" si="1"/>
        <v>more_vert</v>
      </c>
      <c r="D71" s="4">
        <f t="shared" si="2"/>
        <v>9</v>
      </c>
      <c r="E71" s="4">
        <f>IF(IFERROR(VLOOKUP(LEFT(C71,14),consolidado!D:D,1,0),0)&gt;0,1,0)</f>
        <v>0</v>
      </c>
      <c r="G71" s="4" t="str">
        <f>IFERROR(__xludf.DUMMYFUNCTION("""COMPUTED_VALUE"""),"Juan Antonio Coloma (UDI): ""Quisimos agregar una reforma que obligue a los ministro y al Presidente a realizarse el test de droga""")</f>
        <v>Juan Antonio Coloma (UDI): "Quisimos agregar una reforma que obligue a los ministro y al Presidente a realizarse el test de droga"</v>
      </c>
      <c r="H71" s="22">
        <f>IF(IFERROR(VLOOKUP(LEFT(C71,14),consolidado!D:D,1,0),0)&gt;0,1,0)</f>
        <v>0</v>
      </c>
    </row>
    <row r="72" ht="15.75" customHeight="1">
      <c r="B72" s="28"/>
      <c r="C72" s="4" t="str">
        <f t="shared" si="1"/>
        <v/>
      </c>
      <c r="D72" s="4">
        <f t="shared" si="2"/>
        <v>0</v>
      </c>
      <c r="E72" s="4">
        <f>IF(IFERROR(VLOOKUP(LEFT(C72,14),consolidado!D:D,1,0),0)&gt;0,1,0)</f>
        <v>1</v>
      </c>
      <c r="G72" s="4" t="str">
        <f>IFERROR(__xludf.DUMMYFUNCTION("""COMPUTED_VALUE"""),"Cuatro detenidos en taller clandestino que modificaba armas en La Pintana")</f>
        <v>Cuatro detenidos en taller clandestino que modificaba armas en La Pintana</v>
      </c>
      <c r="H72" s="22">
        <f>IF(IFERROR(VLOOKUP(LEFT(C72,14),consolidado!D:D,1,0),0)&gt;0,1,0)</f>
        <v>1</v>
      </c>
    </row>
    <row r="73" ht="15.75" customHeight="1">
      <c r="B73" s="19" t="s">
        <v>303</v>
      </c>
      <c r="C73" s="4" t="str">
        <f t="shared" si="1"/>
        <v>La Tercera</v>
      </c>
      <c r="D73" s="4">
        <f t="shared" si="2"/>
        <v>10</v>
      </c>
      <c r="E73" s="4">
        <f>IF(IFERROR(VLOOKUP(LEFT(C73,14),consolidado!D:D,1,0),0)&gt;0,1,0)</f>
        <v>0</v>
      </c>
      <c r="G73" s="4" t="str">
        <f>IFERROR(__xludf.DUMMYFUNCTION("""COMPUTED_VALUE"""),"Diputado Coloma pide darle urgencia a proyecto de ley que extiende a otros poderes del Estado el test antidrogas")</f>
        <v>Diputado Coloma pide darle urgencia a proyecto de ley que extiende a otros poderes del Estado el test antidrogas</v>
      </c>
      <c r="H73" s="22">
        <f>IF(IFERROR(VLOOKUP(LEFT(C73,14),consolidado!D:D,1,0),0)&gt;0,1,0)</f>
        <v>0</v>
      </c>
    </row>
    <row r="74" ht="15.75" customHeight="1">
      <c r="B74" s="21" t="s">
        <v>31</v>
      </c>
      <c r="C74" s="4" t="str">
        <f t="shared" si="1"/>
        <v>Un test que incomoda: las jugadas que barajan los diputados para impedir que se publiquen los resultados de examen de drogas</v>
      </c>
      <c r="D74" s="4">
        <f t="shared" si="2"/>
        <v>124</v>
      </c>
      <c r="E74" s="4">
        <f>IF(IFERROR(VLOOKUP(LEFT(C74,14),consolidado!D:D,1,0),0)&gt;0,1,0)</f>
        <v>1</v>
      </c>
      <c r="G74" s="4" t="str">
        <f>IFERROR(__xludf.DUMMYFUNCTION("""COMPUTED_VALUE"""),"El Senado vetó los controles de droga como los que pide Vox para no ofender a los parlamentarios")</f>
        <v>El Senado vetó los controles de droga como los que pide Vox para no ofender a los parlamentarios</v>
      </c>
      <c r="H74" s="22">
        <f>IF(IFERROR(VLOOKUP(LEFT(C74,14),consolidado!D:D,1,0),0)&gt;0,1,0)</f>
        <v>1</v>
      </c>
    </row>
    <row r="75" ht="15.75" customHeight="1">
      <c r="B75" s="29">
        <v>44790.0</v>
      </c>
      <c r="C75" s="4" t="str">
        <f t="shared" si="1"/>
        <v>44790</v>
      </c>
      <c r="D75" s="4">
        <f t="shared" si="2"/>
        <v>5</v>
      </c>
      <c r="E75" s="4">
        <f>IF(IFERROR(VLOOKUP(LEFT(C75,14),consolidado!D:D,1,0),0)&gt;0,1,0)</f>
        <v>0</v>
      </c>
      <c r="G75" s="4" t="str">
        <f>IFERROR(__xludf.DUMMYFUNCTION("""COMPUTED_VALUE"""),"63 diputados confesaron que consumieron algún tipo de drogas alguna vez")</f>
        <v>63 diputados confesaron que consumieron algún tipo de drogas alguna vez</v>
      </c>
      <c r="H75" s="22">
        <f>IF(IFERROR(VLOOKUP(LEFT(C75,14),consolidado!D:D,1,0),0)&gt;0,1,0)</f>
        <v>0</v>
      </c>
    </row>
    <row r="76" ht="15.75" customHeight="1">
      <c r="B76" s="24" t="s">
        <v>307</v>
      </c>
      <c r="C76" s="4" t="str">
        <f t="shared" si="1"/>
        <v>bookmark_border</v>
      </c>
      <c r="D76" s="4">
        <f t="shared" si="2"/>
        <v>15</v>
      </c>
      <c r="E76" s="4">
        <f>IF(IFERROR(VLOOKUP(LEFT(C76,14),consolidado!D:D,1,0),0)&gt;0,1,0)</f>
        <v>0</v>
      </c>
      <c r="G76" s="4" t="str">
        <f>IFERROR(__xludf.DUMMYFUNCTION("""COMPUTED_VALUE"""),"Vendían en el persa Biobío: Detienen a narcotraficantes que importaban droga desde Cali")</f>
        <v>Vendían en el persa Biobío: Detienen a narcotraficantes que importaban droga desde Cali</v>
      </c>
      <c r="H76" s="22">
        <f>IF(IFERROR(VLOOKUP(LEFT(C76,14),consolidado!D:D,1,0),0)&gt;0,1,0)</f>
        <v>0</v>
      </c>
    </row>
    <row r="77" ht="15.75" customHeight="1">
      <c r="B77" s="24" t="s">
        <v>308</v>
      </c>
      <c r="C77" s="4" t="str">
        <f t="shared" si="1"/>
        <v>share</v>
      </c>
      <c r="D77" s="4">
        <f t="shared" si="2"/>
        <v>5</v>
      </c>
      <c r="E77" s="4">
        <f>IF(IFERROR(VLOOKUP(LEFT(C77,14),consolidado!D:D,1,0),0)&gt;0,1,0)</f>
        <v>0</v>
      </c>
      <c r="G77" s="4" t="str">
        <f>IFERROR(__xludf.DUMMYFUNCTION("""COMPUTED_VALUE"""),"Por controversiales dichos, diputado Gonzalo de la Carrera será llevado al Tribunal de Ética de la Cámara")</f>
        <v>Por controversiales dichos, diputado Gonzalo de la Carrera será llevado al Tribunal de Ética de la Cámara</v>
      </c>
      <c r="H77" s="22">
        <f>IF(IFERROR(VLOOKUP(LEFT(C77,14),consolidado!D:D,1,0),0)&gt;0,1,0)</f>
        <v>0</v>
      </c>
    </row>
    <row r="78" ht="15.75" customHeight="1">
      <c r="B78" s="24" t="s">
        <v>309</v>
      </c>
      <c r="C78" s="4" t="str">
        <f t="shared" si="1"/>
        <v>more_vert</v>
      </c>
      <c r="D78" s="4">
        <f t="shared" si="2"/>
        <v>9</v>
      </c>
      <c r="E78" s="4">
        <f>IF(IFERROR(VLOOKUP(LEFT(C78,14),consolidado!D:D,1,0),0)&gt;0,1,0)</f>
        <v>0</v>
      </c>
      <c r="G78" s="4" t="str">
        <f>IFERROR(__xludf.DUMMYFUNCTION("""COMPUTED_VALUE"""),"Jefe de la Bancada Republicana y llamado de Vallejo a que oposición se ponga de acuerdo por Plebiscito: ""Dejen de intervenir en un proceso democrático que nos pertenece a todos""")</f>
        <v>Jefe de la Bancada Republicana y llamado de Vallejo a que oposición se ponga de acuerdo por Plebiscito: "Dejen de intervenir en un proceso democrático que nos pertenece a todos"</v>
      </c>
      <c r="H78" s="22">
        <f>IF(IFERROR(VLOOKUP(LEFT(C78,14),consolidado!D:D,1,0),0)&gt;0,1,0)</f>
        <v>0</v>
      </c>
    </row>
    <row r="79" ht="15.75" customHeight="1">
      <c r="B79" s="28"/>
      <c r="C79" s="4" t="str">
        <f t="shared" si="1"/>
        <v/>
      </c>
      <c r="D79" s="4">
        <f t="shared" si="2"/>
        <v>0</v>
      </c>
      <c r="E79" s="4">
        <f>IF(IFERROR(VLOOKUP(LEFT(C79,14),consolidado!D:D,1,0),0)&gt;0,1,0)</f>
        <v>1</v>
      </c>
      <c r="G79" s="4" t="str">
        <f>IFERROR(__xludf.DUMMYFUNCTION("""COMPUTED_VALUE"""),"Debutó este lunes la rendición de la PAES en todo Chile, examen que reemplaza a la PDT de transición y a la antigua PSU")</f>
        <v>Debutó este lunes la rendición de la PAES en todo Chile, examen que reemplaza a la PDT de transición y a la antigua PSU</v>
      </c>
      <c r="H79" s="22">
        <f>IF(IFERROR(VLOOKUP(LEFT(C79,14),consolidado!D:D,1,0),0)&gt;0,1,0)</f>
        <v>1</v>
      </c>
    </row>
    <row r="80" ht="15.75" customHeight="1">
      <c r="B80" s="19" t="s">
        <v>303</v>
      </c>
      <c r="C80" s="4" t="str">
        <f t="shared" si="1"/>
        <v>La Tercera</v>
      </c>
      <c r="D80" s="4">
        <f t="shared" si="2"/>
        <v>10</v>
      </c>
      <c r="E80" s="4">
        <f>IF(IFERROR(VLOOKUP(LEFT(C80,14),consolidado!D:D,1,0),0)&gt;0,1,0)</f>
        <v>0</v>
      </c>
      <c r="G80" s="4" t="str">
        <f>IFERROR(__xludf.DUMMYFUNCTION("""COMPUTED_VALUE"""),"Presupuesto 2023: Gobierno lo presentará esta semana al Congreso")</f>
        <v>Presupuesto 2023: Gobierno lo presentará esta semana al Congreso</v>
      </c>
      <c r="H80" s="22">
        <f>IF(IFERROR(VLOOKUP(LEFT(C80,14),consolidado!D:D,1,0),0)&gt;0,1,0)</f>
        <v>0</v>
      </c>
    </row>
    <row r="81" ht="15.75" customHeight="1">
      <c r="B81" s="21" t="s">
        <v>33</v>
      </c>
      <c r="C81" s="4" t="str">
        <f t="shared" si="1"/>
        <v>Test de drogas a diputados avanza en la Cámara: propuesta incluye inhabilidades y alza de secreto bancario</v>
      </c>
      <c r="D81" s="4">
        <f t="shared" si="2"/>
        <v>106</v>
      </c>
      <c r="E81" s="4">
        <f>IF(IFERROR(VLOOKUP(LEFT(C81,14),consolidado!D:D,1,0),0)&gt;0,1,0)</f>
        <v>1</v>
      </c>
      <c r="G81" s="4" t="str">
        <f>IFERROR(__xludf.DUMMYFUNCTION("""COMPUTED_VALUE"""),"Debía vigilar a narcos y era uno de ellos: así operaba funcionario de gobierno condenado por tráfico")</f>
        <v>Debía vigilar a narcos y era uno de ellos: así operaba funcionario de gobierno condenado por tráfico</v>
      </c>
      <c r="H81" s="22">
        <f>IF(IFERROR(VLOOKUP(LEFT(C81,14),consolidado!D:D,1,0),0)&gt;0,1,0)</f>
        <v>1</v>
      </c>
      <c r="I81" s="8"/>
    </row>
    <row r="82" ht="15.75" customHeight="1">
      <c r="B82" s="29">
        <v>44740.0</v>
      </c>
      <c r="C82" s="4" t="str">
        <f t="shared" si="1"/>
        <v>44740</v>
      </c>
      <c r="D82" s="4">
        <f t="shared" si="2"/>
        <v>5</v>
      </c>
      <c r="E82" s="4">
        <f>IF(IFERROR(VLOOKUP(LEFT(C82,14),consolidado!D:D,1,0),0)&gt;0,1,0)</f>
        <v>0</v>
      </c>
      <c r="G82" s="4" t="str">
        <f>IFERROR(__xludf.DUMMYFUNCTION("""COMPUTED_VALUE"""),"El tenso cruce entre Karol Cariola y Pamela Jiles")</f>
        <v>El tenso cruce entre Karol Cariola y Pamela Jiles</v>
      </c>
      <c r="H82" s="22">
        <f>IF(IFERROR(VLOOKUP(LEFT(C82,14),consolidado!D:D,1,0),0)&gt;0,1,0)</f>
        <v>0</v>
      </c>
    </row>
    <row r="83" ht="15.75" customHeight="1">
      <c r="B83" s="24" t="s">
        <v>307</v>
      </c>
      <c r="C83" s="4" t="str">
        <f t="shared" si="1"/>
        <v>bookmark_border</v>
      </c>
      <c r="D83" s="4">
        <f t="shared" si="2"/>
        <v>15</v>
      </c>
      <c r="E83" s="4">
        <f>IF(IFERROR(VLOOKUP(LEFT(C83,14),consolidado!D:D,1,0),0)&gt;0,1,0)</f>
        <v>0</v>
      </c>
      <c r="G83" s="4" t="str">
        <f>IFERROR(__xludf.DUMMYFUNCTION("""COMPUTED_VALUE"""),"“Como somos mujeres podemos, hemos aprendido a hacer varias cosas a la vez”: la respuesta de Tohá a diputados que reclamaron no ser escuchados en la Cámara")</f>
        <v>“Como somos mujeres podemos, hemos aprendido a hacer varias cosas a la vez”: la respuesta de Tohá a diputados que reclamaron no ser escuchados en la Cámara</v>
      </c>
      <c r="H83" s="22">
        <f>IF(IFERROR(VLOOKUP(LEFT(C83,14),consolidado!D:D,1,0),0)&gt;0,1,0)</f>
        <v>0</v>
      </c>
    </row>
    <row r="84" ht="15.75" customHeight="1">
      <c r="B84" s="24" t="s">
        <v>308</v>
      </c>
      <c r="C84" s="4" t="str">
        <f t="shared" si="1"/>
        <v>share</v>
      </c>
      <c r="D84" s="4">
        <f t="shared" si="2"/>
        <v>5</v>
      </c>
      <c r="E84" s="4">
        <f>IF(IFERROR(VLOOKUP(LEFT(C84,14),consolidado!D:D,1,0),0)&gt;0,1,0)</f>
        <v>0</v>
      </c>
      <c r="G84" s="4" t="str">
        <f>IFERROR(__xludf.DUMMYFUNCTION("""COMPUTED_VALUE"""),"Cámara denuncia amenazas contra diputados por continuidad del proceso constituyente")</f>
        <v>Cámara denuncia amenazas contra diputados por continuidad del proceso constituyente</v>
      </c>
      <c r="H84" s="22">
        <f>IF(IFERROR(VLOOKUP(LEFT(C84,14),consolidado!D:D,1,0),0)&gt;0,1,0)</f>
        <v>0</v>
      </c>
    </row>
    <row r="85" ht="15.75" customHeight="1">
      <c r="B85" s="24" t="s">
        <v>309</v>
      </c>
      <c r="C85" s="4" t="str">
        <f t="shared" si="1"/>
        <v>more_vert</v>
      </c>
      <c r="D85" s="4">
        <f t="shared" si="2"/>
        <v>9</v>
      </c>
      <c r="E85" s="4">
        <f>IF(IFERROR(VLOOKUP(LEFT(C85,14),consolidado!D:D,1,0),0)&gt;0,1,0)</f>
        <v>0</v>
      </c>
      <c r="G85" s="4" t="str">
        <f>IFERROR(__xludf.DUMMYFUNCTION("""COMPUTED_VALUE"""),"Los otros políticos que han vinculado a parlamentarios con el consumo de drogas")</f>
        <v>Los otros políticos que han vinculado a parlamentarios con el consumo de drogas</v>
      </c>
      <c r="H85" s="22">
        <f>IF(IFERROR(VLOOKUP(LEFT(C85,14),consolidado!D:D,1,0),0)&gt;0,1,0)</f>
        <v>0</v>
      </c>
    </row>
    <row r="86" ht="15.75" customHeight="1">
      <c r="B86" s="28"/>
      <c r="C86" s="4" t="str">
        <f t="shared" si="1"/>
        <v/>
      </c>
      <c r="D86" s="4">
        <f t="shared" si="2"/>
        <v>0</v>
      </c>
      <c r="E86" s="4">
        <f>IF(IFERROR(VLOOKUP(LEFT(C86,14),consolidado!D:D,1,0),0)&gt;0,1,0)</f>
        <v>1</v>
      </c>
      <c r="G86" s="4" t="str">
        <f>IFERROR(__xludf.DUMMYFUNCTION("""COMPUTED_VALUE"""),"Moller &amp; Pérez-Cotapos presenta: Presidente de la Cámara de Diputados por dichos de Boric si gana el Rechazo: ""Ninguno puede imponer su posición""")</f>
        <v>Moller &amp; Pérez-Cotapos presenta: Presidente de la Cámara de Diputados por dichos de Boric si gana el Rechazo: "Ninguno puede imponer su posición"</v>
      </c>
      <c r="H86" s="22">
        <f>IF(IFERROR(VLOOKUP(LEFT(C86,14),consolidado!D:D,1,0),0)&gt;0,1,0)</f>
        <v>1</v>
      </c>
    </row>
    <row r="87" ht="15.75" customHeight="1">
      <c r="B87" s="30" t="s">
        <v>315</v>
      </c>
      <c r="C87" s="4" t="str">
        <f t="shared" si="1"/>
        <v>BioBioChile</v>
      </c>
      <c r="D87" s="4">
        <f t="shared" si="2"/>
        <v>11</v>
      </c>
      <c r="E87" s="4">
        <f>IF(IFERROR(VLOOKUP(LEFT(C87,14),consolidado!D:D,1,0),0)&gt;0,1,0)</f>
        <v>0</v>
      </c>
      <c r="G87" s="4" t="str">
        <f>IFERROR(__xludf.DUMMYFUNCTION("""COMPUTED_VALUE"""),"A un acuerdo total habrían llegado gremio de camioneros y el Gobierno, con lo cual se pone fin al paro en todo Chile")</f>
        <v>A un acuerdo total habrían llegado gremio de camioneros y el Gobierno, con lo cual se pone fin al paro en todo Chile</v>
      </c>
      <c r="H87" s="22">
        <f>IF(IFERROR(VLOOKUP(LEFT(C87,14),consolidado!D:D,1,0),0)&gt;0,1,0)</f>
        <v>0</v>
      </c>
    </row>
    <row r="88" ht="15.75" customHeight="1">
      <c r="B88" s="21" t="s">
        <v>35</v>
      </c>
      <c r="C88" s="4" t="str">
        <f t="shared" si="1"/>
        <v>Test de drogas: diputados oficialistas acusan maniobra política de la oposición</v>
      </c>
      <c r="D88" s="4">
        <f t="shared" si="2"/>
        <v>79</v>
      </c>
      <c r="E88" s="4">
        <f>IF(IFERROR(VLOOKUP(LEFT(C88,14),consolidado!D:D,1,0),0)&gt;0,1,0)</f>
        <v>1</v>
      </c>
      <c r="G88" s="4" t="str">
        <f>IFERROR(__xludf.DUMMYFUNCTION("""COMPUTED_VALUE"""),"Bulnes: Equipo municipal se sometió a examen de detección de drogas")</f>
        <v>Bulnes: Equipo municipal se sometió a examen de detección de drogas</v>
      </c>
      <c r="H88" s="22">
        <f>IF(IFERROR(VLOOKUP(LEFT(C88,14),consolidado!D:D,1,0),0)&gt;0,1,0)</f>
        <v>1</v>
      </c>
    </row>
    <row r="89" ht="15.75" customHeight="1">
      <c r="B89" s="29">
        <v>44802.0</v>
      </c>
      <c r="C89" s="4" t="str">
        <f t="shared" si="1"/>
        <v>44802</v>
      </c>
      <c r="D89" s="4">
        <f t="shared" si="2"/>
        <v>5</v>
      </c>
      <c r="E89" s="4">
        <f>IF(IFERROR(VLOOKUP(LEFT(C89,14),consolidado!D:D,1,0),0)&gt;0,1,0)</f>
        <v>0</v>
      </c>
      <c r="G89" s="4" t="str">
        <f>IFERROR(__xludf.DUMMYFUNCTION("""COMPUTED_VALUE"""),"Organización Mundial de la salud le asignó un nuevo nombre a la Viruela del Mono para evitar burlas y comentarios racistas")</f>
        <v>Organización Mundial de la salud le asignó un nuevo nombre a la Viruela del Mono para evitar burlas y comentarios racistas</v>
      </c>
      <c r="H89" s="22">
        <f>IF(IFERROR(VLOOKUP(LEFT(C89,14),consolidado!D:D,1,0),0)&gt;0,1,0)</f>
        <v>0</v>
      </c>
    </row>
    <row r="90" ht="15.75" customHeight="1">
      <c r="B90" s="24" t="s">
        <v>307</v>
      </c>
      <c r="C90" s="4" t="str">
        <f t="shared" si="1"/>
        <v>bookmark_border</v>
      </c>
      <c r="D90" s="4">
        <f t="shared" si="2"/>
        <v>15</v>
      </c>
      <c r="E90" s="4">
        <f>IF(IFERROR(VLOOKUP(LEFT(C90,14),consolidado!D:D,1,0),0)&gt;0,1,0)</f>
        <v>0</v>
      </c>
      <c r="G90" s="4" t="str">
        <f>IFERROR(__xludf.DUMMYFUNCTION("""COMPUTED_VALUE"""),"Saludo a la bandera")</f>
        <v>Saludo a la bandera</v>
      </c>
      <c r="H90" s="22">
        <f>IF(IFERROR(VLOOKUP(LEFT(C90,14),consolidado!D:D,1,0),0)&gt;0,1,0)</f>
        <v>0</v>
      </c>
    </row>
    <row r="91" ht="15.75" customHeight="1">
      <c r="B91" s="24" t="s">
        <v>308</v>
      </c>
      <c r="C91" s="4" t="str">
        <f t="shared" si="1"/>
        <v>share</v>
      </c>
      <c r="D91" s="4">
        <f t="shared" si="2"/>
        <v>5</v>
      </c>
      <c r="E91" s="4">
        <f>IF(IFERROR(VLOOKUP(LEFT(C91,14),consolidado!D:D,1,0),0)&gt;0,1,0)</f>
        <v>0</v>
      </c>
      <c r="G91" s="4" t="str">
        <f>IFERROR(__xludf.DUMMYFUNCTION("""COMPUTED_VALUE"""),"COVID-19: Casos confirmados disminuyen 16% en los últimos 7 días. Este domingo se reportaron 4.077 nuevos contagios y 20 fallecidos")</f>
        <v>COVID-19: Casos confirmados disminuyen 16% en los últimos 7 días. Este domingo se reportaron 4.077 nuevos contagios y 20 fallecidos</v>
      </c>
      <c r="H91" s="22">
        <f>IF(IFERROR(VLOOKUP(LEFT(C91,14),consolidado!D:D,1,0),0)&gt;0,1,0)</f>
        <v>0</v>
      </c>
    </row>
    <row r="92" ht="15.75" customHeight="1">
      <c r="B92" s="24" t="s">
        <v>309</v>
      </c>
      <c r="C92" s="4" t="str">
        <f t="shared" si="1"/>
        <v>more_vert</v>
      </c>
      <c r="D92" s="4">
        <f t="shared" si="2"/>
        <v>9</v>
      </c>
      <c r="E92" s="4">
        <f>IF(IFERROR(VLOOKUP(LEFT(C92,14),consolidado!D:D,1,0),0)&gt;0,1,0)</f>
        <v>0</v>
      </c>
      <c r="G92" s="4" t="str">
        <f>IFERROR(__xludf.DUMMYFUNCTION("""COMPUTED_VALUE"""),"Diputada Camila Flores, reconoce que se sorprendió gratamente con el apoyo de Irina Karamanos, tras sufrir “violencia ginecológica en el parto”, que la tuvo hospitalizada por semanas")</f>
        <v>Diputada Camila Flores, reconoce que se sorprendió gratamente con el apoyo de Irina Karamanos, tras sufrir “violencia ginecológica en el parto”, que la tuvo hospitalizada por semanas</v>
      </c>
      <c r="H92" s="22">
        <f>IF(IFERROR(VLOOKUP(LEFT(C92,14),consolidado!D:D,1,0),0)&gt;0,1,0)</f>
        <v>0</v>
      </c>
    </row>
    <row r="93" ht="15.75" customHeight="1">
      <c r="B93" s="28"/>
      <c r="C93" s="4" t="str">
        <f t="shared" si="1"/>
        <v/>
      </c>
      <c r="D93" s="4">
        <f t="shared" si="2"/>
        <v>0</v>
      </c>
      <c r="E93" s="4">
        <f>IF(IFERROR(VLOOKUP(LEFT(C93,14),consolidado!D:D,1,0),0)&gt;0,1,0)</f>
        <v>1</v>
      </c>
      <c r="G93" s="4" t="str">
        <f>IFERROR(__xludf.DUMMYFUNCTION("""COMPUTED_VALUE"""),"Diputado Francisco Pulgar y test de drogas: “Es un gran paso en materia de transparencia”")</f>
        <v>Diputado Francisco Pulgar y test de drogas: “Es un gran paso en materia de transparencia”</v>
      </c>
      <c r="H93" s="22">
        <f>IF(IFERROR(VLOOKUP(LEFT(C93,14),consolidado!D:D,1,0),0)&gt;0,1,0)</f>
        <v>1</v>
      </c>
    </row>
    <row r="94" ht="15.75" customHeight="1">
      <c r="B94" s="19" t="s">
        <v>303</v>
      </c>
      <c r="C94" s="4" t="str">
        <f t="shared" si="1"/>
        <v>La Tercera</v>
      </c>
      <c r="D94" s="4">
        <f t="shared" si="2"/>
        <v>10</v>
      </c>
      <c r="E94" s="4">
        <f>IF(IFERROR(VLOOKUP(LEFT(C94,14),consolidado!D:D,1,0),0)&gt;0,1,0)</f>
        <v>0</v>
      </c>
      <c r="G94" s="4" t="str">
        <f>IFERROR(__xludf.DUMMYFUNCTION("""COMPUTED_VALUE"""),"Nelson Ávila, agricultor y escritor: “Fui tildado como el niño símbolo de la cannabis, pero las veces que consumí fueron muy esporádicas”")</f>
        <v>Nelson Ávila, agricultor y escritor: “Fui tildado como el niño símbolo de la cannabis, pero las veces que consumí fueron muy esporádicas”</v>
      </c>
      <c r="H94" s="22">
        <f>IF(IFERROR(VLOOKUP(LEFT(C94,14),consolidado!D:D,1,0),0)&gt;0,1,0)</f>
        <v>0</v>
      </c>
    </row>
    <row r="95" ht="15.75" customHeight="1">
      <c r="B95" s="21" t="s">
        <v>37</v>
      </c>
      <c r="C95" s="4" t="str">
        <f t="shared" si="1"/>
        <v>El test de drogas (y la ofensiva de la UDI y Jiles) que incomoda a la Cámara de Diputados</v>
      </c>
      <c r="D95" s="4">
        <f t="shared" si="2"/>
        <v>89</v>
      </c>
      <c r="E95" s="4">
        <f>IF(IFERROR(VLOOKUP(LEFT(C95,14),consolidado!D:D,1,0),0)&gt;0,1,0)</f>
        <v>1</v>
      </c>
      <c r="G95" s="4" t="str">
        <f>IFERROR(__xludf.DUMMYFUNCTION("""COMPUTED_VALUE"""),"Florcita, drogas y prejuicios: ""Piensan que la gente de izquierda se mete cualquier cosa a la boca""")</f>
        <v>Florcita, drogas y prejuicios: "Piensan que la gente de izquierda se mete cualquier cosa a la boca"</v>
      </c>
      <c r="H95" s="22">
        <f>IF(IFERROR(VLOOKUP(LEFT(C95,14),consolidado!D:D,1,0),0)&gt;0,1,0)</f>
        <v>1</v>
      </c>
    </row>
    <row r="96" ht="15.75" customHeight="1">
      <c r="B96" s="29">
        <v>44726.0</v>
      </c>
      <c r="C96" s="4" t="str">
        <f t="shared" si="1"/>
        <v>44726</v>
      </c>
      <c r="D96" s="4">
        <f t="shared" si="2"/>
        <v>5</v>
      </c>
      <c r="E96" s="4">
        <f>IF(IFERROR(VLOOKUP(LEFT(C96,14),consolidado!D:D,1,0),0)&gt;0,1,0)</f>
        <v>0</v>
      </c>
      <c r="G96" s="4" t="str">
        <f>IFERROR(__xludf.DUMMYFUNCTION("""COMPUTED_VALUE"""),"TPP11: Senado votará este miércoles el tratado a pesar de resistencia oficialista")</f>
        <v>TPP11: Senado votará este miércoles el tratado a pesar de resistencia oficialista</v>
      </c>
      <c r="H96" s="22">
        <f>IF(IFERROR(VLOOKUP(LEFT(C96,14),consolidado!D:D,1,0),0)&gt;0,1,0)</f>
        <v>0</v>
      </c>
    </row>
    <row r="97" ht="15.75" customHeight="1">
      <c r="B97" s="24" t="s">
        <v>307</v>
      </c>
      <c r="C97" s="4" t="str">
        <f t="shared" si="1"/>
        <v>bookmark_border</v>
      </c>
      <c r="D97" s="4">
        <f t="shared" si="2"/>
        <v>15</v>
      </c>
      <c r="E97" s="4">
        <f>IF(IFERROR(VLOOKUP(LEFT(C97,14),consolidado!D:D,1,0),0)&gt;0,1,0)</f>
        <v>0</v>
      </c>
      <c r="G97" s="4" t="str">
        <f>IFERROR(__xludf.DUMMYFUNCTION("""COMPUTED_VALUE"""),"Wladimir Pizarro Baltras, el operador político narco que ahora RN desconoce")</f>
        <v>Wladimir Pizarro Baltras, el operador político narco que ahora RN desconoce</v>
      </c>
      <c r="H97" s="22">
        <f>IF(IFERROR(VLOOKUP(LEFT(C97,14),consolidado!D:D,1,0),0)&gt;0,1,0)</f>
        <v>0</v>
      </c>
    </row>
    <row r="98" ht="15.75" customHeight="1">
      <c r="B98" s="24" t="s">
        <v>308</v>
      </c>
      <c r="C98" s="4" t="str">
        <f t="shared" si="1"/>
        <v>share</v>
      </c>
      <c r="D98" s="4">
        <f t="shared" si="2"/>
        <v>5</v>
      </c>
      <c r="E98" s="4">
        <f>IF(IFERROR(VLOOKUP(LEFT(C98,14),consolidado!D:D,1,0),0)&gt;0,1,0)</f>
        <v>0</v>
      </c>
      <c r="G98" s="4" t="str">
        <f>IFERROR(__xludf.DUMMYFUNCTION("""COMPUTED_VALUE"""),"Boric se molestó con la prensa por pregunta sobre fecha del test de drogas: ""Basta de instalar mentiras""")</f>
        <v>Boric se molestó con la prensa por pregunta sobre fecha del test de drogas: "Basta de instalar mentiras"</v>
      </c>
      <c r="H98" s="22">
        <f>IF(IFERROR(VLOOKUP(LEFT(C98,14),consolidado!D:D,1,0),0)&gt;0,1,0)</f>
        <v>0</v>
      </c>
    </row>
    <row r="99" ht="15.75" customHeight="1">
      <c r="B99" s="24" t="s">
        <v>309</v>
      </c>
      <c r="C99" s="4" t="str">
        <f t="shared" si="1"/>
        <v>more_vert</v>
      </c>
      <c r="D99" s="4">
        <f t="shared" si="2"/>
        <v>9</v>
      </c>
      <c r="E99" s="4">
        <f>IF(IFERROR(VLOOKUP(LEFT(C99,14),consolidado!D:D,1,0),0)&gt;0,1,0)</f>
        <v>0</v>
      </c>
      <c r="G99" s="4" t="str">
        <f>IFERROR(__xludf.DUMMYFUNCTION("""COMPUTED_VALUE"""),"Ipsos: Confianza de los consumidores chilenos vuelve a bajar durante noviembre")</f>
        <v>Ipsos: Confianza de los consumidores chilenos vuelve a bajar durante noviembre</v>
      </c>
      <c r="H99" s="22">
        <f>IF(IFERROR(VLOOKUP(LEFT(C99,14),consolidado!D:D,1,0),0)&gt;0,1,0)</f>
        <v>0</v>
      </c>
    </row>
    <row r="100" ht="15.75" customHeight="1">
      <c r="B100" s="28"/>
      <c r="C100" s="4" t="str">
        <f t="shared" si="1"/>
        <v/>
      </c>
      <c r="D100" s="4">
        <f t="shared" si="2"/>
        <v>0</v>
      </c>
      <c r="E100" s="4">
        <f>IF(IFERROR(VLOOKUP(LEFT(C100,14),consolidado!D:D,1,0),0)&gt;0,1,0)</f>
        <v>1</v>
      </c>
      <c r="G100" s="4" t="str">
        <f>IFERROR(__xludf.DUMMYFUNCTION("""COMPUTED_VALUE"""),"Paro de camioneros: Fantasma de desabastecimiento o menores productos, sumado a posibles aumentos de precios, intimida transversalmente")</f>
        <v>Paro de camioneros: Fantasma de desabastecimiento o menores productos, sumado a posibles aumentos de precios, intimida transversalmente</v>
      </c>
      <c r="H100" s="22">
        <f>IF(IFERROR(VLOOKUP(LEFT(C100,14),consolidado!D:D,1,0),0)&gt;0,1,0)</f>
        <v>1</v>
      </c>
    </row>
    <row r="101" ht="15.75" customHeight="1">
      <c r="B101" s="19" t="s">
        <v>303</v>
      </c>
      <c r="C101" s="4" t="str">
        <f t="shared" si="1"/>
        <v>La Tercera</v>
      </c>
      <c r="D101" s="4">
        <f t="shared" si="2"/>
        <v>10</v>
      </c>
      <c r="E101" s="4">
        <f>IF(IFERROR(VLOOKUP(LEFT(C101,14),consolidado!D:D,1,0),0)&gt;0,1,0)</f>
        <v>0</v>
      </c>
      <c r="G101" s="4" t="str">
        <f>IFERROR(__xludf.DUMMYFUNCTION("""COMPUTED_VALUE"""),"Presidente de la Cámara realizó convocatoria para ""retomar y dar continuidad a la mesa de conversación constitucional""")</f>
        <v>Presidente de la Cámara realizó convocatoria para "retomar y dar continuidad a la mesa de conversación constitucional"</v>
      </c>
      <c r="H101" s="22">
        <f>IF(IFERROR(VLOOKUP(LEFT(C101,14),consolidado!D:D,1,0),0)&gt;0,1,0)</f>
        <v>0</v>
      </c>
    </row>
    <row r="102" ht="15.75" customHeight="1">
      <c r="B102" s="21" t="s">
        <v>39</v>
      </c>
      <c r="C102" s="4" t="str">
        <f t="shared" si="1"/>
        <v>Columna de Pablo Carvacho: Test de drogas para parlamentarios</v>
      </c>
      <c r="D102" s="4">
        <f t="shared" si="2"/>
        <v>61</v>
      </c>
      <c r="E102" s="4">
        <f>IF(IFERROR(VLOOKUP(LEFT(C102,14),consolidado!D:D,1,0),0)&gt;0,1,0)</f>
        <v>1</v>
      </c>
      <c r="G102" s="4" t="str">
        <f>IFERROR(__xludf.DUMMYFUNCTION("""COMPUTED_VALUE"""),"Chile impulsa el primer Foro Anual Sobre Defensoras y Defensores de DDHH en Asuntos Ambientales")</f>
        <v>Chile impulsa el primer Foro Anual Sobre Defensoras y Defensores de DDHH en Asuntos Ambientales</v>
      </c>
      <c r="H102" s="22">
        <f>IF(IFERROR(VLOOKUP(LEFT(C102,14),consolidado!D:D,1,0),0)&gt;0,1,0)</f>
        <v>1</v>
      </c>
    </row>
    <row r="103" ht="15.75" customHeight="1">
      <c r="B103" s="23" t="s">
        <v>318</v>
      </c>
      <c r="C103" s="4" t="str">
        <f t="shared" si="1"/>
        <v>26 agoOpinión</v>
      </c>
      <c r="D103" s="4">
        <f t="shared" si="2"/>
        <v>13</v>
      </c>
      <c r="E103" s="4">
        <f>IF(IFERROR(VLOOKUP(LEFT(C103,14),consolidado!D:D,1,0),0)&gt;0,1,0)</f>
        <v>0</v>
      </c>
      <c r="G103" s="4" t="str">
        <f>IFERROR(__xludf.DUMMYFUNCTION("""COMPUTED_VALUE"""),"Columna de Diana Aurenque: La era de las drogas")</f>
        <v>Columna de Diana Aurenque: La era de las drogas</v>
      </c>
      <c r="H103" s="22">
        <f>IF(IFERROR(VLOOKUP(LEFT(C103,14),consolidado!D:D,1,0),0)&gt;0,1,0)</f>
        <v>0</v>
      </c>
    </row>
    <row r="104" ht="15.75" customHeight="1">
      <c r="B104" s="24" t="s">
        <v>307</v>
      </c>
      <c r="C104" s="4" t="str">
        <f t="shared" si="1"/>
        <v>bookmark_border</v>
      </c>
      <c r="D104" s="4">
        <f t="shared" si="2"/>
        <v>15</v>
      </c>
      <c r="E104" s="4">
        <f>IF(IFERROR(VLOOKUP(LEFT(C104,14),consolidado!D:D,1,0),0)&gt;0,1,0)</f>
        <v>0</v>
      </c>
      <c r="H104" s="22">
        <f>IF(IFERROR(VLOOKUP(LEFT(C104,14),consolidado!D:D,1,0),0)&gt;0,1,0)</f>
        <v>0</v>
      </c>
    </row>
    <row r="105" ht="15.75" customHeight="1">
      <c r="B105" s="24" t="s">
        <v>308</v>
      </c>
      <c r="C105" s="4" t="str">
        <f t="shared" si="1"/>
        <v>share</v>
      </c>
      <c r="D105" s="4">
        <f t="shared" si="2"/>
        <v>5</v>
      </c>
      <c r="E105" s="4">
        <f>IF(IFERROR(VLOOKUP(LEFT(C105,14),consolidado!D:D,1,0),0)&gt;0,1,0)</f>
        <v>0</v>
      </c>
      <c r="H105" s="22">
        <f>IF(IFERROR(VLOOKUP(LEFT(C105,14),consolidado!D:D,1,0),0)&gt;0,1,0)</f>
        <v>0</v>
      </c>
    </row>
    <row r="106" ht="15.75" customHeight="1">
      <c r="B106" s="24" t="s">
        <v>309</v>
      </c>
      <c r="C106" s="4" t="str">
        <f t="shared" si="1"/>
        <v>more_vert</v>
      </c>
      <c r="D106" s="4">
        <f t="shared" si="2"/>
        <v>9</v>
      </c>
      <c r="E106" s="4">
        <f>IF(IFERROR(VLOOKUP(LEFT(C106,14),consolidado!D:D,1,0),0)&gt;0,1,0)</f>
        <v>0</v>
      </c>
      <c r="H106" s="22">
        <f>IF(IFERROR(VLOOKUP(LEFT(C106,14),consolidado!D:D,1,0),0)&gt;0,1,0)</f>
        <v>0</v>
      </c>
    </row>
    <row r="107" ht="15.75" customHeight="1">
      <c r="B107" s="28"/>
      <c r="C107" s="4" t="str">
        <f t="shared" si="1"/>
        <v/>
      </c>
      <c r="D107" s="4">
        <f t="shared" si="2"/>
        <v>0</v>
      </c>
      <c r="E107" s="4">
        <f>IF(IFERROR(VLOOKUP(LEFT(C107,14),consolidado!D:D,1,0),0)&gt;0,1,0)</f>
        <v>1</v>
      </c>
      <c r="H107" s="22">
        <f>IF(IFERROR(VLOOKUP(LEFT(C107,14),consolidado!D:D,1,0),0)&gt;0,1,0)</f>
        <v>1</v>
      </c>
    </row>
    <row r="108" ht="15.75" customHeight="1">
      <c r="B108" s="30" t="s">
        <v>319</v>
      </c>
      <c r="C108" s="4" t="str">
        <f t="shared" si="1"/>
        <v>pauta</v>
      </c>
      <c r="D108" s="4">
        <f t="shared" si="2"/>
        <v>5</v>
      </c>
      <c r="E108" s="4">
        <f>IF(IFERROR(VLOOKUP(LEFT(C108,14),consolidado!D:D,1,0),0)&gt;0,1,0)</f>
        <v>0</v>
      </c>
    </row>
    <row r="109" ht="15.75" customHeight="1">
      <c r="B109" s="21" t="s">
        <v>42</v>
      </c>
      <c r="C109" s="4" t="str">
        <f t="shared" si="1"/>
        <v>Test de drogas para diputados: ¿Cómo funciona el examen de pelo para detectar el consumo?</v>
      </c>
      <c r="D109" s="4">
        <f t="shared" si="2"/>
        <v>89</v>
      </c>
      <c r="E109" s="4">
        <f>IF(IFERROR(VLOOKUP(LEFT(C109,14),consolidado!D:D,1,0),0)&gt;0,1,0)</f>
        <v>1</v>
      </c>
    </row>
    <row r="110" ht="15.75" customHeight="1">
      <c r="B110" s="29">
        <v>44799.0</v>
      </c>
      <c r="C110" s="4" t="str">
        <f t="shared" si="1"/>
        <v>44799</v>
      </c>
      <c r="D110" s="4">
        <f t="shared" si="2"/>
        <v>5</v>
      </c>
      <c r="E110" s="4">
        <f>IF(IFERROR(VLOOKUP(LEFT(C110,14),consolidado!D:D,1,0),0)&gt;0,1,0)</f>
        <v>0</v>
      </c>
    </row>
    <row r="111" ht="15.75" customHeight="1">
      <c r="B111" s="24" t="s">
        <v>307</v>
      </c>
      <c r="C111" s="4" t="str">
        <f t="shared" si="1"/>
        <v>bookmark_border</v>
      </c>
      <c r="D111" s="4">
        <f t="shared" si="2"/>
        <v>15</v>
      </c>
      <c r="E111" s="4">
        <f>IF(IFERROR(VLOOKUP(LEFT(C111,14),consolidado!D:D,1,0),0)&gt;0,1,0)</f>
        <v>0</v>
      </c>
    </row>
    <row r="112" ht="15.75" customHeight="1">
      <c r="B112" s="24" t="s">
        <v>308</v>
      </c>
      <c r="C112" s="4" t="str">
        <f t="shared" si="1"/>
        <v>share</v>
      </c>
      <c r="D112" s="4">
        <f t="shared" si="2"/>
        <v>5</v>
      </c>
      <c r="E112" s="4">
        <f>IF(IFERROR(VLOOKUP(LEFT(C112,14),consolidado!D:D,1,0),0)&gt;0,1,0)</f>
        <v>0</v>
      </c>
    </row>
    <row r="113" ht="15.75" customHeight="1">
      <c r="B113" s="24" t="s">
        <v>309</v>
      </c>
      <c r="C113" s="4" t="str">
        <f t="shared" si="1"/>
        <v>more_vert</v>
      </c>
      <c r="D113" s="4">
        <f t="shared" si="2"/>
        <v>9</v>
      </c>
      <c r="E113" s="4">
        <f>IF(IFERROR(VLOOKUP(LEFT(C113,14),consolidado!D:D,1,0),0)&gt;0,1,0)</f>
        <v>0</v>
      </c>
    </row>
    <row r="114" ht="15.75" customHeight="1">
      <c r="B114" s="28"/>
      <c r="C114" s="4" t="str">
        <f t="shared" si="1"/>
        <v/>
      </c>
      <c r="D114" s="4">
        <f t="shared" si="2"/>
        <v>0</v>
      </c>
      <c r="E114" s="4">
        <f>IF(IFERROR(VLOOKUP(LEFT(C114,14),consolidado!D:D,1,0),0)&gt;0,1,0)</f>
        <v>1</v>
      </c>
    </row>
    <row r="115" ht="15.75" customHeight="1">
      <c r="B115" s="19" t="s">
        <v>303</v>
      </c>
      <c r="C115" s="4" t="str">
        <f t="shared" si="1"/>
        <v>La Tercera</v>
      </c>
      <c r="D115" s="4">
        <f t="shared" si="2"/>
        <v>10</v>
      </c>
      <c r="E115" s="4">
        <f>IF(IFERROR(VLOOKUP(LEFT(C115,14),consolidado!D:D,1,0),0)&gt;0,1,0)</f>
        <v>0</v>
      </c>
    </row>
    <row r="116" ht="15.75" customHeight="1">
      <c r="B116" s="21" t="s">
        <v>45</v>
      </c>
      <c r="C116" s="4" t="str">
        <f t="shared" si="1"/>
        <v>Corte de Apelaciones de Valparaíso da luz verde a difusión de resultados de test de drogas a diputados</v>
      </c>
      <c r="D116" s="4">
        <f t="shared" si="2"/>
        <v>102</v>
      </c>
      <c r="E116" s="4">
        <f>IF(IFERROR(VLOOKUP(LEFT(C116,14),consolidado!D:D,1,0),0)&gt;0,1,0)</f>
        <v>1</v>
      </c>
    </row>
    <row r="117" ht="15.75" customHeight="1">
      <c r="B117" s="29">
        <v>44831.0</v>
      </c>
      <c r="C117" s="4" t="str">
        <f t="shared" si="1"/>
        <v>44831</v>
      </c>
      <c r="D117" s="4">
        <f t="shared" si="2"/>
        <v>5</v>
      </c>
      <c r="E117" s="4">
        <f>IF(IFERROR(VLOOKUP(LEFT(C117,14),consolidado!D:D,1,0),0)&gt;0,1,0)</f>
        <v>0</v>
      </c>
    </row>
    <row r="118" ht="15.75" customHeight="1">
      <c r="B118" s="24" t="s">
        <v>307</v>
      </c>
      <c r="C118" s="4" t="str">
        <f t="shared" si="1"/>
        <v>bookmark_border</v>
      </c>
      <c r="D118" s="4">
        <f t="shared" si="2"/>
        <v>15</v>
      </c>
      <c r="E118" s="4">
        <f>IF(IFERROR(VLOOKUP(LEFT(C118,14),consolidado!D:D,1,0),0)&gt;0,1,0)</f>
        <v>0</v>
      </c>
    </row>
    <row r="119" ht="15.75" customHeight="1">
      <c r="B119" s="24" t="s">
        <v>308</v>
      </c>
      <c r="C119" s="4" t="str">
        <f t="shared" si="1"/>
        <v>share</v>
      </c>
      <c r="D119" s="4">
        <f t="shared" si="2"/>
        <v>5</v>
      </c>
      <c r="E119" s="4">
        <f>IF(IFERROR(VLOOKUP(LEFT(C119,14),consolidado!D:D,1,0),0)&gt;0,1,0)</f>
        <v>0</v>
      </c>
    </row>
    <row r="120" ht="15.75" customHeight="1">
      <c r="B120" s="24" t="s">
        <v>309</v>
      </c>
      <c r="C120" s="4" t="str">
        <f t="shared" si="1"/>
        <v>more_vert</v>
      </c>
      <c r="D120" s="4">
        <f t="shared" si="2"/>
        <v>9</v>
      </c>
      <c r="E120" s="4">
        <f>IF(IFERROR(VLOOKUP(LEFT(C120,14),consolidado!D:D,1,0),0)&gt;0,1,0)</f>
        <v>0</v>
      </c>
    </row>
    <row r="121" ht="15.75" customHeight="1">
      <c r="B121" s="28"/>
      <c r="C121" s="4" t="str">
        <f t="shared" si="1"/>
        <v/>
      </c>
      <c r="D121" s="4">
        <f t="shared" si="2"/>
        <v>0</v>
      </c>
      <c r="E121" s="4">
        <f>IF(IFERROR(VLOOKUP(LEFT(C121,14),consolidado!D:D,1,0),0)&gt;0,1,0)</f>
        <v>1</v>
      </c>
    </row>
    <row r="122" ht="15.75" customHeight="1">
      <c r="B122" s="19" t="s">
        <v>303</v>
      </c>
      <c r="C122" s="4" t="str">
        <f t="shared" si="1"/>
        <v>La Tercera</v>
      </c>
      <c r="D122" s="4">
        <f t="shared" si="2"/>
        <v>10</v>
      </c>
      <c r="E122" s="4">
        <f>IF(IFERROR(VLOOKUP(LEFT(C122,14),consolidado!D:D,1,0),0)&gt;0,1,0)</f>
        <v>0</v>
      </c>
    </row>
    <row r="123" ht="15.75" customHeight="1">
      <c r="B123" s="21" t="s">
        <v>47</v>
      </c>
      <c r="C123" s="4" t="str">
        <f t="shared" si="1"/>
        <v>Test de drogas a políticos: un tema que causa polémica en el mundo</v>
      </c>
      <c r="D123" s="4">
        <f t="shared" si="2"/>
        <v>66</v>
      </c>
      <c r="E123" s="4">
        <f>IF(IFERROR(VLOOKUP(LEFT(C123,14),consolidado!D:D,1,0),0)&gt;0,1,0)</f>
        <v>1</v>
      </c>
    </row>
    <row r="124" ht="15.75" customHeight="1">
      <c r="B124" s="29">
        <v>44764.0</v>
      </c>
      <c r="C124" s="4" t="str">
        <f t="shared" si="1"/>
        <v>44764</v>
      </c>
      <c r="D124" s="4">
        <f t="shared" si="2"/>
        <v>5</v>
      </c>
      <c r="E124" s="4">
        <f>IF(IFERROR(VLOOKUP(LEFT(C124,14),consolidado!D:D,1,0),0)&gt;0,1,0)</f>
        <v>0</v>
      </c>
    </row>
    <row r="125" ht="15.75" customHeight="1">
      <c r="B125" s="24" t="s">
        <v>307</v>
      </c>
      <c r="C125" s="4" t="str">
        <f t="shared" si="1"/>
        <v>bookmark_border</v>
      </c>
      <c r="D125" s="4">
        <f t="shared" si="2"/>
        <v>15</v>
      </c>
      <c r="E125" s="4">
        <f>IF(IFERROR(VLOOKUP(LEFT(C125,14),consolidado!D:D,1,0),0)&gt;0,1,0)</f>
        <v>0</v>
      </c>
    </row>
    <row r="126" ht="15.75" customHeight="1">
      <c r="B126" s="24" t="s">
        <v>308</v>
      </c>
      <c r="C126" s="4" t="str">
        <f t="shared" si="1"/>
        <v>share</v>
      </c>
      <c r="D126" s="4">
        <f t="shared" si="2"/>
        <v>5</v>
      </c>
      <c r="E126" s="4">
        <f>IF(IFERROR(VLOOKUP(LEFT(C126,14),consolidado!D:D,1,0),0)&gt;0,1,0)</f>
        <v>0</v>
      </c>
    </row>
    <row r="127" ht="15.75" customHeight="1">
      <c r="B127" s="24" t="s">
        <v>309</v>
      </c>
      <c r="C127" s="4" t="str">
        <f t="shared" si="1"/>
        <v>more_vert</v>
      </c>
      <c r="D127" s="4">
        <f t="shared" si="2"/>
        <v>9</v>
      </c>
      <c r="E127" s="4">
        <f>IF(IFERROR(VLOOKUP(LEFT(C127,14),consolidado!D:D,1,0),0)&gt;0,1,0)</f>
        <v>0</v>
      </c>
    </row>
    <row r="128" ht="15.75" customHeight="1">
      <c r="B128" s="28"/>
      <c r="C128" s="4" t="str">
        <f t="shared" si="1"/>
        <v/>
      </c>
      <c r="D128" s="4">
        <f t="shared" si="2"/>
        <v>0</v>
      </c>
      <c r="E128" s="4">
        <f>IF(IFERROR(VLOOKUP(LEFT(C128,14),consolidado!D:D,1,0),0)&gt;0,1,0)</f>
        <v>1</v>
      </c>
    </row>
    <row r="129" ht="15.75" customHeight="1">
      <c r="B129" s="30" t="s">
        <v>315</v>
      </c>
      <c r="C129" s="4" t="str">
        <f t="shared" si="1"/>
        <v>BioBioChile</v>
      </c>
      <c r="D129" s="4">
        <f t="shared" si="2"/>
        <v>11</v>
      </c>
      <c r="E129" s="4">
        <f>IF(IFERROR(VLOOKUP(LEFT(C129,14),consolidado!D:D,1,0),0)&gt;0,1,0)</f>
        <v>0</v>
      </c>
    </row>
    <row r="130" ht="15.75" customHeight="1">
      <c r="B130" s="21" t="s">
        <v>50</v>
      </c>
      <c r="C130" s="4" t="str">
        <f t="shared" si="1"/>
        <v>Test de drogas: Cámara Baja extiende plazo para que 78 parlamentarios sorteados se realicen examen</v>
      </c>
      <c r="D130" s="4">
        <f t="shared" si="2"/>
        <v>98</v>
      </c>
      <c r="E130" s="4">
        <f>IF(IFERROR(VLOOKUP(LEFT(C130,14),consolidado!D:D,1,0),0)&gt;0,1,0)</f>
        <v>1</v>
      </c>
    </row>
    <row r="131" ht="15.75" customHeight="1">
      <c r="B131" s="29">
        <v>44804.0</v>
      </c>
      <c r="C131" s="4" t="str">
        <f t="shared" si="1"/>
        <v>44804</v>
      </c>
      <c r="D131" s="4">
        <f t="shared" si="2"/>
        <v>5</v>
      </c>
      <c r="E131" s="4">
        <f>IF(IFERROR(VLOOKUP(LEFT(C131,14),consolidado!D:D,1,0),0)&gt;0,1,0)</f>
        <v>0</v>
      </c>
    </row>
    <row r="132" ht="15.75" customHeight="1">
      <c r="B132" s="24" t="s">
        <v>307</v>
      </c>
      <c r="C132" s="4" t="str">
        <f t="shared" si="1"/>
        <v>bookmark_border</v>
      </c>
      <c r="D132" s="4">
        <f t="shared" si="2"/>
        <v>15</v>
      </c>
      <c r="E132" s="4">
        <f>IF(IFERROR(VLOOKUP(LEFT(C132,14),consolidado!D:D,1,0),0)&gt;0,1,0)</f>
        <v>0</v>
      </c>
    </row>
    <row r="133" ht="15.75" customHeight="1">
      <c r="B133" s="24" t="s">
        <v>308</v>
      </c>
      <c r="C133" s="4" t="str">
        <f t="shared" si="1"/>
        <v>share</v>
      </c>
      <c r="D133" s="4">
        <f t="shared" si="2"/>
        <v>5</v>
      </c>
      <c r="E133" s="4">
        <f>IF(IFERROR(VLOOKUP(LEFT(C133,14),consolidado!D:D,1,0),0)&gt;0,1,0)</f>
        <v>0</v>
      </c>
    </row>
    <row r="134" ht="15.75" customHeight="1">
      <c r="B134" s="24" t="s">
        <v>309</v>
      </c>
      <c r="C134" s="4" t="str">
        <f t="shared" si="1"/>
        <v>more_vert</v>
      </c>
      <c r="D134" s="4">
        <f t="shared" si="2"/>
        <v>9</v>
      </c>
      <c r="E134" s="4">
        <f>IF(IFERROR(VLOOKUP(LEFT(C134,14),consolidado!D:D,1,0),0)&gt;0,1,0)</f>
        <v>0</v>
      </c>
    </row>
    <row r="135" ht="15.75" customHeight="1">
      <c r="B135" s="28"/>
      <c r="C135" s="4" t="str">
        <f t="shared" si="1"/>
        <v/>
      </c>
      <c r="D135" s="4">
        <f t="shared" si="2"/>
        <v>0</v>
      </c>
      <c r="E135" s="4">
        <f>IF(IFERROR(VLOOKUP(LEFT(C135,14),consolidado!D:D,1,0),0)&gt;0,1,0)</f>
        <v>1</v>
      </c>
    </row>
    <row r="136" ht="15.75" customHeight="1">
      <c r="B136" s="30" t="s">
        <v>320</v>
      </c>
      <c r="C136" s="4" t="str">
        <f t="shared" si="1"/>
        <v>Ex-Ante</v>
      </c>
      <c r="D136" s="4">
        <f t="shared" si="2"/>
        <v>7</v>
      </c>
      <c r="E136" s="4">
        <f>IF(IFERROR(VLOOKUP(LEFT(C136,14),consolidado!D:D,1,0),0)&gt;0,1,0)</f>
        <v>0</v>
      </c>
    </row>
    <row r="137" ht="15.75" customHeight="1">
      <c r="B137" s="21" t="s">
        <v>52</v>
      </c>
      <c r="C137" s="4" t="str">
        <f t="shared" si="1"/>
        <v>Jorge Schaulsohn y test de drogas: “Es patético que los parlamentarios se presten para este show”</v>
      </c>
      <c r="D137" s="4">
        <f t="shared" si="2"/>
        <v>99</v>
      </c>
      <c r="E137" s="4">
        <f>IF(IFERROR(VLOOKUP(LEFT(C137,14),consolidado!D:D,1,0),0)&gt;0,1,0)</f>
        <v>1</v>
      </c>
    </row>
    <row r="138" ht="15.75" customHeight="1">
      <c r="B138" s="29">
        <v>44796.0</v>
      </c>
      <c r="C138" s="4" t="str">
        <f t="shared" si="1"/>
        <v>44796</v>
      </c>
      <c r="D138" s="4">
        <f t="shared" si="2"/>
        <v>5</v>
      </c>
      <c r="E138" s="4">
        <f>IF(IFERROR(VLOOKUP(LEFT(C138,14),consolidado!D:D,1,0),0)&gt;0,1,0)</f>
        <v>0</v>
      </c>
    </row>
    <row r="139" ht="15.75" customHeight="1">
      <c r="B139" s="24" t="s">
        <v>307</v>
      </c>
      <c r="C139" s="4" t="str">
        <f t="shared" si="1"/>
        <v>bookmark_border</v>
      </c>
      <c r="D139" s="4">
        <f t="shared" si="2"/>
        <v>15</v>
      </c>
      <c r="E139" s="4">
        <f>IF(IFERROR(VLOOKUP(LEFT(C139,14),consolidado!D:D,1,0),0)&gt;0,1,0)</f>
        <v>0</v>
      </c>
    </row>
    <row r="140" ht="15.75" customHeight="1">
      <c r="B140" s="24" t="s">
        <v>308</v>
      </c>
      <c r="C140" s="4" t="str">
        <f t="shared" si="1"/>
        <v>share</v>
      </c>
      <c r="D140" s="4">
        <f t="shared" si="2"/>
        <v>5</v>
      </c>
      <c r="E140" s="4">
        <f>IF(IFERROR(VLOOKUP(LEFT(C140,14),consolidado!D:D,1,0),0)&gt;0,1,0)</f>
        <v>0</v>
      </c>
    </row>
    <row r="141" ht="15.75" customHeight="1">
      <c r="B141" s="24" t="s">
        <v>309</v>
      </c>
      <c r="C141" s="4" t="str">
        <f t="shared" si="1"/>
        <v>more_vert</v>
      </c>
      <c r="D141" s="4">
        <f t="shared" si="2"/>
        <v>9</v>
      </c>
      <c r="E141" s="4">
        <f>IF(IFERROR(VLOOKUP(LEFT(C141,14),consolidado!D:D,1,0),0)&gt;0,1,0)</f>
        <v>0</v>
      </c>
    </row>
    <row r="142" ht="15.75" customHeight="1">
      <c r="B142" s="28"/>
      <c r="C142" s="4" t="str">
        <f t="shared" si="1"/>
        <v/>
      </c>
      <c r="D142" s="4">
        <f t="shared" si="2"/>
        <v>0</v>
      </c>
      <c r="E142" s="4">
        <f>IF(IFERROR(VLOOKUP(LEFT(C142,14),consolidado!D:D,1,0),0)&gt;0,1,0)</f>
        <v>1</v>
      </c>
    </row>
    <row r="143" ht="15.75" customHeight="1">
      <c r="B143" s="30" t="s">
        <v>315</v>
      </c>
      <c r="C143" s="4" t="str">
        <f t="shared" si="1"/>
        <v>BioBioChile</v>
      </c>
      <c r="D143" s="4">
        <f t="shared" si="2"/>
        <v>11</v>
      </c>
      <c r="E143" s="4">
        <f>IF(IFERROR(VLOOKUP(LEFT(C143,14),consolidado!D:D,1,0),0)&gt;0,1,0)</f>
        <v>0</v>
      </c>
    </row>
    <row r="144" ht="15.75" customHeight="1">
      <c r="B144" s="21" t="s">
        <v>54</v>
      </c>
      <c r="C144" s="4" t="str">
        <f t="shared" si="1"/>
        <v>Test de drogas en Cámara Baja: el debate sobre si la medida invade el derecho a la vida privada</v>
      </c>
      <c r="D144" s="4">
        <f t="shared" si="2"/>
        <v>95</v>
      </c>
      <c r="E144" s="4">
        <f>IF(IFERROR(VLOOKUP(LEFT(C144,14),consolidado!D:D,1,0),0)&gt;0,1,0)</f>
        <v>1</v>
      </c>
    </row>
    <row r="145" ht="15.75" customHeight="1">
      <c r="B145" s="29">
        <v>44794.0</v>
      </c>
      <c r="C145" s="4" t="str">
        <f t="shared" si="1"/>
        <v>44794</v>
      </c>
      <c r="D145" s="4">
        <f t="shared" si="2"/>
        <v>5</v>
      </c>
      <c r="E145" s="4">
        <f>IF(IFERROR(VLOOKUP(LEFT(C145,14),consolidado!D:D,1,0),0)&gt;0,1,0)</f>
        <v>0</v>
      </c>
    </row>
    <row r="146" ht="15.75" customHeight="1">
      <c r="B146" s="24" t="s">
        <v>307</v>
      </c>
      <c r="C146" s="4" t="str">
        <f t="shared" si="1"/>
        <v>bookmark_border</v>
      </c>
      <c r="D146" s="4">
        <f t="shared" si="2"/>
        <v>15</v>
      </c>
      <c r="E146" s="4">
        <f>IF(IFERROR(VLOOKUP(LEFT(C146,14),consolidado!D:D,1,0),0)&gt;0,1,0)</f>
        <v>0</v>
      </c>
    </row>
    <row r="147" ht="15.75" customHeight="1">
      <c r="B147" s="24" t="s">
        <v>308</v>
      </c>
      <c r="C147" s="4" t="str">
        <f t="shared" si="1"/>
        <v>share</v>
      </c>
      <c r="D147" s="4">
        <f t="shared" si="2"/>
        <v>5</v>
      </c>
      <c r="E147" s="4">
        <f>IF(IFERROR(VLOOKUP(LEFT(C147,14),consolidado!D:D,1,0),0)&gt;0,1,0)</f>
        <v>0</v>
      </c>
    </row>
    <row r="148" ht="15.75" customHeight="1">
      <c r="B148" s="24" t="s">
        <v>309</v>
      </c>
      <c r="C148" s="4" t="str">
        <f t="shared" si="1"/>
        <v>more_vert</v>
      </c>
      <c r="D148" s="4">
        <f t="shared" si="2"/>
        <v>9</v>
      </c>
      <c r="E148" s="4">
        <f>IF(IFERROR(VLOOKUP(LEFT(C148,14),consolidado!D:D,1,0),0)&gt;0,1,0)</f>
        <v>0</v>
      </c>
    </row>
    <row r="149" ht="15.75" customHeight="1">
      <c r="B149" s="28"/>
      <c r="C149" s="4" t="str">
        <f t="shared" si="1"/>
        <v/>
      </c>
      <c r="D149" s="4">
        <f t="shared" si="2"/>
        <v>0</v>
      </c>
      <c r="E149" s="4">
        <f>IF(IFERROR(VLOOKUP(LEFT(C149,14),consolidado!D:D,1,0),0)&gt;0,1,0)</f>
        <v>1</v>
      </c>
    </row>
    <row r="150" ht="15.75" customHeight="1">
      <c r="B150" s="19" t="s">
        <v>303</v>
      </c>
      <c r="C150" s="4" t="str">
        <f t="shared" si="1"/>
        <v>La Tercera</v>
      </c>
      <c r="D150" s="4">
        <f t="shared" si="2"/>
        <v>10</v>
      </c>
      <c r="E150" s="4">
        <f>IF(IFERROR(VLOOKUP(LEFT(C150,14),consolidado!D:D,1,0),0)&gt;0,1,0)</f>
        <v>0</v>
      </c>
    </row>
    <row r="151" ht="15.75" customHeight="1">
      <c r="B151" s="21" t="s">
        <v>56</v>
      </c>
      <c r="C151" s="4" t="str">
        <f t="shared" si="1"/>
        <v>Test de drogas: diputadas que no se realizaron la prueba entregaron sus descargos en la comisión de Ética de la Cámara</v>
      </c>
      <c r="D151" s="4">
        <f t="shared" si="2"/>
        <v>118</v>
      </c>
      <c r="E151" s="4">
        <f>IF(IFERROR(VLOOKUP(LEFT(C151,14),consolidado!D:D,1,0),0)&gt;0,1,0)</f>
        <v>1</v>
      </c>
    </row>
    <row r="152" ht="15.75" customHeight="1">
      <c r="B152" s="29">
        <v>44853.0</v>
      </c>
      <c r="C152" s="4" t="str">
        <f t="shared" si="1"/>
        <v>44853</v>
      </c>
      <c r="D152" s="4">
        <f t="shared" si="2"/>
        <v>5</v>
      </c>
      <c r="E152" s="4">
        <f>IF(IFERROR(VLOOKUP(LEFT(C152,14),consolidado!D:D,1,0),0)&gt;0,1,0)</f>
        <v>0</v>
      </c>
    </row>
    <row r="153" ht="15.75" customHeight="1">
      <c r="B153" s="24" t="s">
        <v>307</v>
      </c>
      <c r="C153" s="4" t="str">
        <f t="shared" si="1"/>
        <v>bookmark_border</v>
      </c>
      <c r="D153" s="4">
        <f t="shared" si="2"/>
        <v>15</v>
      </c>
      <c r="E153" s="4">
        <f>IF(IFERROR(VLOOKUP(LEFT(C153,14),consolidado!D:D,1,0),0)&gt;0,1,0)</f>
        <v>0</v>
      </c>
    </row>
    <row r="154" ht="15.75" customHeight="1">
      <c r="B154" s="24" t="s">
        <v>308</v>
      </c>
      <c r="C154" s="4" t="str">
        <f t="shared" si="1"/>
        <v>share</v>
      </c>
      <c r="D154" s="4">
        <f t="shared" si="2"/>
        <v>5</v>
      </c>
      <c r="E154" s="4">
        <f>IF(IFERROR(VLOOKUP(LEFT(C154,14),consolidado!D:D,1,0),0)&gt;0,1,0)</f>
        <v>0</v>
      </c>
    </row>
    <row r="155" ht="15.75" customHeight="1">
      <c r="B155" s="24" t="s">
        <v>309</v>
      </c>
      <c r="C155" s="4" t="str">
        <f t="shared" si="1"/>
        <v>more_vert</v>
      </c>
      <c r="D155" s="4">
        <f t="shared" si="2"/>
        <v>9</v>
      </c>
      <c r="E155" s="4">
        <f>IF(IFERROR(VLOOKUP(LEFT(C155,14),consolidado!D:D,1,0),0)&gt;0,1,0)</f>
        <v>0</v>
      </c>
    </row>
    <row r="156" ht="15.75" customHeight="1">
      <c r="B156" s="28"/>
      <c r="C156" s="4" t="str">
        <f t="shared" si="1"/>
        <v/>
      </c>
      <c r="D156" s="4">
        <f t="shared" si="2"/>
        <v>0</v>
      </c>
      <c r="E156" s="4">
        <f>IF(IFERROR(VLOOKUP(LEFT(C156,14),consolidado!D:D,1,0),0)&gt;0,1,0)</f>
        <v>1</v>
      </c>
    </row>
    <row r="157" ht="15.75" customHeight="1">
      <c r="B157" s="19" t="s">
        <v>303</v>
      </c>
      <c r="C157" s="4" t="str">
        <f t="shared" si="1"/>
        <v>La Tercera</v>
      </c>
      <c r="D157" s="4">
        <f t="shared" si="2"/>
        <v>10</v>
      </c>
      <c r="E157" s="4">
        <f>IF(IFERROR(VLOOKUP(LEFT(C157,14),consolidado!D:D,1,0),0)&gt;0,1,0)</f>
        <v>0</v>
      </c>
    </row>
    <row r="158" ht="15.75" customHeight="1">
      <c r="B158" s="21" t="s">
        <v>58</v>
      </c>
      <c r="C158" s="4" t="str">
        <f t="shared" si="1"/>
        <v>Comisión de Ética de la Cámara no llega a acuerdo en las sanciones para diputados que no se realizaron el test de drogas</v>
      </c>
      <c r="D158" s="4">
        <f t="shared" si="2"/>
        <v>120</v>
      </c>
      <c r="E158" s="4">
        <f>IF(IFERROR(VLOOKUP(LEFT(C158,14),consolidado!D:D,1,0),0)&gt;0,1,0)</f>
        <v>1</v>
      </c>
    </row>
    <row r="159" ht="15.75" customHeight="1">
      <c r="B159" s="29">
        <v>44860.0</v>
      </c>
      <c r="C159" s="4" t="str">
        <f t="shared" si="1"/>
        <v>44860</v>
      </c>
      <c r="D159" s="4">
        <f t="shared" si="2"/>
        <v>5</v>
      </c>
      <c r="E159" s="4">
        <f>IF(IFERROR(VLOOKUP(LEFT(C159,14),consolidado!D:D,1,0),0)&gt;0,1,0)</f>
        <v>0</v>
      </c>
    </row>
    <row r="160" ht="15.75" customHeight="1">
      <c r="B160" s="24" t="s">
        <v>307</v>
      </c>
      <c r="C160" s="4" t="str">
        <f t="shared" si="1"/>
        <v>bookmark_border</v>
      </c>
      <c r="D160" s="4">
        <f t="shared" si="2"/>
        <v>15</v>
      </c>
      <c r="E160" s="4">
        <f>IF(IFERROR(VLOOKUP(LEFT(C160,14),consolidado!D:D,1,0),0)&gt;0,1,0)</f>
        <v>0</v>
      </c>
    </row>
    <row r="161" ht="15.75" customHeight="1">
      <c r="B161" s="24" t="s">
        <v>308</v>
      </c>
      <c r="C161" s="4" t="str">
        <f t="shared" si="1"/>
        <v>share</v>
      </c>
      <c r="D161" s="4">
        <f t="shared" si="2"/>
        <v>5</v>
      </c>
      <c r="E161" s="4">
        <f>IF(IFERROR(VLOOKUP(LEFT(C161,14),consolidado!D:D,1,0),0)&gt;0,1,0)</f>
        <v>0</v>
      </c>
    </row>
    <row r="162" ht="15.75" customHeight="1">
      <c r="B162" s="24" t="s">
        <v>309</v>
      </c>
      <c r="C162" s="4" t="str">
        <f t="shared" si="1"/>
        <v>more_vert</v>
      </c>
      <c r="D162" s="4">
        <f t="shared" si="2"/>
        <v>9</v>
      </c>
      <c r="E162" s="4">
        <f>IF(IFERROR(VLOOKUP(LEFT(C162,14),consolidado!D:D,1,0),0)&gt;0,1,0)</f>
        <v>0</v>
      </c>
    </row>
    <row r="163" ht="15.75" customHeight="1">
      <c r="B163" s="28"/>
      <c r="C163" s="4" t="str">
        <f t="shared" si="1"/>
        <v/>
      </c>
      <c r="D163" s="4">
        <f t="shared" si="2"/>
        <v>0</v>
      </c>
      <c r="E163" s="4">
        <f>IF(IFERROR(VLOOKUP(LEFT(C163,14),consolidado!D:D,1,0),0)&gt;0,1,0)</f>
        <v>1</v>
      </c>
    </row>
    <row r="164" ht="15.75" customHeight="1">
      <c r="B164" s="30" t="s">
        <v>321</v>
      </c>
      <c r="C164" s="4" t="str">
        <f t="shared" si="1"/>
        <v>Radio Concierto</v>
      </c>
      <c r="D164" s="4">
        <f t="shared" si="2"/>
        <v>15</v>
      </c>
      <c r="E164" s="4">
        <f>IF(IFERROR(VLOOKUP(LEFT(C164,14),consolidado!D:D,1,0),0)&gt;0,1,0)</f>
        <v>0</v>
      </c>
    </row>
    <row r="165" ht="15.75" customHeight="1">
      <c r="B165" s="21" t="s">
        <v>60</v>
      </c>
      <c r="C165" s="4" t="str">
        <f t="shared" si="1"/>
        <v>Test de drogas: ¿Influye el consumo de sustancias de los parlamentarios?</v>
      </c>
      <c r="D165" s="4">
        <f t="shared" si="2"/>
        <v>72</v>
      </c>
      <c r="E165" s="4">
        <f>IF(IFERROR(VLOOKUP(LEFT(C165,14),consolidado!D:D,1,0),0)&gt;0,1,0)</f>
        <v>1</v>
      </c>
    </row>
    <row r="166" ht="15.75" customHeight="1">
      <c r="B166" s="29">
        <v>44777.0</v>
      </c>
      <c r="C166" s="4" t="str">
        <f t="shared" si="1"/>
        <v>44777</v>
      </c>
      <c r="D166" s="4">
        <f t="shared" si="2"/>
        <v>5</v>
      </c>
      <c r="E166" s="4">
        <f>IF(IFERROR(VLOOKUP(LEFT(C166,14),consolidado!D:D,1,0),0)&gt;0,1,0)</f>
        <v>0</v>
      </c>
    </row>
    <row r="167" ht="15.75" customHeight="1">
      <c r="B167" s="24" t="s">
        <v>307</v>
      </c>
      <c r="C167" s="4" t="str">
        <f t="shared" si="1"/>
        <v>bookmark_border</v>
      </c>
      <c r="D167" s="4">
        <f t="shared" si="2"/>
        <v>15</v>
      </c>
      <c r="E167" s="4">
        <f>IF(IFERROR(VLOOKUP(LEFT(C167,14),consolidado!D:D,1,0),0)&gt;0,1,0)</f>
        <v>0</v>
      </c>
    </row>
    <row r="168" ht="15.75" customHeight="1">
      <c r="B168" s="24" t="s">
        <v>308</v>
      </c>
      <c r="C168" s="4" t="str">
        <f t="shared" si="1"/>
        <v>share</v>
      </c>
      <c r="D168" s="4">
        <f t="shared" si="2"/>
        <v>5</v>
      </c>
      <c r="E168" s="4">
        <f>IF(IFERROR(VLOOKUP(LEFT(C168,14),consolidado!D:D,1,0),0)&gt;0,1,0)</f>
        <v>0</v>
      </c>
    </row>
    <row r="169" ht="15.75" customHeight="1">
      <c r="B169" s="24" t="s">
        <v>309</v>
      </c>
      <c r="C169" s="4" t="str">
        <f t="shared" si="1"/>
        <v>more_vert</v>
      </c>
      <c r="D169" s="4">
        <f t="shared" si="2"/>
        <v>9</v>
      </c>
      <c r="E169" s="4">
        <f>IF(IFERROR(VLOOKUP(LEFT(C169,14),consolidado!D:D,1,0),0)&gt;0,1,0)</f>
        <v>0</v>
      </c>
    </row>
    <row r="170" ht="15.75" customHeight="1">
      <c r="B170" s="28"/>
      <c r="C170" s="4" t="str">
        <f t="shared" si="1"/>
        <v/>
      </c>
      <c r="D170" s="4">
        <f t="shared" si="2"/>
        <v>0</v>
      </c>
      <c r="E170" s="4">
        <f>IF(IFERROR(VLOOKUP(LEFT(C170,14),consolidado!D:D,1,0),0)&gt;0,1,0)</f>
        <v>1</v>
      </c>
    </row>
    <row r="171" ht="15.75" customHeight="1">
      <c r="B171" s="19" t="s">
        <v>303</v>
      </c>
      <c r="C171" s="4" t="str">
        <f t="shared" si="1"/>
        <v>La Tercera</v>
      </c>
      <c r="D171" s="4">
        <f t="shared" si="2"/>
        <v>10</v>
      </c>
      <c r="E171" s="4">
        <f>IF(IFERROR(VLOOKUP(LEFT(C171,14),consolidado!D:D,1,0),0)&gt;0,1,0)</f>
        <v>0</v>
      </c>
    </row>
    <row r="172" ht="15.75" customHeight="1">
      <c r="B172" s="21" t="s">
        <v>62</v>
      </c>
      <c r="C172" s="4" t="str">
        <f t="shared" si="1"/>
        <v>El trance incómodo del Frente Amplio frente al test de drogas</v>
      </c>
      <c r="D172" s="4">
        <f t="shared" si="2"/>
        <v>61</v>
      </c>
      <c r="E172" s="4">
        <f>IF(IFERROR(VLOOKUP(LEFT(C172,14),consolidado!D:D,1,0),0)&gt;0,1,0)</f>
        <v>1</v>
      </c>
    </row>
    <row r="173" ht="15.75" customHeight="1">
      <c r="B173" s="29">
        <v>44756.0</v>
      </c>
      <c r="C173" s="4" t="str">
        <f t="shared" si="1"/>
        <v>44756</v>
      </c>
      <c r="D173" s="4">
        <f t="shared" si="2"/>
        <v>5</v>
      </c>
      <c r="E173" s="4">
        <f>IF(IFERROR(VLOOKUP(LEFT(C173,14),consolidado!D:D,1,0),0)&gt;0,1,0)</f>
        <v>0</v>
      </c>
    </row>
    <row r="174" ht="15.75" customHeight="1">
      <c r="B174" s="24" t="s">
        <v>307</v>
      </c>
      <c r="C174" s="4" t="str">
        <f t="shared" si="1"/>
        <v>bookmark_border</v>
      </c>
      <c r="D174" s="4">
        <f t="shared" si="2"/>
        <v>15</v>
      </c>
      <c r="E174" s="4">
        <f>IF(IFERROR(VLOOKUP(LEFT(C174,14),consolidado!D:D,1,0),0)&gt;0,1,0)</f>
        <v>0</v>
      </c>
    </row>
    <row r="175" ht="15.75" customHeight="1">
      <c r="B175" s="24" t="s">
        <v>308</v>
      </c>
      <c r="C175" s="4" t="str">
        <f t="shared" si="1"/>
        <v>share</v>
      </c>
      <c r="D175" s="4">
        <f t="shared" si="2"/>
        <v>5</v>
      </c>
      <c r="E175" s="4">
        <f>IF(IFERROR(VLOOKUP(LEFT(C175,14),consolidado!D:D,1,0),0)&gt;0,1,0)</f>
        <v>0</v>
      </c>
    </row>
    <row r="176" ht="15.75" customHeight="1">
      <c r="B176" s="24" t="s">
        <v>309</v>
      </c>
      <c r="C176" s="4" t="str">
        <f t="shared" si="1"/>
        <v>more_vert</v>
      </c>
      <c r="D176" s="4">
        <f t="shared" si="2"/>
        <v>9</v>
      </c>
      <c r="E176" s="4">
        <f>IF(IFERROR(VLOOKUP(LEFT(C176,14),consolidado!D:D,1,0),0)&gt;0,1,0)</f>
        <v>0</v>
      </c>
    </row>
    <row r="177" ht="15.75" customHeight="1">
      <c r="B177" s="28"/>
      <c r="C177" s="4" t="str">
        <f t="shared" si="1"/>
        <v/>
      </c>
      <c r="D177" s="4">
        <f t="shared" si="2"/>
        <v>0</v>
      </c>
      <c r="E177" s="4">
        <f>IF(IFERROR(VLOOKUP(LEFT(C177,14),consolidado!D:D,1,0),0)&gt;0,1,0)</f>
        <v>1</v>
      </c>
    </row>
    <row r="178" ht="15.75" customHeight="1">
      <c r="B178" s="30" t="s">
        <v>322</v>
      </c>
      <c r="C178" s="4" t="str">
        <f t="shared" si="1"/>
        <v>ADN Chile</v>
      </c>
      <c r="D178" s="4">
        <f t="shared" si="2"/>
        <v>9</v>
      </c>
      <c r="E178" s="4">
        <f>IF(IFERROR(VLOOKUP(LEFT(C178,14),consolidado!D:D,1,0),0)&gt;0,1,0)</f>
        <v>0</v>
      </c>
    </row>
    <row r="179" ht="15.75" customHeight="1">
      <c r="B179" s="21" t="s">
        <v>65</v>
      </c>
      <c r="C179" s="4" t="str">
        <f t="shared" si="1"/>
        <v>Corte Suprema declara admisible recurso contra test de drogas a parlamentarios</v>
      </c>
      <c r="D179" s="4">
        <f t="shared" si="2"/>
        <v>78</v>
      </c>
      <c r="E179" s="4">
        <f>IF(IFERROR(VLOOKUP(LEFT(C179,14),consolidado!D:D,1,0),0)&gt;0,1,0)</f>
        <v>1</v>
      </c>
    </row>
    <row r="180" ht="15.75" customHeight="1">
      <c r="B180" s="29">
        <v>44820.0</v>
      </c>
      <c r="C180" s="4" t="str">
        <f t="shared" si="1"/>
        <v>44820</v>
      </c>
      <c r="D180" s="4">
        <f t="shared" si="2"/>
        <v>5</v>
      </c>
      <c r="E180" s="4">
        <f>IF(IFERROR(VLOOKUP(LEFT(C180,14),consolidado!D:D,1,0),0)&gt;0,1,0)</f>
        <v>0</v>
      </c>
    </row>
    <row r="181" ht="15.75" customHeight="1">
      <c r="B181" s="24" t="s">
        <v>307</v>
      </c>
      <c r="C181" s="4" t="str">
        <f t="shared" si="1"/>
        <v>bookmark_border</v>
      </c>
      <c r="D181" s="4">
        <f t="shared" si="2"/>
        <v>15</v>
      </c>
      <c r="E181" s="4">
        <f>IF(IFERROR(VLOOKUP(LEFT(C181,14),consolidado!D:D,1,0),0)&gt;0,1,0)</f>
        <v>0</v>
      </c>
    </row>
    <row r="182" ht="15.75" customHeight="1">
      <c r="B182" s="24" t="s">
        <v>308</v>
      </c>
      <c r="C182" s="4" t="str">
        <f t="shared" si="1"/>
        <v>share</v>
      </c>
      <c r="D182" s="4">
        <f t="shared" si="2"/>
        <v>5</v>
      </c>
      <c r="E182" s="4">
        <f>IF(IFERROR(VLOOKUP(LEFT(C182,14),consolidado!D:D,1,0),0)&gt;0,1,0)</f>
        <v>0</v>
      </c>
    </row>
    <row r="183" ht="15.75" customHeight="1">
      <c r="B183" s="24" t="s">
        <v>309</v>
      </c>
      <c r="C183" s="4" t="str">
        <f t="shared" si="1"/>
        <v>more_vert</v>
      </c>
      <c r="D183" s="4">
        <f t="shared" si="2"/>
        <v>9</v>
      </c>
      <c r="E183" s="4">
        <f>IF(IFERROR(VLOOKUP(LEFT(C183,14),consolidado!D:D,1,0),0)&gt;0,1,0)</f>
        <v>0</v>
      </c>
    </row>
    <row r="184" ht="15.75" customHeight="1">
      <c r="B184" s="28"/>
      <c r="C184" s="4" t="str">
        <f t="shared" si="1"/>
        <v/>
      </c>
      <c r="D184" s="4">
        <f t="shared" si="2"/>
        <v>0</v>
      </c>
      <c r="E184" s="4">
        <f>IF(IFERROR(VLOOKUP(LEFT(C184,14),consolidado!D:D,1,0),0)&gt;0,1,0)</f>
        <v>1</v>
      </c>
    </row>
    <row r="185" ht="15.75" customHeight="1">
      <c r="B185" s="30" t="s">
        <v>316</v>
      </c>
      <c r="C185" s="4" t="str">
        <f t="shared" si="1"/>
        <v>El Mostrador</v>
      </c>
      <c r="D185" s="4">
        <f t="shared" si="2"/>
        <v>12</v>
      </c>
      <c r="E185" s="4">
        <f>IF(IFERROR(VLOOKUP(LEFT(C185,14),consolidado!D:D,1,0),0)&gt;0,1,0)</f>
        <v>0</v>
      </c>
    </row>
    <row r="186" ht="15.75" customHeight="1">
      <c r="B186" s="21" t="s">
        <v>68</v>
      </c>
      <c r="C186" s="4" t="str">
        <f t="shared" si="1"/>
        <v>Informe expone accionar de la ultraderecha en Twitter para magnificar resultados del test de droga a Diputados</v>
      </c>
      <c r="D186" s="4">
        <f t="shared" si="2"/>
        <v>110</v>
      </c>
      <c r="E186" s="4">
        <f>IF(IFERROR(VLOOKUP(LEFT(C186,14),consolidado!D:D,1,0),0)&gt;0,1,0)</f>
        <v>1</v>
      </c>
    </row>
    <row r="187" ht="15.75" customHeight="1">
      <c r="B187" s="29">
        <v>44834.0</v>
      </c>
      <c r="C187" s="4" t="str">
        <f t="shared" si="1"/>
        <v>44834</v>
      </c>
      <c r="D187" s="4">
        <f t="shared" si="2"/>
        <v>5</v>
      </c>
      <c r="E187" s="4">
        <f>IF(IFERROR(VLOOKUP(LEFT(C187,14),consolidado!D:D,1,0),0)&gt;0,1,0)</f>
        <v>0</v>
      </c>
    </row>
    <row r="188" ht="15.75" customHeight="1">
      <c r="B188" s="24" t="s">
        <v>307</v>
      </c>
      <c r="C188" s="4" t="str">
        <f t="shared" si="1"/>
        <v>bookmark_border</v>
      </c>
      <c r="D188" s="4">
        <f t="shared" si="2"/>
        <v>15</v>
      </c>
      <c r="E188" s="4">
        <f>IF(IFERROR(VLOOKUP(LEFT(C188,14),consolidado!D:D,1,0),0)&gt;0,1,0)</f>
        <v>0</v>
      </c>
    </row>
    <row r="189" ht="15.75" customHeight="1">
      <c r="B189" s="24" t="s">
        <v>308</v>
      </c>
      <c r="C189" s="4" t="str">
        <f t="shared" si="1"/>
        <v>share</v>
      </c>
      <c r="D189" s="4">
        <f t="shared" si="2"/>
        <v>5</v>
      </c>
      <c r="E189" s="4">
        <f>IF(IFERROR(VLOOKUP(LEFT(C189,14),consolidado!D:D,1,0),0)&gt;0,1,0)</f>
        <v>0</v>
      </c>
    </row>
    <row r="190" ht="15.75" customHeight="1">
      <c r="B190" s="24" t="s">
        <v>309</v>
      </c>
      <c r="C190" s="4" t="str">
        <f t="shared" si="1"/>
        <v>more_vert</v>
      </c>
      <c r="D190" s="4">
        <f t="shared" si="2"/>
        <v>9</v>
      </c>
      <c r="E190" s="4">
        <f>IF(IFERROR(VLOOKUP(LEFT(C190,14),consolidado!D:D,1,0),0)&gt;0,1,0)</f>
        <v>0</v>
      </c>
    </row>
    <row r="191" ht="15.75" customHeight="1">
      <c r="B191" s="28"/>
      <c r="C191" s="4" t="str">
        <f t="shared" si="1"/>
        <v/>
      </c>
      <c r="D191" s="4">
        <f t="shared" si="2"/>
        <v>0</v>
      </c>
      <c r="E191" s="4">
        <f>IF(IFERROR(VLOOKUP(LEFT(C191,14),consolidado!D:D,1,0),0)&gt;0,1,0)</f>
        <v>1</v>
      </c>
    </row>
    <row r="192" ht="15.75" customHeight="1">
      <c r="B192" s="30" t="s">
        <v>322</v>
      </c>
      <c r="C192" s="4" t="str">
        <f t="shared" si="1"/>
        <v>ADN Chile</v>
      </c>
      <c r="D192" s="4">
        <f t="shared" si="2"/>
        <v>9</v>
      </c>
      <c r="E192" s="4">
        <f>IF(IFERROR(VLOOKUP(LEFT(C192,14),consolidado!D:D,1,0),0)&gt;0,1,0)</f>
        <v>0</v>
      </c>
    </row>
    <row r="193" ht="15.75" customHeight="1">
      <c r="B193" s="21" t="s">
        <v>70</v>
      </c>
      <c r="C193" s="4" t="str">
        <f t="shared" si="1"/>
        <v>Pamela Jiles por test de drogas a parlamentarios: “Noto un sospechoso nerviosismo ¿Qué ocultan?”</v>
      </c>
      <c r="D193" s="4">
        <f t="shared" si="2"/>
        <v>98</v>
      </c>
      <c r="E193" s="4">
        <f>IF(IFERROR(VLOOKUP(LEFT(C193,14),consolidado!D:D,1,0),0)&gt;0,1,0)</f>
        <v>1</v>
      </c>
    </row>
    <row r="194" ht="15.75" customHeight="1">
      <c r="B194" s="29">
        <v>44728.0</v>
      </c>
      <c r="C194" s="4" t="str">
        <f t="shared" si="1"/>
        <v>44728</v>
      </c>
      <c r="D194" s="4">
        <f t="shared" si="2"/>
        <v>5</v>
      </c>
      <c r="E194" s="4">
        <f>IF(IFERROR(VLOOKUP(LEFT(C194,14),consolidado!D:D,1,0),0)&gt;0,1,0)</f>
        <v>0</v>
      </c>
    </row>
    <row r="195" ht="15.75" customHeight="1">
      <c r="B195" s="24" t="s">
        <v>307</v>
      </c>
      <c r="C195" s="4" t="str">
        <f t="shared" si="1"/>
        <v>bookmark_border</v>
      </c>
      <c r="D195" s="4">
        <f t="shared" si="2"/>
        <v>15</v>
      </c>
      <c r="E195" s="4">
        <f>IF(IFERROR(VLOOKUP(LEFT(C195,14),consolidado!D:D,1,0),0)&gt;0,1,0)</f>
        <v>0</v>
      </c>
    </row>
    <row r="196" ht="15.75" customHeight="1">
      <c r="B196" s="24" t="s">
        <v>308</v>
      </c>
      <c r="C196" s="4" t="str">
        <f t="shared" si="1"/>
        <v>share</v>
      </c>
      <c r="D196" s="4">
        <f t="shared" si="2"/>
        <v>5</v>
      </c>
      <c r="E196" s="4">
        <f>IF(IFERROR(VLOOKUP(LEFT(C196,14),consolidado!D:D,1,0),0)&gt;0,1,0)</f>
        <v>0</v>
      </c>
    </row>
    <row r="197" ht="15.75" customHeight="1">
      <c r="B197" s="24" t="s">
        <v>309</v>
      </c>
      <c r="C197" s="4" t="str">
        <f t="shared" si="1"/>
        <v>more_vert</v>
      </c>
      <c r="D197" s="4">
        <f t="shared" si="2"/>
        <v>9</v>
      </c>
      <c r="E197" s="4">
        <f>IF(IFERROR(VLOOKUP(LEFT(C197,14),consolidado!D:D,1,0),0)&gt;0,1,0)</f>
        <v>0</v>
      </c>
    </row>
    <row r="198" ht="15.75" customHeight="1">
      <c r="B198" s="28"/>
      <c r="C198" s="4" t="str">
        <f t="shared" si="1"/>
        <v/>
      </c>
      <c r="D198" s="4">
        <f t="shared" si="2"/>
        <v>0</v>
      </c>
      <c r="E198" s="4">
        <f>IF(IFERROR(VLOOKUP(LEFT(C198,14),consolidado!D:D,1,0),0)&gt;0,1,0)</f>
        <v>1</v>
      </c>
    </row>
    <row r="199" ht="15.75" customHeight="1">
      <c r="B199" s="30" t="s">
        <v>319</v>
      </c>
      <c r="C199" s="4" t="str">
        <f t="shared" si="1"/>
        <v>pauta</v>
      </c>
      <c r="D199" s="4">
        <f t="shared" si="2"/>
        <v>5</v>
      </c>
      <c r="E199" s="4">
        <f>IF(IFERROR(VLOOKUP(LEFT(C199,14),consolidado!D:D,1,0),0)&gt;0,1,0)</f>
        <v>0</v>
      </c>
    </row>
    <row r="200" ht="15.75" customHeight="1">
      <c r="B200" s="21" t="s">
        <v>72</v>
      </c>
      <c r="C200" s="4" t="str">
        <f t="shared" si="1"/>
        <v>Diputada Flores (RN) y test de drogas: "El que consume droga, debiera perder su cargo"</v>
      </c>
      <c r="D200" s="4">
        <f t="shared" si="2"/>
        <v>86</v>
      </c>
      <c r="E200" s="4">
        <f>IF(IFERROR(VLOOKUP(LEFT(C200,14),consolidado!D:D,1,0),0)&gt;0,1,0)</f>
        <v>1</v>
      </c>
    </row>
    <row r="201" ht="15.75" customHeight="1">
      <c r="B201" s="29">
        <v>44791.0</v>
      </c>
      <c r="C201" s="4" t="str">
        <f t="shared" si="1"/>
        <v>44791</v>
      </c>
      <c r="D201" s="4">
        <f t="shared" si="2"/>
        <v>5</v>
      </c>
      <c r="E201" s="4">
        <f>IF(IFERROR(VLOOKUP(LEFT(C201,14),consolidado!D:D,1,0),0)&gt;0,1,0)</f>
        <v>0</v>
      </c>
    </row>
    <row r="202" ht="15.75" customHeight="1">
      <c r="B202" s="24" t="s">
        <v>307</v>
      </c>
      <c r="C202" s="4" t="str">
        <f t="shared" si="1"/>
        <v>bookmark_border</v>
      </c>
      <c r="D202" s="4">
        <f t="shared" si="2"/>
        <v>15</v>
      </c>
      <c r="E202" s="4">
        <f>IF(IFERROR(VLOOKUP(LEFT(C202,14),consolidado!D:D,1,0),0)&gt;0,1,0)</f>
        <v>0</v>
      </c>
    </row>
    <row r="203" ht="15.75" customHeight="1">
      <c r="B203" s="24" t="s">
        <v>308</v>
      </c>
      <c r="C203" s="4" t="str">
        <f t="shared" si="1"/>
        <v>share</v>
      </c>
      <c r="D203" s="4">
        <f t="shared" si="2"/>
        <v>5</v>
      </c>
      <c r="E203" s="4">
        <f>IF(IFERROR(VLOOKUP(LEFT(C203,14),consolidado!D:D,1,0),0)&gt;0,1,0)</f>
        <v>0</v>
      </c>
    </row>
    <row r="204" ht="15.75" customHeight="1">
      <c r="B204" s="24" t="s">
        <v>309</v>
      </c>
      <c r="C204" s="4" t="str">
        <f t="shared" si="1"/>
        <v>more_vert</v>
      </c>
      <c r="D204" s="4">
        <f t="shared" si="2"/>
        <v>9</v>
      </c>
      <c r="E204" s="4">
        <f>IF(IFERROR(VLOOKUP(LEFT(C204,14),consolidado!D:D,1,0),0)&gt;0,1,0)</f>
        <v>0</v>
      </c>
    </row>
    <row r="205" ht="15.75" customHeight="1">
      <c r="B205" s="28"/>
      <c r="C205" s="4" t="str">
        <f t="shared" si="1"/>
        <v/>
      </c>
      <c r="D205" s="4">
        <f t="shared" si="2"/>
        <v>0</v>
      </c>
      <c r="E205" s="4">
        <f>IF(IFERROR(VLOOKUP(LEFT(C205,14),consolidado!D:D,1,0),0)&gt;0,1,0)</f>
        <v>1</v>
      </c>
    </row>
    <row r="206" ht="15.75" customHeight="1">
      <c r="B206" s="30" t="s">
        <v>315</v>
      </c>
      <c r="C206" s="4" t="str">
        <f t="shared" si="1"/>
        <v>BioBioChile</v>
      </c>
      <c r="D206" s="4">
        <f t="shared" si="2"/>
        <v>11</v>
      </c>
      <c r="E206" s="4">
        <f>IF(IFERROR(VLOOKUP(LEFT(C206,14),consolidado!D:D,1,0),0)&gt;0,1,0)</f>
        <v>0</v>
      </c>
    </row>
    <row r="207" ht="15.75" customHeight="1">
      <c r="B207" s="21" t="s">
        <v>74</v>
      </c>
      <c r="C207" s="4" t="str">
        <f t="shared" si="1"/>
        <v>Diputada Riquelme (Ind-FA) piensa no realizarse test de drogas: acusa "vulneración de derechos"</v>
      </c>
      <c r="D207" s="4">
        <f t="shared" si="2"/>
        <v>95</v>
      </c>
      <c r="E207" s="4">
        <f>IF(IFERROR(VLOOKUP(LEFT(C207,14),consolidado!D:D,1,0),0)&gt;0,1,0)</f>
        <v>1</v>
      </c>
    </row>
    <row r="208" ht="15.75" customHeight="1">
      <c r="B208" s="29">
        <v>44790.0</v>
      </c>
      <c r="C208" s="4" t="str">
        <f t="shared" si="1"/>
        <v>44790</v>
      </c>
      <c r="D208" s="4">
        <f t="shared" si="2"/>
        <v>5</v>
      </c>
      <c r="E208" s="4">
        <f>IF(IFERROR(VLOOKUP(LEFT(C208,14),consolidado!D:D,1,0),0)&gt;0,1,0)</f>
        <v>0</v>
      </c>
    </row>
    <row r="209" ht="15.75" customHeight="1">
      <c r="B209" s="24" t="s">
        <v>307</v>
      </c>
      <c r="C209" s="4" t="str">
        <f t="shared" si="1"/>
        <v>bookmark_border</v>
      </c>
      <c r="D209" s="4">
        <f t="shared" si="2"/>
        <v>15</v>
      </c>
      <c r="E209" s="4">
        <f>IF(IFERROR(VLOOKUP(LEFT(C209,14),consolidado!D:D,1,0),0)&gt;0,1,0)</f>
        <v>0</v>
      </c>
    </row>
    <row r="210" ht="15.75" customHeight="1">
      <c r="B210" s="24" t="s">
        <v>308</v>
      </c>
      <c r="C210" s="4" t="str">
        <f t="shared" si="1"/>
        <v>share</v>
      </c>
      <c r="D210" s="4">
        <f t="shared" si="2"/>
        <v>5</v>
      </c>
      <c r="E210" s="4">
        <f>IF(IFERROR(VLOOKUP(LEFT(C210,14),consolidado!D:D,1,0),0)&gt;0,1,0)</f>
        <v>0</v>
      </c>
    </row>
    <row r="211" ht="15.75" customHeight="1">
      <c r="B211" s="24" t="s">
        <v>309</v>
      </c>
      <c r="C211" s="4" t="str">
        <f t="shared" si="1"/>
        <v>more_vert</v>
      </c>
      <c r="D211" s="4">
        <f t="shared" si="2"/>
        <v>9</v>
      </c>
      <c r="E211" s="4">
        <f>IF(IFERROR(VLOOKUP(LEFT(C211,14),consolidado!D:D,1,0),0)&gt;0,1,0)</f>
        <v>0</v>
      </c>
    </row>
    <row r="212" ht="15.75" customHeight="1">
      <c r="B212" s="28"/>
      <c r="C212" s="4" t="str">
        <f t="shared" si="1"/>
        <v/>
      </c>
      <c r="D212" s="4">
        <f t="shared" si="2"/>
        <v>0</v>
      </c>
      <c r="E212" s="4">
        <f>IF(IFERROR(VLOOKUP(LEFT(C212,14),consolidado!D:D,1,0),0)&gt;0,1,0)</f>
        <v>1</v>
      </c>
    </row>
    <row r="213" ht="15.75" customHeight="1">
      <c r="B213" s="30" t="s">
        <v>323</v>
      </c>
      <c r="C213" s="4" t="str">
        <f t="shared" si="1"/>
        <v>El Líbero</v>
      </c>
      <c r="D213" s="4">
        <f t="shared" si="2"/>
        <v>9</v>
      </c>
      <c r="E213" s="4">
        <f>IF(IFERROR(VLOOKUP(LEFT(C213,14),consolidado!D:D,1,0),0)&gt;0,1,0)</f>
        <v>0</v>
      </c>
    </row>
    <row r="214" ht="15.75" customHeight="1">
      <c r="B214" s="21" t="s">
        <v>76</v>
      </c>
      <c r="C214" s="4" t="str">
        <f t="shared" si="1"/>
        <v>Sofía Salas: ¿Publicidad necesaria o show mediático?</v>
      </c>
      <c r="D214" s="4">
        <f t="shared" si="2"/>
        <v>52</v>
      </c>
      <c r="E214" s="4">
        <f>IF(IFERROR(VLOOKUP(LEFT(C214,14),consolidado!D:D,1,0),0)&gt;0,1,0)</f>
        <v>1</v>
      </c>
    </row>
    <row r="215" ht="15.75" customHeight="1">
      <c r="B215" s="23" t="s">
        <v>324</v>
      </c>
      <c r="C215" s="4" t="str">
        <f t="shared" si="1"/>
        <v>26 agoOpinión</v>
      </c>
      <c r="D215" s="4">
        <f t="shared" si="2"/>
        <v>13</v>
      </c>
      <c r="E215" s="4">
        <f>IF(IFERROR(VLOOKUP(LEFT(C215,14),consolidado!D:D,1,0),0)&gt;0,1,0)</f>
        <v>0</v>
      </c>
    </row>
    <row r="216" ht="15.75" customHeight="1">
      <c r="B216" s="24" t="s">
        <v>307</v>
      </c>
      <c r="C216" s="4" t="str">
        <f t="shared" si="1"/>
        <v>bookmark_border</v>
      </c>
      <c r="D216" s="4">
        <f t="shared" si="2"/>
        <v>15</v>
      </c>
      <c r="E216" s="4">
        <f>IF(IFERROR(VLOOKUP(LEFT(C216,14),consolidado!D:D,1,0),0)&gt;0,1,0)</f>
        <v>0</v>
      </c>
    </row>
    <row r="217" ht="15.75" customHeight="1">
      <c r="B217" s="24" t="s">
        <v>308</v>
      </c>
      <c r="C217" s="4" t="str">
        <f t="shared" si="1"/>
        <v>share</v>
      </c>
      <c r="D217" s="4">
        <f t="shared" si="2"/>
        <v>5</v>
      </c>
      <c r="E217" s="4">
        <f>IF(IFERROR(VLOOKUP(LEFT(C217,14),consolidado!D:D,1,0),0)&gt;0,1,0)</f>
        <v>0</v>
      </c>
    </row>
    <row r="218" ht="15.75" customHeight="1">
      <c r="B218" s="24" t="s">
        <v>309</v>
      </c>
      <c r="C218" s="4" t="str">
        <f t="shared" si="1"/>
        <v>more_vert</v>
      </c>
      <c r="D218" s="4">
        <f t="shared" si="2"/>
        <v>9</v>
      </c>
      <c r="E218" s="4">
        <f>IF(IFERROR(VLOOKUP(LEFT(C218,14),consolidado!D:D,1,0),0)&gt;0,1,0)</f>
        <v>0</v>
      </c>
    </row>
    <row r="219" ht="15.75" customHeight="1">
      <c r="B219" s="28"/>
      <c r="C219" s="4" t="str">
        <f t="shared" si="1"/>
        <v/>
      </c>
      <c r="D219" s="4">
        <f t="shared" si="2"/>
        <v>0</v>
      </c>
      <c r="E219" s="4">
        <f>IF(IFERROR(VLOOKUP(LEFT(C219,14),consolidado!D:D,1,0),0)&gt;0,1,0)</f>
        <v>1</v>
      </c>
    </row>
    <row r="220" ht="15.75" customHeight="1">
      <c r="B220" s="30" t="s">
        <v>325</v>
      </c>
      <c r="C220" s="4" t="str">
        <f t="shared" si="1"/>
        <v>El Desconcierto</v>
      </c>
      <c r="D220" s="4">
        <f t="shared" si="2"/>
        <v>15</v>
      </c>
      <c r="E220" s="4">
        <f>IF(IFERROR(VLOOKUP(LEFT(C220,14),consolidado!D:D,1,0),0)&gt;0,1,0)</f>
        <v>0</v>
      </c>
    </row>
    <row r="221" ht="15.75" customHeight="1">
      <c r="B221" s="21" t="s">
        <v>78</v>
      </c>
      <c r="C221" s="4" t="str">
        <f t="shared" si="1"/>
        <v>Test de drogas a diputados y cambios al uso recreacional de la marihuana prenden el debate</v>
      </c>
      <c r="D221" s="4">
        <f t="shared" si="2"/>
        <v>90</v>
      </c>
      <c r="E221" s="4">
        <f>IF(IFERROR(VLOOKUP(LEFT(C221,14),consolidado!D:D,1,0),0)&gt;0,1,0)</f>
        <v>1</v>
      </c>
    </row>
    <row r="222" ht="15.75" customHeight="1">
      <c r="B222" s="29">
        <v>44843.0</v>
      </c>
      <c r="C222" s="4" t="str">
        <f t="shared" si="1"/>
        <v>44843</v>
      </c>
      <c r="D222" s="4">
        <f t="shared" si="2"/>
        <v>5</v>
      </c>
      <c r="E222" s="4">
        <f>IF(IFERROR(VLOOKUP(LEFT(C222,14),consolidado!D:D,1,0),0)&gt;0,1,0)</f>
        <v>0</v>
      </c>
    </row>
    <row r="223" ht="15.75" customHeight="1">
      <c r="B223" s="24" t="s">
        <v>307</v>
      </c>
      <c r="C223" s="4" t="str">
        <f t="shared" si="1"/>
        <v>bookmark_border</v>
      </c>
      <c r="D223" s="4">
        <f t="shared" si="2"/>
        <v>15</v>
      </c>
      <c r="E223" s="4">
        <f>IF(IFERROR(VLOOKUP(LEFT(C223,14),consolidado!D:D,1,0),0)&gt;0,1,0)</f>
        <v>0</v>
      </c>
    </row>
    <row r="224" ht="15.75" customHeight="1">
      <c r="B224" s="24" t="s">
        <v>308</v>
      </c>
      <c r="C224" s="4" t="str">
        <f t="shared" si="1"/>
        <v>share</v>
      </c>
      <c r="D224" s="4">
        <f t="shared" si="2"/>
        <v>5</v>
      </c>
      <c r="E224" s="4">
        <f>IF(IFERROR(VLOOKUP(LEFT(C224,14),consolidado!D:D,1,0),0)&gt;0,1,0)</f>
        <v>0</v>
      </c>
    </row>
    <row r="225" ht="15.75" customHeight="1">
      <c r="B225" s="24" t="s">
        <v>309</v>
      </c>
      <c r="C225" s="4" t="str">
        <f t="shared" si="1"/>
        <v>more_vert</v>
      </c>
      <c r="D225" s="4">
        <f t="shared" si="2"/>
        <v>9</v>
      </c>
      <c r="E225" s="4">
        <f>IF(IFERROR(VLOOKUP(LEFT(C225,14),consolidado!D:D,1,0),0)&gt;0,1,0)</f>
        <v>0</v>
      </c>
    </row>
    <row r="226" ht="15.75" customHeight="1">
      <c r="B226" s="28"/>
      <c r="C226" s="4" t="str">
        <f t="shared" si="1"/>
        <v/>
      </c>
      <c r="D226" s="4">
        <f t="shared" si="2"/>
        <v>0</v>
      </c>
      <c r="E226" s="4">
        <f>IF(IFERROR(VLOOKUP(LEFT(C226,14),consolidado!D:D,1,0),0)&gt;0,1,0)</f>
        <v>1</v>
      </c>
    </row>
    <row r="227" ht="15.75" customHeight="1">
      <c r="B227" s="30" t="s">
        <v>325</v>
      </c>
      <c r="C227" s="4" t="str">
        <f t="shared" si="1"/>
        <v>El Desconcierto</v>
      </c>
      <c r="D227" s="4">
        <f t="shared" si="2"/>
        <v>15</v>
      </c>
      <c r="E227" s="4">
        <f>IF(IFERROR(VLOOKUP(LEFT(C227,14),consolidado!D:D,1,0),0)&gt;0,1,0)</f>
        <v>0</v>
      </c>
    </row>
    <row r="228" ht="15.75" customHeight="1">
      <c r="B228" s="21" t="s">
        <v>80</v>
      </c>
      <c r="C228" s="4" t="str">
        <f t="shared" si="1"/>
        <v>Test de drogas en el Congreso: Corte de Apelaciones da golpe a diputadas oficialistas</v>
      </c>
      <c r="D228" s="4">
        <f t="shared" si="2"/>
        <v>85</v>
      </c>
      <c r="E228" s="4">
        <f>IF(IFERROR(VLOOKUP(LEFT(C228,14),consolidado!D:D,1,0),0)&gt;0,1,0)</f>
        <v>1</v>
      </c>
    </row>
    <row r="229" ht="15.75" customHeight="1">
      <c r="B229" s="29">
        <v>44831.0</v>
      </c>
      <c r="C229" s="4" t="str">
        <f t="shared" si="1"/>
        <v>44831</v>
      </c>
      <c r="D229" s="4">
        <f t="shared" si="2"/>
        <v>5</v>
      </c>
      <c r="E229" s="4">
        <f>IF(IFERROR(VLOOKUP(LEFT(C229,14),consolidado!D:D,1,0),0)&gt;0,1,0)</f>
        <v>0</v>
      </c>
    </row>
    <row r="230" ht="15.75" customHeight="1">
      <c r="B230" s="24" t="s">
        <v>307</v>
      </c>
      <c r="C230" s="4" t="str">
        <f t="shared" si="1"/>
        <v>bookmark_border</v>
      </c>
      <c r="D230" s="4">
        <f t="shared" si="2"/>
        <v>15</v>
      </c>
      <c r="E230" s="4">
        <f>IF(IFERROR(VLOOKUP(LEFT(C230,14),consolidado!D:D,1,0),0)&gt;0,1,0)</f>
        <v>0</v>
      </c>
    </row>
    <row r="231" ht="15.75" customHeight="1">
      <c r="B231" s="24" t="s">
        <v>308</v>
      </c>
      <c r="C231" s="4" t="str">
        <f t="shared" si="1"/>
        <v>share</v>
      </c>
      <c r="D231" s="4">
        <f t="shared" si="2"/>
        <v>5</v>
      </c>
      <c r="E231" s="4">
        <f>IF(IFERROR(VLOOKUP(LEFT(C231,14),consolidado!D:D,1,0),0)&gt;0,1,0)</f>
        <v>0</v>
      </c>
    </row>
    <row r="232" ht="15.75" customHeight="1">
      <c r="B232" s="24" t="s">
        <v>309</v>
      </c>
      <c r="C232" s="4" t="str">
        <f t="shared" si="1"/>
        <v>more_vert</v>
      </c>
      <c r="D232" s="4">
        <f t="shared" si="2"/>
        <v>9</v>
      </c>
      <c r="E232" s="4">
        <f>IF(IFERROR(VLOOKUP(LEFT(C232,14),consolidado!D:D,1,0),0)&gt;0,1,0)</f>
        <v>0</v>
      </c>
    </row>
    <row r="233" ht="15.75" customHeight="1">
      <c r="B233" s="28"/>
      <c r="C233" s="4" t="str">
        <f t="shared" si="1"/>
        <v/>
      </c>
      <c r="D233" s="4">
        <f t="shared" si="2"/>
        <v>0</v>
      </c>
      <c r="E233" s="4">
        <f>IF(IFERROR(VLOOKUP(LEFT(C233,14),consolidado!D:D,1,0),0)&gt;0,1,0)</f>
        <v>1</v>
      </c>
    </row>
    <row r="234" ht="15.75" customHeight="1">
      <c r="B234" s="30" t="s">
        <v>326</v>
      </c>
      <c r="C234" s="31" t="str">
        <f t="shared" si="1"/>
        <v>24Horas.cl</v>
      </c>
      <c r="D234" s="4">
        <f t="shared" si="2"/>
        <v>10</v>
      </c>
      <c r="E234" s="4">
        <f>IF(IFERROR(VLOOKUP(LEFT(C234,14),consolidado!D:D,1,0),0)&gt;0,1,0)</f>
        <v>0</v>
      </c>
    </row>
    <row r="235" ht="15.75" customHeight="1">
      <c r="B235" s="21" t="s">
        <v>82</v>
      </c>
      <c r="C235" s="4" t="str">
        <f t="shared" si="1"/>
        <v>Test de drogas en el Congreso: reglamento fue aprobado en general en la Cámara</v>
      </c>
      <c r="D235" s="4">
        <f t="shared" si="2"/>
        <v>78</v>
      </c>
      <c r="E235" s="4">
        <f>IF(IFERROR(VLOOKUP(LEFT(C235,14),consolidado!D:D,1,0),0)&gt;0,1,0)</f>
        <v>1</v>
      </c>
    </row>
    <row r="236" ht="15.75" customHeight="1">
      <c r="B236" s="29">
        <v>44741.0</v>
      </c>
      <c r="C236" s="4" t="str">
        <f t="shared" si="1"/>
        <v>44741</v>
      </c>
      <c r="D236" s="4">
        <f t="shared" si="2"/>
        <v>5</v>
      </c>
      <c r="E236" s="4">
        <f>IF(IFERROR(VLOOKUP(LEFT(C236,14),consolidado!D:D,1,0),0)&gt;0,1,0)</f>
        <v>0</v>
      </c>
    </row>
    <row r="237" ht="15.75" customHeight="1">
      <c r="B237" s="24" t="s">
        <v>307</v>
      </c>
      <c r="C237" s="4" t="str">
        <f t="shared" si="1"/>
        <v>bookmark_border</v>
      </c>
      <c r="D237" s="4">
        <f t="shared" si="2"/>
        <v>15</v>
      </c>
      <c r="E237" s="4">
        <f>IF(IFERROR(VLOOKUP(LEFT(C237,14),consolidado!D:D,1,0),0)&gt;0,1,0)</f>
        <v>0</v>
      </c>
    </row>
    <row r="238" ht="15.75" customHeight="1">
      <c r="B238" s="24" t="s">
        <v>308</v>
      </c>
      <c r="C238" s="4" t="str">
        <f t="shared" si="1"/>
        <v>share</v>
      </c>
      <c r="D238" s="4">
        <f t="shared" si="2"/>
        <v>5</v>
      </c>
      <c r="E238" s="4">
        <f>IF(IFERROR(VLOOKUP(LEFT(C238,14),consolidado!D:D,1,0),0)&gt;0,1,0)</f>
        <v>0</v>
      </c>
    </row>
    <row r="239" ht="15.75" customHeight="1">
      <c r="B239" s="24" t="s">
        <v>309</v>
      </c>
      <c r="C239" s="4" t="str">
        <f t="shared" si="1"/>
        <v>more_vert</v>
      </c>
      <c r="D239" s="4">
        <f t="shared" si="2"/>
        <v>9</v>
      </c>
      <c r="E239" s="4">
        <f>IF(IFERROR(VLOOKUP(LEFT(C239,14),consolidado!D:D,1,0),0)&gt;0,1,0)</f>
        <v>0</v>
      </c>
    </row>
    <row r="240" ht="15.75" customHeight="1">
      <c r="B240" s="28"/>
      <c r="C240" s="4" t="str">
        <f t="shared" si="1"/>
        <v/>
      </c>
      <c r="D240" s="4">
        <f t="shared" si="2"/>
        <v>0</v>
      </c>
      <c r="E240" s="4">
        <f>IF(IFERROR(VLOOKUP(LEFT(C240,14),consolidado!D:D,1,0),0)&gt;0,1,0)</f>
        <v>1</v>
      </c>
    </row>
    <row r="241" ht="15.75" customHeight="1">
      <c r="B241" s="30" t="s">
        <v>322</v>
      </c>
      <c r="C241" s="4" t="str">
        <f t="shared" si="1"/>
        <v>ADN Chile</v>
      </c>
      <c r="D241" s="4">
        <f t="shared" si="2"/>
        <v>9</v>
      </c>
      <c r="E241" s="4">
        <f>IF(IFERROR(VLOOKUP(LEFT(C241,14),consolidado!D:D,1,0),0)&gt;0,1,0)</f>
        <v>0</v>
      </c>
    </row>
    <row r="242" ht="15.75" customHeight="1">
      <c r="B242" s="21" t="s">
        <v>85</v>
      </c>
      <c r="C242" s="4" t="str">
        <f t="shared" si="1"/>
        <v>“Los tengo identificados”: Doctora Cordero arremete contra parlamentarios por test de drogas</v>
      </c>
      <c r="D242" s="4">
        <f t="shared" si="2"/>
        <v>94</v>
      </c>
      <c r="E242" s="4">
        <f>IF(IFERROR(VLOOKUP(LEFT(C242,14),consolidado!D:D,1,0),0)&gt;0,1,0)</f>
        <v>1</v>
      </c>
    </row>
    <row r="243" ht="15.75" customHeight="1">
      <c r="B243" s="29">
        <v>44756.0</v>
      </c>
      <c r="C243" s="4" t="str">
        <f t="shared" si="1"/>
        <v>44756</v>
      </c>
      <c r="D243" s="4">
        <f t="shared" si="2"/>
        <v>5</v>
      </c>
      <c r="E243" s="4">
        <f>IF(IFERROR(VLOOKUP(LEFT(C243,14),consolidado!D:D,1,0),0)&gt;0,1,0)</f>
        <v>0</v>
      </c>
    </row>
    <row r="244" ht="15.75" customHeight="1">
      <c r="B244" s="24" t="s">
        <v>307</v>
      </c>
      <c r="C244" s="4" t="str">
        <f t="shared" si="1"/>
        <v>bookmark_border</v>
      </c>
      <c r="D244" s="4">
        <f t="shared" si="2"/>
        <v>15</v>
      </c>
      <c r="E244" s="4">
        <f>IF(IFERROR(VLOOKUP(LEFT(C244,14),consolidado!D:D,1,0),0)&gt;0,1,0)</f>
        <v>0</v>
      </c>
    </row>
    <row r="245" ht="15.75" customHeight="1">
      <c r="B245" s="24" t="s">
        <v>308</v>
      </c>
      <c r="C245" s="4" t="str">
        <f t="shared" si="1"/>
        <v>share</v>
      </c>
      <c r="D245" s="4">
        <f t="shared" si="2"/>
        <v>5</v>
      </c>
      <c r="E245" s="4">
        <f>IF(IFERROR(VLOOKUP(LEFT(C245,14),consolidado!D:D,1,0),0)&gt;0,1,0)</f>
        <v>0</v>
      </c>
    </row>
    <row r="246" ht="15.75" customHeight="1">
      <c r="B246" s="24" t="s">
        <v>309</v>
      </c>
      <c r="C246" s="4" t="str">
        <f t="shared" si="1"/>
        <v>more_vert</v>
      </c>
      <c r="D246" s="4">
        <f t="shared" si="2"/>
        <v>9</v>
      </c>
      <c r="E246" s="4">
        <f>IF(IFERROR(VLOOKUP(LEFT(C246,14),consolidado!D:D,1,0),0)&gt;0,1,0)</f>
        <v>0</v>
      </c>
    </row>
    <row r="247" ht="15.75" customHeight="1">
      <c r="B247" s="28"/>
      <c r="C247" s="4" t="str">
        <f t="shared" si="1"/>
        <v/>
      </c>
      <c r="D247" s="4">
        <f t="shared" si="2"/>
        <v>0</v>
      </c>
      <c r="E247" s="4">
        <f>IF(IFERROR(VLOOKUP(LEFT(C247,14),consolidado!D:D,1,0),0)&gt;0,1,0)</f>
        <v>1</v>
      </c>
    </row>
    <row r="248" ht="15.75" customHeight="1">
      <c r="B248" s="32"/>
      <c r="C248" s="4" t="str">
        <f t="shared" si="1"/>
        <v/>
      </c>
      <c r="D248" s="4">
        <f t="shared" si="2"/>
        <v>0</v>
      </c>
      <c r="E248" s="4">
        <f>IF(IFERROR(VLOOKUP(LEFT(C248,14),consolidado!D:D,1,0),0)&gt;0,1,0)</f>
        <v>1</v>
      </c>
    </row>
    <row r="249" ht="15.75" customHeight="1">
      <c r="B249" s="21" t="s">
        <v>87</v>
      </c>
      <c r="C249" s="4" t="str">
        <f t="shared" si="1"/>
        <v>Los diputados chilenos dieron negativo en el test de drogas</v>
      </c>
      <c r="D249" s="4">
        <f t="shared" si="2"/>
        <v>59</v>
      </c>
      <c r="E249" s="4">
        <f>IF(IFERROR(VLOOKUP(LEFT(C249,14),consolidado!D:D,1,0),0)&gt;0,1,0)</f>
        <v>1</v>
      </c>
    </row>
    <row r="250" ht="15.75" customHeight="1">
      <c r="B250" s="29">
        <v>44832.0</v>
      </c>
      <c r="C250" s="4" t="str">
        <f t="shared" si="1"/>
        <v>44832</v>
      </c>
      <c r="D250" s="4">
        <f t="shared" si="2"/>
        <v>5</v>
      </c>
      <c r="E250" s="4">
        <f>IF(IFERROR(VLOOKUP(LEFT(C250,14),consolidado!D:D,1,0),0)&gt;0,1,0)</f>
        <v>0</v>
      </c>
    </row>
    <row r="251" ht="15.75" customHeight="1">
      <c r="B251" s="24" t="s">
        <v>307</v>
      </c>
      <c r="C251" s="4" t="str">
        <f t="shared" si="1"/>
        <v>bookmark_border</v>
      </c>
      <c r="D251" s="4">
        <f t="shared" si="2"/>
        <v>15</v>
      </c>
      <c r="E251" s="4">
        <f>IF(IFERROR(VLOOKUP(LEFT(C251,14),consolidado!D:D,1,0),0)&gt;0,1,0)</f>
        <v>0</v>
      </c>
    </row>
    <row r="252" ht="15.75" customHeight="1">
      <c r="B252" s="24" t="s">
        <v>308</v>
      </c>
      <c r="C252" s="4" t="str">
        <f t="shared" si="1"/>
        <v>share</v>
      </c>
      <c r="D252" s="4">
        <f t="shared" si="2"/>
        <v>5</v>
      </c>
      <c r="E252" s="4">
        <f>IF(IFERROR(VLOOKUP(LEFT(C252,14),consolidado!D:D,1,0),0)&gt;0,1,0)</f>
        <v>0</v>
      </c>
    </row>
    <row r="253" ht="15.75" customHeight="1">
      <c r="B253" s="24" t="s">
        <v>309</v>
      </c>
      <c r="C253" s="4" t="str">
        <f t="shared" si="1"/>
        <v>more_vert</v>
      </c>
      <c r="D253" s="4">
        <f t="shared" si="2"/>
        <v>9</v>
      </c>
      <c r="E253" s="4">
        <f>IF(IFERROR(VLOOKUP(LEFT(C253,14),consolidado!D:D,1,0),0)&gt;0,1,0)</f>
        <v>0</v>
      </c>
    </row>
    <row r="254" ht="15.75" customHeight="1">
      <c r="B254" s="28"/>
      <c r="C254" s="4" t="str">
        <f t="shared" si="1"/>
        <v/>
      </c>
      <c r="D254" s="4">
        <f t="shared" si="2"/>
        <v>0</v>
      </c>
      <c r="E254" s="4">
        <f>IF(IFERROR(VLOOKUP(LEFT(C254,14),consolidado!D:D,1,0),0)&gt;0,1,0)</f>
        <v>1</v>
      </c>
    </row>
    <row r="255" ht="15.75" customHeight="1">
      <c r="B255" s="30" t="s">
        <v>316</v>
      </c>
      <c r="C255" s="4" t="str">
        <f t="shared" si="1"/>
        <v>El Mostrador</v>
      </c>
      <c r="D255" s="4">
        <f t="shared" si="2"/>
        <v>12</v>
      </c>
      <c r="E255" s="4">
        <f>IF(IFERROR(VLOOKUP(LEFT(C255,14),consolidado!D:D,1,0),0)&gt;0,1,0)</f>
        <v>0</v>
      </c>
    </row>
    <row r="256" ht="15.75" customHeight="1">
      <c r="B256" s="21" t="s">
        <v>89</v>
      </c>
      <c r="C256" s="4" t="str">
        <f t="shared" si="1"/>
        <v>Presupuesto 2022: Cámara de Diputados aprueba indicación de la UDI que destina recursos para test de drogas a parlamentarios</v>
      </c>
      <c r="D256" s="4">
        <f t="shared" si="2"/>
        <v>124</v>
      </c>
      <c r="E256" s="4">
        <f>IF(IFERROR(VLOOKUP(LEFT(C256,14),consolidado!D:D,1,0),0)&gt;0,1,0)</f>
        <v>1</v>
      </c>
    </row>
    <row r="257" ht="15.75" customHeight="1">
      <c r="B257" s="33">
        <v>44504.0</v>
      </c>
      <c r="C257" s="4" t="str">
        <f t="shared" si="1"/>
        <v>44504</v>
      </c>
      <c r="D257" s="4">
        <f t="shared" si="2"/>
        <v>5</v>
      </c>
      <c r="E257" s="4">
        <f>IF(IFERROR(VLOOKUP(LEFT(C257,14),consolidado!D:D,1,0),0)&gt;0,1,0)</f>
        <v>0</v>
      </c>
    </row>
    <row r="258" ht="15.75" customHeight="1">
      <c r="B258" s="24" t="s">
        <v>307</v>
      </c>
      <c r="C258" s="4" t="str">
        <f t="shared" si="1"/>
        <v>bookmark_border</v>
      </c>
      <c r="D258" s="4">
        <f t="shared" si="2"/>
        <v>15</v>
      </c>
      <c r="E258" s="4">
        <f>IF(IFERROR(VLOOKUP(LEFT(C258,14),consolidado!D:D,1,0),0)&gt;0,1,0)</f>
        <v>0</v>
      </c>
    </row>
    <row r="259" ht="15.75" customHeight="1">
      <c r="B259" s="24" t="s">
        <v>308</v>
      </c>
      <c r="C259" s="4" t="str">
        <f t="shared" si="1"/>
        <v>share</v>
      </c>
      <c r="D259" s="4">
        <f t="shared" si="2"/>
        <v>5</v>
      </c>
      <c r="E259" s="4">
        <f>IF(IFERROR(VLOOKUP(LEFT(C259,14),consolidado!D:D,1,0),0)&gt;0,1,0)</f>
        <v>0</v>
      </c>
    </row>
    <row r="260" ht="15.75" customHeight="1">
      <c r="B260" s="24" t="s">
        <v>309</v>
      </c>
      <c r="C260" s="4" t="str">
        <f t="shared" si="1"/>
        <v>more_vert</v>
      </c>
      <c r="D260" s="4">
        <f t="shared" si="2"/>
        <v>9</v>
      </c>
      <c r="E260" s="4">
        <f>IF(IFERROR(VLOOKUP(LEFT(C260,14),consolidado!D:D,1,0),0)&gt;0,1,0)</f>
        <v>0</v>
      </c>
    </row>
    <row r="261" ht="15.75" customHeight="1">
      <c r="B261" s="28"/>
      <c r="C261" s="4" t="str">
        <f t="shared" si="1"/>
        <v/>
      </c>
      <c r="D261" s="4">
        <f t="shared" si="2"/>
        <v>0</v>
      </c>
      <c r="E261" s="4">
        <f>IF(IFERROR(VLOOKUP(LEFT(C261,14),consolidado!D:D,1,0),0)&gt;0,1,0)</f>
        <v>1</v>
      </c>
    </row>
    <row r="262" ht="15.75" customHeight="1">
      <c r="B262" s="30" t="s">
        <v>316</v>
      </c>
      <c r="C262" s="4" t="str">
        <f t="shared" si="1"/>
        <v>El Mostrador</v>
      </c>
      <c r="D262" s="4">
        <f t="shared" si="2"/>
        <v>12</v>
      </c>
      <c r="E262" s="4">
        <f>IF(IFERROR(VLOOKUP(LEFT(C262,14),consolidado!D:D,1,0),0)&gt;0,1,0)</f>
        <v>0</v>
      </c>
    </row>
    <row r="263" ht="15.75" customHeight="1">
      <c r="B263" s="21" t="s">
        <v>91</v>
      </c>
      <c r="C263" s="4" t="str">
        <f t="shared" si="1"/>
        <v>Primera ministra de Finlandia da negativo en test de drogas realizado tras polémico vídeo</v>
      </c>
      <c r="D263" s="4">
        <f t="shared" si="2"/>
        <v>89</v>
      </c>
      <c r="E263" s="4">
        <f>IF(IFERROR(VLOOKUP(LEFT(C263,14),consolidado!D:D,1,0),0)&gt;0,1,0)</f>
        <v>1</v>
      </c>
    </row>
    <row r="264" ht="15.75" customHeight="1">
      <c r="B264" s="29">
        <v>44795.0</v>
      </c>
      <c r="C264" s="4" t="str">
        <f t="shared" si="1"/>
        <v>44795</v>
      </c>
      <c r="D264" s="4">
        <f t="shared" si="2"/>
        <v>5</v>
      </c>
      <c r="E264" s="4">
        <f>IF(IFERROR(VLOOKUP(LEFT(C264,14),consolidado!D:D,1,0),0)&gt;0,1,0)</f>
        <v>0</v>
      </c>
    </row>
    <row r="265" ht="15.75" customHeight="1">
      <c r="B265" s="24" t="s">
        <v>307</v>
      </c>
      <c r="C265" s="4" t="str">
        <f t="shared" si="1"/>
        <v>bookmark_border</v>
      </c>
      <c r="D265" s="4">
        <f t="shared" si="2"/>
        <v>15</v>
      </c>
      <c r="E265" s="4">
        <f>IF(IFERROR(VLOOKUP(LEFT(C265,14),consolidado!D:D,1,0),0)&gt;0,1,0)</f>
        <v>0</v>
      </c>
    </row>
    <row r="266" ht="15.75" customHeight="1">
      <c r="B266" s="24" t="s">
        <v>308</v>
      </c>
      <c r="C266" s="4" t="str">
        <f t="shared" si="1"/>
        <v>share</v>
      </c>
      <c r="D266" s="4">
        <f t="shared" si="2"/>
        <v>5</v>
      </c>
      <c r="E266" s="4">
        <f>IF(IFERROR(VLOOKUP(LEFT(C266,14),consolidado!D:D,1,0),0)&gt;0,1,0)</f>
        <v>0</v>
      </c>
    </row>
    <row r="267" ht="15.75" customHeight="1">
      <c r="B267" s="24" t="s">
        <v>309</v>
      </c>
      <c r="C267" s="4" t="str">
        <f t="shared" si="1"/>
        <v>more_vert</v>
      </c>
      <c r="D267" s="4">
        <f t="shared" si="2"/>
        <v>9</v>
      </c>
      <c r="E267" s="4">
        <f>IF(IFERROR(VLOOKUP(LEFT(C267,14),consolidado!D:D,1,0),0)&gt;0,1,0)</f>
        <v>0</v>
      </c>
    </row>
    <row r="268" ht="15.75" customHeight="1">
      <c r="B268" s="28"/>
      <c r="C268" s="4" t="str">
        <f t="shared" si="1"/>
        <v/>
      </c>
      <c r="D268" s="4">
        <f t="shared" si="2"/>
        <v>0</v>
      </c>
      <c r="E268" s="4">
        <f>IF(IFERROR(VLOOKUP(LEFT(C268,14),consolidado!D:D,1,0),0)&gt;0,1,0)</f>
        <v>1</v>
      </c>
    </row>
    <row r="269" ht="15.75" customHeight="1">
      <c r="B269" s="32"/>
      <c r="C269" s="4" t="str">
        <f t="shared" si="1"/>
        <v/>
      </c>
      <c r="D269" s="4">
        <f t="shared" si="2"/>
        <v>0</v>
      </c>
      <c r="E269" s="4">
        <f>IF(IFERROR(VLOOKUP(LEFT(C269,14),consolidado!D:D,1,0),0)&gt;0,1,0)</f>
        <v>1</v>
      </c>
    </row>
    <row r="270" ht="15.75" customHeight="1">
      <c r="B270" s="21" t="s">
        <v>93</v>
      </c>
      <c r="C270" s="4" t="str">
        <f t="shared" si="1"/>
        <v>[VIDEO] 78 diputados fueron sorteados para inédito test de drogas en el Congreso</v>
      </c>
      <c r="D270" s="4">
        <f t="shared" si="2"/>
        <v>80</v>
      </c>
      <c r="E270" s="4">
        <f>IF(IFERROR(VLOOKUP(LEFT(C270,14),consolidado!D:D,1,0),0)&gt;0,1,0)</f>
        <v>1</v>
      </c>
    </row>
    <row r="271" ht="15.75" customHeight="1">
      <c r="B271" s="29">
        <v>44791.0</v>
      </c>
      <c r="C271" s="4" t="str">
        <f t="shared" si="1"/>
        <v>44791</v>
      </c>
      <c r="D271" s="4">
        <f t="shared" si="2"/>
        <v>5</v>
      </c>
      <c r="E271" s="4">
        <f>IF(IFERROR(VLOOKUP(LEFT(C271,14),consolidado!D:D,1,0),0)&gt;0,1,0)</f>
        <v>0</v>
      </c>
    </row>
    <row r="272" ht="15.75" customHeight="1">
      <c r="B272" s="24" t="s">
        <v>307</v>
      </c>
      <c r="C272" s="4" t="str">
        <f t="shared" si="1"/>
        <v>bookmark_border</v>
      </c>
      <c r="D272" s="4">
        <f t="shared" si="2"/>
        <v>15</v>
      </c>
      <c r="E272" s="4">
        <f>IF(IFERROR(VLOOKUP(LEFT(C272,14),consolidado!D:D,1,0),0)&gt;0,1,0)</f>
        <v>0</v>
      </c>
    </row>
    <row r="273" ht="15.75" customHeight="1">
      <c r="B273" s="24" t="s">
        <v>308</v>
      </c>
      <c r="C273" s="4" t="str">
        <f t="shared" si="1"/>
        <v>share</v>
      </c>
      <c r="D273" s="4">
        <f t="shared" si="2"/>
        <v>5</v>
      </c>
      <c r="E273" s="4">
        <f>IF(IFERROR(VLOOKUP(LEFT(C273,14),consolidado!D:D,1,0),0)&gt;0,1,0)</f>
        <v>0</v>
      </c>
    </row>
    <row r="274" ht="15.75" customHeight="1">
      <c r="B274" s="24" t="s">
        <v>309</v>
      </c>
      <c r="C274" s="4" t="str">
        <f t="shared" si="1"/>
        <v>more_vert</v>
      </c>
      <c r="D274" s="4">
        <f t="shared" si="2"/>
        <v>9</v>
      </c>
      <c r="E274" s="4">
        <f>IF(IFERROR(VLOOKUP(LEFT(C274,14),consolidado!D:D,1,0),0)&gt;0,1,0)</f>
        <v>0</v>
      </c>
    </row>
    <row r="275" ht="15.75" customHeight="1">
      <c r="B275" s="28"/>
      <c r="C275" s="4" t="str">
        <f t="shared" si="1"/>
        <v/>
      </c>
      <c r="D275" s="4">
        <f t="shared" si="2"/>
        <v>0</v>
      </c>
      <c r="E275" s="4">
        <f>IF(IFERROR(VLOOKUP(LEFT(C275,14),consolidado!D:D,1,0),0)&gt;0,1,0)</f>
        <v>1</v>
      </c>
    </row>
    <row r="276" ht="15.75" customHeight="1">
      <c r="B276" s="19" t="s">
        <v>327</v>
      </c>
      <c r="C276" s="4" t="str">
        <f t="shared" si="1"/>
        <v>Canal 13</v>
      </c>
      <c r="D276" s="4">
        <f t="shared" si="2"/>
        <v>8</v>
      </c>
      <c r="E276" s="4">
        <f>IF(IFERROR(VLOOKUP(LEFT(C276,14),consolidado!D:D,1,0),0)&gt;0,1,0)</f>
        <v>0</v>
      </c>
    </row>
    <row r="277" ht="15.75" customHeight="1">
      <c r="B277" s="21" t="s">
        <v>95</v>
      </c>
      <c r="C277" s="4" t="str">
        <f t="shared" si="1"/>
        <v>Parlamentarios se refieren a test de drogas en el Congreso</v>
      </c>
      <c r="D277" s="4">
        <f t="shared" si="2"/>
        <v>58</v>
      </c>
      <c r="E277" s="4">
        <f>IF(IFERROR(VLOOKUP(LEFT(C277,14),consolidado!D:D,1,0),0)&gt;0,1,0)</f>
        <v>1</v>
      </c>
    </row>
    <row r="278" ht="15.75" customHeight="1">
      <c r="B278" s="29">
        <v>44791.0</v>
      </c>
      <c r="C278" s="4" t="str">
        <f t="shared" si="1"/>
        <v>44791</v>
      </c>
      <c r="D278" s="4">
        <f t="shared" si="2"/>
        <v>5</v>
      </c>
      <c r="E278" s="4">
        <f>IF(IFERROR(VLOOKUP(LEFT(C278,14),consolidado!D:D,1,0),0)&gt;0,1,0)</f>
        <v>0</v>
      </c>
    </row>
    <row r="279" ht="15.75" customHeight="1">
      <c r="B279" s="24" t="s">
        <v>307</v>
      </c>
      <c r="C279" s="4" t="str">
        <f t="shared" si="1"/>
        <v>bookmark_border</v>
      </c>
      <c r="D279" s="4">
        <f t="shared" si="2"/>
        <v>15</v>
      </c>
      <c r="E279" s="4">
        <f>IF(IFERROR(VLOOKUP(LEFT(C279,14),consolidado!D:D,1,0),0)&gt;0,1,0)</f>
        <v>0</v>
      </c>
    </row>
    <row r="280" ht="15.75" customHeight="1">
      <c r="B280" s="24" t="s">
        <v>308</v>
      </c>
      <c r="C280" s="4" t="str">
        <f t="shared" si="1"/>
        <v>share</v>
      </c>
      <c r="D280" s="4">
        <f t="shared" si="2"/>
        <v>5</v>
      </c>
      <c r="E280" s="4">
        <f>IF(IFERROR(VLOOKUP(LEFT(C280,14),consolidado!D:D,1,0),0)&gt;0,1,0)</f>
        <v>0</v>
      </c>
    </row>
    <row r="281" ht="15.75" customHeight="1">
      <c r="B281" s="24" t="s">
        <v>309</v>
      </c>
      <c r="C281" s="4" t="str">
        <f t="shared" si="1"/>
        <v>more_vert</v>
      </c>
      <c r="D281" s="4">
        <f t="shared" si="2"/>
        <v>9</v>
      </c>
      <c r="E281" s="4">
        <f>IF(IFERROR(VLOOKUP(LEFT(C281,14),consolidado!D:D,1,0),0)&gt;0,1,0)</f>
        <v>0</v>
      </c>
    </row>
    <row r="282" ht="15.75" customHeight="1">
      <c r="B282" s="28"/>
      <c r="C282" s="4" t="str">
        <f t="shared" si="1"/>
        <v/>
      </c>
      <c r="D282" s="4">
        <f t="shared" si="2"/>
        <v>0</v>
      </c>
      <c r="E282" s="4">
        <f>IF(IFERROR(VLOOKUP(LEFT(C282,14),consolidado!D:D,1,0),0)&gt;0,1,0)</f>
        <v>1</v>
      </c>
    </row>
    <row r="283" ht="15.75" customHeight="1">
      <c r="B283" s="32"/>
      <c r="C283" s="4" t="str">
        <f t="shared" si="1"/>
        <v/>
      </c>
      <c r="D283" s="4">
        <f t="shared" si="2"/>
        <v>0</v>
      </c>
      <c r="E283" s="4">
        <f>IF(IFERROR(VLOOKUP(LEFT(C283,14),consolidado!D:D,1,0),0)&gt;0,1,0)</f>
        <v>1</v>
      </c>
    </row>
    <row r="284" ht="15.75" customHeight="1">
      <c r="B284" s="21" t="s">
        <v>97</v>
      </c>
      <c r="C284" s="4" t="str">
        <f t="shared" si="1"/>
        <v>Proponen realizar test de drogas y alcohol a personas que trabajan con menores de edad</v>
      </c>
      <c r="D284" s="4">
        <f t="shared" si="2"/>
        <v>86</v>
      </c>
      <c r="E284" s="4">
        <f>IF(IFERROR(VLOOKUP(LEFT(C284,14),consolidado!D:D,1,0),0)&gt;0,1,0)</f>
        <v>1</v>
      </c>
    </row>
    <row r="285" ht="15.75" customHeight="1">
      <c r="B285" s="29">
        <v>44845.0</v>
      </c>
      <c r="C285" s="4" t="str">
        <f t="shared" si="1"/>
        <v>44845</v>
      </c>
      <c r="D285" s="4">
        <f t="shared" si="2"/>
        <v>5</v>
      </c>
      <c r="E285" s="4">
        <f>IF(IFERROR(VLOOKUP(LEFT(C285,14),consolidado!D:D,1,0),0)&gt;0,1,0)</f>
        <v>0</v>
      </c>
    </row>
    <row r="286" ht="15.75" customHeight="1">
      <c r="B286" s="24" t="s">
        <v>307</v>
      </c>
      <c r="C286" s="4" t="str">
        <f t="shared" si="1"/>
        <v>bookmark_border</v>
      </c>
      <c r="D286" s="4">
        <f t="shared" si="2"/>
        <v>15</v>
      </c>
      <c r="E286" s="4">
        <f>IF(IFERROR(VLOOKUP(LEFT(C286,14),consolidado!D:D,1,0),0)&gt;0,1,0)</f>
        <v>0</v>
      </c>
    </row>
    <row r="287" ht="15.75" customHeight="1">
      <c r="B287" s="24" t="s">
        <v>308</v>
      </c>
      <c r="C287" s="4" t="str">
        <f t="shared" si="1"/>
        <v>share</v>
      </c>
      <c r="D287" s="4">
        <f t="shared" si="2"/>
        <v>5</v>
      </c>
      <c r="E287" s="4">
        <f>IF(IFERROR(VLOOKUP(LEFT(C287,14),consolidado!D:D,1,0),0)&gt;0,1,0)</f>
        <v>0</v>
      </c>
    </row>
    <row r="288" ht="15.75" customHeight="1">
      <c r="B288" s="24" t="s">
        <v>309</v>
      </c>
      <c r="C288" s="4" t="str">
        <f t="shared" si="1"/>
        <v>more_vert</v>
      </c>
      <c r="D288" s="4">
        <f t="shared" si="2"/>
        <v>9</v>
      </c>
      <c r="E288" s="4">
        <f>IF(IFERROR(VLOOKUP(LEFT(C288,14),consolidado!D:D,1,0),0)&gt;0,1,0)</f>
        <v>0</v>
      </c>
    </row>
    <row r="289" ht="15.75" customHeight="1">
      <c r="B289" s="28"/>
      <c r="C289" s="4" t="str">
        <f t="shared" si="1"/>
        <v/>
      </c>
      <c r="D289" s="4">
        <f t="shared" si="2"/>
        <v>0</v>
      </c>
      <c r="E289" s="4">
        <f>IF(IFERROR(VLOOKUP(LEFT(C289,14),consolidado!D:D,1,0),0)&gt;0,1,0)</f>
        <v>1</v>
      </c>
    </row>
    <row r="290" ht="15.75" customHeight="1">
      <c r="B290" s="32"/>
      <c r="C290" s="4" t="str">
        <f t="shared" si="1"/>
        <v/>
      </c>
      <c r="D290" s="4">
        <f t="shared" si="2"/>
        <v>0</v>
      </c>
      <c r="E290" s="4">
        <f>IF(IFERROR(VLOOKUP(LEFT(C290,14),consolidado!D:D,1,0),0)&gt;0,1,0)</f>
        <v>1</v>
      </c>
    </row>
    <row r="291" ht="15.75" customHeight="1">
      <c r="B291" s="21" t="s">
        <v>100</v>
      </c>
      <c r="C291" s="4" t="str">
        <f t="shared" si="1"/>
        <v>“No solo no me avergüenzo…”: diputada Gazmuri reconoció consumo de cannabis y lanzó dura crítica al test de drogas en la Cámara</v>
      </c>
      <c r="D291" s="4">
        <f t="shared" si="2"/>
        <v>130</v>
      </c>
      <c r="E291" s="4">
        <f>IF(IFERROR(VLOOKUP(LEFT(C291,14),consolidado!D:D,1,0),0)&gt;0,1,0)</f>
        <v>1</v>
      </c>
    </row>
    <row r="292" ht="15.75" customHeight="1">
      <c r="B292" s="29">
        <v>44774.0</v>
      </c>
      <c r="C292" s="4" t="str">
        <f t="shared" si="1"/>
        <v>44774</v>
      </c>
      <c r="D292" s="4">
        <f t="shared" si="2"/>
        <v>5</v>
      </c>
      <c r="E292" s="4">
        <f>IF(IFERROR(VLOOKUP(LEFT(C292,14),consolidado!D:D,1,0),0)&gt;0,1,0)</f>
        <v>0</v>
      </c>
    </row>
    <row r="293" ht="15.75" customHeight="1">
      <c r="B293" s="24" t="s">
        <v>307</v>
      </c>
      <c r="C293" s="4" t="str">
        <f t="shared" si="1"/>
        <v>bookmark_border</v>
      </c>
      <c r="D293" s="4">
        <f t="shared" si="2"/>
        <v>15</v>
      </c>
      <c r="E293" s="4">
        <f>IF(IFERROR(VLOOKUP(LEFT(C293,14),consolidado!D:D,1,0),0)&gt;0,1,0)</f>
        <v>0</v>
      </c>
    </row>
    <row r="294" ht="15.75" customHeight="1">
      <c r="B294" s="24" t="s">
        <v>308</v>
      </c>
      <c r="C294" s="4" t="str">
        <f t="shared" si="1"/>
        <v>share</v>
      </c>
      <c r="D294" s="4">
        <f t="shared" si="2"/>
        <v>5</v>
      </c>
      <c r="E294" s="4">
        <f>IF(IFERROR(VLOOKUP(LEFT(C294,14),consolidado!D:D,1,0),0)&gt;0,1,0)</f>
        <v>0</v>
      </c>
    </row>
    <row r="295" ht="15.75" customHeight="1">
      <c r="B295" s="24" t="s">
        <v>309</v>
      </c>
      <c r="C295" s="4" t="str">
        <f t="shared" si="1"/>
        <v>more_vert</v>
      </c>
      <c r="D295" s="4">
        <f t="shared" si="2"/>
        <v>9</v>
      </c>
      <c r="E295" s="4">
        <f>IF(IFERROR(VLOOKUP(LEFT(C295,14),consolidado!D:D,1,0),0)&gt;0,1,0)</f>
        <v>0</v>
      </c>
    </row>
    <row r="296" ht="15.75" customHeight="1">
      <c r="B296" s="28"/>
      <c r="C296" s="4" t="str">
        <f t="shared" si="1"/>
        <v/>
      </c>
      <c r="D296" s="4">
        <f t="shared" si="2"/>
        <v>0</v>
      </c>
      <c r="E296" s="4">
        <f>IF(IFERROR(VLOOKUP(LEFT(C296,14),consolidado!D:D,1,0),0)&gt;0,1,0)</f>
        <v>1</v>
      </c>
    </row>
    <row r="297" ht="15.75" customHeight="1">
      <c r="B297" s="30" t="s">
        <v>321</v>
      </c>
      <c r="C297" s="4" t="str">
        <f t="shared" si="1"/>
        <v>Radio Concierto</v>
      </c>
      <c r="D297" s="4">
        <f t="shared" si="2"/>
        <v>15</v>
      </c>
      <c r="E297" s="4">
        <f>IF(IFERROR(VLOOKUP(LEFT(C297,14),consolidado!D:D,1,0),0)&gt;0,1,0)</f>
        <v>0</v>
      </c>
    </row>
    <row r="298" ht="15.75" customHeight="1">
      <c r="B298" s="21" t="s">
        <v>102</v>
      </c>
      <c r="C298" s="4" t="str">
        <f t="shared" si="1"/>
        <v>Avanza proyecto que busca hacer test de drogas a parlamentarios</v>
      </c>
      <c r="D298" s="4">
        <f t="shared" si="2"/>
        <v>63</v>
      </c>
      <c r="E298" s="4">
        <f>IF(IFERROR(VLOOKUP(LEFT(C298,14),consolidado!D:D,1,0),0)&gt;0,1,0)</f>
        <v>1</v>
      </c>
    </row>
    <row r="299" ht="15.75" customHeight="1">
      <c r="B299" s="29">
        <v>44742.0</v>
      </c>
      <c r="C299" s="4" t="str">
        <f t="shared" si="1"/>
        <v>44742</v>
      </c>
      <c r="D299" s="4">
        <f t="shared" si="2"/>
        <v>5</v>
      </c>
      <c r="E299" s="4">
        <f>IF(IFERROR(VLOOKUP(LEFT(C299,14),consolidado!D:D,1,0),0)&gt;0,1,0)</f>
        <v>0</v>
      </c>
    </row>
    <row r="300" ht="15.75" customHeight="1">
      <c r="B300" s="24" t="s">
        <v>307</v>
      </c>
      <c r="C300" s="4" t="str">
        <f t="shared" si="1"/>
        <v>bookmark_border</v>
      </c>
      <c r="D300" s="4">
        <f t="shared" si="2"/>
        <v>15</v>
      </c>
      <c r="E300" s="4">
        <f>IF(IFERROR(VLOOKUP(LEFT(C300,14),consolidado!D:D,1,0),0)&gt;0,1,0)</f>
        <v>0</v>
      </c>
    </row>
    <row r="301" ht="15.75" customHeight="1">
      <c r="B301" s="24" t="s">
        <v>308</v>
      </c>
      <c r="C301" s="4" t="str">
        <f t="shared" si="1"/>
        <v>share</v>
      </c>
      <c r="D301" s="4">
        <f t="shared" si="2"/>
        <v>5</v>
      </c>
      <c r="E301" s="4">
        <f>IF(IFERROR(VLOOKUP(LEFT(C301,14),consolidado!D:D,1,0),0)&gt;0,1,0)</f>
        <v>0</v>
      </c>
    </row>
    <row r="302" ht="15.75" customHeight="1">
      <c r="B302" s="24" t="s">
        <v>309</v>
      </c>
      <c r="C302" s="4" t="str">
        <f t="shared" si="1"/>
        <v>more_vert</v>
      </c>
      <c r="D302" s="4">
        <f t="shared" si="2"/>
        <v>9</v>
      </c>
      <c r="E302" s="4">
        <f>IF(IFERROR(VLOOKUP(LEFT(C302,14),consolidado!D:D,1,0),0)&gt;0,1,0)</f>
        <v>0</v>
      </c>
    </row>
    <row r="303" ht="15.75" customHeight="1">
      <c r="B303" s="30" t="s">
        <v>328</v>
      </c>
      <c r="C303" s="4" t="str">
        <f t="shared" si="1"/>
        <v>El Pingüino</v>
      </c>
      <c r="D303" s="4">
        <f t="shared" si="2"/>
        <v>11</v>
      </c>
      <c r="E303" s="4">
        <f>IF(IFERROR(VLOOKUP(LEFT(C303,14),consolidado!D:D,1,0),0)&gt;0,1,0)</f>
        <v>0</v>
      </c>
    </row>
    <row r="304" ht="15.75" customHeight="1">
      <c r="B304" s="21" t="s">
        <v>105</v>
      </c>
      <c r="C304" s="4" t="str">
        <f t="shared" si="1"/>
        <v>Requisitos para ser parlamentario</v>
      </c>
      <c r="D304" s="4">
        <f t="shared" si="2"/>
        <v>33</v>
      </c>
      <c r="E304" s="4">
        <f>IF(IFERROR(VLOOKUP(LEFT(C304,14),consolidado!D:D,1,0),0)&gt;0,1,0)</f>
        <v>1</v>
      </c>
    </row>
    <row r="305" ht="15.75" customHeight="1">
      <c r="B305" s="23" t="s">
        <v>329</v>
      </c>
      <c r="C305" s="4" t="str">
        <f t="shared" si="1"/>
        <v>Hace 16 días</v>
      </c>
      <c r="D305" s="4">
        <f t="shared" si="2"/>
        <v>12</v>
      </c>
      <c r="E305" s="4">
        <f>IF(IFERROR(VLOOKUP(LEFT(C305,14),consolidado!D:D,1,0),0)&gt;0,1,0)</f>
        <v>0</v>
      </c>
    </row>
    <row r="306" ht="15.75" customHeight="1">
      <c r="B306" s="24" t="s">
        <v>307</v>
      </c>
      <c r="C306" s="4" t="str">
        <f t="shared" si="1"/>
        <v>bookmark_border</v>
      </c>
      <c r="D306" s="4">
        <f t="shared" si="2"/>
        <v>15</v>
      </c>
      <c r="E306" s="4">
        <f>IF(IFERROR(VLOOKUP(LEFT(C306,14),consolidado!D:D,1,0),0)&gt;0,1,0)</f>
        <v>0</v>
      </c>
    </row>
    <row r="307" ht="15.75" customHeight="1">
      <c r="B307" s="24" t="s">
        <v>308</v>
      </c>
      <c r="C307" s="4" t="str">
        <f t="shared" si="1"/>
        <v>share</v>
      </c>
      <c r="D307" s="4">
        <f t="shared" si="2"/>
        <v>5</v>
      </c>
      <c r="E307" s="4">
        <f>IF(IFERROR(VLOOKUP(LEFT(C307,14),consolidado!D:D,1,0),0)&gt;0,1,0)</f>
        <v>0</v>
      </c>
    </row>
    <row r="308" ht="15.75" customHeight="1">
      <c r="B308" s="24" t="s">
        <v>309</v>
      </c>
      <c r="C308" s="4" t="str">
        <f t="shared" si="1"/>
        <v>more_vert</v>
      </c>
      <c r="D308" s="4">
        <f t="shared" si="2"/>
        <v>9</v>
      </c>
      <c r="E308" s="4">
        <f>IF(IFERROR(VLOOKUP(LEFT(C308,14),consolidado!D:D,1,0),0)&gt;0,1,0)</f>
        <v>0</v>
      </c>
    </row>
    <row r="309" ht="15.75" customHeight="1">
      <c r="B309" s="28"/>
      <c r="C309" s="4" t="str">
        <f t="shared" si="1"/>
        <v/>
      </c>
      <c r="D309" s="4">
        <f t="shared" si="2"/>
        <v>0</v>
      </c>
      <c r="E309" s="4">
        <f>IF(IFERROR(VLOOKUP(LEFT(C309,14),consolidado!D:D,1,0),0)&gt;0,1,0)</f>
        <v>1</v>
      </c>
    </row>
    <row r="310" ht="15.75" customHeight="1">
      <c r="B310" s="30" t="s">
        <v>326</v>
      </c>
      <c r="C310" s="31" t="str">
        <f t="shared" si="1"/>
        <v>24Horas.cl</v>
      </c>
      <c r="D310" s="4">
        <f t="shared" si="2"/>
        <v>10</v>
      </c>
      <c r="E310" s="4">
        <f>IF(IFERROR(VLOOKUP(LEFT(C310,14),consolidado!D:D,1,0),0)&gt;0,1,0)</f>
        <v>0</v>
      </c>
    </row>
    <row r="311" ht="15.75" customHeight="1">
      <c r="B311" s="21" t="s">
        <v>108</v>
      </c>
      <c r="C311" s="4" t="str">
        <f t="shared" si="1"/>
        <v>Ana María Gazmuri por proyecto de test de drogas en Cámara; "Va en la dirección equivocada"</v>
      </c>
      <c r="D311" s="4">
        <f t="shared" si="2"/>
        <v>91</v>
      </c>
      <c r="E311" s="4">
        <f>IF(IFERROR(VLOOKUP(LEFT(C311,14),consolidado!D:D,1,0),0)&gt;0,1,0)</f>
        <v>1</v>
      </c>
    </row>
    <row r="312" ht="15.75" customHeight="1">
      <c r="B312" s="29">
        <v>44741.0</v>
      </c>
      <c r="C312" s="4" t="str">
        <f t="shared" si="1"/>
        <v>44741</v>
      </c>
      <c r="D312" s="4">
        <f t="shared" si="2"/>
        <v>5</v>
      </c>
      <c r="E312" s="4">
        <f>IF(IFERROR(VLOOKUP(LEFT(C312,14),consolidado!D:D,1,0),0)&gt;0,1,0)</f>
        <v>0</v>
      </c>
    </row>
    <row r="313" ht="15.75" customHeight="1">
      <c r="B313" s="24" t="s">
        <v>307</v>
      </c>
      <c r="C313" s="4" t="str">
        <f t="shared" si="1"/>
        <v>bookmark_border</v>
      </c>
      <c r="D313" s="4">
        <f t="shared" si="2"/>
        <v>15</v>
      </c>
      <c r="E313" s="4">
        <f>IF(IFERROR(VLOOKUP(LEFT(C313,14),consolidado!D:D,1,0),0)&gt;0,1,0)</f>
        <v>0</v>
      </c>
    </row>
    <row r="314" ht="15.75" customHeight="1">
      <c r="B314" s="24" t="s">
        <v>308</v>
      </c>
      <c r="C314" s="4" t="str">
        <f t="shared" si="1"/>
        <v>share</v>
      </c>
      <c r="D314" s="4">
        <f t="shared" si="2"/>
        <v>5</v>
      </c>
      <c r="E314" s="4">
        <f>IF(IFERROR(VLOOKUP(LEFT(C314,14),consolidado!D:D,1,0),0)&gt;0,1,0)</f>
        <v>0</v>
      </c>
    </row>
    <row r="315" ht="15.75" customHeight="1">
      <c r="B315" s="24" t="s">
        <v>309</v>
      </c>
      <c r="C315" s="4" t="str">
        <f t="shared" si="1"/>
        <v>more_vert</v>
      </c>
      <c r="D315" s="4">
        <f t="shared" si="2"/>
        <v>9</v>
      </c>
      <c r="E315" s="4">
        <f>IF(IFERROR(VLOOKUP(LEFT(C315,14),consolidado!D:D,1,0),0)&gt;0,1,0)</f>
        <v>0</v>
      </c>
    </row>
    <row r="316" ht="15.75" customHeight="1">
      <c r="B316" s="28"/>
      <c r="C316" s="4" t="str">
        <f t="shared" si="1"/>
        <v/>
      </c>
      <c r="D316" s="4">
        <f t="shared" si="2"/>
        <v>0</v>
      </c>
      <c r="E316" s="4">
        <f>IF(IFERROR(VLOOKUP(LEFT(C316,14),consolidado!D:D,1,0),0)&gt;0,1,0)</f>
        <v>1</v>
      </c>
    </row>
    <row r="317" ht="15.75" customHeight="1">
      <c r="B317" s="30" t="s">
        <v>315</v>
      </c>
      <c r="C317" s="4" t="str">
        <f t="shared" si="1"/>
        <v>BioBioChile</v>
      </c>
      <c r="D317" s="4">
        <f t="shared" si="2"/>
        <v>11</v>
      </c>
      <c r="E317" s="4">
        <f>IF(IFERROR(VLOOKUP(LEFT(C317,14),consolidado!D:D,1,0),0)&gt;0,1,0)</f>
        <v>0</v>
      </c>
    </row>
    <row r="318" ht="15.75" customHeight="1">
      <c r="B318" s="21" t="s">
        <v>110</v>
      </c>
      <c r="C318" s="4" t="str">
        <f t="shared" si="1"/>
        <v>Diputado Barria pide aplicar "test psiquiátrico" a parlamentarios tras agresión de De la Carrera</v>
      </c>
      <c r="D318" s="4">
        <f t="shared" si="2"/>
        <v>96</v>
      </c>
      <c r="E318" s="4">
        <f>IF(IFERROR(VLOOKUP(LEFT(C318,14),consolidado!D:D,1,0),0)&gt;0,1,0)</f>
        <v>1</v>
      </c>
    </row>
    <row r="319" ht="15.75" customHeight="1">
      <c r="B319" s="29">
        <v>44804.0</v>
      </c>
      <c r="C319" s="4" t="str">
        <f t="shared" si="1"/>
        <v>44804</v>
      </c>
      <c r="D319" s="4">
        <f t="shared" si="2"/>
        <v>5</v>
      </c>
      <c r="E319" s="4">
        <f>IF(IFERROR(VLOOKUP(LEFT(C319,14),consolidado!D:D,1,0),0)&gt;0,1,0)</f>
        <v>0</v>
      </c>
    </row>
    <row r="320" ht="15.75" customHeight="1">
      <c r="B320" s="24" t="s">
        <v>307</v>
      </c>
      <c r="C320" s="4" t="str">
        <f t="shared" si="1"/>
        <v>bookmark_border</v>
      </c>
      <c r="D320" s="4">
        <f t="shared" si="2"/>
        <v>15</v>
      </c>
      <c r="E320" s="4">
        <f>IF(IFERROR(VLOOKUP(LEFT(C320,14),consolidado!D:D,1,0),0)&gt;0,1,0)</f>
        <v>0</v>
      </c>
    </row>
    <row r="321" ht="15.75" customHeight="1">
      <c r="B321" s="24" t="s">
        <v>308</v>
      </c>
      <c r="C321" s="4" t="str">
        <f t="shared" si="1"/>
        <v>share</v>
      </c>
      <c r="D321" s="4">
        <f t="shared" si="2"/>
        <v>5</v>
      </c>
      <c r="E321" s="4">
        <f>IF(IFERROR(VLOOKUP(LEFT(C321,14),consolidado!D:D,1,0),0)&gt;0,1,0)</f>
        <v>0</v>
      </c>
    </row>
    <row r="322" ht="15.75" customHeight="1">
      <c r="B322" s="24" t="s">
        <v>309</v>
      </c>
      <c r="C322" s="4" t="str">
        <f t="shared" si="1"/>
        <v>more_vert</v>
      </c>
      <c r="D322" s="4">
        <f t="shared" si="2"/>
        <v>9</v>
      </c>
      <c r="E322" s="4">
        <f>IF(IFERROR(VLOOKUP(LEFT(C322,14),consolidado!D:D,1,0),0)&gt;0,1,0)</f>
        <v>0</v>
      </c>
    </row>
    <row r="323" ht="15.75" customHeight="1">
      <c r="B323" s="28"/>
      <c r="C323" s="4" t="str">
        <f t="shared" si="1"/>
        <v/>
      </c>
      <c r="D323" s="4">
        <f t="shared" si="2"/>
        <v>0</v>
      </c>
      <c r="E323" s="4">
        <f>IF(IFERROR(VLOOKUP(LEFT(C323,14),consolidado!D:D,1,0),0)&gt;0,1,0)</f>
        <v>1</v>
      </c>
    </row>
    <row r="324" ht="15.75" customHeight="1">
      <c r="B324" s="32"/>
      <c r="C324" s="4" t="str">
        <f t="shared" si="1"/>
        <v/>
      </c>
      <c r="D324" s="4">
        <f t="shared" si="2"/>
        <v>0</v>
      </c>
      <c r="E324" s="4">
        <f>IF(IFERROR(VLOOKUP(LEFT(C324,14),consolidado!D:D,1,0),0)&gt;0,1,0)</f>
        <v>1</v>
      </c>
    </row>
    <row r="325" ht="15.75" customHeight="1">
      <c r="B325" s="21" t="s">
        <v>112</v>
      </c>
      <c r="C325" s="4" t="str">
        <f t="shared" si="1"/>
        <v>Corte de Valparaíso rechaza solicitud de dictar orden de no innovar por test de drogas a diputados. - Diario Constitucional</v>
      </c>
      <c r="D325" s="4">
        <f t="shared" si="2"/>
        <v>123</v>
      </c>
      <c r="E325" s="4">
        <f>IF(IFERROR(VLOOKUP(LEFT(C325,14),consolidado!D:D,1,0),0)&gt;0,1,0)</f>
        <v>1</v>
      </c>
    </row>
    <row r="326" ht="15.75" customHeight="1">
      <c r="B326" s="29">
        <v>44831.0</v>
      </c>
      <c r="C326" s="4" t="str">
        <f t="shared" si="1"/>
        <v>44831</v>
      </c>
      <c r="D326" s="4">
        <f t="shared" si="2"/>
        <v>5</v>
      </c>
      <c r="E326" s="4">
        <f>IF(IFERROR(VLOOKUP(LEFT(C326,14),consolidado!D:D,1,0),0)&gt;0,1,0)</f>
        <v>0</v>
      </c>
    </row>
    <row r="327" ht="15.75" customHeight="1">
      <c r="B327" s="24" t="s">
        <v>307</v>
      </c>
      <c r="C327" s="4" t="str">
        <f t="shared" si="1"/>
        <v>bookmark_border</v>
      </c>
      <c r="D327" s="4">
        <f t="shared" si="2"/>
        <v>15</v>
      </c>
      <c r="E327" s="4">
        <f>IF(IFERROR(VLOOKUP(LEFT(C327,14),consolidado!D:D,1,0),0)&gt;0,1,0)</f>
        <v>0</v>
      </c>
    </row>
    <row r="328" ht="15.75" customHeight="1">
      <c r="B328" s="24" t="s">
        <v>308</v>
      </c>
      <c r="C328" s="4" t="str">
        <f t="shared" si="1"/>
        <v>share</v>
      </c>
      <c r="D328" s="4">
        <f t="shared" si="2"/>
        <v>5</v>
      </c>
      <c r="E328" s="4">
        <f>IF(IFERROR(VLOOKUP(LEFT(C328,14),consolidado!D:D,1,0),0)&gt;0,1,0)</f>
        <v>0</v>
      </c>
    </row>
    <row r="329" ht="15.75" customHeight="1">
      <c r="B329" s="24" t="s">
        <v>309</v>
      </c>
      <c r="C329" s="4" t="str">
        <f t="shared" si="1"/>
        <v>more_vert</v>
      </c>
      <c r="D329" s="4">
        <f t="shared" si="2"/>
        <v>9</v>
      </c>
      <c r="E329" s="4">
        <f>IF(IFERROR(VLOOKUP(LEFT(C329,14),consolidado!D:D,1,0),0)&gt;0,1,0)</f>
        <v>0</v>
      </c>
    </row>
    <row r="330" ht="15.75" customHeight="1">
      <c r="B330" s="28"/>
      <c r="C330" s="4" t="str">
        <f t="shared" si="1"/>
        <v/>
      </c>
      <c r="D330" s="4">
        <f t="shared" si="2"/>
        <v>0</v>
      </c>
      <c r="E330" s="4">
        <f>IF(IFERROR(VLOOKUP(LEFT(C330,14),consolidado!D:D,1,0),0)&gt;0,1,0)</f>
        <v>1</v>
      </c>
    </row>
    <row r="331" ht="15.75" customHeight="1">
      <c r="B331" s="32"/>
      <c r="C331" s="4" t="str">
        <f t="shared" si="1"/>
        <v/>
      </c>
      <c r="D331" s="4">
        <f t="shared" si="2"/>
        <v>0</v>
      </c>
      <c r="E331" s="4">
        <f>IF(IFERROR(VLOOKUP(LEFT(C331,14),consolidado!D:D,1,0),0)&gt;0,1,0)</f>
        <v>1</v>
      </c>
    </row>
    <row r="332" ht="15.75" customHeight="1">
      <c r="B332" s="21" t="s">
        <v>115</v>
      </c>
      <c r="C332" s="4" t="str">
        <f t="shared" si="1"/>
        <v>“No hagan la cimarra”: De la Carrera y su provocador tuit a diputados frenteamplistas tras ser sorteados a test de drogas</v>
      </c>
      <c r="D332" s="4">
        <f t="shared" si="2"/>
        <v>123</v>
      </c>
      <c r="E332" s="4">
        <f>IF(IFERROR(VLOOKUP(LEFT(C332,14),consolidado!D:D,1,0),0)&gt;0,1,0)</f>
        <v>1</v>
      </c>
    </row>
    <row r="333" ht="15.75" customHeight="1">
      <c r="B333" s="29">
        <v>44790.0</v>
      </c>
      <c r="C333" s="4" t="str">
        <f t="shared" si="1"/>
        <v>44790</v>
      </c>
      <c r="D333" s="4">
        <f t="shared" si="2"/>
        <v>5</v>
      </c>
      <c r="E333" s="4">
        <f>IF(IFERROR(VLOOKUP(LEFT(C333,14),consolidado!D:D,1,0),0)&gt;0,1,0)</f>
        <v>0</v>
      </c>
    </row>
    <row r="334" ht="15.75" customHeight="1">
      <c r="B334" s="24" t="s">
        <v>307</v>
      </c>
      <c r="C334" s="4" t="str">
        <f t="shared" si="1"/>
        <v>bookmark_border</v>
      </c>
      <c r="D334" s="4">
        <f t="shared" si="2"/>
        <v>15</v>
      </c>
      <c r="E334" s="4">
        <f>IF(IFERROR(VLOOKUP(LEFT(C334,14),consolidado!D:D,1,0),0)&gt;0,1,0)</f>
        <v>0</v>
      </c>
    </row>
    <row r="335" ht="15.75" customHeight="1">
      <c r="B335" s="24" t="s">
        <v>308</v>
      </c>
      <c r="C335" s="4" t="str">
        <f t="shared" si="1"/>
        <v>share</v>
      </c>
      <c r="D335" s="4">
        <f t="shared" si="2"/>
        <v>5</v>
      </c>
      <c r="E335" s="4">
        <f>IF(IFERROR(VLOOKUP(LEFT(C335,14),consolidado!D:D,1,0),0)&gt;0,1,0)</f>
        <v>0</v>
      </c>
    </row>
    <row r="336" ht="15.75" customHeight="1">
      <c r="B336" s="24" t="s">
        <v>309</v>
      </c>
      <c r="C336" s="4" t="str">
        <f t="shared" si="1"/>
        <v>more_vert</v>
      </c>
      <c r="D336" s="4">
        <f t="shared" si="2"/>
        <v>9</v>
      </c>
      <c r="E336" s="4">
        <f>IF(IFERROR(VLOOKUP(LEFT(C336,14),consolidado!D:D,1,0),0)&gt;0,1,0)</f>
        <v>0</v>
      </c>
    </row>
    <row r="337" ht="15.75" customHeight="1">
      <c r="B337" s="28"/>
      <c r="C337" s="4" t="str">
        <f t="shared" si="1"/>
        <v/>
      </c>
      <c r="D337" s="4">
        <f t="shared" si="2"/>
        <v>0</v>
      </c>
      <c r="E337" s="4">
        <f>IF(IFERROR(VLOOKUP(LEFT(C337,14),consolidado!D:D,1,0),0)&gt;0,1,0)</f>
        <v>1</v>
      </c>
    </row>
    <row r="338" ht="15.75" customHeight="1">
      <c r="B338" s="30" t="s">
        <v>315</v>
      </c>
      <c r="C338" s="4" t="str">
        <f t="shared" si="1"/>
        <v>BioBioChile</v>
      </c>
      <c r="D338" s="4">
        <f t="shared" si="2"/>
        <v>11</v>
      </c>
      <c r="E338" s="4">
        <f>IF(IFERROR(VLOOKUP(LEFT(C338,14),consolidado!D:D,1,0),0)&gt;0,1,0)</f>
        <v>0</v>
      </c>
    </row>
    <row r="339" ht="15.75" customHeight="1">
      <c r="B339" s="21" t="s">
        <v>117</v>
      </c>
      <c r="C339" s="4" t="str">
        <f t="shared" si="1"/>
        <v>Urruticoechea tilda de "imprudente" recurso presentado por diputadas en contra de test de drogas</v>
      </c>
      <c r="D339" s="4">
        <f t="shared" si="2"/>
        <v>96</v>
      </c>
      <c r="E339" s="4">
        <f>IF(IFERROR(VLOOKUP(LEFT(C339,14),consolidado!D:D,1,0),0)&gt;0,1,0)</f>
        <v>1</v>
      </c>
    </row>
    <row r="340" ht="15.75" customHeight="1">
      <c r="B340" s="29">
        <v>44824.0</v>
      </c>
      <c r="C340" s="4" t="str">
        <f t="shared" si="1"/>
        <v>44824</v>
      </c>
      <c r="D340" s="4">
        <f t="shared" si="2"/>
        <v>5</v>
      </c>
      <c r="E340" s="4">
        <f>IF(IFERROR(VLOOKUP(LEFT(C340,14),consolidado!D:D,1,0),0)&gt;0,1,0)</f>
        <v>0</v>
      </c>
    </row>
    <row r="341" ht="15.75" customHeight="1">
      <c r="B341" s="24" t="s">
        <v>307</v>
      </c>
      <c r="C341" s="4" t="str">
        <f t="shared" si="1"/>
        <v>bookmark_border</v>
      </c>
      <c r="D341" s="4">
        <f t="shared" si="2"/>
        <v>15</v>
      </c>
      <c r="E341" s="4">
        <f>IF(IFERROR(VLOOKUP(LEFT(C341,14),consolidado!D:D,1,0),0)&gt;0,1,0)</f>
        <v>0</v>
      </c>
    </row>
    <row r="342" ht="15.75" customHeight="1">
      <c r="B342" s="24" t="s">
        <v>308</v>
      </c>
      <c r="C342" s="4" t="str">
        <f t="shared" si="1"/>
        <v>share</v>
      </c>
      <c r="D342" s="4">
        <f t="shared" si="2"/>
        <v>5</v>
      </c>
      <c r="E342" s="4">
        <f>IF(IFERROR(VLOOKUP(LEFT(C342,14),consolidado!D:D,1,0),0)&gt;0,1,0)</f>
        <v>0</v>
      </c>
    </row>
    <row r="343" ht="15.75" customHeight="1">
      <c r="B343" s="24" t="s">
        <v>309</v>
      </c>
      <c r="C343" s="4" t="str">
        <f t="shared" si="1"/>
        <v>more_vert</v>
      </c>
      <c r="D343" s="4">
        <f t="shared" si="2"/>
        <v>9</v>
      </c>
      <c r="E343" s="4">
        <f>IF(IFERROR(VLOOKUP(LEFT(C343,14),consolidado!D:D,1,0),0)&gt;0,1,0)</f>
        <v>0</v>
      </c>
    </row>
    <row r="344" ht="15.75" customHeight="1">
      <c r="B344" s="30" t="s">
        <v>330</v>
      </c>
      <c r="C344" s="4" t="str">
        <f t="shared" si="1"/>
        <v>AdPrensa</v>
      </c>
      <c r="D344" s="4">
        <f t="shared" si="2"/>
        <v>8</v>
      </c>
      <c r="E344" s="4">
        <f>IF(IFERROR(VLOOKUP(LEFT(C344,14),consolidado!D:D,1,0),0)&gt;0,1,0)</f>
        <v>0</v>
      </c>
    </row>
    <row r="345" ht="15.75" customHeight="1">
      <c r="B345" s="21" t="s">
        <v>119</v>
      </c>
      <c r="C345" s="4" t="str">
        <f t="shared" si="1"/>
        <v>Diputados UDI: "El INDH se transformó en un problema para la democracia cuando fue capturado por el PC y el FA"</v>
      </c>
      <c r="D345" s="4">
        <f t="shared" si="2"/>
        <v>111</v>
      </c>
      <c r="E345" s="4">
        <f>IF(IFERROR(VLOOKUP(LEFT(C345,14),consolidado!D:D,1,0),0)&gt;0,1,0)</f>
        <v>1</v>
      </c>
    </row>
    <row r="346" ht="15.75" customHeight="1">
      <c r="B346" s="23" t="s">
        <v>331</v>
      </c>
      <c r="C346" s="4" t="str">
        <f t="shared" si="1"/>
        <v>Hace 10 días</v>
      </c>
      <c r="D346" s="4">
        <f t="shared" si="2"/>
        <v>12</v>
      </c>
      <c r="E346" s="4">
        <f>IF(IFERROR(VLOOKUP(LEFT(C346,14),consolidado!D:D,1,0),0)&gt;0,1,0)</f>
        <v>0</v>
      </c>
    </row>
    <row r="347" ht="15.75" customHeight="1">
      <c r="B347" s="24" t="s">
        <v>307</v>
      </c>
      <c r="C347" s="4" t="str">
        <f t="shared" si="1"/>
        <v>bookmark_border</v>
      </c>
      <c r="D347" s="4">
        <f t="shared" si="2"/>
        <v>15</v>
      </c>
      <c r="E347" s="4">
        <f>IF(IFERROR(VLOOKUP(LEFT(C347,14),consolidado!D:D,1,0),0)&gt;0,1,0)</f>
        <v>0</v>
      </c>
    </row>
    <row r="348" ht="15.75" customHeight="1">
      <c r="B348" s="24" t="s">
        <v>308</v>
      </c>
      <c r="C348" s="4" t="str">
        <f t="shared" si="1"/>
        <v>share</v>
      </c>
      <c r="D348" s="4">
        <f t="shared" si="2"/>
        <v>5</v>
      </c>
      <c r="E348" s="4">
        <f>IF(IFERROR(VLOOKUP(LEFT(C348,14),consolidado!D:D,1,0),0)&gt;0,1,0)</f>
        <v>0</v>
      </c>
    </row>
    <row r="349" ht="15.75" customHeight="1">
      <c r="B349" s="24" t="s">
        <v>309</v>
      </c>
      <c r="C349" s="4" t="str">
        <f t="shared" si="1"/>
        <v>more_vert</v>
      </c>
      <c r="D349" s="4">
        <f t="shared" si="2"/>
        <v>9</v>
      </c>
      <c r="E349" s="4">
        <f>IF(IFERROR(VLOOKUP(LEFT(C349,14),consolidado!D:D,1,0),0)&gt;0,1,0)</f>
        <v>0</v>
      </c>
    </row>
    <row r="350" ht="15.75" customHeight="1">
      <c r="B350" s="28"/>
      <c r="C350" s="4" t="str">
        <f t="shared" si="1"/>
        <v/>
      </c>
      <c r="D350" s="4">
        <f t="shared" si="2"/>
        <v>0</v>
      </c>
      <c r="E350" s="4">
        <f>IF(IFERROR(VLOOKUP(LEFT(C350,14),consolidado!D:D,1,0),0)&gt;0,1,0)</f>
        <v>1</v>
      </c>
    </row>
    <row r="351" ht="15.75" customHeight="1">
      <c r="B351" s="30" t="s">
        <v>330</v>
      </c>
      <c r="C351" s="4" t="str">
        <f t="shared" si="1"/>
        <v>AdPrensa</v>
      </c>
      <c r="D351" s="4">
        <f t="shared" si="2"/>
        <v>8</v>
      </c>
      <c r="E351" s="4">
        <f>IF(IFERROR(VLOOKUP(LEFT(C351,14),consolidado!D:D,1,0),0)&gt;0,1,0)</f>
        <v>0</v>
      </c>
    </row>
    <row r="352" ht="15.75" customHeight="1">
      <c r="B352" s="21" t="s">
        <v>121</v>
      </c>
      <c r="C352" s="4" t="str">
        <f t="shared" si="1"/>
        <v>Diputada Paula Labra (RN-IND) se ofrece voluntaria a hacer el test de droga ante negativa de algunos parlamentarios de cumplir con requerimiento</v>
      </c>
      <c r="D352" s="4">
        <f t="shared" si="2"/>
        <v>144</v>
      </c>
      <c r="E352" s="4">
        <f>IF(IFERROR(VLOOKUP(LEFT(C352,14),consolidado!D:D,1,0),0)&gt;0,1,0)</f>
        <v>1</v>
      </c>
    </row>
    <row r="353" ht="15.75" customHeight="1">
      <c r="B353" s="29">
        <v>44793.0</v>
      </c>
      <c r="C353" s="4" t="str">
        <f t="shared" si="1"/>
        <v>44793</v>
      </c>
      <c r="D353" s="4">
        <f t="shared" si="2"/>
        <v>5</v>
      </c>
      <c r="E353" s="4">
        <f>IF(IFERROR(VLOOKUP(LEFT(C353,14),consolidado!D:D,1,0),0)&gt;0,1,0)</f>
        <v>0</v>
      </c>
    </row>
    <row r="354" ht="15.75" customHeight="1">
      <c r="B354" s="24" t="s">
        <v>307</v>
      </c>
      <c r="C354" s="4" t="str">
        <f t="shared" si="1"/>
        <v>bookmark_border</v>
      </c>
      <c r="D354" s="4">
        <f t="shared" si="2"/>
        <v>15</v>
      </c>
      <c r="E354" s="4">
        <f>IF(IFERROR(VLOOKUP(LEFT(C354,14),consolidado!D:D,1,0),0)&gt;0,1,0)</f>
        <v>0</v>
      </c>
    </row>
    <row r="355" ht="15.75" customHeight="1">
      <c r="B355" s="24" t="s">
        <v>308</v>
      </c>
      <c r="C355" s="4" t="str">
        <f t="shared" si="1"/>
        <v>share</v>
      </c>
      <c r="D355" s="4">
        <f t="shared" si="2"/>
        <v>5</v>
      </c>
      <c r="E355" s="4">
        <f>IF(IFERROR(VLOOKUP(LEFT(C355,14),consolidado!D:D,1,0),0)&gt;0,1,0)</f>
        <v>0</v>
      </c>
    </row>
    <row r="356" ht="15.75" customHeight="1">
      <c r="B356" s="24" t="s">
        <v>309</v>
      </c>
      <c r="C356" s="4" t="str">
        <f t="shared" si="1"/>
        <v>more_vert</v>
      </c>
      <c r="D356" s="4">
        <f t="shared" si="2"/>
        <v>9</v>
      </c>
      <c r="E356" s="4">
        <f>IF(IFERROR(VLOOKUP(LEFT(C356,14),consolidado!D:D,1,0),0)&gt;0,1,0)</f>
        <v>0</v>
      </c>
    </row>
    <row r="357" ht="15.75" customHeight="1">
      <c r="B357" s="28"/>
      <c r="C357" s="4" t="str">
        <f t="shared" si="1"/>
        <v/>
      </c>
      <c r="D357" s="4">
        <f t="shared" si="2"/>
        <v>0</v>
      </c>
      <c r="E357" s="4">
        <f>IF(IFERROR(VLOOKUP(LEFT(C357,14),consolidado!D:D,1,0),0)&gt;0,1,0)</f>
        <v>1</v>
      </c>
    </row>
    <row r="358" ht="15.75" customHeight="1">
      <c r="B358" s="32"/>
      <c r="C358" s="4" t="str">
        <f t="shared" si="1"/>
        <v/>
      </c>
      <c r="D358" s="4">
        <f t="shared" si="2"/>
        <v>0</v>
      </c>
      <c r="E358" s="4">
        <f>IF(IFERROR(VLOOKUP(LEFT(C358,14),consolidado!D:D,1,0),0)&gt;0,1,0)</f>
        <v>1</v>
      </c>
    </row>
    <row r="359" ht="15.75" customHeight="1">
      <c r="B359" s="21" t="s">
        <v>123</v>
      </c>
      <c r="C359" s="4" t="str">
        <f t="shared" si="1"/>
        <v>Diputado Felipe Donoso exige al Gobierno que se aplique test de drogas a funcionarios del poder Legislativo y Ejecutivo</v>
      </c>
      <c r="D359" s="4">
        <f t="shared" si="2"/>
        <v>119</v>
      </c>
      <c r="E359" s="4">
        <f>IF(IFERROR(VLOOKUP(LEFT(C359,14),consolidado!D:D,1,0),0)&gt;0,1,0)</f>
        <v>1</v>
      </c>
    </row>
    <row r="360" ht="15.75" customHeight="1">
      <c r="B360" s="29">
        <v>44732.0</v>
      </c>
      <c r="C360" s="4" t="str">
        <f t="shared" si="1"/>
        <v>44732</v>
      </c>
      <c r="D360" s="4">
        <f t="shared" si="2"/>
        <v>5</v>
      </c>
      <c r="E360" s="4">
        <f>IF(IFERROR(VLOOKUP(LEFT(C360,14),consolidado!D:D,1,0),0)&gt;0,1,0)</f>
        <v>0</v>
      </c>
    </row>
    <row r="361" ht="15.75" customHeight="1">
      <c r="B361" s="24" t="s">
        <v>307</v>
      </c>
      <c r="C361" s="4" t="str">
        <f t="shared" si="1"/>
        <v>bookmark_border</v>
      </c>
      <c r="D361" s="4">
        <f t="shared" si="2"/>
        <v>15</v>
      </c>
      <c r="E361" s="4">
        <f>IF(IFERROR(VLOOKUP(LEFT(C361,14),consolidado!D:D,1,0),0)&gt;0,1,0)</f>
        <v>0</v>
      </c>
    </row>
    <row r="362" ht="15.75" customHeight="1">
      <c r="B362" s="24" t="s">
        <v>308</v>
      </c>
      <c r="C362" s="4" t="str">
        <f t="shared" si="1"/>
        <v>share</v>
      </c>
      <c r="D362" s="4">
        <f t="shared" si="2"/>
        <v>5</v>
      </c>
      <c r="E362" s="4">
        <f>IF(IFERROR(VLOOKUP(LEFT(C362,14),consolidado!D:D,1,0),0)&gt;0,1,0)</f>
        <v>0</v>
      </c>
    </row>
    <row r="363" ht="15.75" customHeight="1">
      <c r="B363" s="24" t="s">
        <v>309</v>
      </c>
      <c r="C363" s="4" t="str">
        <f t="shared" si="1"/>
        <v>more_vert</v>
      </c>
      <c r="D363" s="4">
        <f t="shared" si="2"/>
        <v>9</v>
      </c>
      <c r="E363" s="4">
        <f>IF(IFERROR(VLOOKUP(LEFT(C363,14),consolidado!D:D,1,0),0)&gt;0,1,0)</f>
        <v>0</v>
      </c>
    </row>
    <row r="364" ht="15.75" customHeight="1">
      <c r="B364" s="28"/>
      <c r="C364" s="4" t="str">
        <f t="shared" si="1"/>
        <v/>
      </c>
      <c r="D364" s="4">
        <f t="shared" si="2"/>
        <v>0</v>
      </c>
      <c r="E364" s="4">
        <f>IF(IFERROR(VLOOKUP(LEFT(C364,14),consolidado!D:D,1,0),0)&gt;0,1,0)</f>
        <v>1</v>
      </c>
    </row>
    <row r="365" ht="15.75" customHeight="1">
      <c r="B365" s="32"/>
      <c r="C365" s="4" t="str">
        <f t="shared" si="1"/>
        <v/>
      </c>
      <c r="D365" s="4">
        <f t="shared" si="2"/>
        <v>0</v>
      </c>
      <c r="E365" s="4">
        <f>IF(IFERROR(VLOOKUP(LEFT(C365,14),consolidado!D:D,1,0),0)&gt;0,1,0)</f>
        <v>1</v>
      </c>
    </row>
    <row r="366" ht="15.75" customHeight="1">
      <c r="B366" s="21" t="s">
        <v>125</v>
      </c>
      <c r="C366" s="4" t="str">
        <f t="shared" si="1"/>
        <v>“Le rogaría que me explicara…”: la dura pregunta que José Luis Repenning le arrojó a Camila Flores por debate sobre test de drogas a diputados</v>
      </c>
      <c r="D366" s="4">
        <f t="shared" si="2"/>
        <v>145</v>
      </c>
      <c r="E366" s="4">
        <f>IF(IFERROR(VLOOKUP(LEFT(C366,14),consolidado!D:D,1,0),0)&gt;0,1,0)</f>
        <v>1</v>
      </c>
    </row>
    <row r="367" ht="15.75" customHeight="1">
      <c r="B367" s="29">
        <v>44791.0</v>
      </c>
      <c r="C367" s="4" t="str">
        <f t="shared" si="1"/>
        <v>44791</v>
      </c>
      <c r="D367" s="4">
        <f t="shared" si="2"/>
        <v>5</v>
      </c>
      <c r="E367" s="4">
        <f>IF(IFERROR(VLOOKUP(LEFT(C367,14),consolidado!D:D,1,0),0)&gt;0,1,0)</f>
        <v>0</v>
      </c>
    </row>
    <row r="368" ht="15.75" customHeight="1">
      <c r="B368" s="24" t="s">
        <v>307</v>
      </c>
      <c r="C368" s="4" t="str">
        <f t="shared" si="1"/>
        <v>bookmark_border</v>
      </c>
      <c r="D368" s="4">
        <f t="shared" si="2"/>
        <v>15</v>
      </c>
      <c r="E368" s="4">
        <f>IF(IFERROR(VLOOKUP(LEFT(C368,14),consolidado!D:D,1,0),0)&gt;0,1,0)</f>
        <v>0</v>
      </c>
    </row>
    <row r="369" ht="15.75" customHeight="1">
      <c r="B369" s="24" t="s">
        <v>308</v>
      </c>
      <c r="C369" s="4" t="str">
        <f t="shared" si="1"/>
        <v>share</v>
      </c>
      <c r="D369" s="4">
        <f t="shared" si="2"/>
        <v>5</v>
      </c>
      <c r="E369" s="4">
        <f>IF(IFERROR(VLOOKUP(LEFT(C369,14),consolidado!D:D,1,0),0)&gt;0,1,0)</f>
        <v>0</v>
      </c>
    </row>
    <row r="370" ht="15.75" customHeight="1">
      <c r="B370" s="24" t="s">
        <v>309</v>
      </c>
      <c r="C370" s="4" t="str">
        <f t="shared" si="1"/>
        <v>more_vert</v>
      </c>
      <c r="D370" s="4">
        <f t="shared" si="2"/>
        <v>9</v>
      </c>
      <c r="E370" s="4">
        <f>IF(IFERROR(VLOOKUP(LEFT(C370,14),consolidado!D:D,1,0),0)&gt;0,1,0)</f>
        <v>0</v>
      </c>
    </row>
    <row r="371" ht="15.75" customHeight="1">
      <c r="B371" s="28"/>
      <c r="C371" s="4" t="str">
        <f t="shared" si="1"/>
        <v/>
      </c>
      <c r="D371" s="4">
        <f t="shared" si="2"/>
        <v>0</v>
      </c>
      <c r="E371" s="4">
        <f>IF(IFERROR(VLOOKUP(LEFT(C371,14),consolidado!D:D,1,0),0)&gt;0,1,0)</f>
        <v>1</v>
      </c>
    </row>
    <row r="372" ht="15.75" customHeight="1">
      <c r="B372" s="32"/>
      <c r="C372" s="4" t="str">
        <f t="shared" si="1"/>
        <v/>
      </c>
      <c r="D372" s="4">
        <f t="shared" si="2"/>
        <v>0</v>
      </c>
      <c r="E372" s="4">
        <f>IF(IFERROR(VLOOKUP(LEFT(C372,14),consolidado!D:D,1,0),0)&gt;0,1,0)</f>
        <v>1</v>
      </c>
    </row>
    <row r="373" ht="15.75" customHeight="1">
      <c r="B373" s="21" t="s">
        <v>127</v>
      </c>
      <c r="C373" s="4" t="str">
        <f t="shared" si="1"/>
        <v>Doctora Cordero cuestionó test de drogas a parlamentarios: “Está todo arreglado”</v>
      </c>
      <c r="D373" s="4">
        <f t="shared" si="2"/>
        <v>82</v>
      </c>
      <c r="E373" s="4">
        <f>IF(IFERROR(VLOOKUP(LEFT(C373,14),consolidado!D:D,1,0),0)&gt;0,1,0)</f>
        <v>1</v>
      </c>
    </row>
    <row r="374" ht="15.75" customHeight="1">
      <c r="B374" s="29">
        <v>44841.0</v>
      </c>
      <c r="C374" s="4" t="str">
        <f t="shared" si="1"/>
        <v>44841</v>
      </c>
      <c r="D374" s="4">
        <f t="shared" si="2"/>
        <v>5</v>
      </c>
      <c r="E374" s="4">
        <f>IF(IFERROR(VLOOKUP(LEFT(C374,14),consolidado!D:D,1,0),0)&gt;0,1,0)</f>
        <v>0</v>
      </c>
    </row>
    <row r="375" ht="15.75" customHeight="1">
      <c r="B375" s="24" t="s">
        <v>307</v>
      </c>
      <c r="C375" s="4" t="str">
        <f t="shared" si="1"/>
        <v>bookmark_border</v>
      </c>
      <c r="D375" s="4">
        <f t="shared" si="2"/>
        <v>15</v>
      </c>
      <c r="E375" s="4">
        <f>IF(IFERROR(VLOOKUP(LEFT(C375,14),consolidado!D:D,1,0),0)&gt;0,1,0)</f>
        <v>0</v>
      </c>
    </row>
    <row r="376" ht="15.75" customHeight="1">
      <c r="B376" s="24" t="s">
        <v>308</v>
      </c>
      <c r="C376" s="4" t="str">
        <f t="shared" si="1"/>
        <v>share</v>
      </c>
      <c r="D376" s="4">
        <f t="shared" si="2"/>
        <v>5</v>
      </c>
      <c r="E376" s="4">
        <f>IF(IFERROR(VLOOKUP(LEFT(C376,14),consolidado!D:D,1,0),0)&gt;0,1,0)</f>
        <v>0</v>
      </c>
    </row>
    <row r="377" ht="15.75" customHeight="1">
      <c r="B377" s="24" t="s">
        <v>309</v>
      </c>
      <c r="C377" s="4" t="str">
        <f t="shared" si="1"/>
        <v>more_vert</v>
      </c>
      <c r="D377" s="4">
        <f t="shared" si="2"/>
        <v>9</v>
      </c>
      <c r="E377" s="4">
        <f>IF(IFERROR(VLOOKUP(LEFT(C377,14),consolidado!D:D,1,0),0)&gt;0,1,0)</f>
        <v>0</v>
      </c>
    </row>
    <row r="378" ht="15.75" customHeight="1">
      <c r="B378" s="28"/>
      <c r="C378" s="4" t="str">
        <f t="shared" si="1"/>
        <v/>
      </c>
      <c r="D378" s="4">
        <f t="shared" si="2"/>
        <v>0</v>
      </c>
      <c r="E378" s="4">
        <f>IF(IFERROR(VLOOKUP(LEFT(C378,14),consolidado!D:D,1,0),0)&gt;0,1,0)</f>
        <v>1</v>
      </c>
    </row>
    <row r="379" ht="15.75" customHeight="1">
      <c r="B379" s="30" t="s">
        <v>315</v>
      </c>
      <c r="C379" s="4" t="str">
        <f t="shared" si="1"/>
        <v>BioBioChile</v>
      </c>
      <c r="D379" s="4">
        <f t="shared" si="2"/>
        <v>11</v>
      </c>
      <c r="E379" s="4">
        <f>IF(IFERROR(VLOOKUP(LEFT(C379,14),consolidado!D:D,1,0),0)&gt;0,1,0)</f>
        <v>0</v>
      </c>
    </row>
    <row r="380" ht="15.75" customHeight="1">
      <c r="B380" s="21" t="s">
        <v>129</v>
      </c>
      <c r="C380" s="4" t="str">
        <f t="shared" si="1"/>
        <v>Diputada Pamela Jiles: "No puede haber plata mejor gastada que para saber si tenemos narcodiputados"</v>
      </c>
      <c r="D380" s="4">
        <f t="shared" si="2"/>
        <v>100</v>
      </c>
      <c r="E380" s="4">
        <f>IF(IFERROR(VLOOKUP(LEFT(C380,14),consolidado!D:D,1,0),0)&gt;0,1,0)</f>
        <v>1</v>
      </c>
    </row>
    <row r="381" ht="15.75" customHeight="1">
      <c r="B381" s="29">
        <v>44756.0</v>
      </c>
      <c r="C381" s="4" t="str">
        <f t="shared" si="1"/>
        <v>44756</v>
      </c>
      <c r="D381" s="4">
        <f t="shared" si="2"/>
        <v>5</v>
      </c>
      <c r="E381" s="4">
        <f>IF(IFERROR(VLOOKUP(LEFT(C381,14),consolidado!D:D,1,0),0)&gt;0,1,0)</f>
        <v>0</v>
      </c>
    </row>
    <row r="382" ht="15.75" customHeight="1">
      <c r="B382" s="24" t="s">
        <v>307</v>
      </c>
      <c r="C382" s="4" t="str">
        <f t="shared" si="1"/>
        <v>bookmark_border</v>
      </c>
      <c r="D382" s="4">
        <f t="shared" si="2"/>
        <v>15</v>
      </c>
      <c r="E382" s="4">
        <f>IF(IFERROR(VLOOKUP(LEFT(C382,14),consolidado!D:D,1,0),0)&gt;0,1,0)</f>
        <v>0</v>
      </c>
    </row>
    <row r="383" ht="15.75" customHeight="1">
      <c r="B383" s="24" t="s">
        <v>308</v>
      </c>
      <c r="C383" s="4" t="str">
        <f t="shared" si="1"/>
        <v>share</v>
      </c>
      <c r="D383" s="4">
        <f t="shared" si="2"/>
        <v>5</v>
      </c>
      <c r="E383" s="4">
        <f>IF(IFERROR(VLOOKUP(LEFT(C383,14),consolidado!D:D,1,0),0)&gt;0,1,0)</f>
        <v>0</v>
      </c>
    </row>
    <row r="384" ht="15.75" customHeight="1">
      <c r="B384" s="24" t="s">
        <v>309</v>
      </c>
      <c r="C384" s="4" t="str">
        <f t="shared" si="1"/>
        <v>more_vert</v>
      </c>
      <c r="D384" s="4">
        <f t="shared" si="2"/>
        <v>9</v>
      </c>
      <c r="E384" s="4">
        <f>IF(IFERROR(VLOOKUP(LEFT(C384,14),consolidado!D:D,1,0),0)&gt;0,1,0)</f>
        <v>0</v>
      </c>
    </row>
    <row r="385" ht="15.75" customHeight="1">
      <c r="B385" s="28"/>
      <c r="C385" s="4" t="str">
        <f t="shared" si="1"/>
        <v/>
      </c>
      <c r="D385" s="4">
        <f t="shared" si="2"/>
        <v>0</v>
      </c>
      <c r="E385" s="4">
        <f>IF(IFERROR(VLOOKUP(LEFT(C385,14),consolidado!D:D,1,0),0)&gt;0,1,0)</f>
        <v>1</v>
      </c>
    </row>
    <row r="386" ht="15.75" customHeight="1">
      <c r="B386" s="19" t="s">
        <v>303</v>
      </c>
      <c r="C386" s="4" t="str">
        <f t="shared" si="1"/>
        <v>La Tercera</v>
      </c>
      <c r="D386" s="4">
        <f t="shared" si="2"/>
        <v>10</v>
      </c>
      <c r="E386" s="4">
        <f>IF(IFERROR(VLOOKUP(LEFT(C386,14),consolidado!D:D,1,0),0)&gt;0,1,0)</f>
        <v>0</v>
      </c>
    </row>
    <row r="387" ht="15.75" customHeight="1">
      <c r="B387" s="21" t="s">
        <v>131</v>
      </c>
      <c r="C387" s="4" t="str">
        <f t="shared" si="1"/>
        <v>Cristian Camargo, director del Laboratorio de Análisis Antidoping : “Alguien que es adicto a una droga es fácil de corromper”</v>
      </c>
      <c r="D387" s="4">
        <f t="shared" si="2"/>
        <v>127</v>
      </c>
      <c r="E387" s="4">
        <f>IF(IFERROR(VLOOKUP(LEFT(C387,14),consolidado!D:D,1,0),0)&gt;0,1,0)</f>
        <v>1</v>
      </c>
    </row>
    <row r="388" ht="15.75" customHeight="1">
      <c r="B388" s="29">
        <v>44764.0</v>
      </c>
      <c r="C388" s="4" t="str">
        <f t="shared" si="1"/>
        <v>44764</v>
      </c>
      <c r="D388" s="4">
        <f t="shared" si="2"/>
        <v>5</v>
      </c>
      <c r="E388" s="4">
        <f>IF(IFERROR(VLOOKUP(LEFT(C388,14),consolidado!D:D,1,0),0)&gt;0,1,0)</f>
        <v>0</v>
      </c>
    </row>
    <row r="389" ht="15.75" customHeight="1">
      <c r="B389" s="24" t="s">
        <v>307</v>
      </c>
      <c r="C389" s="4" t="str">
        <f t="shared" si="1"/>
        <v>bookmark_border</v>
      </c>
      <c r="D389" s="4">
        <f t="shared" si="2"/>
        <v>15</v>
      </c>
      <c r="E389" s="4">
        <f>IF(IFERROR(VLOOKUP(LEFT(C389,14),consolidado!D:D,1,0),0)&gt;0,1,0)</f>
        <v>0</v>
      </c>
    </row>
    <row r="390" ht="15.75" customHeight="1">
      <c r="B390" s="24" t="s">
        <v>308</v>
      </c>
      <c r="C390" s="4" t="str">
        <f t="shared" si="1"/>
        <v>share</v>
      </c>
      <c r="D390" s="4">
        <f t="shared" si="2"/>
        <v>5</v>
      </c>
      <c r="E390" s="4">
        <f>IF(IFERROR(VLOOKUP(LEFT(C390,14),consolidado!D:D,1,0),0)&gt;0,1,0)</f>
        <v>0</v>
      </c>
    </row>
    <row r="391" ht="15.75" customHeight="1">
      <c r="B391" s="24" t="s">
        <v>309</v>
      </c>
      <c r="C391" s="4" t="str">
        <f t="shared" si="1"/>
        <v>more_vert</v>
      </c>
      <c r="D391" s="4">
        <f t="shared" si="2"/>
        <v>9</v>
      </c>
      <c r="E391" s="4">
        <f>IF(IFERROR(VLOOKUP(LEFT(C391,14),consolidado!D:D,1,0),0)&gt;0,1,0)</f>
        <v>0</v>
      </c>
    </row>
    <row r="392" ht="15.75" customHeight="1">
      <c r="B392" s="28"/>
      <c r="C392" s="4" t="str">
        <f t="shared" si="1"/>
        <v/>
      </c>
      <c r="D392" s="4">
        <f t="shared" si="2"/>
        <v>0</v>
      </c>
      <c r="E392" s="4">
        <f>IF(IFERROR(VLOOKUP(LEFT(C392,14),consolidado!D:D,1,0),0)&gt;0,1,0)</f>
        <v>1</v>
      </c>
    </row>
    <row r="393" ht="15.75" customHeight="1">
      <c r="B393" s="30" t="s">
        <v>332</v>
      </c>
      <c r="C393" s="4" t="str">
        <f t="shared" si="1"/>
        <v>Revista De Frente</v>
      </c>
      <c r="D393" s="4">
        <f t="shared" si="2"/>
        <v>17</v>
      </c>
      <c r="E393" s="4">
        <f>IF(IFERROR(VLOOKUP(LEFT(C393,14),consolidado!D:D,1,0),0)&gt;0,1,0)</f>
        <v>0</v>
      </c>
    </row>
    <row r="394" ht="15.75" customHeight="1">
      <c r="B394" s="21" t="s">
        <v>133</v>
      </c>
      <c r="C394" s="4" t="str">
        <f t="shared" si="1"/>
        <v>Corte Suprema admite recurso contra Test de Drogas en la Cámara de Diputadas y Diputados</v>
      </c>
      <c r="D394" s="4">
        <f t="shared" si="2"/>
        <v>88</v>
      </c>
      <c r="E394" s="4">
        <f>IF(IFERROR(VLOOKUP(LEFT(C394,14),consolidado!D:D,1,0),0)&gt;0,1,0)</f>
        <v>1</v>
      </c>
    </row>
    <row r="395" ht="15.75" customHeight="1">
      <c r="B395" s="29">
        <v>44820.0</v>
      </c>
      <c r="C395" s="4" t="str">
        <f t="shared" si="1"/>
        <v>44820</v>
      </c>
      <c r="D395" s="4">
        <f t="shared" si="2"/>
        <v>5</v>
      </c>
      <c r="E395" s="4">
        <f>IF(IFERROR(VLOOKUP(LEFT(C395,14),consolidado!D:D,1,0),0)&gt;0,1,0)</f>
        <v>0</v>
      </c>
    </row>
    <row r="396" ht="15.75" customHeight="1">
      <c r="B396" s="24" t="s">
        <v>307</v>
      </c>
      <c r="C396" s="4" t="str">
        <f t="shared" si="1"/>
        <v>bookmark_border</v>
      </c>
      <c r="D396" s="4">
        <f t="shared" si="2"/>
        <v>15</v>
      </c>
      <c r="E396" s="4">
        <f>IF(IFERROR(VLOOKUP(LEFT(C396,14),consolidado!D:D,1,0),0)&gt;0,1,0)</f>
        <v>0</v>
      </c>
    </row>
    <row r="397" ht="15.75" customHeight="1">
      <c r="B397" s="24" t="s">
        <v>308</v>
      </c>
      <c r="C397" s="4" t="str">
        <f t="shared" si="1"/>
        <v>share</v>
      </c>
      <c r="D397" s="4">
        <f t="shared" si="2"/>
        <v>5</v>
      </c>
      <c r="E397" s="4">
        <f>IF(IFERROR(VLOOKUP(LEFT(C397,14),consolidado!D:D,1,0),0)&gt;0,1,0)</f>
        <v>0</v>
      </c>
    </row>
    <row r="398" ht="15.75" customHeight="1">
      <c r="B398" s="24" t="s">
        <v>309</v>
      </c>
      <c r="C398" s="4" t="str">
        <f t="shared" si="1"/>
        <v>more_vert</v>
      </c>
      <c r="D398" s="4">
        <f t="shared" si="2"/>
        <v>9</v>
      </c>
      <c r="E398" s="4">
        <f>IF(IFERROR(VLOOKUP(LEFT(C398,14),consolidado!D:D,1,0),0)&gt;0,1,0)</f>
        <v>0</v>
      </c>
    </row>
    <row r="399" ht="15.75" customHeight="1">
      <c r="B399" s="28"/>
      <c r="C399" s="4" t="str">
        <f t="shared" si="1"/>
        <v/>
      </c>
      <c r="D399" s="4">
        <f t="shared" si="2"/>
        <v>0</v>
      </c>
      <c r="E399" s="4">
        <f>IF(IFERROR(VLOOKUP(LEFT(C399,14),consolidado!D:D,1,0),0)&gt;0,1,0)</f>
        <v>1</v>
      </c>
    </row>
    <row r="400" ht="15.75" customHeight="1">
      <c r="B400" s="30" t="s">
        <v>333</v>
      </c>
      <c r="C400" s="4" t="str">
        <f t="shared" si="1"/>
        <v>G5noticias</v>
      </c>
      <c r="D400" s="4">
        <f t="shared" si="2"/>
        <v>10</v>
      </c>
      <c r="E400" s="4">
        <f>IF(IFERROR(VLOOKUP(LEFT(C400,14),consolidado!D:D,1,0),0)&gt;0,1,0)</f>
        <v>0</v>
      </c>
    </row>
    <row r="401" ht="15.75" customHeight="1">
      <c r="B401" s="21" t="s">
        <v>135</v>
      </c>
      <c r="C401" s="4" t="str">
        <f t="shared" si="1"/>
        <v>Diputado Gaspar Rivas (PDG) critica posturas de los sectores políticos de la Cámara acerca del test de drogas</v>
      </c>
      <c r="D401" s="4">
        <f t="shared" si="2"/>
        <v>109</v>
      </c>
      <c r="E401" s="4">
        <f>IF(IFERROR(VLOOKUP(LEFT(C401,14),consolidado!D:D,1,0),0)&gt;0,1,0)</f>
        <v>1</v>
      </c>
    </row>
    <row r="402" ht="15.75" customHeight="1">
      <c r="B402" s="29">
        <v>44755.0</v>
      </c>
      <c r="C402" s="4" t="str">
        <f t="shared" si="1"/>
        <v>44755</v>
      </c>
      <c r="D402" s="4">
        <f t="shared" si="2"/>
        <v>5</v>
      </c>
      <c r="E402" s="4">
        <f>IF(IFERROR(VLOOKUP(LEFT(C402,14),consolidado!D:D,1,0),0)&gt;0,1,0)</f>
        <v>0</v>
      </c>
    </row>
    <row r="403" ht="15.75" customHeight="1">
      <c r="B403" s="24" t="s">
        <v>307</v>
      </c>
      <c r="C403" s="4" t="str">
        <f t="shared" si="1"/>
        <v>bookmark_border</v>
      </c>
      <c r="D403" s="4">
        <f t="shared" si="2"/>
        <v>15</v>
      </c>
      <c r="E403" s="4">
        <f>IF(IFERROR(VLOOKUP(LEFT(C403,14),consolidado!D:D,1,0),0)&gt;0,1,0)</f>
        <v>0</v>
      </c>
    </row>
    <row r="404" ht="15.75" customHeight="1">
      <c r="B404" s="24" t="s">
        <v>308</v>
      </c>
      <c r="C404" s="4" t="str">
        <f t="shared" si="1"/>
        <v>share</v>
      </c>
      <c r="D404" s="4">
        <f t="shared" si="2"/>
        <v>5</v>
      </c>
      <c r="E404" s="4">
        <f>IF(IFERROR(VLOOKUP(LEFT(C404,14),consolidado!D:D,1,0),0)&gt;0,1,0)</f>
        <v>0</v>
      </c>
    </row>
    <row r="405" ht="15.75" customHeight="1">
      <c r="B405" s="24" t="s">
        <v>309</v>
      </c>
      <c r="C405" s="4" t="str">
        <f t="shared" si="1"/>
        <v>more_vert</v>
      </c>
      <c r="D405" s="4">
        <f t="shared" si="2"/>
        <v>9</v>
      </c>
      <c r="E405" s="4">
        <f>IF(IFERROR(VLOOKUP(LEFT(C405,14),consolidado!D:D,1,0),0)&gt;0,1,0)</f>
        <v>0</v>
      </c>
    </row>
    <row r="406" ht="15.75" customHeight="1">
      <c r="B406" s="28"/>
      <c r="C406" s="4" t="str">
        <f t="shared" si="1"/>
        <v/>
      </c>
      <c r="D406" s="4">
        <f t="shared" si="2"/>
        <v>0</v>
      </c>
      <c r="E406" s="4">
        <f>IF(IFERROR(VLOOKUP(LEFT(C406,14),consolidado!D:D,1,0),0)&gt;0,1,0)</f>
        <v>1</v>
      </c>
    </row>
    <row r="407" ht="15.75" customHeight="1">
      <c r="B407" s="30" t="s">
        <v>334</v>
      </c>
      <c r="C407" s="4" t="str">
        <f t="shared" si="1"/>
        <v>El Ciudadano</v>
      </c>
      <c r="D407" s="4">
        <f t="shared" si="2"/>
        <v>12</v>
      </c>
      <c r="E407" s="4">
        <f>IF(IFERROR(VLOOKUP(LEFT(C407,14),consolidado!D:D,1,0),0)&gt;0,1,0)</f>
        <v>0</v>
      </c>
    </row>
    <row r="408" ht="15.75" customHeight="1">
      <c r="B408" s="21" t="s">
        <v>137</v>
      </c>
      <c r="C408" s="4" t="str">
        <f t="shared" si="1"/>
        <v>Ciber acoso y hostigamiento a diputadas por test de Drogas: ¿Cuál es el límite de la persecución anti narcóticos dentro de la Cámara?</v>
      </c>
      <c r="D408" s="4">
        <f t="shared" si="2"/>
        <v>133</v>
      </c>
      <c r="E408" s="4">
        <f>IF(IFERROR(VLOOKUP(LEFT(C408,14),consolidado!D:D,1,0),0)&gt;0,1,0)</f>
        <v>1</v>
      </c>
    </row>
    <row r="409" ht="15.75" customHeight="1">
      <c r="B409" s="29">
        <v>44833.0</v>
      </c>
      <c r="C409" s="4" t="str">
        <f t="shared" si="1"/>
        <v>44833</v>
      </c>
      <c r="D409" s="4">
        <f t="shared" si="2"/>
        <v>5</v>
      </c>
      <c r="E409" s="4">
        <f>IF(IFERROR(VLOOKUP(LEFT(C409,14),consolidado!D:D,1,0),0)&gt;0,1,0)</f>
        <v>0</v>
      </c>
    </row>
    <row r="410" ht="15.75" customHeight="1">
      <c r="B410" s="24" t="s">
        <v>307</v>
      </c>
      <c r="C410" s="4" t="str">
        <f t="shared" si="1"/>
        <v>bookmark_border</v>
      </c>
      <c r="D410" s="4">
        <f t="shared" si="2"/>
        <v>15</v>
      </c>
      <c r="E410" s="4">
        <f>IF(IFERROR(VLOOKUP(LEFT(C410,14),consolidado!D:D,1,0),0)&gt;0,1,0)</f>
        <v>0</v>
      </c>
    </row>
    <row r="411" ht="15.75" customHeight="1">
      <c r="B411" s="24" t="s">
        <v>308</v>
      </c>
      <c r="C411" s="4" t="str">
        <f t="shared" si="1"/>
        <v>share</v>
      </c>
      <c r="D411" s="4">
        <f t="shared" si="2"/>
        <v>5</v>
      </c>
      <c r="E411" s="4">
        <f>IF(IFERROR(VLOOKUP(LEFT(C411,14),consolidado!D:D,1,0),0)&gt;0,1,0)</f>
        <v>0</v>
      </c>
    </row>
    <row r="412" ht="15.75" customHeight="1">
      <c r="B412" s="24" t="s">
        <v>309</v>
      </c>
      <c r="C412" s="4" t="str">
        <f t="shared" si="1"/>
        <v>more_vert</v>
      </c>
      <c r="D412" s="4">
        <f t="shared" si="2"/>
        <v>9</v>
      </c>
      <c r="E412" s="4">
        <f>IF(IFERROR(VLOOKUP(LEFT(C412,14),consolidado!D:D,1,0),0)&gt;0,1,0)</f>
        <v>0</v>
      </c>
    </row>
    <row r="413" ht="15.75" customHeight="1">
      <c r="B413" s="28"/>
      <c r="C413" s="4" t="str">
        <f t="shared" si="1"/>
        <v/>
      </c>
      <c r="D413" s="4">
        <f t="shared" si="2"/>
        <v>0</v>
      </c>
      <c r="E413" s="4">
        <f>IF(IFERROR(VLOOKUP(LEFT(C413,14),consolidado!D:D,1,0),0)&gt;0,1,0)</f>
        <v>1</v>
      </c>
    </row>
    <row r="414" ht="15.75" customHeight="1">
      <c r="B414" s="30" t="s">
        <v>335</v>
      </c>
      <c r="C414" s="4" t="str">
        <f t="shared" si="1"/>
        <v>Noticias Universidad Andrés Bello</v>
      </c>
      <c r="D414" s="4">
        <f t="shared" si="2"/>
        <v>33</v>
      </c>
      <c r="E414" s="4">
        <f>IF(IFERROR(VLOOKUP(LEFT(C414,14),consolidado!D:D,1,0),0)&gt;0,1,0)</f>
        <v>0</v>
      </c>
    </row>
    <row r="415" ht="15.75" customHeight="1">
      <c r="B415" s="21" t="s">
        <v>140</v>
      </c>
      <c r="C415" s="4" t="str">
        <f t="shared" si="1"/>
        <v>Radio Bío Bío | Entrevista a Aleida Kulikoff, académica y toxicóloga de la Escuela de Química y Farmacia UNAB</v>
      </c>
      <c r="D415" s="4">
        <f t="shared" si="2"/>
        <v>109</v>
      </c>
      <c r="E415" s="4">
        <f>IF(IFERROR(VLOOKUP(LEFT(C415,14),consolidado!D:D,1,0),0)&gt;0,1,0)</f>
        <v>1</v>
      </c>
    </row>
    <row r="416" ht="15.75" customHeight="1">
      <c r="B416" s="29">
        <v>44761.0</v>
      </c>
      <c r="C416" s="4" t="str">
        <f t="shared" si="1"/>
        <v>44761</v>
      </c>
      <c r="D416" s="4">
        <f t="shared" si="2"/>
        <v>5</v>
      </c>
      <c r="E416" s="4">
        <f>IF(IFERROR(VLOOKUP(LEFT(C416,14),consolidado!D:D,1,0),0)&gt;0,1,0)</f>
        <v>0</v>
      </c>
    </row>
    <row r="417" ht="15.75" customHeight="1">
      <c r="B417" s="24" t="s">
        <v>307</v>
      </c>
      <c r="C417" s="4" t="str">
        <f t="shared" si="1"/>
        <v>bookmark_border</v>
      </c>
      <c r="D417" s="4">
        <f t="shared" si="2"/>
        <v>15</v>
      </c>
      <c r="E417" s="4">
        <f>IF(IFERROR(VLOOKUP(LEFT(C417,14),consolidado!D:D,1,0),0)&gt;0,1,0)</f>
        <v>0</v>
      </c>
    </row>
    <row r="418" ht="15.75" customHeight="1">
      <c r="B418" s="24" t="s">
        <v>308</v>
      </c>
      <c r="C418" s="4" t="str">
        <f t="shared" si="1"/>
        <v>share</v>
      </c>
      <c r="D418" s="4">
        <f t="shared" si="2"/>
        <v>5</v>
      </c>
      <c r="E418" s="4">
        <f>IF(IFERROR(VLOOKUP(LEFT(C418,14),consolidado!D:D,1,0),0)&gt;0,1,0)</f>
        <v>0</v>
      </c>
    </row>
    <row r="419" ht="15.75" customHeight="1">
      <c r="B419" s="24" t="s">
        <v>309</v>
      </c>
      <c r="C419" s="4" t="str">
        <f t="shared" si="1"/>
        <v>more_vert</v>
      </c>
      <c r="D419" s="4">
        <f t="shared" si="2"/>
        <v>9</v>
      </c>
      <c r="E419" s="4">
        <f>IF(IFERROR(VLOOKUP(LEFT(C419,14),consolidado!D:D,1,0),0)&gt;0,1,0)</f>
        <v>0</v>
      </c>
    </row>
    <row r="420" ht="15.75" customHeight="1">
      <c r="B420" s="28"/>
      <c r="C420" s="4" t="str">
        <f t="shared" si="1"/>
        <v/>
      </c>
      <c r="D420" s="4">
        <f t="shared" si="2"/>
        <v>0</v>
      </c>
      <c r="E420" s="4">
        <f>IF(IFERROR(VLOOKUP(LEFT(C420,14),consolidado!D:D,1,0),0)&gt;0,1,0)</f>
        <v>1</v>
      </c>
    </row>
    <row r="421" ht="15.75" customHeight="1">
      <c r="B421" s="32"/>
      <c r="C421" s="4" t="str">
        <f t="shared" si="1"/>
        <v/>
      </c>
      <c r="D421" s="4">
        <f t="shared" si="2"/>
        <v>0</v>
      </c>
      <c r="E421" s="4">
        <f>IF(IFERROR(VLOOKUP(LEFT(C421,14),consolidado!D:D,1,0),0)&gt;0,1,0)</f>
        <v>1</v>
      </c>
    </row>
    <row r="422" ht="15.75" customHeight="1">
      <c r="B422" s="21" t="s">
        <v>143</v>
      </c>
      <c r="C422" s="4" t="str">
        <f t="shared" si="1"/>
        <v>«Evitamos bajar a los genitales»: la singular anécdota del diputado Romero al tomarse muestra de pelo para el examen de drogas</v>
      </c>
      <c r="D422" s="4">
        <f t="shared" si="2"/>
        <v>126</v>
      </c>
      <c r="E422" s="4">
        <f>IF(IFERROR(VLOOKUP(LEFT(C422,14),consolidado!D:D,1,0),0)&gt;0,1,0)</f>
        <v>1</v>
      </c>
    </row>
    <row r="423" ht="15.75" customHeight="1">
      <c r="B423" s="29">
        <v>44832.0</v>
      </c>
      <c r="C423" s="4" t="str">
        <f t="shared" si="1"/>
        <v>44832</v>
      </c>
      <c r="D423" s="4">
        <f t="shared" si="2"/>
        <v>5</v>
      </c>
      <c r="E423" s="4">
        <f>IF(IFERROR(VLOOKUP(LEFT(C423,14),consolidado!D:D,1,0),0)&gt;0,1,0)</f>
        <v>0</v>
      </c>
    </row>
    <row r="424" ht="15.75" customHeight="1">
      <c r="B424" s="24" t="s">
        <v>307</v>
      </c>
      <c r="C424" s="4" t="str">
        <f t="shared" si="1"/>
        <v>bookmark_border</v>
      </c>
      <c r="D424" s="4">
        <f t="shared" si="2"/>
        <v>15</v>
      </c>
      <c r="E424" s="4">
        <f>IF(IFERROR(VLOOKUP(LEFT(C424,14),consolidado!D:D,1,0),0)&gt;0,1,0)</f>
        <v>0</v>
      </c>
    </row>
    <row r="425" ht="15.75" customHeight="1">
      <c r="B425" s="24" t="s">
        <v>308</v>
      </c>
      <c r="C425" s="4" t="str">
        <f t="shared" si="1"/>
        <v>share</v>
      </c>
      <c r="D425" s="4">
        <f t="shared" si="2"/>
        <v>5</v>
      </c>
      <c r="E425" s="4">
        <f>IF(IFERROR(VLOOKUP(LEFT(C425,14),consolidado!D:D,1,0),0)&gt;0,1,0)</f>
        <v>0</v>
      </c>
    </row>
    <row r="426" ht="15.75" customHeight="1">
      <c r="B426" s="24" t="s">
        <v>309</v>
      </c>
      <c r="C426" s="4" t="str">
        <f t="shared" si="1"/>
        <v>more_vert</v>
      </c>
      <c r="D426" s="4">
        <f t="shared" si="2"/>
        <v>9</v>
      </c>
      <c r="E426" s="4">
        <f>IF(IFERROR(VLOOKUP(LEFT(C426,14),consolidado!D:D,1,0),0)&gt;0,1,0)</f>
        <v>0</v>
      </c>
    </row>
    <row r="427" ht="15.75" customHeight="1">
      <c r="B427" s="28"/>
      <c r="C427" s="4" t="str">
        <f t="shared" si="1"/>
        <v/>
      </c>
      <c r="D427" s="4">
        <f t="shared" si="2"/>
        <v>0</v>
      </c>
      <c r="E427" s="4">
        <f>IF(IFERROR(VLOOKUP(LEFT(C427,14),consolidado!D:D,1,0),0)&gt;0,1,0)</f>
        <v>1</v>
      </c>
    </row>
    <row r="428" ht="15.75" customHeight="1">
      <c r="B428" s="32"/>
      <c r="C428" s="4" t="str">
        <f t="shared" si="1"/>
        <v/>
      </c>
      <c r="D428" s="4">
        <f t="shared" si="2"/>
        <v>0</v>
      </c>
      <c r="E428" s="4">
        <f>IF(IFERROR(VLOOKUP(LEFT(C428,14),consolidado!D:D,1,0),0)&gt;0,1,0)</f>
        <v>1</v>
      </c>
    </row>
    <row r="429" ht="15.75" customHeight="1">
      <c r="B429" s="21" t="s">
        <v>145</v>
      </c>
      <c r="C429" s="4" t="str">
        <f t="shared" si="1"/>
        <v>¿Qué dice la ley (y el reglamento de la Cámara) sobre el consumo de alcohol en el trabajo?</v>
      </c>
      <c r="D429" s="4">
        <f t="shared" si="2"/>
        <v>90</v>
      </c>
      <c r="E429" s="4">
        <f>IF(IFERROR(VLOOKUP(LEFT(C429,14),consolidado!D:D,1,0),0)&gt;0,1,0)</f>
        <v>1</v>
      </c>
    </row>
    <row r="430" ht="15.75" customHeight="1">
      <c r="B430" s="29">
        <v>44791.0</v>
      </c>
      <c r="C430" s="4" t="str">
        <f t="shared" si="1"/>
        <v>44791</v>
      </c>
      <c r="D430" s="4">
        <f t="shared" si="2"/>
        <v>5</v>
      </c>
      <c r="E430" s="4">
        <f>IF(IFERROR(VLOOKUP(LEFT(C430,14),consolidado!D:D,1,0),0)&gt;0,1,0)</f>
        <v>0</v>
      </c>
    </row>
    <row r="431" ht="15.75" customHeight="1">
      <c r="B431" s="24" t="s">
        <v>307</v>
      </c>
      <c r="C431" s="4" t="str">
        <f t="shared" si="1"/>
        <v>bookmark_border</v>
      </c>
      <c r="D431" s="4">
        <f t="shared" si="2"/>
        <v>15</v>
      </c>
      <c r="E431" s="4">
        <f>IF(IFERROR(VLOOKUP(LEFT(C431,14),consolidado!D:D,1,0),0)&gt;0,1,0)</f>
        <v>0</v>
      </c>
    </row>
    <row r="432" ht="15.75" customHeight="1">
      <c r="B432" s="24" t="s">
        <v>308</v>
      </c>
      <c r="C432" s="4" t="str">
        <f t="shared" si="1"/>
        <v>share</v>
      </c>
      <c r="D432" s="4">
        <f t="shared" si="2"/>
        <v>5</v>
      </c>
      <c r="E432" s="4">
        <f>IF(IFERROR(VLOOKUP(LEFT(C432,14),consolidado!D:D,1,0),0)&gt;0,1,0)</f>
        <v>0</v>
      </c>
    </row>
    <row r="433" ht="15.75" customHeight="1">
      <c r="B433" s="24" t="s">
        <v>309</v>
      </c>
      <c r="C433" s="4" t="str">
        <f t="shared" si="1"/>
        <v>more_vert</v>
      </c>
      <c r="D433" s="4">
        <f t="shared" si="2"/>
        <v>9</v>
      </c>
      <c r="E433" s="4">
        <f>IF(IFERROR(VLOOKUP(LEFT(C433,14),consolidado!D:D,1,0),0)&gt;0,1,0)</f>
        <v>0</v>
      </c>
    </row>
    <row r="434" ht="15.75" customHeight="1">
      <c r="B434" s="28"/>
      <c r="C434" s="4" t="str">
        <f t="shared" si="1"/>
        <v/>
      </c>
      <c r="D434" s="4">
        <f t="shared" si="2"/>
        <v>0</v>
      </c>
      <c r="E434" s="4">
        <f>IF(IFERROR(VLOOKUP(LEFT(C434,14),consolidado!D:D,1,0),0)&gt;0,1,0)</f>
        <v>1</v>
      </c>
    </row>
    <row r="435" ht="15.75" customHeight="1">
      <c r="B435" s="32"/>
      <c r="C435" s="4" t="str">
        <f t="shared" si="1"/>
        <v/>
      </c>
      <c r="D435" s="4">
        <f t="shared" si="2"/>
        <v>0</v>
      </c>
      <c r="E435" s="4">
        <f>IF(IFERROR(VLOOKUP(LEFT(C435,14),consolidado!D:D,1,0),0)&gt;0,1,0)</f>
        <v>1</v>
      </c>
    </row>
    <row r="436" ht="15.75" customHeight="1">
      <c r="B436" s="21" t="s">
        <v>147</v>
      </c>
      <c r="C436" s="4" t="str">
        <f t="shared" si="1"/>
        <v>Cámara sortea a los primeros parlamentarios para iniciar test de drogas. - Diario Constitucional</v>
      </c>
      <c r="D436" s="4">
        <f t="shared" si="2"/>
        <v>96</v>
      </c>
      <c r="E436" s="4">
        <f>IF(IFERROR(VLOOKUP(LEFT(C436,14),consolidado!D:D,1,0),0)&gt;0,1,0)</f>
        <v>1</v>
      </c>
    </row>
    <row r="437" ht="15.75" customHeight="1">
      <c r="B437" s="29">
        <v>44791.0</v>
      </c>
      <c r="C437" s="4" t="str">
        <f t="shared" si="1"/>
        <v>44791</v>
      </c>
      <c r="D437" s="4">
        <f t="shared" si="2"/>
        <v>5</v>
      </c>
      <c r="E437" s="4">
        <f>IF(IFERROR(VLOOKUP(LEFT(C437,14),consolidado!D:D,1,0),0)&gt;0,1,0)</f>
        <v>0</v>
      </c>
    </row>
    <row r="438" ht="15.75" customHeight="1">
      <c r="B438" s="24" t="s">
        <v>307</v>
      </c>
      <c r="C438" s="4" t="str">
        <f t="shared" si="1"/>
        <v>bookmark_border</v>
      </c>
      <c r="D438" s="4">
        <f t="shared" si="2"/>
        <v>15</v>
      </c>
      <c r="E438" s="4">
        <f>IF(IFERROR(VLOOKUP(LEFT(C438,14),consolidado!D:D,1,0),0)&gt;0,1,0)</f>
        <v>0</v>
      </c>
    </row>
    <row r="439" ht="15.75" customHeight="1">
      <c r="B439" s="24" t="s">
        <v>308</v>
      </c>
      <c r="C439" s="4" t="str">
        <f t="shared" si="1"/>
        <v>share</v>
      </c>
      <c r="D439" s="4">
        <f t="shared" si="2"/>
        <v>5</v>
      </c>
      <c r="E439" s="4">
        <f>IF(IFERROR(VLOOKUP(LEFT(C439,14),consolidado!D:D,1,0),0)&gt;0,1,0)</f>
        <v>0</v>
      </c>
    </row>
    <row r="440" ht="15.75" customHeight="1">
      <c r="B440" s="24" t="s">
        <v>309</v>
      </c>
      <c r="C440" s="4" t="str">
        <f t="shared" si="1"/>
        <v>more_vert</v>
      </c>
      <c r="D440" s="4">
        <f t="shared" si="2"/>
        <v>9</v>
      </c>
      <c r="E440" s="4">
        <f>IF(IFERROR(VLOOKUP(LEFT(C440,14),consolidado!D:D,1,0),0)&gt;0,1,0)</f>
        <v>0</v>
      </c>
    </row>
    <row r="441" ht="15.75" customHeight="1">
      <c r="B441" s="28"/>
      <c r="C441" s="4" t="str">
        <f t="shared" si="1"/>
        <v/>
      </c>
      <c r="D441" s="4">
        <f t="shared" si="2"/>
        <v>0</v>
      </c>
      <c r="E441" s="4">
        <f>IF(IFERROR(VLOOKUP(LEFT(C441,14),consolidado!D:D,1,0),0)&gt;0,1,0)</f>
        <v>1</v>
      </c>
    </row>
    <row r="442" ht="15.75" customHeight="1">
      <c r="B442" s="32"/>
      <c r="C442" s="4" t="str">
        <f t="shared" si="1"/>
        <v/>
      </c>
      <c r="D442" s="4">
        <f t="shared" si="2"/>
        <v>0</v>
      </c>
      <c r="E442" s="4">
        <f>IF(IFERROR(VLOOKUP(LEFT(C442,14),consolidado!D:D,1,0),0)&gt;0,1,0)</f>
        <v>1</v>
      </c>
    </row>
    <row r="443" ht="15.75" customHeight="1">
      <c r="B443" s="21" t="s">
        <v>149</v>
      </c>
      <c r="C443" s="4" t="str">
        <f t="shared" si="1"/>
        <v>Emilia Schneider se refirió a su adicción a las drogas en la adolescencia: "Consumí muchas sustancias pelig...</v>
      </c>
      <c r="D443" s="4">
        <f t="shared" si="2"/>
        <v>110</v>
      </c>
      <c r="E443" s="4">
        <f>IF(IFERROR(VLOOKUP(LEFT(C443,14),consolidado!D:D,1,0),0)&gt;0,1,0)</f>
        <v>1</v>
      </c>
    </row>
    <row r="444" ht="15.75" customHeight="1">
      <c r="B444" s="29">
        <v>44858.0</v>
      </c>
      <c r="C444" s="4" t="str">
        <f t="shared" si="1"/>
        <v>44858</v>
      </c>
      <c r="D444" s="4">
        <f t="shared" si="2"/>
        <v>5</v>
      </c>
      <c r="E444" s="4">
        <f>IF(IFERROR(VLOOKUP(LEFT(C444,14),consolidado!D:D,1,0),0)&gt;0,1,0)</f>
        <v>0</v>
      </c>
    </row>
    <row r="445" ht="15.75" customHeight="1">
      <c r="B445" s="24" t="s">
        <v>307</v>
      </c>
      <c r="C445" s="4" t="str">
        <f t="shared" si="1"/>
        <v>bookmark_border</v>
      </c>
      <c r="D445" s="4">
        <f t="shared" si="2"/>
        <v>15</v>
      </c>
      <c r="E445" s="4">
        <f>IF(IFERROR(VLOOKUP(LEFT(C445,14),consolidado!D:D,1,0),0)&gt;0,1,0)</f>
        <v>0</v>
      </c>
    </row>
    <row r="446" ht="15.75" customHeight="1">
      <c r="B446" s="24" t="s">
        <v>308</v>
      </c>
      <c r="C446" s="4" t="str">
        <f t="shared" si="1"/>
        <v>share</v>
      </c>
      <c r="D446" s="4">
        <f t="shared" si="2"/>
        <v>5</v>
      </c>
      <c r="E446" s="4">
        <f>IF(IFERROR(VLOOKUP(LEFT(C446,14),consolidado!D:D,1,0),0)&gt;0,1,0)</f>
        <v>0</v>
      </c>
    </row>
    <row r="447" ht="15.75" customHeight="1">
      <c r="B447" s="24" t="s">
        <v>309</v>
      </c>
      <c r="C447" s="4" t="str">
        <f t="shared" si="1"/>
        <v>more_vert</v>
      </c>
      <c r="D447" s="4">
        <f t="shared" si="2"/>
        <v>9</v>
      </c>
      <c r="E447" s="4">
        <f>IF(IFERROR(VLOOKUP(LEFT(C447,14),consolidado!D:D,1,0),0)&gt;0,1,0)</f>
        <v>0</v>
      </c>
    </row>
    <row r="448" ht="15.75" customHeight="1">
      <c r="B448" s="28"/>
      <c r="C448" s="4" t="str">
        <f t="shared" si="1"/>
        <v/>
      </c>
      <c r="D448" s="4">
        <f t="shared" si="2"/>
        <v>0</v>
      </c>
      <c r="E448" s="4">
        <f>IF(IFERROR(VLOOKUP(LEFT(C448,14),consolidado!D:D,1,0),0)&gt;0,1,0)</f>
        <v>1</v>
      </c>
    </row>
    <row r="449" ht="15.75" customHeight="1">
      <c r="B449" s="32"/>
      <c r="C449" s="4" t="str">
        <f t="shared" si="1"/>
        <v/>
      </c>
      <c r="D449" s="4">
        <f t="shared" si="2"/>
        <v>0</v>
      </c>
      <c r="E449" s="4">
        <f>IF(IFERROR(VLOOKUP(LEFT(C449,14),consolidado!D:D,1,0),0)&gt;0,1,0)</f>
        <v>1</v>
      </c>
    </row>
    <row r="450" ht="15.75" customHeight="1">
      <c r="B450" s="21" t="s">
        <v>151</v>
      </c>
      <c r="C450" s="4" t="str">
        <f t="shared" si="1"/>
        <v>"No voy a satanizar el consumo de drogas": José Antonio Neme admitió haber probado marihuana</v>
      </c>
      <c r="D450" s="4">
        <f t="shared" si="2"/>
        <v>92</v>
      </c>
      <c r="E450" s="4">
        <f>IF(IFERROR(VLOOKUP(LEFT(C450,14),consolidado!D:D,1,0),0)&gt;0,1,0)</f>
        <v>1</v>
      </c>
    </row>
    <row r="451" ht="15.75" customHeight="1">
      <c r="B451" s="29">
        <v>44728.0</v>
      </c>
      <c r="C451" s="4" t="str">
        <f t="shared" si="1"/>
        <v>44728</v>
      </c>
      <c r="D451" s="4">
        <f t="shared" si="2"/>
        <v>5</v>
      </c>
      <c r="E451" s="4">
        <f>IF(IFERROR(VLOOKUP(LEFT(C451,14),consolidado!D:D,1,0),0)&gt;0,1,0)</f>
        <v>0</v>
      </c>
    </row>
    <row r="452" ht="15.75" customHeight="1">
      <c r="B452" s="24" t="s">
        <v>307</v>
      </c>
      <c r="C452" s="4" t="str">
        <f t="shared" si="1"/>
        <v>bookmark_border</v>
      </c>
      <c r="D452" s="4">
        <f t="shared" si="2"/>
        <v>15</v>
      </c>
      <c r="E452" s="4">
        <f>IF(IFERROR(VLOOKUP(LEFT(C452,14),consolidado!D:D,1,0),0)&gt;0,1,0)</f>
        <v>0</v>
      </c>
    </row>
    <row r="453" ht="15.75" customHeight="1">
      <c r="B453" s="24" t="s">
        <v>308</v>
      </c>
      <c r="C453" s="4" t="str">
        <f t="shared" si="1"/>
        <v>share</v>
      </c>
      <c r="D453" s="4">
        <f t="shared" si="2"/>
        <v>5</v>
      </c>
      <c r="E453" s="4">
        <f>IF(IFERROR(VLOOKUP(LEFT(C453,14),consolidado!D:D,1,0),0)&gt;0,1,0)</f>
        <v>0</v>
      </c>
    </row>
    <row r="454" ht="15.75" customHeight="1">
      <c r="B454" s="24" t="s">
        <v>309</v>
      </c>
      <c r="C454" s="4" t="str">
        <f t="shared" si="1"/>
        <v>more_vert</v>
      </c>
      <c r="D454" s="4">
        <f t="shared" si="2"/>
        <v>9</v>
      </c>
      <c r="E454" s="4">
        <f>IF(IFERROR(VLOOKUP(LEFT(C454,14),consolidado!D:D,1,0),0)&gt;0,1,0)</f>
        <v>0</v>
      </c>
    </row>
    <row r="455" ht="15.75" customHeight="1">
      <c r="B455" s="28"/>
      <c r="C455" s="4" t="str">
        <f t="shared" si="1"/>
        <v/>
      </c>
      <c r="D455" s="4">
        <f t="shared" si="2"/>
        <v>0</v>
      </c>
      <c r="E455" s="4">
        <f>IF(IFERROR(VLOOKUP(LEFT(C455,14),consolidado!D:D,1,0),0)&gt;0,1,0)</f>
        <v>1</v>
      </c>
    </row>
    <row r="456" ht="15.75" customHeight="1">
      <c r="B456" s="32"/>
      <c r="C456" s="4" t="str">
        <f t="shared" si="1"/>
        <v/>
      </c>
      <c r="D456" s="4">
        <f t="shared" si="2"/>
        <v>0</v>
      </c>
      <c r="E456" s="4">
        <f>IF(IFERROR(VLOOKUP(LEFT(C456,14),consolidado!D:D,1,0),0)&gt;0,1,0)</f>
        <v>1</v>
      </c>
    </row>
    <row r="457" ht="15.75" customHeight="1">
      <c r="B457" s="21" t="s">
        <v>153</v>
      </c>
      <c r="C457" s="4" t="str">
        <f t="shared" si="1"/>
        <v>Francisco Pulgar es el primer diputado del Maule que se someterse al test de drogas</v>
      </c>
      <c r="D457" s="4">
        <f t="shared" si="2"/>
        <v>83</v>
      </c>
      <c r="E457" s="4">
        <f>IF(IFERROR(VLOOKUP(LEFT(C457,14),consolidado!D:D,1,0),0)&gt;0,1,0)</f>
        <v>1</v>
      </c>
    </row>
    <row r="458" ht="15.75" customHeight="1">
      <c r="B458" s="29">
        <v>44797.0</v>
      </c>
      <c r="C458" s="4" t="str">
        <f t="shared" si="1"/>
        <v>44797</v>
      </c>
      <c r="D458" s="4">
        <f t="shared" si="2"/>
        <v>5</v>
      </c>
      <c r="E458" s="4">
        <f>IF(IFERROR(VLOOKUP(LEFT(C458,14),consolidado!D:D,1,0),0)&gt;0,1,0)</f>
        <v>0</v>
      </c>
    </row>
    <row r="459" ht="15.75" customHeight="1">
      <c r="B459" s="24" t="s">
        <v>307</v>
      </c>
      <c r="C459" s="4" t="str">
        <f t="shared" si="1"/>
        <v>bookmark_border</v>
      </c>
      <c r="D459" s="4">
        <f t="shared" si="2"/>
        <v>15</v>
      </c>
      <c r="E459" s="4">
        <f>IF(IFERROR(VLOOKUP(LEFT(C459,14),consolidado!D:D,1,0),0)&gt;0,1,0)</f>
        <v>0</v>
      </c>
    </row>
    <row r="460" ht="15.75" customHeight="1">
      <c r="B460" s="24" t="s">
        <v>308</v>
      </c>
      <c r="C460" s="4" t="str">
        <f t="shared" si="1"/>
        <v>share</v>
      </c>
      <c r="D460" s="4">
        <f t="shared" si="2"/>
        <v>5</v>
      </c>
      <c r="E460" s="4">
        <f>IF(IFERROR(VLOOKUP(LEFT(C460,14),consolidado!D:D,1,0),0)&gt;0,1,0)</f>
        <v>0</v>
      </c>
    </row>
    <row r="461" ht="15.75" customHeight="1">
      <c r="B461" s="24" t="s">
        <v>309</v>
      </c>
      <c r="C461" s="4" t="str">
        <f t="shared" si="1"/>
        <v>more_vert</v>
      </c>
      <c r="D461" s="4">
        <f t="shared" si="2"/>
        <v>9</v>
      </c>
      <c r="E461" s="4">
        <f>IF(IFERROR(VLOOKUP(LEFT(C461,14),consolidado!D:D,1,0),0)&gt;0,1,0)</f>
        <v>0</v>
      </c>
    </row>
    <row r="462" ht="15.75" customHeight="1">
      <c r="B462" s="28"/>
      <c r="C462" s="4" t="str">
        <f t="shared" si="1"/>
        <v/>
      </c>
      <c r="D462" s="4">
        <f t="shared" si="2"/>
        <v>0</v>
      </c>
      <c r="E462" s="4">
        <f>IF(IFERROR(VLOOKUP(LEFT(C462,14),consolidado!D:D,1,0),0)&gt;0,1,0)</f>
        <v>1</v>
      </c>
    </row>
    <row r="463" ht="15.75" customHeight="1">
      <c r="B463" s="32"/>
      <c r="C463" s="4" t="str">
        <f t="shared" si="1"/>
        <v/>
      </c>
      <c r="D463" s="4">
        <f t="shared" si="2"/>
        <v>0</v>
      </c>
      <c r="E463" s="4">
        <f>IF(IFERROR(VLOOKUP(LEFT(C463,14),consolidado!D:D,1,0),0)&gt;0,1,0)</f>
        <v>1</v>
      </c>
    </row>
    <row r="464" ht="15.75" customHeight="1">
      <c r="B464" s="21" t="s">
        <v>155</v>
      </c>
      <c r="C464" s="4" t="str">
        <f t="shared" si="1"/>
        <v>La polémica entre Kast y Sáez por el consumo de marihuana del diputado RD</v>
      </c>
      <c r="D464" s="4">
        <f t="shared" si="2"/>
        <v>73</v>
      </c>
      <c r="E464" s="4">
        <f>IF(IFERROR(VLOOKUP(LEFT(C464,14),consolidado!D:D,1,0),0)&gt;0,1,0)</f>
        <v>1</v>
      </c>
    </row>
    <row r="465" ht="15.75" customHeight="1">
      <c r="B465" s="29">
        <v>44773.0</v>
      </c>
      <c r="C465" s="4" t="str">
        <f t="shared" si="1"/>
        <v>44773</v>
      </c>
      <c r="D465" s="4">
        <f t="shared" si="2"/>
        <v>5</v>
      </c>
      <c r="E465" s="4">
        <f>IF(IFERROR(VLOOKUP(LEFT(C465,14),consolidado!D:D,1,0),0)&gt;0,1,0)</f>
        <v>0</v>
      </c>
    </row>
    <row r="466" ht="15.75" customHeight="1">
      <c r="B466" s="24" t="s">
        <v>307</v>
      </c>
      <c r="C466" s="4" t="str">
        <f t="shared" si="1"/>
        <v>bookmark_border</v>
      </c>
      <c r="D466" s="4">
        <f t="shared" si="2"/>
        <v>15</v>
      </c>
      <c r="E466" s="4">
        <f>IF(IFERROR(VLOOKUP(LEFT(C466,14),consolidado!D:D,1,0),0)&gt;0,1,0)</f>
        <v>0</v>
      </c>
    </row>
    <row r="467" ht="15.75" customHeight="1">
      <c r="B467" s="24" t="s">
        <v>308</v>
      </c>
      <c r="C467" s="4" t="str">
        <f t="shared" si="1"/>
        <v>share</v>
      </c>
      <c r="D467" s="4">
        <f t="shared" si="2"/>
        <v>5</v>
      </c>
      <c r="E467" s="4">
        <f>IF(IFERROR(VLOOKUP(LEFT(C467,14),consolidado!D:D,1,0),0)&gt;0,1,0)</f>
        <v>0</v>
      </c>
    </row>
    <row r="468" ht="15.75" customHeight="1">
      <c r="B468" s="24" t="s">
        <v>309</v>
      </c>
      <c r="C468" s="4" t="str">
        <f t="shared" si="1"/>
        <v>more_vert</v>
      </c>
      <c r="D468" s="4">
        <f t="shared" si="2"/>
        <v>9</v>
      </c>
      <c r="E468" s="4">
        <f>IF(IFERROR(VLOOKUP(LEFT(C468,14),consolidado!D:D,1,0),0)&gt;0,1,0)</f>
        <v>0</v>
      </c>
    </row>
    <row r="469" ht="15.75" customHeight="1">
      <c r="B469" s="28"/>
      <c r="C469" s="4" t="str">
        <f t="shared" si="1"/>
        <v/>
      </c>
      <c r="D469" s="4">
        <f t="shared" si="2"/>
        <v>0</v>
      </c>
      <c r="E469" s="4">
        <f>IF(IFERROR(VLOOKUP(LEFT(C469,14),consolidado!D:D,1,0),0)&gt;0,1,0)</f>
        <v>1</v>
      </c>
    </row>
    <row r="470" ht="15.75" customHeight="1">
      <c r="B470" s="32"/>
      <c r="C470" s="4" t="str">
        <f t="shared" si="1"/>
        <v/>
      </c>
      <c r="D470" s="4">
        <f t="shared" si="2"/>
        <v>0</v>
      </c>
      <c r="E470" s="4">
        <f>IF(IFERROR(VLOOKUP(LEFT(C470,14),consolidado!D:D,1,0),0)&gt;0,1,0)</f>
        <v>1</v>
      </c>
    </row>
    <row r="471" ht="15.75" customHeight="1">
      <c r="B471" s="21" t="s">
        <v>157</v>
      </c>
      <c r="C471" s="4" t="str">
        <f t="shared" si="1"/>
        <v>[VIDEO] Diputados deberán someterse a test de drogas</v>
      </c>
      <c r="D471" s="4">
        <f t="shared" si="2"/>
        <v>52</v>
      </c>
      <c r="E471" s="4">
        <f>IF(IFERROR(VLOOKUP(LEFT(C471,14),consolidado!D:D,1,0),0)&gt;0,1,0)</f>
        <v>1</v>
      </c>
    </row>
    <row r="472" ht="15.75" customHeight="1">
      <c r="B472" s="29">
        <v>44760.0</v>
      </c>
      <c r="C472" s="4" t="str">
        <f t="shared" si="1"/>
        <v>44760</v>
      </c>
      <c r="D472" s="4">
        <f t="shared" si="2"/>
        <v>5</v>
      </c>
      <c r="E472" s="4">
        <f>IF(IFERROR(VLOOKUP(LEFT(C472,14),consolidado!D:D,1,0),0)&gt;0,1,0)</f>
        <v>0</v>
      </c>
    </row>
    <row r="473" ht="15.75" customHeight="1">
      <c r="B473" s="24" t="s">
        <v>307</v>
      </c>
      <c r="C473" s="4" t="str">
        <f t="shared" si="1"/>
        <v>bookmark_border</v>
      </c>
      <c r="D473" s="4">
        <f t="shared" si="2"/>
        <v>15</v>
      </c>
      <c r="E473" s="4">
        <f>IF(IFERROR(VLOOKUP(LEFT(C473,14),consolidado!D:D,1,0),0)&gt;0,1,0)</f>
        <v>0</v>
      </c>
    </row>
    <row r="474" ht="15.75" customHeight="1">
      <c r="B474" s="24" t="s">
        <v>308</v>
      </c>
      <c r="C474" s="4" t="str">
        <f t="shared" si="1"/>
        <v>share</v>
      </c>
      <c r="D474" s="4">
        <f t="shared" si="2"/>
        <v>5</v>
      </c>
      <c r="E474" s="4">
        <f>IF(IFERROR(VLOOKUP(LEFT(C474,14),consolidado!D:D,1,0),0)&gt;0,1,0)</f>
        <v>0</v>
      </c>
    </row>
    <row r="475" ht="15.75" customHeight="1">
      <c r="B475" s="24" t="s">
        <v>309</v>
      </c>
      <c r="C475" s="4" t="str">
        <f t="shared" si="1"/>
        <v>more_vert</v>
      </c>
      <c r="D475" s="4">
        <f t="shared" si="2"/>
        <v>9</v>
      </c>
      <c r="E475" s="4">
        <f>IF(IFERROR(VLOOKUP(LEFT(C475,14),consolidado!D:D,1,0),0)&gt;0,1,0)</f>
        <v>0</v>
      </c>
    </row>
    <row r="476" ht="15.75" customHeight="1">
      <c r="B476" s="28"/>
      <c r="C476" s="4" t="str">
        <f t="shared" si="1"/>
        <v/>
      </c>
      <c r="D476" s="4">
        <f t="shared" si="2"/>
        <v>0</v>
      </c>
      <c r="E476" s="4">
        <f>IF(IFERROR(VLOOKUP(LEFT(C476,14),consolidado!D:D,1,0),0)&gt;0,1,0)</f>
        <v>1</v>
      </c>
    </row>
    <row r="477" ht="15.75" customHeight="1">
      <c r="B477" s="30" t="s">
        <v>326</v>
      </c>
      <c r="C477" s="31" t="str">
        <f t="shared" si="1"/>
        <v>24Horas.cl</v>
      </c>
      <c r="D477" s="4">
        <f t="shared" si="2"/>
        <v>10</v>
      </c>
      <c r="E477" s="4">
        <f>IF(IFERROR(VLOOKUP(LEFT(C477,14),consolidado!D:D,1,0),0)&gt;0,1,0)</f>
        <v>0</v>
      </c>
    </row>
    <row r="478" ht="15.75" customHeight="1">
      <c r="B478" s="21" t="s">
        <v>159</v>
      </c>
      <c r="C478" s="4" t="str">
        <f t="shared" si="1"/>
        <v>Juan Antonio Coloma (UDI): "Quisimos agregar una reforma que obligue a los ministro y al Presidente a realizarse el test de droga"</v>
      </c>
      <c r="D478" s="4">
        <f t="shared" si="2"/>
        <v>130</v>
      </c>
      <c r="E478" s="4">
        <f>IF(IFERROR(VLOOKUP(LEFT(C478,14),consolidado!D:D,1,0),0)&gt;0,1,0)</f>
        <v>1</v>
      </c>
    </row>
    <row r="479" ht="15.75" customHeight="1">
      <c r="B479" s="29">
        <v>44732.0</v>
      </c>
      <c r="C479" s="4" t="str">
        <f t="shared" si="1"/>
        <v>44732</v>
      </c>
      <c r="D479" s="4">
        <f t="shared" si="2"/>
        <v>5</v>
      </c>
      <c r="E479" s="4">
        <f>IF(IFERROR(VLOOKUP(LEFT(C479,14),consolidado!D:D,1,0),0)&gt;0,1,0)</f>
        <v>0</v>
      </c>
    </row>
    <row r="480" ht="15.75" customHeight="1">
      <c r="B480" s="24" t="s">
        <v>307</v>
      </c>
      <c r="C480" s="4" t="str">
        <f t="shared" si="1"/>
        <v>bookmark_border</v>
      </c>
      <c r="D480" s="4">
        <f t="shared" si="2"/>
        <v>15</v>
      </c>
      <c r="E480" s="4">
        <f>IF(IFERROR(VLOOKUP(LEFT(C480,14),consolidado!D:D,1,0),0)&gt;0,1,0)</f>
        <v>0</v>
      </c>
    </row>
    <row r="481" ht="15.75" customHeight="1">
      <c r="B481" s="24" t="s">
        <v>308</v>
      </c>
      <c r="C481" s="4" t="str">
        <f t="shared" si="1"/>
        <v>share</v>
      </c>
      <c r="D481" s="4">
        <f t="shared" si="2"/>
        <v>5</v>
      </c>
      <c r="E481" s="4">
        <f>IF(IFERROR(VLOOKUP(LEFT(C481,14),consolidado!D:D,1,0),0)&gt;0,1,0)</f>
        <v>0</v>
      </c>
    </row>
    <row r="482" ht="15.75" customHeight="1">
      <c r="B482" s="24" t="s">
        <v>309</v>
      </c>
      <c r="C482" s="4" t="str">
        <f t="shared" si="1"/>
        <v>more_vert</v>
      </c>
      <c r="D482" s="4">
        <f t="shared" si="2"/>
        <v>9</v>
      </c>
      <c r="E482" s="4">
        <f>IF(IFERROR(VLOOKUP(LEFT(C482,14),consolidado!D:D,1,0),0)&gt;0,1,0)</f>
        <v>0</v>
      </c>
    </row>
    <row r="483" ht="15.75" customHeight="1">
      <c r="B483" s="28"/>
      <c r="C483" s="4" t="str">
        <f t="shared" si="1"/>
        <v/>
      </c>
      <c r="D483" s="4">
        <f t="shared" si="2"/>
        <v>0</v>
      </c>
      <c r="E483" s="4">
        <f>IF(IFERROR(VLOOKUP(LEFT(C483,14),consolidado!D:D,1,0),0)&gt;0,1,0)</f>
        <v>1</v>
      </c>
    </row>
    <row r="484" ht="15.75" customHeight="1">
      <c r="B484" s="30" t="s">
        <v>336</v>
      </c>
      <c r="C484" s="4" t="str">
        <f t="shared" si="1"/>
        <v>Radio Maray</v>
      </c>
      <c r="D484" s="4">
        <f t="shared" si="2"/>
        <v>11</v>
      </c>
      <c r="E484" s="4">
        <f>IF(IFERROR(VLOOKUP(LEFT(C484,14),consolidado!D:D,1,0),0)&gt;0,1,0)</f>
        <v>0</v>
      </c>
    </row>
    <row r="485" ht="15.75" customHeight="1">
      <c r="B485" s="21" t="s">
        <v>161</v>
      </c>
      <c r="C485" s="4" t="str">
        <f t="shared" si="1"/>
        <v>Cuatro detenidos en taller clandestino que modificaba armas en La Pintana</v>
      </c>
      <c r="D485" s="4">
        <f t="shared" si="2"/>
        <v>73</v>
      </c>
      <c r="E485" s="4">
        <f>IF(IFERROR(VLOOKUP(LEFT(C485,14),consolidado!D:D,1,0),0)&gt;0,1,0)</f>
        <v>1</v>
      </c>
    </row>
    <row r="486" ht="15.75" customHeight="1">
      <c r="B486" s="23" t="s">
        <v>337</v>
      </c>
      <c r="C486" s="4" t="str">
        <f t="shared" si="1"/>
        <v>Hace 12 horas</v>
      </c>
      <c r="D486" s="4">
        <f t="shared" si="2"/>
        <v>13</v>
      </c>
      <c r="E486" s="4">
        <f>IF(IFERROR(VLOOKUP(LEFT(C486,14),consolidado!D:D,1,0),0)&gt;0,1,0)</f>
        <v>0</v>
      </c>
    </row>
    <row r="487" ht="15.75" customHeight="1">
      <c r="B487" s="24" t="s">
        <v>307</v>
      </c>
      <c r="C487" s="4" t="str">
        <f t="shared" si="1"/>
        <v>bookmark_border</v>
      </c>
      <c r="D487" s="4">
        <f t="shared" si="2"/>
        <v>15</v>
      </c>
      <c r="E487" s="4">
        <f>IF(IFERROR(VLOOKUP(LEFT(C487,14),consolidado!D:D,1,0),0)&gt;0,1,0)</f>
        <v>0</v>
      </c>
    </row>
    <row r="488" ht="15.75" customHeight="1">
      <c r="B488" s="24" t="s">
        <v>308</v>
      </c>
      <c r="C488" s="4" t="str">
        <f t="shared" si="1"/>
        <v>share</v>
      </c>
      <c r="D488" s="4">
        <f t="shared" si="2"/>
        <v>5</v>
      </c>
      <c r="E488" s="4">
        <f>IF(IFERROR(VLOOKUP(LEFT(C488,14),consolidado!D:D,1,0),0)&gt;0,1,0)</f>
        <v>0</v>
      </c>
    </row>
    <row r="489" ht="15.75" customHeight="1">
      <c r="B489" s="24" t="s">
        <v>309</v>
      </c>
      <c r="C489" s="4" t="str">
        <f t="shared" si="1"/>
        <v>more_vert</v>
      </c>
      <c r="D489" s="4">
        <f t="shared" si="2"/>
        <v>9</v>
      </c>
      <c r="E489" s="4">
        <f>IF(IFERROR(VLOOKUP(LEFT(C489,14),consolidado!D:D,1,0),0)&gt;0,1,0)</f>
        <v>0</v>
      </c>
    </row>
    <row r="490" ht="15.75" customHeight="1">
      <c r="B490" s="28"/>
      <c r="C490" s="4" t="str">
        <f t="shared" si="1"/>
        <v/>
      </c>
      <c r="D490" s="4">
        <f t="shared" si="2"/>
        <v>0</v>
      </c>
      <c r="E490" s="4">
        <f>IF(IFERROR(VLOOKUP(LEFT(C490,14),consolidado!D:D,1,0),0)&gt;0,1,0)</f>
        <v>1</v>
      </c>
    </row>
    <row r="491" ht="15.75" customHeight="1">
      <c r="B491" s="32"/>
      <c r="C491" s="4" t="str">
        <f t="shared" si="1"/>
        <v/>
      </c>
      <c r="D491" s="4">
        <f t="shared" si="2"/>
        <v>0</v>
      </c>
      <c r="E491" s="4">
        <f>IF(IFERROR(VLOOKUP(LEFT(C491,14),consolidado!D:D,1,0),0)&gt;0,1,0)</f>
        <v>1</v>
      </c>
    </row>
    <row r="492" ht="15.75" customHeight="1">
      <c r="B492" s="21" t="s">
        <v>164</v>
      </c>
      <c r="C492" s="4" t="str">
        <f t="shared" si="1"/>
        <v>Diputado Coloma pide darle urgencia a proyecto de ley que extiende a otros poderes del Estado el test antidrogas</v>
      </c>
      <c r="D492" s="4">
        <f t="shared" si="2"/>
        <v>112</v>
      </c>
      <c r="E492" s="4">
        <f>IF(IFERROR(VLOOKUP(LEFT(C492,14),consolidado!D:D,1,0),0)&gt;0,1,0)</f>
        <v>1</v>
      </c>
    </row>
    <row r="493" ht="15.75" customHeight="1">
      <c r="B493" s="29">
        <v>44791.0</v>
      </c>
      <c r="C493" s="4" t="str">
        <f t="shared" si="1"/>
        <v>44791</v>
      </c>
      <c r="D493" s="4">
        <f t="shared" si="2"/>
        <v>5</v>
      </c>
      <c r="E493" s="4">
        <f>IF(IFERROR(VLOOKUP(LEFT(C493,14),consolidado!D:D,1,0),0)&gt;0,1,0)</f>
        <v>0</v>
      </c>
    </row>
    <row r="494" ht="15.75" customHeight="1">
      <c r="B494" s="24"/>
      <c r="C494" s="4" t="str">
        <f t="shared" si="1"/>
        <v/>
      </c>
      <c r="D494" s="4">
        <f t="shared" si="2"/>
        <v>0</v>
      </c>
      <c r="E494" s="4">
        <f>IF(IFERROR(VLOOKUP(LEFT(C494,14),consolidado!D:D,1,0),0)&gt;0,1,0)</f>
        <v>1</v>
      </c>
    </row>
    <row r="495" ht="15.75" customHeight="1">
      <c r="B495" s="30"/>
      <c r="C495" s="4" t="str">
        <f t="shared" si="1"/>
        <v/>
      </c>
      <c r="D495" s="4">
        <f t="shared" si="2"/>
        <v>0</v>
      </c>
      <c r="E495" s="4">
        <f>IF(IFERROR(VLOOKUP(LEFT(C495,14),consolidado!D:D,1,0),0)&gt;0,1,0)</f>
        <v>1</v>
      </c>
    </row>
    <row r="496" ht="15.75" customHeight="1">
      <c r="B496" s="21" t="s">
        <v>166</v>
      </c>
      <c r="C496" s="4" t="str">
        <f t="shared" si="1"/>
        <v>El Senado vetó los controles de droga como los que pide Vox para no ofender a los parlamentarios</v>
      </c>
      <c r="D496" s="4">
        <f t="shared" si="2"/>
        <v>96</v>
      </c>
      <c r="E496" s="4">
        <f>IF(IFERROR(VLOOKUP(LEFT(C496,14),consolidado!D:D,1,0),0)&gt;0,1,0)</f>
        <v>1</v>
      </c>
    </row>
    <row r="497" ht="15.75" customHeight="1">
      <c r="B497" s="33">
        <v>43998.0</v>
      </c>
      <c r="C497" s="4" t="str">
        <f t="shared" si="1"/>
        <v>43998</v>
      </c>
      <c r="D497" s="4">
        <f t="shared" si="2"/>
        <v>5</v>
      </c>
      <c r="E497" s="4">
        <f>IF(IFERROR(VLOOKUP(LEFT(C497,14),consolidado!D:D,1,0),0)&gt;0,1,0)</f>
        <v>0</v>
      </c>
    </row>
    <row r="498" ht="15.75" customHeight="1">
      <c r="B498" s="24" t="s">
        <v>307</v>
      </c>
      <c r="C498" s="4" t="str">
        <f t="shared" si="1"/>
        <v>bookmark_border</v>
      </c>
      <c r="D498" s="4">
        <f t="shared" si="2"/>
        <v>15</v>
      </c>
      <c r="E498" s="4">
        <f>IF(IFERROR(VLOOKUP(LEFT(C498,14),consolidado!D:D,1,0),0)&gt;0,1,0)</f>
        <v>0</v>
      </c>
    </row>
    <row r="499" ht="15.75" customHeight="1">
      <c r="B499" s="24" t="s">
        <v>308</v>
      </c>
      <c r="C499" s="4" t="str">
        <f t="shared" si="1"/>
        <v>share</v>
      </c>
      <c r="D499" s="4">
        <f t="shared" si="2"/>
        <v>5</v>
      </c>
      <c r="E499" s="4">
        <f>IF(IFERROR(VLOOKUP(LEFT(C499,14),consolidado!D:D,1,0),0)&gt;0,1,0)</f>
        <v>0</v>
      </c>
    </row>
    <row r="500" ht="15.75" customHeight="1">
      <c r="B500" s="24" t="s">
        <v>309</v>
      </c>
      <c r="C500" s="4" t="str">
        <f t="shared" si="1"/>
        <v>more_vert</v>
      </c>
      <c r="D500" s="4">
        <f t="shared" si="2"/>
        <v>9</v>
      </c>
      <c r="E500" s="4">
        <f>IF(IFERROR(VLOOKUP(LEFT(C500,14),consolidado!D:D,1,0),0)&gt;0,1,0)</f>
        <v>0</v>
      </c>
    </row>
    <row r="501" ht="15.75" customHeight="1">
      <c r="B501" s="28"/>
      <c r="C501" s="4" t="str">
        <f t="shared" si="1"/>
        <v/>
      </c>
      <c r="D501" s="4">
        <f t="shared" si="2"/>
        <v>0</v>
      </c>
      <c r="E501" s="4">
        <f>IF(IFERROR(VLOOKUP(LEFT(C501,14),consolidado!D:D,1,0),0)&gt;0,1,0)</f>
        <v>1</v>
      </c>
    </row>
    <row r="502" ht="15.75" customHeight="1">
      <c r="B502" s="30" t="s">
        <v>338</v>
      </c>
      <c r="C502" s="4" t="str">
        <f t="shared" si="1"/>
        <v>CNN Chile</v>
      </c>
      <c r="D502" s="4">
        <f t="shared" si="2"/>
        <v>9</v>
      </c>
      <c r="E502" s="4">
        <f>IF(IFERROR(VLOOKUP(LEFT(C502,14),consolidado!D:D,1,0),0)&gt;0,1,0)</f>
        <v>0</v>
      </c>
    </row>
    <row r="503" ht="15.75" customHeight="1">
      <c r="B503" s="21" t="s">
        <v>168</v>
      </c>
      <c r="C503" s="4" t="str">
        <f t="shared" si="1"/>
        <v>63 diputados confesaron que consumieron algún tipo de drogas alguna vez</v>
      </c>
      <c r="D503" s="4">
        <f t="shared" si="2"/>
        <v>71</v>
      </c>
      <c r="E503" s="4">
        <f>IF(IFERROR(VLOOKUP(LEFT(C503,14),consolidado!D:D,1,0),0)&gt;0,1,0)</f>
        <v>1</v>
      </c>
    </row>
    <row r="504" ht="15.75" customHeight="1">
      <c r="B504" s="33">
        <v>43591.0</v>
      </c>
      <c r="C504" s="4" t="str">
        <f t="shared" si="1"/>
        <v>43591</v>
      </c>
      <c r="D504" s="4">
        <f t="shared" si="2"/>
        <v>5</v>
      </c>
      <c r="E504" s="4">
        <f>IF(IFERROR(VLOOKUP(LEFT(C504,14),consolidado!D:D,1,0),0)&gt;0,1,0)</f>
        <v>0</v>
      </c>
    </row>
    <row r="505" ht="15.75" customHeight="1">
      <c r="B505" s="24" t="s">
        <v>307</v>
      </c>
      <c r="C505" s="4" t="str">
        <f t="shared" si="1"/>
        <v>bookmark_border</v>
      </c>
      <c r="D505" s="4">
        <f t="shared" si="2"/>
        <v>15</v>
      </c>
      <c r="E505" s="4">
        <f>IF(IFERROR(VLOOKUP(LEFT(C505,14),consolidado!D:D,1,0),0)&gt;0,1,0)</f>
        <v>0</v>
      </c>
    </row>
    <row r="506" ht="15.75" customHeight="1">
      <c r="B506" s="24" t="s">
        <v>308</v>
      </c>
      <c r="C506" s="4" t="str">
        <f t="shared" si="1"/>
        <v>share</v>
      </c>
      <c r="D506" s="4">
        <f t="shared" si="2"/>
        <v>5</v>
      </c>
      <c r="E506" s="4">
        <f>IF(IFERROR(VLOOKUP(LEFT(C506,14),consolidado!D:D,1,0),0)&gt;0,1,0)</f>
        <v>0</v>
      </c>
    </row>
    <row r="507" ht="15.75" customHeight="1">
      <c r="B507" s="24" t="s">
        <v>309</v>
      </c>
      <c r="C507" s="4" t="str">
        <f t="shared" si="1"/>
        <v>more_vert</v>
      </c>
      <c r="D507" s="4">
        <f t="shared" si="2"/>
        <v>9</v>
      </c>
      <c r="E507" s="4">
        <f>IF(IFERROR(VLOOKUP(LEFT(C507,14),consolidado!D:D,1,0),0)&gt;0,1,0)</f>
        <v>0</v>
      </c>
    </row>
    <row r="508" ht="15.75" customHeight="1">
      <c r="B508" s="28"/>
      <c r="C508" s="4" t="str">
        <f t="shared" si="1"/>
        <v/>
      </c>
      <c r="D508" s="4">
        <f t="shared" si="2"/>
        <v>0</v>
      </c>
      <c r="E508" s="4">
        <f>IF(IFERROR(VLOOKUP(LEFT(C508,14),consolidado!D:D,1,0),0)&gt;0,1,0)</f>
        <v>1</v>
      </c>
    </row>
    <row r="509" ht="15.75" customHeight="1">
      <c r="B509" s="32"/>
      <c r="C509" s="4" t="str">
        <f t="shared" si="1"/>
        <v/>
      </c>
      <c r="D509" s="4">
        <f t="shared" si="2"/>
        <v>0</v>
      </c>
      <c r="E509" s="4">
        <f>IF(IFERROR(VLOOKUP(LEFT(C509,14),consolidado!D:D,1,0),0)&gt;0,1,0)</f>
        <v>1</v>
      </c>
    </row>
    <row r="510" ht="15.75" customHeight="1">
      <c r="B510" s="21" t="s">
        <v>170</v>
      </c>
      <c r="C510" s="4" t="str">
        <f t="shared" si="1"/>
        <v>Vendían en el persa Biobío: Detienen a narcotraficantes que importaban droga desde Cali</v>
      </c>
      <c r="D510" s="4">
        <f t="shared" si="2"/>
        <v>87</v>
      </c>
      <c r="E510" s="4">
        <f>IF(IFERROR(VLOOKUP(LEFT(C510,14),consolidado!D:D,1,0),0)&gt;0,1,0)</f>
        <v>1</v>
      </c>
    </row>
    <row r="511" ht="15.75" customHeight="1">
      <c r="B511" s="29">
        <v>44796.0</v>
      </c>
      <c r="C511" s="4" t="str">
        <f t="shared" si="1"/>
        <v>44796</v>
      </c>
      <c r="D511" s="4">
        <f t="shared" si="2"/>
        <v>5</v>
      </c>
      <c r="E511" s="4">
        <f>IF(IFERROR(VLOOKUP(LEFT(C511,14),consolidado!D:D,1,0),0)&gt;0,1,0)</f>
        <v>0</v>
      </c>
    </row>
    <row r="512" ht="15.75" customHeight="1">
      <c r="B512" s="24" t="s">
        <v>307</v>
      </c>
      <c r="C512" s="4" t="str">
        <f t="shared" si="1"/>
        <v>bookmark_border</v>
      </c>
      <c r="D512" s="4">
        <f t="shared" si="2"/>
        <v>15</v>
      </c>
      <c r="E512" s="4">
        <f>IF(IFERROR(VLOOKUP(LEFT(C512,14),consolidado!D:D,1,0),0)&gt;0,1,0)</f>
        <v>0</v>
      </c>
    </row>
    <row r="513" ht="15.75" customHeight="1">
      <c r="B513" s="24" t="s">
        <v>308</v>
      </c>
      <c r="C513" s="4" t="str">
        <f t="shared" si="1"/>
        <v>share</v>
      </c>
      <c r="D513" s="4">
        <f t="shared" si="2"/>
        <v>5</v>
      </c>
      <c r="E513" s="4">
        <f>IF(IFERROR(VLOOKUP(LEFT(C513,14),consolidado!D:D,1,0),0)&gt;0,1,0)</f>
        <v>0</v>
      </c>
    </row>
    <row r="514" ht="15.75" customHeight="1">
      <c r="B514" s="24" t="s">
        <v>309</v>
      </c>
      <c r="C514" s="4" t="str">
        <f t="shared" si="1"/>
        <v>more_vert</v>
      </c>
      <c r="D514" s="4">
        <f t="shared" si="2"/>
        <v>9</v>
      </c>
      <c r="E514" s="4">
        <f>IF(IFERROR(VLOOKUP(LEFT(C514,14),consolidado!D:D,1,0),0)&gt;0,1,0)</f>
        <v>0</v>
      </c>
    </row>
    <row r="515" ht="15.75" customHeight="1">
      <c r="B515" s="28"/>
      <c r="C515" s="4" t="str">
        <f t="shared" si="1"/>
        <v/>
      </c>
      <c r="D515" s="4">
        <f t="shared" si="2"/>
        <v>0</v>
      </c>
      <c r="E515" s="4">
        <f>IF(IFERROR(VLOOKUP(LEFT(C515,14),consolidado!D:D,1,0),0)&gt;0,1,0)</f>
        <v>1</v>
      </c>
    </row>
    <row r="516" ht="15.75" customHeight="1">
      <c r="B516" s="30" t="s">
        <v>316</v>
      </c>
      <c r="C516" s="4" t="str">
        <f t="shared" si="1"/>
        <v>El Mostrador</v>
      </c>
      <c r="D516" s="4">
        <f t="shared" si="2"/>
        <v>12</v>
      </c>
      <c r="E516" s="4">
        <f>IF(IFERROR(VLOOKUP(LEFT(C516,14),consolidado!D:D,1,0),0)&gt;0,1,0)</f>
        <v>0</v>
      </c>
    </row>
    <row r="517" ht="15.75" customHeight="1">
      <c r="B517" s="21" t="s">
        <v>173</v>
      </c>
      <c r="C517" s="4" t="str">
        <f t="shared" si="1"/>
        <v>Por controversiales dichos, diputado Gonzalo de la Carrera será llevado al Tribunal de Ética de la Cámara</v>
      </c>
      <c r="D517" s="4">
        <f t="shared" si="2"/>
        <v>105</v>
      </c>
      <c r="E517" s="4">
        <f>IF(IFERROR(VLOOKUP(LEFT(C517,14),consolidado!D:D,1,0),0)&gt;0,1,0)</f>
        <v>1</v>
      </c>
    </row>
    <row r="518" ht="15.75" customHeight="1">
      <c r="B518" s="29">
        <v>44791.0</v>
      </c>
      <c r="C518" s="4" t="str">
        <f t="shared" si="1"/>
        <v>44791</v>
      </c>
      <c r="D518" s="4">
        <f t="shared" si="2"/>
        <v>5</v>
      </c>
      <c r="E518" s="4">
        <f>IF(IFERROR(VLOOKUP(LEFT(C518,14),consolidado!D:D,1,0),0)&gt;0,1,0)</f>
        <v>0</v>
      </c>
    </row>
    <row r="519" ht="15.75" customHeight="1">
      <c r="B519" s="24" t="s">
        <v>307</v>
      </c>
      <c r="C519" s="4" t="str">
        <f t="shared" si="1"/>
        <v>bookmark_border</v>
      </c>
      <c r="D519" s="4">
        <f t="shared" si="2"/>
        <v>15</v>
      </c>
      <c r="E519" s="4">
        <f>IF(IFERROR(VLOOKUP(LEFT(C519,14),consolidado!D:D,1,0),0)&gt;0,1,0)</f>
        <v>0</v>
      </c>
    </row>
    <row r="520" ht="15.75" customHeight="1">
      <c r="B520" s="24" t="s">
        <v>308</v>
      </c>
      <c r="C520" s="4" t="str">
        <f t="shared" si="1"/>
        <v>share</v>
      </c>
      <c r="D520" s="4">
        <f t="shared" si="2"/>
        <v>5</v>
      </c>
      <c r="E520" s="4">
        <f>IF(IFERROR(VLOOKUP(LEFT(C520,14),consolidado!D:D,1,0),0)&gt;0,1,0)</f>
        <v>0</v>
      </c>
    </row>
    <row r="521" ht="15.75" customHeight="1">
      <c r="B521" s="24" t="s">
        <v>309</v>
      </c>
      <c r="C521" s="4" t="str">
        <f t="shared" si="1"/>
        <v>more_vert</v>
      </c>
      <c r="D521" s="4">
        <f t="shared" si="2"/>
        <v>9</v>
      </c>
      <c r="E521" s="4">
        <f>IF(IFERROR(VLOOKUP(LEFT(C521,14),consolidado!D:D,1,0),0)&gt;0,1,0)</f>
        <v>0</v>
      </c>
    </row>
    <row r="522" ht="15.75" customHeight="1">
      <c r="B522" s="28"/>
      <c r="C522" s="4" t="str">
        <f t="shared" si="1"/>
        <v/>
      </c>
      <c r="D522" s="4">
        <f t="shared" si="2"/>
        <v>0</v>
      </c>
      <c r="E522" s="4">
        <f>IF(IFERROR(VLOOKUP(LEFT(C522,14),consolidado!D:D,1,0),0)&gt;0,1,0)</f>
        <v>1</v>
      </c>
    </row>
    <row r="523" ht="15.75" customHeight="1">
      <c r="B523" s="30" t="s">
        <v>339</v>
      </c>
      <c r="C523" s="4" t="str">
        <f t="shared" si="1"/>
        <v>Partido Republicano</v>
      </c>
      <c r="D523" s="4">
        <f t="shared" si="2"/>
        <v>19</v>
      </c>
      <c r="E523" s="4">
        <f>IF(IFERROR(VLOOKUP(LEFT(C523,14),consolidado!D:D,1,0),0)&gt;0,1,0)</f>
        <v>0</v>
      </c>
    </row>
    <row r="524" ht="15.75" customHeight="1">
      <c r="B524" s="21" t="s">
        <v>175</v>
      </c>
      <c r="C524" s="4" t="str">
        <f t="shared" si="1"/>
        <v>Jefe de la Bancada Republicana y llamado de Vallejo a que oposición se ponga de acuerdo por Plebiscito: "Dejen de intervenir en un proceso democrático que nos pertenece a todos"</v>
      </c>
      <c r="D524" s="4">
        <f t="shared" si="2"/>
        <v>177</v>
      </c>
      <c r="E524" s="4">
        <f>IF(IFERROR(VLOOKUP(LEFT(C524,14),consolidado!D:D,1,0),0)&gt;0,1,0)</f>
        <v>1</v>
      </c>
    </row>
    <row r="525" ht="15.75" customHeight="1">
      <c r="B525" s="29">
        <v>44791.0</v>
      </c>
      <c r="C525" s="4" t="str">
        <f t="shared" si="1"/>
        <v>44791</v>
      </c>
      <c r="D525" s="4">
        <f t="shared" si="2"/>
        <v>5</v>
      </c>
      <c r="E525" s="4">
        <f>IF(IFERROR(VLOOKUP(LEFT(C525,14),consolidado!D:D,1,0),0)&gt;0,1,0)</f>
        <v>0</v>
      </c>
    </row>
    <row r="526" ht="15.75" customHeight="1">
      <c r="B526" s="24" t="s">
        <v>307</v>
      </c>
      <c r="C526" s="4" t="str">
        <f t="shared" si="1"/>
        <v>bookmark_border</v>
      </c>
      <c r="D526" s="4">
        <f t="shared" si="2"/>
        <v>15</v>
      </c>
      <c r="E526" s="4">
        <f>IF(IFERROR(VLOOKUP(LEFT(C526,14),consolidado!D:D,1,0),0)&gt;0,1,0)</f>
        <v>0</v>
      </c>
    </row>
    <row r="527" ht="15.75" customHeight="1">
      <c r="B527" s="24" t="s">
        <v>308</v>
      </c>
      <c r="C527" s="4" t="str">
        <f t="shared" si="1"/>
        <v>share</v>
      </c>
      <c r="D527" s="4">
        <f t="shared" si="2"/>
        <v>5</v>
      </c>
      <c r="E527" s="4">
        <f>IF(IFERROR(VLOOKUP(LEFT(C527,14),consolidado!D:D,1,0),0)&gt;0,1,0)</f>
        <v>0</v>
      </c>
    </row>
    <row r="528" ht="15.75" customHeight="1">
      <c r="B528" s="24" t="s">
        <v>309</v>
      </c>
      <c r="C528" s="4" t="str">
        <f t="shared" si="1"/>
        <v>more_vert</v>
      </c>
      <c r="D528" s="4">
        <f t="shared" si="2"/>
        <v>9</v>
      </c>
      <c r="E528" s="4">
        <f>IF(IFERROR(VLOOKUP(LEFT(C528,14),consolidado!D:D,1,0),0)&gt;0,1,0)</f>
        <v>0</v>
      </c>
    </row>
    <row r="529" ht="15.75" customHeight="1">
      <c r="B529" s="28"/>
      <c r="C529" s="4" t="str">
        <f t="shared" si="1"/>
        <v/>
      </c>
      <c r="D529" s="4">
        <f t="shared" si="2"/>
        <v>0</v>
      </c>
      <c r="E529" s="4">
        <f>IF(IFERROR(VLOOKUP(LEFT(C529,14),consolidado!D:D,1,0),0)&gt;0,1,0)</f>
        <v>1</v>
      </c>
    </row>
    <row r="530" ht="15.75" customHeight="1">
      <c r="B530" s="32"/>
      <c r="C530" s="4" t="str">
        <f t="shared" si="1"/>
        <v/>
      </c>
      <c r="D530" s="4">
        <f t="shared" si="2"/>
        <v>0</v>
      </c>
      <c r="E530" s="4">
        <f>IF(IFERROR(VLOOKUP(LEFT(C530,14),consolidado!D:D,1,0),0)&gt;0,1,0)</f>
        <v>1</v>
      </c>
    </row>
    <row r="531" ht="15.75" customHeight="1">
      <c r="B531" s="21" t="s">
        <v>177</v>
      </c>
      <c r="C531" s="4" t="str">
        <f t="shared" si="1"/>
        <v>Debutó este lunes la rendición de la PAES en todo Chile, examen que reemplaza a la PDT de transición y a la antigua PSU</v>
      </c>
      <c r="D531" s="4">
        <f t="shared" si="2"/>
        <v>119</v>
      </c>
      <c r="E531" s="4">
        <f>IF(IFERROR(VLOOKUP(LEFT(C531,14),consolidado!D:D,1,0),0)&gt;0,1,0)</f>
        <v>1</v>
      </c>
    </row>
    <row r="532" ht="15.75" customHeight="1">
      <c r="B532" s="23" t="s">
        <v>340</v>
      </c>
      <c r="C532" s="4" t="str">
        <f t="shared" si="1"/>
        <v>Hace 20 horas</v>
      </c>
      <c r="D532" s="4">
        <f t="shared" si="2"/>
        <v>13</v>
      </c>
      <c r="E532" s="4">
        <f>IF(IFERROR(VLOOKUP(LEFT(C532,14),consolidado!D:D,1,0),0)&gt;0,1,0)</f>
        <v>0</v>
      </c>
    </row>
    <row r="533" ht="15.75" customHeight="1">
      <c r="B533" s="24" t="s">
        <v>307</v>
      </c>
      <c r="C533" s="4" t="str">
        <f t="shared" si="1"/>
        <v>bookmark_border</v>
      </c>
      <c r="D533" s="4">
        <f t="shared" si="2"/>
        <v>15</v>
      </c>
      <c r="E533" s="4">
        <f>IF(IFERROR(VLOOKUP(LEFT(C533,14),consolidado!D:D,1,0),0)&gt;0,1,0)</f>
        <v>0</v>
      </c>
    </row>
    <row r="534" ht="15.75" customHeight="1">
      <c r="B534" s="24" t="s">
        <v>308</v>
      </c>
      <c r="C534" s="4" t="str">
        <f t="shared" si="1"/>
        <v>share</v>
      </c>
      <c r="D534" s="4">
        <f t="shared" si="2"/>
        <v>5</v>
      </c>
      <c r="E534" s="4">
        <f>IF(IFERROR(VLOOKUP(LEFT(C534,14),consolidado!D:D,1,0),0)&gt;0,1,0)</f>
        <v>0</v>
      </c>
    </row>
    <row r="535" ht="15.75" customHeight="1">
      <c r="B535" s="24" t="s">
        <v>309</v>
      </c>
      <c r="C535" s="4" t="str">
        <f t="shared" si="1"/>
        <v>more_vert</v>
      </c>
      <c r="D535" s="4">
        <f t="shared" si="2"/>
        <v>9</v>
      </c>
      <c r="E535" s="4">
        <f>IF(IFERROR(VLOOKUP(LEFT(C535,14),consolidado!D:D,1,0),0)&gt;0,1,0)</f>
        <v>0</v>
      </c>
    </row>
    <row r="536" ht="15.75" customHeight="1">
      <c r="B536" s="28"/>
      <c r="C536" s="4" t="str">
        <f t="shared" si="1"/>
        <v/>
      </c>
      <c r="D536" s="4">
        <f t="shared" si="2"/>
        <v>0</v>
      </c>
      <c r="E536" s="4">
        <f>IF(IFERROR(VLOOKUP(LEFT(C536,14),consolidado!D:D,1,0),0)&gt;0,1,0)</f>
        <v>1</v>
      </c>
    </row>
    <row r="537" ht="15.75" customHeight="1">
      <c r="B537" s="30" t="s">
        <v>316</v>
      </c>
      <c r="C537" s="4" t="str">
        <f t="shared" si="1"/>
        <v>El Mostrador</v>
      </c>
      <c r="D537" s="4">
        <f t="shared" si="2"/>
        <v>12</v>
      </c>
      <c r="E537" s="4">
        <f>IF(IFERROR(VLOOKUP(LEFT(C537,14),consolidado!D:D,1,0),0)&gt;0,1,0)</f>
        <v>0</v>
      </c>
    </row>
    <row r="538" ht="15.75" customHeight="1">
      <c r="B538" s="21" t="s">
        <v>179</v>
      </c>
      <c r="C538" s="4" t="str">
        <f t="shared" si="1"/>
        <v>Presupuesto 2023: Gobierno lo presentará esta semana al Congreso</v>
      </c>
      <c r="D538" s="4">
        <f t="shared" si="2"/>
        <v>64</v>
      </c>
      <c r="E538" s="4">
        <f>IF(IFERROR(VLOOKUP(LEFT(C538,14),consolidado!D:D,1,0),0)&gt;0,1,0)</f>
        <v>1</v>
      </c>
    </row>
    <row r="539" ht="15.75" customHeight="1">
      <c r="B539" s="29">
        <v>44830.0</v>
      </c>
      <c r="C539" s="4" t="str">
        <f t="shared" si="1"/>
        <v>44830</v>
      </c>
      <c r="D539" s="4">
        <f t="shared" si="2"/>
        <v>5</v>
      </c>
      <c r="E539" s="4">
        <f>IF(IFERROR(VLOOKUP(LEFT(C539,14),consolidado!D:D,1,0),0)&gt;0,1,0)</f>
        <v>0</v>
      </c>
    </row>
    <row r="540" ht="15.75" customHeight="1">
      <c r="B540" s="24" t="s">
        <v>307</v>
      </c>
      <c r="C540" s="4" t="str">
        <f t="shared" si="1"/>
        <v>bookmark_border</v>
      </c>
      <c r="D540" s="4">
        <f t="shared" si="2"/>
        <v>15</v>
      </c>
      <c r="E540" s="4">
        <f>IF(IFERROR(VLOOKUP(LEFT(C540,14),consolidado!D:D,1,0),0)&gt;0,1,0)</f>
        <v>0</v>
      </c>
    </row>
    <row r="541" ht="15.75" customHeight="1">
      <c r="B541" s="24" t="s">
        <v>308</v>
      </c>
      <c r="C541" s="4" t="str">
        <f t="shared" si="1"/>
        <v>share</v>
      </c>
      <c r="D541" s="4">
        <f t="shared" si="2"/>
        <v>5</v>
      </c>
      <c r="E541" s="4">
        <f>IF(IFERROR(VLOOKUP(LEFT(C541,14),consolidado!D:D,1,0),0)&gt;0,1,0)</f>
        <v>0</v>
      </c>
    </row>
    <row r="542" ht="15.75" customHeight="1">
      <c r="B542" s="24" t="s">
        <v>309</v>
      </c>
      <c r="C542" s="4" t="str">
        <f t="shared" si="1"/>
        <v>more_vert</v>
      </c>
      <c r="D542" s="4">
        <f t="shared" si="2"/>
        <v>9</v>
      </c>
      <c r="E542" s="4">
        <f>IF(IFERROR(VLOOKUP(LEFT(C542,14),consolidado!D:D,1,0),0)&gt;0,1,0)</f>
        <v>0</v>
      </c>
    </row>
    <row r="543" ht="15.75" customHeight="1">
      <c r="B543" s="28"/>
      <c r="C543" s="4" t="str">
        <f t="shared" si="1"/>
        <v/>
      </c>
      <c r="D543" s="4">
        <f t="shared" si="2"/>
        <v>0</v>
      </c>
      <c r="E543" s="4">
        <f>IF(IFERROR(VLOOKUP(LEFT(C543,14),consolidado!D:D,1,0),0)&gt;0,1,0)</f>
        <v>1</v>
      </c>
    </row>
    <row r="544" ht="15.75" customHeight="1">
      <c r="B544" s="32"/>
      <c r="C544" s="4" t="str">
        <f t="shared" si="1"/>
        <v/>
      </c>
      <c r="D544" s="4">
        <f t="shared" si="2"/>
        <v>0</v>
      </c>
      <c r="E544" s="4">
        <f>IF(IFERROR(VLOOKUP(LEFT(C544,14),consolidado!D:D,1,0),0)&gt;0,1,0)</f>
        <v>1</v>
      </c>
    </row>
    <row r="545" ht="15.75" customHeight="1">
      <c r="B545" s="21" t="s">
        <v>181</v>
      </c>
      <c r="C545" s="4" t="str">
        <f t="shared" si="1"/>
        <v>Debía vigilar a narcos y era uno de ellos: así operaba funcionario de gobierno condenado por tráfico</v>
      </c>
      <c r="D545" s="4">
        <f t="shared" si="2"/>
        <v>100</v>
      </c>
      <c r="E545" s="4">
        <f>IF(IFERROR(VLOOKUP(LEFT(C545,14),consolidado!D:D,1,0),0)&gt;0,1,0)</f>
        <v>1</v>
      </c>
    </row>
    <row r="546" ht="15.75" customHeight="1">
      <c r="B546" s="29">
        <v>44832.0</v>
      </c>
      <c r="C546" s="4" t="str">
        <f t="shared" si="1"/>
        <v>44832</v>
      </c>
      <c r="D546" s="4">
        <f t="shared" si="2"/>
        <v>5</v>
      </c>
      <c r="E546" s="4">
        <f>IF(IFERROR(VLOOKUP(LEFT(C546,14),consolidado!D:D,1,0),0)&gt;0,1,0)</f>
        <v>0</v>
      </c>
    </row>
    <row r="547" ht="15.75" customHeight="1">
      <c r="B547" s="24" t="s">
        <v>307</v>
      </c>
      <c r="C547" s="4" t="str">
        <f t="shared" si="1"/>
        <v>bookmark_border</v>
      </c>
      <c r="D547" s="4">
        <f t="shared" si="2"/>
        <v>15</v>
      </c>
      <c r="E547" s="4">
        <f>IF(IFERROR(VLOOKUP(LEFT(C547,14),consolidado!D:D,1,0),0)&gt;0,1,0)</f>
        <v>0</v>
      </c>
    </row>
    <row r="548" ht="15.75" customHeight="1">
      <c r="B548" s="24" t="s">
        <v>308</v>
      </c>
      <c r="C548" s="4" t="str">
        <f t="shared" si="1"/>
        <v>share</v>
      </c>
      <c r="D548" s="4">
        <f t="shared" si="2"/>
        <v>5</v>
      </c>
      <c r="E548" s="4">
        <f>IF(IFERROR(VLOOKUP(LEFT(C548,14),consolidado!D:D,1,0),0)&gt;0,1,0)</f>
        <v>0</v>
      </c>
    </row>
    <row r="549" ht="15.75" customHeight="1">
      <c r="B549" s="24" t="s">
        <v>309</v>
      </c>
      <c r="C549" s="4" t="str">
        <f t="shared" si="1"/>
        <v>more_vert</v>
      </c>
      <c r="D549" s="4">
        <f t="shared" si="2"/>
        <v>9</v>
      </c>
      <c r="E549" s="4">
        <f>IF(IFERROR(VLOOKUP(LEFT(C549,14),consolidado!D:D,1,0),0)&gt;0,1,0)</f>
        <v>0</v>
      </c>
    </row>
    <row r="550" ht="15.75" customHeight="1">
      <c r="B550" s="28"/>
      <c r="C550" s="4" t="str">
        <f t="shared" si="1"/>
        <v/>
      </c>
      <c r="D550" s="4">
        <f t="shared" si="2"/>
        <v>0</v>
      </c>
      <c r="E550" s="4">
        <f>IF(IFERROR(VLOOKUP(LEFT(C550,14),consolidado!D:D,1,0),0)&gt;0,1,0)</f>
        <v>1</v>
      </c>
    </row>
    <row r="551" ht="15.75" customHeight="1">
      <c r="B551" s="32"/>
      <c r="C551" s="4" t="str">
        <f t="shared" si="1"/>
        <v/>
      </c>
      <c r="D551" s="4">
        <f t="shared" si="2"/>
        <v>0</v>
      </c>
      <c r="E551" s="4">
        <f>IF(IFERROR(VLOOKUP(LEFT(C551,14),consolidado!D:D,1,0),0)&gt;0,1,0)</f>
        <v>1</v>
      </c>
    </row>
    <row r="552" ht="15.75" customHeight="1">
      <c r="B552" s="21" t="s">
        <v>183</v>
      </c>
      <c r="C552" s="4" t="str">
        <f t="shared" si="1"/>
        <v>El tenso cruce entre Karol Cariola y Pamela Jiles</v>
      </c>
      <c r="D552" s="4">
        <f t="shared" si="2"/>
        <v>49</v>
      </c>
      <c r="E552" s="4">
        <f>IF(IFERROR(VLOOKUP(LEFT(C552,14),consolidado!D:D,1,0),0)&gt;0,1,0)</f>
        <v>1</v>
      </c>
    </row>
    <row r="553" ht="15.75" customHeight="1">
      <c r="B553" s="29">
        <v>44746.0</v>
      </c>
      <c r="C553" s="4" t="str">
        <f t="shared" si="1"/>
        <v>44746</v>
      </c>
      <c r="D553" s="4">
        <f t="shared" si="2"/>
        <v>5</v>
      </c>
      <c r="E553" s="4">
        <f>IF(IFERROR(VLOOKUP(LEFT(C553,14),consolidado!D:D,1,0),0)&gt;0,1,0)</f>
        <v>0</v>
      </c>
    </row>
    <row r="554" ht="15.75" customHeight="1">
      <c r="B554" s="24" t="s">
        <v>307</v>
      </c>
      <c r="C554" s="4" t="str">
        <f t="shared" si="1"/>
        <v>bookmark_border</v>
      </c>
      <c r="D554" s="4">
        <f t="shared" si="2"/>
        <v>15</v>
      </c>
      <c r="E554" s="4">
        <f>IF(IFERROR(VLOOKUP(LEFT(C554,14),consolidado!D:D,1,0),0)&gt;0,1,0)</f>
        <v>0</v>
      </c>
    </row>
    <row r="555" ht="15.75" customHeight="1">
      <c r="B555" s="24" t="s">
        <v>308</v>
      </c>
      <c r="C555" s="4" t="str">
        <f t="shared" si="1"/>
        <v>share</v>
      </c>
      <c r="D555" s="4">
        <f t="shared" si="2"/>
        <v>5</v>
      </c>
      <c r="E555" s="4">
        <f>IF(IFERROR(VLOOKUP(LEFT(C555,14),consolidado!D:D,1,0),0)&gt;0,1,0)</f>
        <v>0</v>
      </c>
    </row>
    <row r="556" ht="15.75" customHeight="1">
      <c r="B556" s="24" t="s">
        <v>309</v>
      </c>
      <c r="C556" s="4" t="str">
        <f t="shared" si="1"/>
        <v>more_vert</v>
      </c>
      <c r="D556" s="4">
        <f t="shared" si="2"/>
        <v>9</v>
      </c>
      <c r="E556" s="4">
        <f>IF(IFERROR(VLOOKUP(LEFT(C556,14),consolidado!D:D,1,0),0)&gt;0,1,0)</f>
        <v>0</v>
      </c>
    </row>
    <row r="557" ht="15.75" customHeight="1">
      <c r="B557" s="28"/>
      <c r="C557" s="4" t="str">
        <f t="shared" si="1"/>
        <v/>
      </c>
      <c r="D557" s="4">
        <f t="shared" si="2"/>
        <v>0</v>
      </c>
      <c r="E557" s="4">
        <f>IF(IFERROR(VLOOKUP(LEFT(C557,14),consolidado!D:D,1,0),0)&gt;0,1,0)</f>
        <v>1</v>
      </c>
    </row>
    <row r="558" ht="15.75" customHeight="1">
      <c r="B558" s="19" t="s">
        <v>303</v>
      </c>
      <c r="C558" s="4" t="str">
        <f t="shared" si="1"/>
        <v>La Tercera</v>
      </c>
      <c r="D558" s="4">
        <f t="shared" si="2"/>
        <v>10</v>
      </c>
      <c r="E558" s="4">
        <f>IF(IFERROR(VLOOKUP(LEFT(C558,14),consolidado!D:D,1,0),0)&gt;0,1,0)</f>
        <v>0</v>
      </c>
    </row>
    <row r="559" ht="15.75" customHeight="1">
      <c r="B559" s="21" t="s">
        <v>185</v>
      </c>
      <c r="C559" s="4" t="str">
        <f t="shared" si="1"/>
        <v>“Como somos mujeres podemos, hemos aprendido a hacer varias cosas a la vez”: la respuesta de Tohá a diputados que reclamaron no ser escuchados en la Cámara</v>
      </c>
      <c r="D559" s="4">
        <f t="shared" si="2"/>
        <v>157</v>
      </c>
      <c r="E559" s="4">
        <f>IF(IFERROR(VLOOKUP(LEFT(C559,14),consolidado!D:D,1,0),0)&gt;0,1,0)</f>
        <v>1</v>
      </c>
    </row>
    <row r="560" ht="15.75" customHeight="1">
      <c r="B560" s="29">
        <v>44831.0</v>
      </c>
      <c r="C560" s="4" t="str">
        <f t="shared" si="1"/>
        <v>44831</v>
      </c>
      <c r="D560" s="4">
        <f t="shared" si="2"/>
        <v>5</v>
      </c>
      <c r="E560" s="4">
        <f>IF(IFERROR(VLOOKUP(LEFT(C560,14),consolidado!D:D,1,0),0)&gt;0,1,0)</f>
        <v>0</v>
      </c>
    </row>
    <row r="561" ht="15.75" customHeight="1">
      <c r="B561" s="24" t="s">
        <v>307</v>
      </c>
      <c r="C561" s="4" t="str">
        <f t="shared" si="1"/>
        <v>bookmark_border</v>
      </c>
      <c r="D561" s="4">
        <f t="shared" si="2"/>
        <v>15</v>
      </c>
      <c r="E561" s="4">
        <f>IF(IFERROR(VLOOKUP(LEFT(C561,14),consolidado!D:D,1,0),0)&gt;0,1,0)</f>
        <v>0</v>
      </c>
    </row>
    <row r="562" ht="15.75" customHeight="1">
      <c r="B562" s="24" t="s">
        <v>308</v>
      </c>
      <c r="C562" s="4" t="str">
        <f t="shared" si="1"/>
        <v>share</v>
      </c>
      <c r="D562" s="4">
        <f t="shared" si="2"/>
        <v>5</v>
      </c>
      <c r="E562" s="4">
        <f>IF(IFERROR(VLOOKUP(LEFT(C562,14),consolidado!D:D,1,0),0)&gt;0,1,0)</f>
        <v>0</v>
      </c>
    </row>
    <row r="563" ht="15.75" customHeight="1">
      <c r="B563" s="24" t="s">
        <v>309</v>
      </c>
      <c r="C563" s="4" t="str">
        <f t="shared" si="1"/>
        <v>more_vert</v>
      </c>
      <c r="D563" s="4">
        <f t="shared" si="2"/>
        <v>9</v>
      </c>
      <c r="E563" s="4">
        <f>IF(IFERROR(VLOOKUP(LEFT(C563,14),consolidado!D:D,1,0),0)&gt;0,1,0)</f>
        <v>0</v>
      </c>
    </row>
    <row r="564" ht="15.75" customHeight="1">
      <c r="B564" s="28"/>
      <c r="C564" s="4" t="str">
        <f t="shared" si="1"/>
        <v/>
      </c>
      <c r="D564" s="4">
        <f t="shared" si="2"/>
        <v>0</v>
      </c>
      <c r="E564" s="4">
        <f>IF(IFERROR(VLOOKUP(LEFT(C564,14),consolidado!D:D,1,0),0)&gt;0,1,0)</f>
        <v>1</v>
      </c>
    </row>
    <row r="565" ht="15.75" customHeight="1">
      <c r="B565" s="32"/>
      <c r="C565" s="4" t="str">
        <f t="shared" si="1"/>
        <v/>
      </c>
      <c r="D565" s="4">
        <f t="shared" si="2"/>
        <v>0</v>
      </c>
      <c r="E565" s="4">
        <f>IF(IFERROR(VLOOKUP(LEFT(C565,14),consolidado!D:D,1,0),0)&gt;0,1,0)</f>
        <v>1</v>
      </c>
    </row>
    <row r="566" ht="15.75" customHeight="1">
      <c r="B566" s="21" t="s">
        <v>187</v>
      </c>
      <c r="C566" s="4" t="str">
        <f t="shared" si="1"/>
        <v>Cámara denuncia amenazas contra diputados por continuidad del proceso constituyente</v>
      </c>
      <c r="D566" s="4">
        <f t="shared" si="2"/>
        <v>83</v>
      </c>
      <c r="E566" s="4">
        <f>IF(IFERROR(VLOOKUP(LEFT(C566,14),consolidado!D:D,1,0),0)&gt;0,1,0)</f>
        <v>1</v>
      </c>
    </row>
    <row r="567" ht="15.75" customHeight="1">
      <c r="B567" s="29">
        <v>44815.0</v>
      </c>
      <c r="C567" s="4" t="str">
        <f t="shared" si="1"/>
        <v>44815</v>
      </c>
      <c r="D567" s="4">
        <f t="shared" si="2"/>
        <v>5</v>
      </c>
      <c r="E567" s="4">
        <f>IF(IFERROR(VLOOKUP(LEFT(C567,14),consolidado!D:D,1,0),0)&gt;0,1,0)</f>
        <v>0</v>
      </c>
    </row>
    <row r="568" ht="15.75" customHeight="1">
      <c r="B568" s="24" t="s">
        <v>307</v>
      </c>
      <c r="C568" s="4" t="str">
        <f t="shared" si="1"/>
        <v>bookmark_border</v>
      </c>
      <c r="D568" s="4">
        <f t="shared" si="2"/>
        <v>15</v>
      </c>
      <c r="E568" s="4">
        <f>IF(IFERROR(VLOOKUP(LEFT(C568,14),consolidado!D:D,1,0),0)&gt;0,1,0)</f>
        <v>0</v>
      </c>
    </row>
    <row r="569" ht="15.75" customHeight="1">
      <c r="B569" s="24" t="s">
        <v>308</v>
      </c>
      <c r="C569" s="4" t="str">
        <f t="shared" si="1"/>
        <v>share</v>
      </c>
      <c r="D569" s="4">
        <f t="shared" si="2"/>
        <v>5</v>
      </c>
      <c r="E569" s="4">
        <f>IF(IFERROR(VLOOKUP(LEFT(C569,14),consolidado!D:D,1,0),0)&gt;0,1,0)</f>
        <v>0</v>
      </c>
    </row>
    <row r="570" ht="15.75" customHeight="1">
      <c r="B570" s="24" t="s">
        <v>309</v>
      </c>
      <c r="C570" s="4" t="str">
        <f t="shared" si="1"/>
        <v>more_vert</v>
      </c>
      <c r="D570" s="4">
        <f t="shared" si="2"/>
        <v>9</v>
      </c>
      <c r="E570" s="4">
        <f>IF(IFERROR(VLOOKUP(LEFT(C570,14),consolidado!D:D,1,0),0)&gt;0,1,0)</f>
        <v>0</v>
      </c>
    </row>
    <row r="571" ht="15.75" customHeight="1">
      <c r="B571" s="28"/>
      <c r="C571" s="4" t="str">
        <f t="shared" si="1"/>
        <v/>
      </c>
      <c r="D571" s="4">
        <f t="shared" si="2"/>
        <v>0</v>
      </c>
      <c r="E571" s="4">
        <f>IF(IFERROR(VLOOKUP(LEFT(C571,14),consolidado!D:D,1,0),0)&gt;0,1,0)</f>
        <v>1</v>
      </c>
    </row>
    <row r="572" ht="15.75" customHeight="1">
      <c r="B572" s="30" t="s">
        <v>303</v>
      </c>
      <c r="C572" s="4" t="str">
        <f t="shared" si="1"/>
        <v>La Tercera</v>
      </c>
      <c r="D572" s="4">
        <f t="shared" si="2"/>
        <v>10</v>
      </c>
      <c r="E572" s="4">
        <f>IF(IFERROR(VLOOKUP(LEFT(C572,14),consolidado!D:D,1,0),0)&gt;0,1,0)</f>
        <v>0</v>
      </c>
    </row>
    <row r="573" ht="15.75" customHeight="1">
      <c r="B573" s="21" t="s">
        <v>189</v>
      </c>
      <c r="C573" s="4" t="str">
        <f t="shared" si="1"/>
        <v>Los otros políticos que han vinculado a parlamentarios con el consumo de drogas</v>
      </c>
      <c r="D573" s="4">
        <f t="shared" si="2"/>
        <v>79</v>
      </c>
      <c r="E573" s="4">
        <f>IF(IFERROR(VLOOKUP(LEFT(C573,14),consolidado!D:D,1,0),0)&gt;0,1,0)</f>
        <v>1</v>
      </c>
    </row>
    <row r="574" ht="15.75" customHeight="1">
      <c r="B574" s="33">
        <v>43753.0</v>
      </c>
      <c r="C574" s="4" t="str">
        <f t="shared" si="1"/>
        <v>43753</v>
      </c>
      <c r="D574" s="4">
        <f t="shared" si="2"/>
        <v>5</v>
      </c>
      <c r="E574" s="4">
        <f>IF(IFERROR(VLOOKUP(LEFT(C574,14),consolidado!D:D,1,0),0)&gt;0,1,0)</f>
        <v>0</v>
      </c>
    </row>
    <row r="575" ht="15.75" customHeight="1">
      <c r="B575" s="24" t="s">
        <v>307</v>
      </c>
      <c r="C575" s="4" t="str">
        <f t="shared" si="1"/>
        <v>bookmark_border</v>
      </c>
      <c r="D575" s="4">
        <f t="shared" si="2"/>
        <v>15</v>
      </c>
      <c r="E575" s="4">
        <f>IF(IFERROR(VLOOKUP(LEFT(C575,14),consolidado!D:D,1,0),0)&gt;0,1,0)</f>
        <v>0</v>
      </c>
    </row>
    <row r="576" ht="15.75" customHeight="1">
      <c r="B576" s="24" t="s">
        <v>308</v>
      </c>
      <c r="C576" s="4" t="str">
        <f t="shared" si="1"/>
        <v>share</v>
      </c>
      <c r="D576" s="4">
        <f t="shared" si="2"/>
        <v>5</v>
      </c>
      <c r="E576" s="4">
        <f>IF(IFERROR(VLOOKUP(LEFT(C576,14),consolidado!D:D,1,0),0)&gt;0,1,0)</f>
        <v>0</v>
      </c>
    </row>
    <row r="577" ht="15.75" customHeight="1">
      <c r="B577" s="24" t="s">
        <v>309</v>
      </c>
      <c r="C577" s="4" t="str">
        <f t="shared" si="1"/>
        <v>more_vert</v>
      </c>
      <c r="D577" s="4">
        <f t="shared" si="2"/>
        <v>9</v>
      </c>
      <c r="E577" s="4">
        <f>IF(IFERROR(VLOOKUP(LEFT(C577,14),consolidado!D:D,1,0),0)&gt;0,1,0)</f>
        <v>0</v>
      </c>
    </row>
    <row r="578" ht="15.75" customHeight="1">
      <c r="B578" s="28"/>
      <c r="C578" s="4" t="str">
        <f t="shared" si="1"/>
        <v/>
      </c>
      <c r="D578" s="4">
        <f t="shared" si="2"/>
        <v>0</v>
      </c>
      <c r="E578" s="4">
        <f>IF(IFERROR(VLOOKUP(LEFT(C578,14),consolidado!D:D,1,0),0)&gt;0,1,0)</f>
        <v>1</v>
      </c>
    </row>
    <row r="579" ht="15.75" customHeight="1">
      <c r="B579" s="30" t="s">
        <v>323</v>
      </c>
      <c r="C579" s="4" t="str">
        <f t="shared" si="1"/>
        <v>El Líbero</v>
      </c>
      <c r="D579" s="4">
        <f t="shared" si="2"/>
        <v>9</v>
      </c>
      <c r="E579" s="4">
        <f>IF(IFERROR(VLOOKUP(LEFT(C579,14),consolidado!D:D,1,0),0)&gt;0,1,0)</f>
        <v>0</v>
      </c>
    </row>
    <row r="580" ht="15.75" customHeight="1">
      <c r="B580" s="21" t="s">
        <v>191</v>
      </c>
      <c r="C580" s="4" t="str">
        <f t="shared" si="1"/>
        <v>Moller &amp; Pérez-Cotapos presenta: Presidente de la Cámara de Diputados por dichos de Boric si gana el Rechazo: "Ninguno puede imponer su posición"</v>
      </c>
      <c r="D580" s="4">
        <f t="shared" si="2"/>
        <v>145</v>
      </c>
      <c r="E580" s="4">
        <f>IF(IFERROR(VLOOKUP(LEFT(C580,14),consolidado!D:D,1,0),0)&gt;0,1,0)</f>
        <v>1</v>
      </c>
    </row>
    <row r="581" ht="15.75" customHeight="1">
      <c r="B581" s="29">
        <v>44795.0</v>
      </c>
      <c r="C581" s="4" t="str">
        <f t="shared" si="1"/>
        <v>44795</v>
      </c>
      <c r="D581" s="4">
        <f t="shared" si="2"/>
        <v>5</v>
      </c>
      <c r="E581" s="4">
        <f>IF(IFERROR(VLOOKUP(LEFT(C581,14),consolidado!D:D,1,0),0)&gt;0,1,0)</f>
        <v>0</v>
      </c>
    </row>
    <row r="582" ht="15.75" customHeight="1">
      <c r="B582" s="24" t="s">
        <v>307</v>
      </c>
      <c r="C582" s="4" t="str">
        <f t="shared" si="1"/>
        <v>bookmark_border</v>
      </c>
      <c r="D582" s="4">
        <f t="shared" si="2"/>
        <v>15</v>
      </c>
      <c r="E582" s="4">
        <f>IF(IFERROR(VLOOKUP(LEFT(C582,14),consolidado!D:D,1,0),0)&gt;0,1,0)</f>
        <v>0</v>
      </c>
    </row>
    <row r="583" ht="15.75" customHeight="1">
      <c r="B583" s="24" t="s">
        <v>308</v>
      </c>
      <c r="C583" s="4" t="str">
        <f t="shared" si="1"/>
        <v>share</v>
      </c>
      <c r="D583" s="4">
        <f t="shared" si="2"/>
        <v>5</v>
      </c>
      <c r="E583" s="4">
        <f>IF(IFERROR(VLOOKUP(LEFT(C583,14),consolidado!D:D,1,0),0)&gt;0,1,0)</f>
        <v>0</v>
      </c>
    </row>
    <row r="584" ht="15.75" customHeight="1">
      <c r="B584" s="24" t="s">
        <v>309</v>
      </c>
      <c r="C584" s="4" t="str">
        <f t="shared" si="1"/>
        <v>more_vert</v>
      </c>
      <c r="D584" s="4">
        <f t="shared" si="2"/>
        <v>9</v>
      </c>
      <c r="E584" s="4">
        <f>IF(IFERROR(VLOOKUP(LEFT(C584,14),consolidado!D:D,1,0),0)&gt;0,1,0)</f>
        <v>0</v>
      </c>
    </row>
    <row r="585" ht="15.75" customHeight="1">
      <c r="B585" s="28"/>
      <c r="C585" s="4" t="str">
        <f t="shared" si="1"/>
        <v/>
      </c>
      <c r="D585" s="4">
        <f t="shared" si="2"/>
        <v>0</v>
      </c>
      <c r="E585" s="4">
        <f>IF(IFERROR(VLOOKUP(LEFT(C585,14),consolidado!D:D,1,0),0)&gt;0,1,0)</f>
        <v>1</v>
      </c>
    </row>
    <row r="586" ht="15.75" customHeight="1">
      <c r="B586" s="32"/>
      <c r="C586" s="4" t="str">
        <f t="shared" si="1"/>
        <v/>
      </c>
      <c r="D586" s="4">
        <f t="shared" si="2"/>
        <v>0</v>
      </c>
      <c r="E586" s="4">
        <f>IF(IFERROR(VLOOKUP(LEFT(C586,14),consolidado!D:D,1,0),0)&gt;0,1,0)</f>
        <v>1</v>
      </c>
    </row>
    <row r="587" ht="15.75" customHeight="1">
      <c r="B587" s="21" t="s">
        <v>193</v>
      </c>
      <c r="C587" s="4" t="str">
        <f t="shared" si="1"/>
        <v>A un acuerdo total habrían llegado gremio de camioneros y el Gobierno, con lo cual se pone fin al paro en todo Chile</v>
      </c>
      <c r="D587" s="4">
        <f t="shared" si="2"/>
        <v>116</v>
      </c>
      <c r="E587" s="4">
        <f>IF(IFERROR(VLOOKUP(LEFT(C587,14),consolidado!D:D,1,0),0)&gt;0,1,0)</f>
        <v>1</v>
      </c>
    </row>
    <row r="588" ht="15.75" customHeight="1">
      <c r="B588" s="23" t="s">
        <v>340</v>
      </c>
      <c r="C588" s="4" t="str">
        <f t="shared" si="1"/>
        <v>Hace 20 horas</v>
      </c>
      <c r="D588" s="4">
        <f t="shared" si="2"/>
        <v>13</v>
      </c>
      <c r="E588" s="4">
        <f>IF(IFERROR(VLOOKUP(LEFT(C588,14),consolidado!D:D,1,0),0)&gt;0,1,0)</f>
        <v>0</v>
      </c>
    </row>
    <row r="589" ht="15.75" customHeight="1">
      <c r="B589" s="24" t="s">
        <v>307</v>
      </c>
      <c r="C589" s="4" t="str">
        <f t="shared" si="1"/>
        <v>bookmark_border</v>
      </c>
      <c r="D589" s="4">
        <f t="shared" si="2"/>
        <v>15</v>
      </c>
      <c r="E589" s="4">
        <f>IF(IFERROR(VLOOKUP(LEFT(C589,14),consolidado!D:D,1,0),0)&gt;0,1,0)</f>
        <v>0</v>
      </c>
    </row>
    <row r="590" ht="15.75" customHeight="1">
      <c r="B590" s="24" t="s">
        <v>308</v>
      </c>
      <c r="C590" s="4" t="str">
        <f t="shared" si="1"/>
        <v>share</v>
      </c>
      <c r="D590" s="4">
        <f t="shared" si="2"/>
        <v>5</v>
      </c>
      <c r="E590" s="4">
        <f>IF(IFERROR(VLOOKUP(LEFT(C590,14),consolidado!D:D,1,0),0)&gt;0,1,0)</f>
        <v>0</v>
      </c>
    </row>
    <row r="591" ht="15.75" customHeight="1">
      <c r="B591" s="24" t="s">
        <v>309</v>
      </c>
      <c r="C591" s="4" t="str">
        <f t="shared" si="1"/>
        <v>more_vert</v>
      </c>
      <c r="D591" s="4">
        <f t="shared" si="2"/>
        <v>9</v>
      </c>
      <c r="E591" s="4">
        <f>IF(IFERROR(VLOOKUP(LEFT(C591,14),consolidado!D:D,1,0),0)&gt;0,1,0)</f>
        <v>0</v>
      </c>
    </row>
    <row r="592" ht="15.75" customHeight="1">
      <c r="B592" s="28"/>
      <c r="C592" s="4" t="str">
        <f t="shared" si="1"/>
        <v/>
      </c>
      <c r="D592" s="4">
        <f t="shared" si="2"/>
        <v>0</v>
      </c>
      <c r="E592" s="4">
        <f>IF(IFERROR(VLOOKUP(LEFT(C592,14),consolidado!D:D,1,0),0)&gt;0,1,0)</f>
        <v>1</v>
      </c>
    </row>
    <row r="593" ht="15.75" customHeight="1">
      <c r="B593" s="30" t="s">
        <v>341</v>
      </c>
      <c r="C593" s="4" t="str">
        <f t="shared" si="1"/>
        <v>La Discusión</v>
      </c>
      <c r="D593" s="4">
        <f t="shared" si="2"/>
        <v>12</v>
      </c>
      <c r="E593" s="4">
        <f>IF(IFERROR(VLOOKUP(LEFT(C593,14),consolidado!D:D,1,0),0)&gt;0,1,0)</f>
        <v>0</v>
      </c>
    </row>
    <row r="594" ht="15.75" customHeight="1">
      <c r="B594" s="21" t="s">
        <v>195</v>
      </c>
      <c r="C594" s="4" t="str">
        <f t="shared" si="1"/>
        <v>Bulnes: Equipo municipal se sometió a examen de detección de drogas</v>
      </c>
      <c r="D594" s="4">
        <f t="shared" si="2"/>
        <v>67</v>
      </c>
      <c r="E594" s="4">
        <f>IF(IFERROR(VLOOKUP(LEFT(C594,14),consolidado!D:D,1,0),0)&gt;0,1,0)</f>
        <v>1</v>
      </c>
    </row>
    <row r="595" ht="15.75" customHeight="1">
      <c r="B595" s="33">
        <v>44488.0</v>
      </c>
      <c r="C595" s="4" t="str">
        <f t="shared" si="1"/>
        <v>44488</v>
      </c>
      <c r="D595" s="4">
        <f t="shared" si="2"/>
        <v>5</v>
      </c>
      <c r="E595" s="4">
        <f>IF(IFERROR(VLOOKUP(LEFT(C595,14),consolidado!D:D,1,0),0)&gt;0,1,0)</f>
        <v>0</v>
      </c>
    </row>
    <row r="596" ht="15.75" customHeight="1">
      <c r="B596" s="24" t="s">
        <v>307</v>
      </c>
      <c r="C596" s="4" t="str">
        <f t="shared" si="1"/>
        <v>bookmark_border</v>
      </c>
      <c r="D596" s="4">
        <f t="shared" si="2"/>
        <v>15</v>
      </c>
      <c r="E596" s="4">
        <f>IF(IFERROR(VLOOKUP(LEFT(C596,14),consolidado!D:D,1,0),0)&gt;0,1,0)</f>
        <v>0</v>
      </c>
    </row>
    <row r="597" ht="15.75" customHeight="1">
      <c r="B597" s="24" t="s">
        <v>308</v>
      </c>
      <c r="C597" s="4" t="str">
        <f t="shared" si="1"/>
        <v>share</v>
      </c>
      <c r="D597" s="4">
        <f t="shared" si="2"/>
        <v>5</v>
      </c>
      <c r="E597" s="4">
        <f>IF(IFERROR(VLOOKUP(LEFT(C597,14),consolidado!D:D,1,0),0)&gt;0,1,0)</f>
        <v>0</v>
      </c>
    </row>
    <row r="598" ht="15.75" customHeight="1">
      <c r="B598" s="24" t="s">
        <v>309</v>
      </c>
      <c r="C598" s="4" t="str">
        <f t="shared" si="1"/>
        <v>more_vert</v>
      </c>
      <c r="D598" s="4">
        <f t="shared" si="2"/>
        <v>9</v>
      </c>
      <c r="E598" s="4">
        <f>IF(IFERROR(VLOOKUP(LEFT(C598,14),consolidado!D:D,1,0),0)&gt;0,1,0)</f>
        <v>0</v>
      </c>
    </row>
    <row r="599" ht="15.75" customHeight="1">
      <c r="B599" s="28"/>
      <c r="C599" s="4" t="str">
        <f t="shared" si="1"/>
        <v/>
      </c>
      <c r="D599" s="4">
        <f t="shared" si="2"/>
        <v>0</v>
      </c>
      <c r="E599" s="4">
        <f>IF(IFERROR(VLOOKUP(LEFT(C599,14),consolidado!D:D,1,0),0)&gt;0,1,0)</f>
        <v>1</v>
      </c>
    </row>
    <row r="600" ht="15.75" customHeight="1">
      <c r="B600" s="32"/>
      <c r="C600" s="4" t="str">
        <f t="shared" si="1"/>
        <v/>
      </c>
      <c r="D600" s="4">
        <f t="shared" si="2"/>
        <v>0</v>
      </c>
      <c r="E600" s="4">
        <f>IF(IFERROR(VLOOKUP(LEFT(C600,14),consolidado!D:D,1,0),0)&gt;0,1,0)</f>
        <v>1</v>
      </c>
    </row>
    <row r="601" ht="15.75" customHeight="1">
      <c r="B601" s="21" t="s">
        <v>198</v>
      </c>
      <c r="C601" s="4" t="str">
        <f t="shared" si="1"/>
        <v>Organización Mundial de la salud le asignó un nuevo nombre a la Viruela del Mono para evitar burlas y comentarios racistas</v>
      </c>
      <c r="D601" s="4">
        <f t="shared" si="2"/>
        <v>122</v>
      </c>
      <c r="E601" s="4">
        <f>IF(IFERROR(VLOOKUP(LEFT(C601,14),consolidado!D:D,1,0),0)&gt;0,1,0)</f>
        <v>1</v>
      </c>
    </row>
    <row r="602" ht="15.75" customHeight="1">
      <c r="B602" s="23" t="s">
        <v>342</v>
      </c>
      <c r="C602" s="4" t="str">
        <f t="shared" si="1"/>
        <v>Hace 19 horas</v>
      </c>
      <c r="D602" s="4">
        <f t="shared" si="2"/>
        <v>13</v>
      </c>
      <c r="E602" s="4">
        <f>IF(IFERROR(VLOOKUP(LEFT(C602,14),consolidado!D:D,1,0),0)&gt;0,1,0)</f>
        <v>0</v>
      </c>
    </row>
    <row r="603" ht="15.75" customHeight="1">
      <c r="B603" s="24" t="s">
        <v>307</v>
      </c>
      <c r="C603" s="4" t="str">
        <f t="shared" si="1"/>
        <v>bookmark_border</v>
      </c>
      <c r="D603" s="4">
        <f t="shared" si="2"/>
        <v>15</v>
      </c>
      <c r="E603" s="4">
        <f>IF(IFERROR(VLOOKUP(LEFT(C603,14),consolidado!D:D,1,0),0)&gt;0,1,0)</f>
        <v>0</v>
      </c>
    </row>
    <row r="604" ht="15.75" customHeight="1">
      <c r="B604" s="24" t="s">
        <v>308</v>
      </c>
      <c r="C604" s="4" t="str">
        <f t="shared" si="1"/>
        <v>share</v>
      </c>
      <c r="D604" s="4">
        <f t="shared" si="2"/>
        <v>5</v>
      </c>
      <c r="E604" s="4">
        <f>IF(IFERROR(VLOOKUP(LEFT(C604,14),consolidado!D:D,1,0),0)&gt;0,1,0)</f>
        <v>0</v>
      </c>
    </row>
    <row r="605" ht="15.75" customHeight="1">
      <c r="B605" s="24" t="s">
        <v>309</v>
      </c>
      <c r="C605" s="4" t="str">
        <f t="shared" si="1"/>
        <v>more_vert</v>
      </c>
      <c r="D605" s="4">
        <f t="shared" si="2"/>
        <v>9</v>
      </c>
      <c r="E605" s="4">
        <f>IF(IFERROR(VLOOKUP(LEFT(C605,14),consolidado!D:D,1,0),0)&gt;0,1,0)</f>
        <v>0</v>
      </c>
    </row>
    <row r="606" ht="15.75" customHeight="1">
      <c r="B606" s="28"/>
      <c r="C606" s="4" t="str">
        <f t="shared" si="1"/>
        <v/>
      </c>
      <c r="D606" s="4">
        <f t="shared" si="2"/>
        <v>0</v>
      </c>
      <c r="E606" s="4">
        <f>IF(IFERROR(VLOOKUP(LEFT(C606,14),consolidado!D:D,1,0),0)&gt;0,1,0)</f>
        <v>1</v>
      </c>
    </row>
    <row r="607" ht="15.75" customHeight="1">
      <c r="B607" s="19" t="s">
        <v>303</v>
      </c>
      <c r="C607" s="4" t="str">
        <f t="shared" si="1"/>
        <v>La Tercera</v>
      </c>
      <c r="D607" s="4">
        <f t="shared" si="2"/>
        <v>10</v>
      </c>
      <c r="E607" s="4">
        <f>IF(IFERROR(VLOOKUP(LEFT(C607,14),consolidado!D:D,1,0),0)&gt;0,1,0)</f>
        <v>0</v>
      </c>
    </row>
    <row r="608" ht="15.75" customHeight="1">
      <c r="B608" s="21" t="s">
        <v>200</v>
      </c>
      <c r="C608" s="4" t="str">
        <f t="shared" si="1"/>
        <v>Saludo a la bandera</v>
      </c>
      <c r="D608" s="4">
        <f t="shared" si="2"/>
        <v>19</v>
      </c>
      <c r="E608" s="4">
        <f>IF(IFERROR(VLOOKUP(LEFT(C608,14),consolidado!D:D,1,0),0)&gt;0,1,0)</f>
        <v>1</v>
      </c>
    </row>
    <row r="609" ht="15.75" customHeight="1">
      <c r="B609" s="23" t="s">
        <v>343</v>
      </c>
      <c r="C609" s="4" t="str">
        <f t="shared" si="1"/>
        <v>22 julOpinión</v>
      </c>
      <c r="D609" s="4">
        <f t="shared" si="2"/>
        <v>13</v>
      </c>
      <c r="E609" s="4">
        <f>IF(IFERROR(VLOOKUP(LEFT(C609,14),consolidado!D:D,1,0),0)&gt;0,1,0)</f>
        <v>0</v>
      </c>
    </row>
    <row r="610" ht="15.75" customHeight="1">
      <c r="B610" s="24" t="s">
        <v>307</v>
      </c>
      <c r="C610" s="4" t="str">
        <f t="shared" si="1"/>
        <v>bookmark_border</v>
      </c>
      <c r="D610" s="4">
        <f t="shared" si="2"/>
        <v>15</v>
      </c>
      <c r="E610" s="4">
        <f>IF(IFERROR(VLOOKUP(LEFT(C610,14),consolidado!D:D,1,0),0)&gt;0,1,0)</f>
        <v>0</v>
      </c>
    </row>
    <row r="611" ht="15.75" customHeight="1">
      <c r="B611" s="24" t="s">
        <v>308</v>
      </c>
      <c r="C611" s="4" t="str">
        <f t="shared" si="1"/>
        <v>share</v>
      </c>
      <c r="D611" s="4">
        <f t="shared" si="2"/>
        <v>5</v>
      </c>
      <c r="E611" s="4">
        <f>IF(IFERROR(VLOOKUP(LEFT(C611,14),consolidado!D:D,1,0),0)&gt;0,1,0)</f>
        <v>0</v>
      </c>
    </row>
    <row r="612" ht="15.75" customHeight="1">
      <c r="B612" s="24" t="s">
        <v>309</v>
      </c>
      <c r="C612" s="4" t="str">
        <f t="shared" si="1"/>
        <v>more_vert</v>
      </c>
      <c r="D612" s="4">
        <f t="shared" si="2"/>
        <v>9</v>
      </c>
      <c r="E612" s="4">
        <f>IF(IFERROR(VLOOKUP(LEFT(C612,14),consolidado!D:D,1,0),0)&gt;0,1,0)</f>
        <v>0</v>
      </c>
    </row>
    <row r="613" ht="15.75" customHeight="1">
      <c r="B613" s="28"/>
      <c r="C613" s="4" t="str">
        <f t="shared" si="1"/>
        <v/>
      </c>
      <c r="D613" s="4">
        <f t="shared" si="2"/>
        <v>0</v>
      </c>
      <c r="E613" s="4">
        <f>IF(IFERROR(VLOOKUP(LEFT(C613,14),consolidado!D:D,1,0),0)&gt;0,1,0)</f>
        <v>1</v>
      </c>
    </row>
    <row r="614" ht="15.75" customHeight="1">
      <c r="B614" s="32"/>
      <c r="C614" s="4" t="str">
        <f t="shared" si="1"/>
        <v/>
      </c>
      <c r="D614" s="4">
        <f t="shared" si="2"/>
        <v>0</v>
      </c>
      <c r="E614" s="4">
        <f>IF(IFERROR(VLOOKUP(LEFT(C614,14),consolidado!D:D,1,0),0)&gt;0,1,0)</f>
        <v>1</v>
      </c>
    </row>
    <row r="615" ht="15.75" customHeight="1">
      <c r="B615" s="21" t="s">
        <v>202</v>
      </c>
      <c r="C615" s="4" t="str">
        <f t="shared" si="1"/>
        <v>COVID-19: Casos confirmados disminuyen 16% en los últimos 7 días. Este domingo se reportaron 4.077 nuevos contagios y 20 fallecidos</v>
      </c>
      <c r="D615" s="4">
        <f t="shared" si="2"/>
        <v>131</v>
      </c>
      <c r="E615" s="4">
        <f>IF(IFERROR(VLOOKUP(LEFT(C615,14),consolidado!D:D,1,0),0)&gt;0,1,0)</f>
        <v>1</v>
      </c>
    </row>
    <row r="616" ht="15.75" customHeight="1">
      <c r="B616" s="23" t="s">
        <v>344</v>
      </c>
      <c r="C616" s="4" t="str">
        <f t="shared" si="1"/>
        <v>Ayer</v>
      </c>
      <c r="D616" s="4">
        <f t="shared" si="2"/>
        <v>4</v>
      </c>
      <c r="E616" s="4">
        <f>IF(IFERROR(VLOOKUP(LEFT(C616,14),consolidado!D:D,1,0),0)&gt;0,1,0)</f>
        <v>0</v>
      </c>
    </row>
    <row r="617" ht="15.75" customHeight="1">
      <c r="B617" s="24" t="s">
        <v>307</v>
      </c>
      <c r="C617" s="4" t="str">
        <f t="shared" si="1"/>
        <v>bookmark_border</v>
      </c>
      <c r="D617" s="4">
        <f t="shared" si="2"/>
        <v>15</v>
      </c>
      <c r="E617" s="4">
        <f>IF(IFERROR(VLOOKUP(LEFT(C617,14),consolidado!D:D,1,0),0)&gt;0,1,0)</f>
        <v>0</v>
      </c>
    </row>
    <row r="618" ht="15.75" customHeight="1">
      <c r="B618" s="24" t="s">
        <v>308</v>
      </c>
      <c r="C618" s="4" t="str">
        <f t="shared" si="1"/>
        <v>share</v>
      </c>
      <c r="D618" s="4">
        <f t="shared" si="2"/>
        <v>5</v>
      </c>
      <c r="E618" s="4">
        <f>IF(IFERROR(VLOOKUP(LEFT(C618,14),consolidado!D:D,1,0),0)&gt;0,1,0)</f>
        <v>0</v>
      </c>
    </row>
    <row r="619" ht="15.75" customHeight="1">
      <c r="B619" s="24" t="s">
        <v>309</v>
      </c>
      <c r="C619" s="4" t="str">
        <f t="shared" si="1"/>
        <v>more_vert</v>
      </c>
      <c r="D619" s="4">
        <f t="shared" si="2"/>
        <v>9</v>
      </c>
      <c r="E619" s="4">
        <f>IF(IFERROR(VLOOKUP(LEFT(C619,14),consolidado!D:D,1,0),0)&gt;0,1,0)</f>
        <v>0</v>
      </c>
    </row>
    <row r="620" ht="15.75" customHeight="1">
      <c r="B620" s="28"/>
      <c r="C620" s="4" t="str">
        <f t="shared" si="1"/>
        <v/>
      </c>
      <c r="D620" s="4">
        <f t="shared" si="2"/>
        <v>0</v>
      </c>
      <c r="E620" s="4">
        <f>IF(IFERROR(VLOOKUP(LEFT(C620,14),consolidado!D:D,1,0),0)&gt;0,1,0)</f>
        <v>1</v>
      </c>
    </row>
    <row r="621" ht="15.75" customHeight="1">
      <c r="B621" s="32"/>
      <c r="C621" s="4" t="str">
        <f t="shared" si="1"/>
        <v/>
      </c>
      <c r="D621" s="4">
        <f t="shared" si="2"/>
        <v>0</v>
      </c>
      <c r="E621" s="4">
        <f>IF(IFERROR(VLOOKUP(LEFT(C621,14),consolidado!D:D,1,0),0)&gt;0,1,0)</f>
        <v>1</v>
      </c>
    </row>
    <row r="622" ht="15.75" customHeight="1">
      <c r="B622" s="21" t="s">
        <v>204</v>
      </c>
      <c r="C622" s="4" t="str">
        <f t="shared" si="1"/>
        <v>Diputada Camila Flores, reconoce que se sorprendió gratamente con el apoyo de Irina Karamanos, tras sufrir “violencia ginecológica en el parto”, que la tuvo hospitalizada por semanas</v>
      </c>
      <c r="D622" s="4">
        <f t="shared" si="2"/>
        <v>184</v>
      </c>
      <c r="E622" s="4">
        <f>IF(IFERROR(VLOOKUP(LEFT(C622,14),consolidado!D:D,1,0),0)&gt;0,1,0)</f>
        <v>1</v>
      </c>
    </row>
    <row r="623" ht="15.75" customHeight="1">
      <c r="B623" s="23" t="s">
        <v>344</v>
      </c>
      <c r="C623" s="4" t="str">
        <f t="shared" si="1"/>
        <v>Ayer</v>
      </c>
      <c r="D623" s="4">
        <f t="shared" si="2"/>
        <v>4</v>
      </c>
      <c r="E623" s="4">
        <f>IF(IFERROR(VLOOKUP(LEFT(C623,14),consolidado!D:D,1,0),0)&gt;0,1,0)</f>
        <v>0</v>
      </c>
    </row>
    <row r="624" ht="15.75" customHeight="1">
      <c r="B624" s="24" t="s">
        <v>307</v>
      </c>
      <c r="C624" s="4" t="str">
        <f t="shared" si="1"/>
        <v>bookmark_border</v>
      </c>
      <c r="D624" s="4">
        <f t="shared" si="2"/>
        <v>15</v>
      </c>
      <c r="E624" s="4">
        <f>IF(IFERROR(VLOOKUP(LEFT(C624,14),consolidado!D:D,1,0),0)&gt;0,1,0)</f>
        <v>0</v>
      </c>
    </row>
    <row r="625" ht="15.75" customHeight="1">
      <c r="B625" s="24" t="s">
        <v>308</v>
      </c>
      <c r="C625" s="4" t="str">
        <f t="shared" si="1"/>
        <v>share</v>
      </c>
      <c r="D625" s="4">
        <f t="shared" si="2"/>
        <v>5</v>
      </c>
      <c r="E625" s="4">
        <f>IF(IFERROR(VLOOKUP(LEFT(C625,14),consolidado!D:D,1,0),0)&gt;0,1,0)</f>
        <v>0</v>
      </c>
    </row>
    <row r="626" ht="15.75" customHeight="1">
      <c r="B626" s="24" t="s">
        <v>309</v>
      </c>
      <c r="C626" s="4" t="str">
        <f t="shared" si="1"/>
        <v>more_vert</v>
      </c>
      <c r="D626" s="4">
        <f t="shared" si="2"/>
        <v>9</v>
      </c>
      <c r="E626" s="4">
        <f>IF(IFERROR(VLOOKUP(LEFT(C626,14),consolidado!D:D,1,0),0)&gt;0,1,0)</f>
        <v>0</v>
      </c>
    </row>
    <row r="627" ht="15.75" customHeight="1">
      <c r="B627" s="28"/>
      <c r="C627" s="4" t="str">
        <f t="shared" si="1"/>
        <v/>
      </c>
      <c r="D627" s="4">
        <f t="shared" si="2"/>
        <v>0</v>
      </c>
      <c r="E627" s="4">
        <f>IF(IFERROR(VLOOKUP(LEFT(C627,14),consolidado!D:D,1,0),0)&gt;0,1,0)</f>
        <v>1</v>
      </c>
    </row>
    <row r="628" ht="15.75" customHeight="1">
      <c r="B628" s="32"/>
      <c r="C628" s="4" t="str">
        <f t="shared" si="1"/>
        <v/>
      </c>
      <c r="D628" s="4">
        <f t="shared" si="2"/>
        <v>0</v>
      </c>
      <c r="E628" s="4">
        <f>IF(IFERROR(VLOOKUP(LEFT(C628,14),consolidado!D:D,1,0),0)&gt;0,1,0)</f>
        <v>1</v>
      </c>
    </row>
    <row r="629" ht="15.75" customHeight="1">
      <c r="B629" s="21" t="s">
        <v>206</v>
      </c>
      <c r="C629" s="4" t="str">
        <f t="shared" si="1"/>
        <v>Diputado Francisco Pulgar y test de drogas: “Es un gran paso en materia de transparencia”</v>
      </c>
      <c r="D629" s="4">
        <f t="shared" si="2"/>
        <v>91</v>
      </c>
      <c r="E629" s="4">
        <f>IF(IFERROR(VLOOKUP(LEFT(C629,14),consolidado!D:D,1,0),0)&gt;0,1,0)</f>
        <v>1</v>
      </c>
    </row>
    <row r="630" ht="15.75" customHeight="1">
      <c r="B630" s="29">
        <v>44832.0</v>
      </c>
      <c r="C630" s="4" t="str">
        <f t="shared" si="1"/>
        <v>44832</v>
      </c>
      <c r="D630" s="4">
        <f t="shared" si="2"/>
        <v>5</v>
      </c>
      <c r="E630" s="4">
        <f>IF(IFERROR(VLOOKUP(LEFT(C630,14),consolidado!D:D,1,0),0)&gt;0,1,0)</f>
        <v>0</v>
      </c>
    </row>
    <row r="631" ht="15.75" customHeight="1">
      <c r="B631" s="24" t="s">
        <v>307</v>
      </c>
      <c r="C631" s="4" t="str">
        <f t="shared" si="1"/>
        <v>bookmark_border</v>
      </c>
      <c r="D631" s="4">
        <f t="shared" si="2"/>
        <v>15</v>
      </c>
      <c r="E631" s="4">
        <f>IF(IFERROR(VLOOKUP(LEFT(C631,14),consolidado!D:D,1,0),0)&gt;0,1,0)</f>
        <v>0</v>
      </c>
    </row>
    <row r="632" ht="15.75" customHeight="1">
      <c r="B632" s="24" t="s">
        <v>308</v>
      </c>
      <c r="C632" s="4" t="str">
        <f t="shared" si="1"/>
        <v>share</v>
      </c>
      <c r="D632" s="4">
        <f t="shared" si="2"/>
        <v>5</v>
      </c>
      <c r="E632" s="4">
        <f>IF(IFERROR(VLOOKUP(LEFT(C632,14),consolidado!D:D,1,0),0)&gt;0,1,0)</f>
        <v>0</v>
      </c>
    </row>
    <row r="633" ht="15.75" customHeight="1">
      <c r="B633" s="24" t="s">
        <v>309</v>
      </c>
      <c r="C633" s="4" t="str">
        <f t="shared" si="1"/>
        <v>more_vert</v>
      </c>
      <c r="D633" s="4">
        <f t="shared" si="2"/>
        <v>9</v>
      </c>
      <c r="E633" s="4">
        <f>IF(IFERROR(VLOOKUP(LEFT(C633,14),consolidado!D:D,1,0),0)&gt;0,1,0)</f>
        <v>0</v>
      </c>
    </row>
    <row r="634" ht="15.75" customHeight="1">
      <c r="B634" s="28"/>
      <c r="C634" s="4" t="str">
        <f t="shared" si="1"/>
        <v/>
      </c>
      <c r="D634" s="4">
        <f t="shared" si="2"/>
        <v>0</v>
      </c>
      <c r="E634" s="4">
        <f>IF(IFERROR(VLOOKUP(LEFT(C634,14),consolidado!D:D,1,0),0)&gt;0,1,0)</f>
        <v>1</v>
      </c>
    </row>
    <row r="635" ht="15.75" customHeight="1">
      <c r="B635" s="32"/>
      <c r="C635" s="4" t="str">
        <f t="shared" si="1"/>
        <v/>
      </c>
      <c r="D635" s="4">
        <f t="shared" si="2"/>
        <v>0</v>
      </c>
      <c r="E635" s="4">
        <f>IF(IFERROR(VLOOKUP(LEFT(C635,14),consolidado!D:D,1,0),0)&gt;0,1,0)</f>
        <v>1</v>
      </c>
    </row>
    <row r="636" ht="15.75" customHeight="1">
      <c r="B636" s="21" t="s">
        <v>208</v>
      </c>
      <c r="C636" s="4" t="str">
        <f t="shared" si="1"/>
        <v>Nelson Ávila, agricultor y escritor: “Fui tildado como el niño símbolo de la cannabis, pero las veces que consumí fueron muy esporádicas”</v>
      </c>
      <c r="D636" s="4">
        <f t="shared" si="2"/>
        <v>139</v>
      </c>
      <c r="E636" s="4">
        <f>IF(IFERROR(VLOOKUP(LEFT(C636,14),consolidado!D:D,1,0),0)&gt;0,1,0)</f>
        <v>1</v>
      </c>
    </row>
    <row r="637" ht="15.75" customHeight="1">
      <c r="B637" s="29">
        <v>44835.0</v>
      </c>
      <c r="C637" s="4" t="str">
        <f t="shared" si="1"/>
        <v>44835</v>
      </c>
      <c r="D637" s="4">
        <f t="shared" si="2"/>
        <v>5</v>
      </c>
      <c r="E637" s="4">
        <f>IF(IFERROR(VLOOKUP(LEFT(C637,14),consolidado!D:D,1,0),0)&gt;0,1,0)</f>
        <v>0</v>
      </c>
    </row>
    <row r="638" ht="15.75" customHeight="1">
      <c r="B638" s="24" t="s">
        <v>307</v>
      </c>
      <c r="C638" s="4" t="str">
        <f t="shared" si="1"/>
        <v>bookmark_border</v>
      </c>
      <c r="D638" s="4">
        <f t="shared" si="2"/>
        <v>15</v>
      </c>
      <c r="E638" s="4">
        <f>IF(IFERROR(VLOOKUP(LEFT(C638,14),consolidado!D:D,1,0),0)&gt;0,1,0)</f>
        <v>0</v>
      </c>
    </row>
    <row r="639" ht="15.75" customHeight="1">
      <c r="B639" s="24" t="s">
        <v>308</v>
      </c>
      <c r="C639" s="4" t="str">
        <f t="shared" si="1"/>
        <v>share</v>
      </c>
      <c r="D639" s="4">
        <f t="shared" si="2"/>
        <v>5</v>
      </c>
      <c r="E639" s="4">
        <f>IF(IFERROR(VLOOKUP(LEFT(C639,14),consolidado!D:D,1,0),0)&gt;0,1,0)</f>
        <v>0</v>
      </c>
    </row>
    <row r="640" ht="15.75" customHeight="1">
      <c r="B640" s="24" t="s">
        <v>309</v>
      </c>
      <c r="C640" s="4" t="str">
        <f t="shared" si="1"/>
        <v>more_vert</v>
      </c>
      <c r="D640" s="4">
        <f t="shared" si="2"/>
        <v>9</v>
      </c>
      <c r="E640" s="4">
        <f>IF(IFERROR(VLOOKUP(LEFT(C640,14),consolidado!D:D,1,0),0)&gt;0,1,0)</f>
        <v>0</v>
      </c>
    </row>
    <row r="641" ht="15.75" customHeight="1">
      <c r="B641" s="28"/>
      <c r="C641" s="4" t="str">
        <f t="shared" si="1"/>
        <v/>
      </c>
      <c r="D641" s="4">
        <f t="shared" si="2"/>
        <v>0</v>
      </c>
      <c r="E641" s="4">
        <f>IF(IFERROR(VLOOKUP(LEFT(C641,14),consolidado!D:D,1,0),0)&gt;0,1,0)</f>
        <v>1</v>
      </c>
    </row>
    <row r="642" ht="15.75" customHeight="1">
      <c r="B642" s="30" t="s">
        <v>303</v>
      </c>
      <c r="C642" s="4" t="str">
        <f t="shared" si="1"/>
        <v>La Tercera</v>
      </c>
      <c r="D642" s="4">
        <f t="shared" si="2"/>
        <v>10</v>
      </c>
      <c r="E642" s="4">
        <f>IF(IFERROR(VLOOKUP(LEFT(C642,14),consolidado!D:D,1,0),0)&gt;0,1,0)</f>
        <v>0</v>
      </c>
    </row>
    <row r="643" ht="15.75" customHeight="1">
      <c r="B643" s="21" t="s">
        <v>211</v>
      </c>
      <c r="C643" s="4" t="str">
        <f t="shared" si="1"/>
        <v>Florcita, drogas y prejuicios: "Piensan que la gente de izquierda se mete cualquier cosa a la boca"</v>
      </c>
      <c r="D643" s="4">
        <f t="shared" si="2"/>
        <v>99</v>
      </c>
      <c r="E643" s="4">
        <f>IF(IFERROR(VLOOKUP(LEFT(C643,14),consolidado!D:D,1,0),0)&gt;0,1,0)</f>
        <v>1</v>
      </c>
    </row>
    <row r="644" ht="15.75" customHeight="1">
      <c r="B644" s="33">
        <v>43559.0</v>
      </c>
      <c r="C644" s="4" t="str">
        <f t="shared" si="1"/>
        <v>43559</v>
      </c>
      <c r="D644" s="4">
        <f t="shared" si="2"/>
        <v>5</v>
      </c>
      <c r="E644" s="4">
        <f>IF(IFERROR(VLOOKUP(LEFT(C644,14),consolidado!D:D,1,0),0)&gt;0,1,0)</f>
        <v>0</v>
      </c>
    </row>
    <row r="645" ht="15.75" customHeight="1">
      <c r="B645" s="24" t="s">
        <v>307</v>
      </c>
      <c r="C645" s="4" t="str">
        <f t="shared" si="1"/>
        <v>bookmark_border</v>
      </c>
      <c r="D645" s="4">
        <f t="shared" si="2"/>
        <v>15</v>
      </c>
      <c r="E645" s="4">
        <f>IF(IFERROR(VLOOKUP(LEFT(C645,14),consolidado!D:D,1,0),0)&gt;0,1,0)</f>
        <v>0</v>
      </c>
    </row>
    <row r="646" ht="15.75" customHeight="1">
      <c r="B646" s="24" t="s">
        <v>308</v>
      </c>
      <c r="C646" s="4" t="str">
        <f t="shared" si="1"/>
        <v>share</v>
      </c>
      <c r="D646" s="4">
        <f t="shared" si="2"/>
        <v>5</v>
      </c>
      <c r="E646" s="4">
        <f>IF(IFERROR(VLOOKUP(LEFT(C646,14),consolidado!D:D,1,0),0)&gt;0,1,0)</f>
        <v>0</v>
      </c>
    </row>
    <row r="647" ht="15.75" customHeight="1">
      <c r="B647" s="24" t="s">
        <v>309</v>
      </c>
      <c r="C647" s="4" t="str">
        <f t="shared" si="1"/>
        <v>more_vert</v>
      </c>
      <c r="D647" s="4">
        <f t="shared" si="2"/>
        <v>9</v>
      </c>
      <c r="E647" s="4">
        <f>IF(IFERROR(VLOOKUP(LEFT(C647,14),consolidado!D:D,1,0),0)&gt;0,1,0)</f>
        <v>0</v>
      </c>
    </row>
    <row r="648" ht="15.75" customHeight="1">
      <c r="B648" s="28"/>
      <c r="C648" s="4" t="str">
        <f t="shared" si="1"/>
        <v/>
      </c>
      <c r="D648" s="4">
        <f t="shared" si="2"/>
        <v>0</v>
      </c>
      <c r="E648" s="4">
        <f>IF(IFERROR(VLOOKUP(LEFT(C648,14),consolidado!D:D,1,0),0)&gt;0,1,0)</f>
        <v>1</v>
      </c>
    </row>
    <row r="649" ht="15.75" customHeight="1">
      <c r="B649" s="19" t="s">
        <v>303</v>
      </c>
      <c r="C649" s="4" t="str">
        <f t="shared" si="1"/>
        <v>La Tercera</v>
      </c>
      <c r="D649" s="4">
        <f t="shared" si="2"/>
        <v>10</v>
      </c>
      <c r="E649" s="4">
        <f>IF(IFERROR(VLOOKUP(LEFT(C649,14),consolidado!D:D,1,0),0)&gt;0,1,0)</f>
        <v>0</v>
      </c>
    </row>
    <row r="650" ht="15.75" customHeight="1">
      <c r="B650" s="21" t="s">
        <v>214</v>
      </c>
      <c r="C650" s="4" t="str">
        <f t="shared" si="1"/>
        <v>TPP11: Senado votará este miércoles el tratado a pesar de resistencia oficialista</v>
      </c>
      <c r="D650" s="4">
        <f t="shared" si="2"/>
        <v>81</v>
      </c>
      <c r="E650" s="4">
        <f>IF(IFERROR(VLOOKUP(LEFT(C650,14),consolidado!D:D,1,0),0)&gt;0,1,0)</f>
        <v>1</v>
      </c>
    </row>
    <row r="651" ht="15.75" customHeight="1">
      <c r="B651" s="29">
        <v>44830.0</v>
      </c>
      <c r="C651" s="4" t="str">
        <f t="shared" si="1"/>
        <v>44830</v>
      </c>
      <c r="D651" s="4">
        <f t="shared" si="2"/>
        <v>5</v>
      </c>
      <c r="E651" s="4">
        <f>IF(IFERROR(VLOOKUP(LEFT(C651,14),consolidado!D:D,1,0),0)&gt;0,1,0)</f>
        <v>0</v>
      </c>
    </row>
    <row r="652" ht="15.75" customHeight="1">
      <c r="B652" s="24" t="s">
        <v>307</v>
      </c>
      <c r="C652" s="4" t="str">
        <f t="shared" si="1"/>
        <v>bookmark_border</v>
      </c>
      <c r="D652" s="4">
        <f t="shared" si="2"/>
        <v>15</v>
      </c>
      <c r="E652" s="4">
        <f>IF(IFERROR(VLOOKUP(LEFT(C652,14),consolidado!D:D,1,0),0)&gt;0,1,0)</f>
        <v>0</v>
      </c>
    </row>
    <row r="653" ht="15.75" customHeight="1">
      <c r="B653" s="24" t="s">
        <v>308</v>
      </c>
      <c r="C653" s="4" t="str">
        <f t="shared" si="1"/>
        <v>share</v>
      </c>
      <c r="D653" s="4">
        <f t="shared" si="2"/>
        <v>5</v>
      </c>
      <c r="E653" s="4">
        <f>IF(IFERROR(VLOOKUP(LEFT(C653,14),consolidado!D:D,1,0),0)&gt;0,1,0)</f>
        <v>0</v>
      </c>
    </row>
    <row r="654" ht="15.75" customHeight="1">
      <c r="B654" s="24" t="s">
        <v>309</v>
      </c>
      <c r="C654" s="4" t="str">
        <f t="shared" si="1"/>
        <v>more_vert</v>
      </c>
      <c r="D654" s="4">
        <f t="shared" si="2"/>
        <v>9</v>
      </c>
      <c r="E654" s="4">
        <f>IF(IFERROR(VLOOKUP(LEFT(C654,14),consolidado!D:D,1,0),0)&gt;0,1,0)</f>
        <v>0</v>
      </c>
    </row>
    <row r="655" ht="15.75" customHeight="1">
      <c r="B655" s="28"/>
      <c r="C655" s="4" t="str">
        <f t="shared" si="1"/>
        <v/>
      </c>
      <c r="D655" s="4">
        <f t="shared" si="2"/>
        <v>0</v>
      </c>
      <c r="E655" s="4">
        <f>IF(IFERROR(VLOOKUP(LEFT(C655,14),consolidado!D:D,1,0),0)&gt;0,1,0)</f>
        <v>1</v>
      </c>
    </row>
    <row r="656" ht="15.75" customHeight="1">
      <c r="B656" s="30" t="s">
        <v>316</v>
      </c>
      <c r="C656" s="4" t="str">
        <f t="shared" si="1"/>
        <v>El Mostrador</v>
      </c>
      <c r="D656" s="4">
        <f t="shared" si="2"/>
        <v>12</v>
      </c>
      <c r="E656" s="4">
        <f>IF(IFERROR(VLOOKUP(LEFT(C656,14),consolidado!D:D,1,0),0)&gt;0,1,0)</f>
        <v>0</v>
      </c>
    </row>
    <row r="657" ht="15.75" customHeight="1">
      <c r="B657" s="21" t="s">
        <v>216</v>
      </c>
      <c r="C657" s="4" t="str">
        <f t="shared" si="1"/>
        <v>Wladimir Pizarro Baltras, el operador político narco que ahora RN desconoce</v>
      </c>
      <c r="D657" s="4">
        <f t="shared" si="2"/>
        <v>75</v>
      </c>
      <c r="E657" s="4">
        <f>IF(IFERROR(VLOOKUP(LEFT(C657,14),consolidado!D:D,1,0),0)&gt;0,1,0)</f>
        <v>1</v>
      </c>
    </row>
    <row r="658" ht="15.75" customHeight="1">
      <c r="B658" s="29">
        <v>44825.0</v>
      </c>
      <c r="C658" s="4" t="str">
        <f t="shared" si="1"/>
        <v>44825</v>
      </c>
      <c r="D658" s="4">
        <f t="shared" si="2"/>
        <v>5</v>
      </c>
      <c r="E658" s="4">
        <f>IF(IFERROR(VLOOKUP(LEFT(C658,14),consolidado!D:D,1,0),0)&gt;0,1,0)</f>
        <v>0</v>
      </c>
    </row>
    <row r="659" ht="15.75" customHeight="1">
      <c r="B659" s="24" t="s">
        <v>307</v>
      </c>
      <c r="C659" s="4" t="str">
        <f t="shared" si="1"/>
        <v>bookmark_border</v>
      </c>
      <c r="D659" s="4">
        <f t="shared" si="2"/>
        <v>15</v>
      </c>
      <c r="E659" s="4">
        <f>IF(IFERROR(VLOOKUP(LEFT(C659,14),consolidado!D:D,1,0),0)&gt;0,1,0)</f>
        <v>0</v>
      </c>
    </row>
    <row r="660" ht="15.75" customHeight="1">
      <c r="B660" s="24" t="s">
        <v>308</v>
      </c>
      <c r="C660" s="4" t="str">
        <f t="shared" si="1"/>
        <v>share</v>
      </c>
      <c r="D660" s="4">
        <f t="shared" si="2"/>
        <v>5</v>
      </c>
      <c r="E660" s="4">
        <f>IF(IFERROR(VLOOKUP(LEFT(C660,14),consolidado!D:D,1,0),0)&gt;0,1,0)</f>
        <v>0</v>
      </c>
    </row>
    <row r="661" ht="15.75" customHeight="1">
      <c r="B661" s="24" t="s">
        <v>309</v>
      </c>
      <c r="C661" s="4" t="str">
        <f t="shared" si="1"/>
        <v>more_vert</v>
      </c>
      <c r="D661" s="4">
        <f t="shared" si="2"/>
        <v>9</v>
      </c>
      <c r="E661" s="4">
        <f>IF(IFERROR(VLOOKUP(LEFT(C661,14),consolidado!D:D,1,0),0)&gt;0,1,0)</f>
        <v>0</v>
      </c>
    </row>
    <row r="662" ht="15.75" customHeight="1">
      <c r="B662" s="28"/>
      <c r="C662" s="4" t="str">
        <f t="shared" si="1"/>
        <v/>
      </c>
      <c r="D662" s="4">
        <f t="shared" si="2"/>
        <v>0</v>
      </c>
      <c r="E662" s="4">
        <f>IF(IFERROR(VLOOKUP(LEFT(C662,14),consolidado!D:D,1,0),0)&gt;0,1,0)</f>
        <v>1</v>
      </c>
    </row>
    <row r="663" ht="15.75" customHeight="1">
      <c r="B663" s="30" t="s">
        <v>345</v>
      </c>
      <c r="C663" s="4" t="str">
        <f t="shared" si="1"/>
        <v>La Nación (Chile)</v>
      </c>
      <c r="D663" s="4">
        <f t="shared" si="2"/>
        <v>17</v>
      </c>
      <c r="E663" s="4">
        <f>IF(IFERROR(VLOOKUP(LEFT(C663,14),consolidado!D:D,1,0),0)&gt;0,1,0)</f>
        <v>0</v>
      </c>
    </row>
    <row r="664" ht="15.75" customHeight="1">
      <c r="B664" s="21" t="s">
        <v>218</v>
      </c>
      <c r="C664" s="4" t="str">
        <f t="shared" si="1"/>
        <v>Boric se molestó con la prensa por pregunta sobre fecha del test de drogas: "Basta de instalar mentiras"</v>
      </c>
      <c r="D664" s="4">
        <f t="shared" si="2"/>
        <v>104</v>
      </c>
      <c r="E664" s="4">
        <f>IF(IFERROR(VLOOKUP(LEFT(C664,14),consolidado!D:D,1,0),0)&gt;0,1,0)</f>
        <v>1</v>
      </c>
    </row>
    <row r="665" ht="15.75" customHeight="1">
      <c r="B665" s="33">
        <v>44544.0</v>
      </c>
      <c r="C665" s="4" t="str">
        <f t="shared" si="1"/>
        <v>44544</v>
      </c>
      <c r="D665" s="4">
        <f t="shared" si="2"/>
        <v>5</v>
      </c>
      <c r="E665" s="4">
        <f>IF(IFERROR(VLOOKUP(LEFT(C665,14),consolidado!D:D,1,0),0)&gt;0,1,0)</f>
        <v>0</v>
      </c>
    </row>
    <row r="666" ht="15.75" customHeight="1">
      <c r="B666" s="24" t="s">
        <v>307</v>
      </c>
      <c r="C666" s="4" t="str">
        <f t="shared" si="1"/>
        <v>bookmark_border</v>
      </c>
      <c r="D666" s="4">
        <f t="shared" si="2"/>
        <v>15</v>
      </c>
      <c r="E666" s="4">
        <f>IF(IFERROR(VLOOKUP(LEFT(C666,14),consolidado!D:D,1,0),0)&gt;0,1,0)</f>
        <v>0</v>
      </c>
    </row>
    <row r="667" ht="15.75" customHeight="1">
      <c r="B667" s="24" t="s">
        <v>308</v>
      </c>
      <c r="C667" s="4" t="str">
        <f t="shared" si="1"/>
        <v>share</v>
      </c>
      <c r="D667" s="4">
        <f t="shared" si="2"/>
        <v>5</v>
      </c>
      <c r="E667" s="4">
        <f>IF(IFERROR(VLOOKUP(LEFT(C667,14),consolidado!D:D,1,0),0)&gt;0,1,0)</f>
        <v>0</v>
      </c>
    </row>
    <row r="668" ht="15.75" customHeight="1">
      <c r="B668" s="24" t="s">
        <v>309</v>
      </c>
      <c r="C668" s="4" t="str">
        <f t="shared" si="1"/>
        <v>more_vert</v>
      </c>
      <c r="D668" s="4">
        <f t="shared" si="2"/>
        <v>9</v>
      </c>
      <c r="E668" s="4">
        <f>IF(IFERROR(VLOOKUP(LEFT(C668,14),consolidado!D:D,1,0),0)&gt;0,1,0)</f>
        <v>0</v>
      </c>
    </row>
    <row r="669" ht="15.75" customHeight="1">
      <c r="B669" s="28"/>
      <c r="C669" s="4" t="str">
        <f t="shared" si="1"/>
        <v/>
      </c>
      <c r="D669" s="4">
        <f t="shared" si="2"/>
        <v>0</v>
      </c>
      <c r="E669" s="4">
        <f>IF(IFERROR(VLOOKUP(LEFT(C669,14),consolidado!D:D,1,0),0)&gt;0,1,0)</f>
        <v>1</v>
      </c>
    </row>
    <row r="670" ht="15.75" customHeight="1">
      <c r="B670" s="32"/>
      <c r="C670" s="4" t="str">
        <f t="shared" si="1"/>
        <v/>
      </c>
      <c r="D670" s="4">
        <f t="shared" si="2"/>
        <v>0</v>
      </c>
      <c r="E670" s="4">
        <f>IF(IFERROR(VLOOKUP(LEFT(C670,14),consolidado!D:D,1,0),0)&gt;0,1,0)</f>
        <v>1</v>
      </c>
    </row>
    <row r="671" ht="15.75" customHeight="1">
      <c r="B671" s="21" t="s">
        <v>220</v>
      </c>
      <c r="C671" s="4" t="str">
        <f t="shared" si="1"/>
        <v>Ipsos: Confianza de los consumidores chilenos vuelve a bajar durante noviembre</v>
      </c>
      <c r="D671" s="4">
        <f t="shared" si="2"/>
        <v>78</v>
      </c>
      <c r="E671" s="4">
        <f>IF(IFERROR(VLOOKUP(LEFT(C671,14),consolidado!D:D,1,0),0)&gt;0,1,0)</f>
        <v>1</v>
      </c>
    </row>
    <row r="672" ht="15.75" customHeight="1">
      <c r="B672" s="23" t="s">
        <v>340</v>
      </c>
      <c r="C672" s="4" t="str">
        <f t="shared" si="1"/>
        <v>Hace 20 horas</v>
      </c>
      <c r="D672" s="4">
        <f t="shared" si="2"/>
        <v>13</v>
      </c>
      <c r="E672" s="4">
        <f>IF(IFERROR(VLOOKUP(LEFT(C672,14),consolidado!D:D,1,0),0)&gt;0,1,0)</f>
        <v>0</v>
      </c>
    </row>
    <row r="673" ht="15.75" customHeight="1">
      <c r="B673" s="24" t="s">
        <v>307</v>
      </c>
      <c r="C673" s="4" t="str">
        <f t="shared" si="1"/>
        <v>bookmark_border</v>
      </c>
      <c r="D673" s="4">
        <f t="shared" si="2"/>
        <v>15</v>
      </c>
      <c r="E673" s="4">
        <f>IF(IFERROR(VLOOKUP(LEFT(C673,14),consolidado!D:D,1,0),0)&gt;0,1,0)</f>
        <v>0</v>
      </c>
    </row>
    <row r="674" ht="15.75" customHeight="1">
      <c r="B674" s="24" t="s">
        <v>308</v>
      </c>
      <c r="C674" s="4" t="str">
        <f t="shared" si="1"/>
        <v>share</v>
      </c>
      <c r="D674" s="4">
        <f t="shared" si="2"/>
        <v>5</v>
      </c>
      <c r="E674" s="4">
        <f>IF(IFERROR(VLOOKUP(LEFT(C674,14),consolidado!D:D,1,0),0)&gt;0,1,0)</f>
        <v>0</v>
      </c>
    </row>
    <row r="675" ht="15.75" customHeight="1">
      <c r="B675" s="24" t="s">
        <v>309</v>
      </c>
      <c r="C675" s="4" t="str">
        <f t="shared" si="1"/>
        <v>more_vert</v>
      </c>
      <c r="D675" s="4">
        <f t="shared" si="2"/>
        <v>9</v>
      </c>
      <c r="E675" s="4">
        <f>IF(IFERROR(VLOOKUP(LEFT(C675,14),consolidado!D:D,1,0),0)&gt;0,1,0)</f>
        <v>0</v>
      </c>
    </row>
    <row r="676" ht="15.75" customHeight="1">
      <c r="B676" s="28"/>
      <c r="C676" s="4" t="str">
        <f t="shared" si="1"/>
        <v/>
      </c>
      <c r="D676" s="4">
        <f t="shared" si="2"/>
        <v>0</v>
      </c>
      <c r="E676" s="4">
        <f>IF(IFERROR(VLOOKUP(LEFT(C676,14),consolidado!D:D,1,0),0)&gt;0,1,0)</f>
        <v>1</v>
      </c>
    </row>
    <row r="677" ht="15.75" customHeight="1">
      <c r="B677" s="32"/>
      <c r="C677" s="4" t="str">
        <f t="shared" si="1"/>
        <v/>
      </c>
      <c r="D677" s="4">
        <f t="shared" si="2"/>
        <v>0</v>
      </c>
      <c r="E677" s="4">
        <f>IF(IFERROR(VLOOKUP(LEFT(C677,14),consolidado!D:D,1,0),0)&gt;0,1,0)</f>
        <v>1</v>
      </c>
    </row>
    <row r="678" ht="15.75" customHeight="1">
      <c r="B678" s="21" t="s">
        <v>222</v>
      </c>
      <c r="C678" s="4" t="str">
        <f t="shared" si="1"/>
        <v>Paro de camioneros: Fantasma de desabastecimiento o menores productos, sumado a posibles aumentos de precios, intimida transversalmente</v>
      </c>
      <c r="D678" s="4">
        <f t="shared" si="2"/>
        <v>135</v>
      </c>
      <c r="E678" s="4">
        <f>IF(IFERROR(VLOOKUP(LEFT(C678,14),consolidado!D:D,1,0),0)&gt;0,1,0)</f>
        <v>1</v>
      </c>
    </row>
    <row r="679" ht="15.75" customHeight="1">
      <c r="B679" s="23" t="s">
        <v>344</v>
      </c>
      <c r="C679" s="4" t="str">
        <f t="shared" si="1"/>
        <v>Ayer</v>
      </c>
      <c r="D679" s="4">
        <f t="shared" si="2"/>
        <v>4</v>
      </c>
      <c r="E679" s="4">
        <f>IF(IFERROR(VLOOKUP(LEFT(C679,14),consolidado!D:D,1,0),0)&gt;0,1,0)</f>
        <v>0</v>
      </c>
    </row>
    <row r="680" ht="15.75" customHeight="1">
      <c r="B680" s="24" t="s">
        <v>307</v>
      </c>
      <c r="C680" s="4" t="str">
        <f t="shared" si="1"/>
        <v>bookmark_border</v>
      </c>
      <c r="D680" s="4">
        <f t="shared" si="2"/>
        <v>15</v>
      </c>
      <c r="E680" s="4">
        <f>IF(IFERROR(VLOOKUP(LEFT(C680,14),consolidado!D:D,1,0),0)&gt;0,1,0)</f>
        <v>0</v>
      </c>
    </row>
    <row r="681" ht="15.75" customHeight="1">
      <c r="B681" s="24" t="s">
        <v>308</v>
      </c>
      <c r="C681" s="4" t="str">
        <f t="shared" si="1"/>
        <v>share</v>
      </c>
      <c r="D681" s="4">
        <f t="shared" si="2"/>
        <v>5</v>
      </c>
      <c r="E681" s="4">
        <f>IF(IFERROR(VLOOKUP(LEFT(C681,14),consolidado!D:D,1,0),0)&gt;0,1,0)</f>
        <v>0</v>
      </c>
    </row>
    <row r="682" ht="15.75" customHeight="1">
      <c r="B682" s="24" t="s">
        <v>309</v>
      </c>
      <c r="C682" s="4" t="str">
        <f t="shared" si="1"/>
        <v>more_vert</v>
      </c>
      <c r="D682" s="4">
        <f t="shared" si="2"/>
        <v>9</v>
      </c>
      <c r="E682" s="4">
        <f>IF(IFERROR(VLOOKUP(LEFT(C682,14),consolidado!D:D,1,0),0)&gt;0,1,0)</f>
        <v>0</v>
      </c>
    </row>
    <row r="683" ht="15.75" customHeight="1">
      <c r="B683" s="28"/>
      <c r="C683" s="4" t="str">
        <f t="shared" si="1"/>
        <v/>
      </c>
      <c r="D683" s="4">
        <f t="shared" si="2"/>
        <v>0</v>
      </c>
      <c r="E683" s="4">
        <f>IF(IFERROR(VLOOKUP(LEFT(C683,14),consolidado!D:D,1,0),0)&gt;0,1,0)</f>
        <v>1</v>
      </c>
    </row>
    <row r="684" ht="15.75" customHeight="1">
      <c r="B684" s="32"/>
      <c r="C684" s="4" t="str">
        <f t="shared" si="1"/>
        <v/>
      </c>
      <c r="D684" s="4">
        <f t="shared" si="2"/>
        <v>0</v>
      </c>
      <c r="E684" s="4">
        <f>IF(IFERROR(VLOOKUP(LEFT(C684,14),consolidado!D:D,1,0),0)&gt;0,1,0)</f>
        <v>1</v>
      </c>
    </row>
    <row r="685" ht="15.75" customHeight="1">
      <c r="B685" s="21" t="s">
        <v>224</v>
      </c>
      <c r="C685" s="4" t="str">
        <f t="shared" si="1"/>
        <v>Presidente de la Cámara realizó convocatoria para "retomar y dar continuidad a la mesa de conversación constitucional"</v>
      </c>
      <c r="D685" s="4">
        <f t="shared" si="2"/>
        <v>118</v>
      </c>
      <c r="E685" s="4">
        <f>IF(IFERROR(VLOOKUP(LEFT(C685,14),consolidado!D:D,1,0),0)&gt;0,1,0)</f>
        <v>1</v>
      </c>
    </row>
    <row r="686" ht="15.75" customHeight="1">
      <c r="B686" s="29">
        <v>44856.0</v>
      </c>
      <c r="C686" s="4" t="str">
        <f t="shared" si="1"/>
        <v>44856</v>
      </c>
      <c r="D686" s="4">
        <f t="shared" si="2"/>
        <v>5</v>
      </c>
      <c r="E686" s="4">
        <f>IF(IFERROR(VLOOKUP(LEFT(C686,14),consolidado!D:D,1,0),0)&gt;0,1,0)</f>
        <v>0</v>
      </c>
    </row>
    <row r="687" ht="15.75" customHeight="1">
      <c r="B687" s="24" t="s">
        <v>307</v>
      </c>
      <c r="C687" s="4" t="str">
        <f t="shared" si="1"/>
        <v>bookmark_border</v>
      </c>
      <c r="D687" s="4">
        <f t="shared" si="2"/>
        <v>15</v>
      </c>
      <c r="E687" s="4">
        <f>IF(IFERROR(VLOOKUP(LEFT(C687,14),consolidado!D:D,1,0),0)&gt;0,1,0)</f>
        <v>0</v>
      </c>
    </row>
    <row r="688" ht="15.75" customHeight="1">
      <c r="B688" s="24" t="s">
        <v>308</v>
      </c>
      <c r="C688" s="4" t="str">
        <f t="shared" si="1"/>
        <v>share</v>
      </c>
      <c r="D688" s="4">
        <f t="shared" si="2"/>
        <v>5</v>
      </c>
      <c r="E688" s="4">
        <f>IF(IFERROR(VLOOKUP(LEFT(C688,14),consolidado!D:D,1,0),0)&gt;0,1,0)</f>
        <v>0</v>
      </c>
    </row>
    <row r="689" ht="15.75" customHeight="1">
      <c r="B689" s="24" t="s">
        <v>309</v>
      </c>
      <c r="C689" s="4" t="str">
        <f t="shared" si="1"/>
        <v>more_vert</v>
      </c>
      <c r="D689" s="4">
        <f t="shared" si="2"/>
        <v>9</v>
      </c>
      <c r="E689" s="4">
        <f>IF(IFERROR(VLOOKUP(LEFT(C689,14),consolidado!D:D,1,0),0)&gt;0,1,0)</f>
        <v>0</v>
      </c>
    </row>
    <row r="690" ht="15.75" customHeight="1">
      <c r="B690" s="28"/>
      <c r="C690" s="4" t="str">
        <f t="shared" si="1"/>
        <v/>
      </c>
      <c r="D690" s="4">
        <f t="shared" si="2"/>
        <v>0</v>
      </c>
      <c r="E690" s="4">
        <f>IF(IFERROR(VLOOKUP(LEFT(C690,14),consolidado!D:D,1,0),0)&gt;0,1,0)</f>
        <v>1</v>
      </c>
    </row>
    <row r="691" ht="15.75" customHeight="1">
      <c r="B691" s="32"/>
      <c r="C691" s="4" t="str">
        <f t="shared" si="1"/>
        <v/>
      </c>
      <c r="D691" s="4">
        <f t="shared" si="2"/>
        <v>0</v>
      </c>
      <c r="E691" s="4">
        <f>IF(IFERROR(VLOOKUP(LEFT(C691,14),consolidado!D:D,1,0),0)&gt;0,1,0)</f>
        <v>1</v>
      </c>
    </row>
    <row r="692" ht="15.75" customHeight="1">
      <c r="B692" s="21" t="s">
        <v>226</v>
      </c>
      <c r="C692" s="4" t="str">
        <f t="shared" si="1"/>
        <v>Chile impulsa el primer Foro Anual Sobre Defensoras y Defensores de DDHH en Asuntos Ambientales</v>
      </c>
      <c r="D692" s="4">
        <f t="shared" si="2"/>
        <v>95</v>
      </c>
      <c r="E692" s="4">
        <f>IF(IFERROR(VLOOKUP(LEFT(C692,14),consolidado!D:D,1,0),0)&gt;0,1,0)</f>
        <v>1</v>
      </c>
    </row>
    <row r="693" ht="15.75" customHeight="1">
      <c r="B693" s="23" t="s">
        <v>346</v>
      </c>
      <c r="C693" s="4" t="str">
        <f t="shared" si="1"/>
        <v>Hace 2 días</v>
      </c>
      <c r="D693" s="4">
        <f t="shared" si="2"/>
        <v>11</v>
      </c>
      <c r="E693" s="4">
        <f>IF(IFERROR(VLOOKUP(LEFT(C693,14),consolidado!D:D,1,0),0)&gt;0,1,0)</f>
        <v>0</v>
      </c>
    </row>
    <row r="694" ht="15.75" customHeight="1">
      <c r="B694" s="24" t="s">
        <v>307</v>
      </c>
      <c r="C694" s="4" t="str">
        <f t="shared" si="1"/>
        <v>bookmark_border</v>
      </c>
      <c r="D694" s="4">
        <f t="shared" si="2"/>
        <v>15</v>
      </c>
      <c r="E694" s="4">
        <f>IF(IFERROR(VLOOKUP(LEFT(C694,14),consolidado!D:D,1,0),0)&gt;0,1,0)</f>
        <v>0</v>
      </c>
    </row>
    <row r="695" ht="15.75" customHeight="1">
      <c r="B695" s="24" t="s">
        <v>308</v>
      </c>
      <c r="C695" s="4" t="str">
        <f t="shared" si="1"/>
        <v>share</v>
      </c>
      <c r="D695" s="4">
        <f t="shared" si="2"/>
        <v>5</v>
      </c>
      <c r="E695" s="4">
        <f>IF(IFERROR(VLOOKUP(LEFT(C695,14),consolidado!D:D,1,0),0)&gt;0,1,0)</f>
        <v>0</v>
      </c>
    </row>
    <row r="696" ht="15.75" customHeight="1">
      <c r="B696" s="24" t="s">
        <v>309</v>
      </c>
      <c r="C696" s="4" t="str">
        <f t="shared" si="1"/>
        <v>more_vert</v>
      </c>
      <c r="D696" s="4">
        <f t="shared" si="2"/>
        <v>9</v>
      </c>
      <c r="E696" s="4">
        <f>IF(IFERROR(VLOOKUP(LEFT(C696,14),consolidado!D:D,1,0),0)&gt;0,1,0)</f>
        <v>0</v>
      </c>
    </row>
    <row r="697" ht="15.75" customHeight="1">
      <c r="B697" s="28"/>
      <c r="C697" s="4" t="str">
        <f t="shared" si="1"/>
        <v/>
      </c>
      <c r="D697" s="4">
        <f t="shared" si="2"/>
        <v>0</v>
      </c>
      <c r="E697" s="4">
        <f>IF(IFERROR(VLOOKUP(LEFT(C697,14),consolidado!D:D,1,0),0)&gt;0,1,0)</f>
        <v>1</v>
      </c>
    </row>
    <row r="698" ht="15.75" customHeight="1">
      <c r="B698" s="19" t="s">
        <v>303</v>
      </c>
      <c r="C698" s="4" t="str">
        <f t="shared" si="1"/>
        <v>La Tercera</v>
      </c>
      <c r="D698" s="4">
        <f t="shared" si="2"/>
        <v>10</v>
      </c>
      <c r="E698" s="4">
        <f>IF(IFERROR(VLOOKUP(LEFT(C698,14),consolidado!D:D,1,0),0)&gt;0,1,0)</f>
        <v>0</v>
      </c>
    </row>
    <row r="699" ht="15.75" customHeight="1">
      <c r="B699" s="21" t="s">
        <v>228</v>
      </c>
      <c r="C699" s="4" t="str">
        <f t="shared" si="1"/>
        <v>Columna de Diana Aurenque: La era de las drogas</v>
      </c>
      <c r="D699" s="4">
        <f t="shared" si="2"/>
        <v>47</v>
      </c>
      <c r="E699" s="4">
        <f>IF(IFERROR(VLOOKUP(LEFT(C699,14),consolidado!D:D,1,0),0)&gt;0,1,0)</f>
        <v>1</v>
      </c>
    </row>
    <row r="700" ht="15.75" customHeight="1">
      <c r="B700" s="23" t="s">
        <v>347</v>
      </c>
      <c r="C700" s="4" t="str">
        <f t="shared" si="1"/>
        <v>17 junOpinión</v>
      </c>
      <c r="D700" s="4">
        <f t="shared" si="2"/>
        <v>13</v>
      </c>
      <c r="E700" s="4">
        <f>IF(IFERROR(VLOOKUP(LEFT(C700,14),consolidado!D:D,1,0),0)&gt;0,1,0)</f>
        <v>0</v>
      </c>
    </row>
    <row r="701" ht="15.75" customHeight="1">
      <c r="B701" s="24" t="s">
        <v>307</v>
      </c>
      <c r="C701" s="4" t="str">
        <f t="shared" si="1"/>
        <v>bookmark_border</v>
      </c>
      <c r="D701" s="4">
        <f t="shared" si="2"/>
        <v>15</v>
      </c>
      <c r="E701" s="4">
        <f>IF(IFERROR(VLOOKUP(LEFT(C701,14),consolidado!D:D,1,0),0)&gt;0,1,0)</f>
        <v>0</v>
      </c>
    </row>
    <row r="702" ht="15.75" customHeight="1">
      <c r="B702" s="24" t="s">
        <v>308</v>
      </c>
      <c r="C702" s="4" t="str">
        <f t="shared" si="1"/>
        <v>share</v>
      </c>
      <c r="D702" s="4">
        <f t="shared" si="2"/>
        <v>5</v>
      </c>
      <c r="E702" s="4">
        <f>IF(IFERROR(VLOOKUP(LEFT(C702,14),consolidado!D:D,1,0),0)&gt;0,1,0)</f>
        <v>0</v>
      </c>
    </row>
    <row r="703" ht="15.75" customHeight="1">
      <c r="B703" s="24" t="s">
        <v>309</v>
      </c>
      <c r="C703" s="4" t="str">
        <f t="shared" si="1"/>
        <v>more_vert</v>
      </c>
      <c r="D703" s="4">
        <f t="shared" si="2"/>
        <v>9</v>
      </c>
      <c r="E703" s="4">
        <f>IF(IFERROR(VLOOKUP(LEFT(C703,14),consolidado!D:D,1,0),0)&gt;0,1,0)</f>
        <v>0</v>
      </c>
    </row>
    <row r="704" ht="15.75" customHeight="1">
      <c r="B704" s="34"/>
      <c r="E704" s="8"/>
    </row>
  </sheetData>
  <hyperlinks>
    <hyperlink r:id="rId1" ref="B2"/>
    <hyperlink r:id="rId2" ref="B3"/>
    <hyperlink r:id="rId3" ref="B8"/>
    <hyperlink r:id="rId4" ref="B14"/>
    <hyperlink r:id="rId5" ref="B17"/>
    <hyperlink r:id="rId6" ref="B18"/>
    <hyperlink r:id="rId7" ref="B24"/>
    <hyperlink r:id="rId8" ref="B25"/>
    <hyperlink r:id="rId9" ref="B32"/>
    <hyperlink r:id="rId10" ref="B39"/>
    <hyperlink r:id="rId11" ref="B45"/>
    <hyperlink r:id="rId12" ref="B46"/>
    <hyperlink r:id="rId13" ref="B52"/>
    <hyperlink r:id="rId14" ref="B53"/>
    <hyperlink r:id="rId15" ref="B59"/>
    <hyperlink r:id="rId16" ref="B60"/>
    <hyperlink r:id="rId17" ref="B67"/>
    <hyperlink r:id="rId18" ref="B73"/>
    <hyperlink r:id="rId19" ref="B74"/>
    <hyperlink r:id="rId20" ref="B80"/>
    <hyperlink r:id="rId21" ref="B81"/>
    <hyperlink r:id="rId22" ref="B88"/>
    <hyperlink r:id="rId23" ref="B94"/>
    <hyperlink r:id="rId24" ref="B95"/>
    <hyperlink r:id="rId25" ref="B101"/>
    <hyperlink r:id="rId26" ref="B102"/>
    <hyperlink r:id="rId27" ref="B109"/>
    <hyperlink r:id="rId28" ref="B115"/>
    <hyperlink r:id="rId29" ref="B116"/>
    <hyperlink r:id="rId30" ref="B122"/>
    <hyperlink r:id="rId31" ref="B123"/>
    <hyperlink r:id="rId32" ref="B130"/>
    <hyperlink r:id="rId33" ref="B137"/>
    <hyperlink r:id="rId34" ref="B144"/>
    <hyperlink r:id="rId35" ref="B150"/>
    <hyperlink r:id="rId36" ref="B151"/>
    <hyperlink r:id="rId37" ref="B157"/>
    <hyperlink r:id="rId38" ref="B158"/>
    <hyperlink r:id="rId39" ref="B165"/>
    <hyperlink r:id="rId40" ref="B171"/>
    <hyperlink r:id="rId41" ref="B172"/>
    <hyperlink r:id="rId42" ref="B179"/>
    <hyperlink r:id="rId43" ref="B186"/>
    <hyperlink r:id="rId44" ref="B193"/>
    <hyperlink r:id="rId45" ref="B200"/>
    <hyperlink r:id="rId46" ref="B207"/>
    <hyperlink r:id="rId47" ref="B214"/>
    <hyperlink r:id="rId48" ref="B221"/>
    <hyperlink r:id="rId49" ref="B228"/>
    <hyperlink r:id="rId50" ref="B235"/>
    <hyperlink r:id="rId51" ref="B242"/>
    <hyperlink r:id="rId52" ref="B249"/>
    <hyperlink r:id="rId53" ref="B256"/>
    <hyperlink r:id="rId54" ref="B263"/>
    <hyperlink r:id="rId55" ref="B270"/>
    <hyperlink r:id="rId56" ref="B276"/>
    <hyperlink r:id="rId57" ref="B277"/>
    <hyperlink r:id="rId58" ref="B284"/>
    <hyperlink r:id="rId59" ref="B291"/>
    <hyperlink r:id="rId60" ref="B298"/>
    <hyperlink r:id="rId61" ref="B304"/>
    <hyperlink r:id="rId62" ref="B311"/>
    <hyperlink r:id="rId63" ref="B318"/>
    <hyperlink r:id="rId64" ref="B325"/>
    <hyperlink r:id="rId65" ref="B332"/>
    <hyperlink r:id="rId66" ref="B339"/>
    <hyperlink r:id="rId67" ref="B345"/>
    <hyperlink r:id="rId68" ref="B352"/>
    <hyperlink r:id="rId69" ref="B359"/>
    <hyperlink r:id="rId70" ref="B366"/>
    <hyperlink r:id="rId71" ref="B373"/>
    <hyperlink r:id="rId72" ref="B380"/>
    <hyperlink r:id="rId73" ref="B386"/>
    <hyperlink r:id="rId74" ref="B387"/>
    <hyperlink r:id="rId75" ref="B394"/>
    <hyperlink r:id="rId76" ref="B401"/>
    <hyperlink r:id="rId77" ref="B408"/>
    <hyperlink r:id="rId78" ref="B415"/>
    <hyperlink r:id="rId79" ref="B422"/>
    <hyperlink r:id="rId80" ref="B429"/>
    <hyperlink r:id="rId81" ref="B436"/>
    <hyperlink r:id="rId82" ref="B443"/>
    <hyperlink r:id="rId83" ref="B450"/>
    <hyperlink r:id="rId84" ref="B457"/>
    <hyperlink r:id="rId85" ref="B464"/>
    <hyperlink r:id="rId86" ref="B471"/>
    <hyperlink r:id="rId87" ref="B478"/>
    <hyperlink r:id="rId88" ref="B485"/>
    <hyperlink r:id="rId89" ref="B492"/>
    <hyperlink r:id="rId90" ref="B496"/>
    <hyperlink r:id="rId91" ref="B503"/>
    <hyperlink r:id="rId92" ref="B510"/>
    <hyperlink r:id="rId93" ref="B517"/>
    <hyperlink r:id="rId94" ref="B524"/>
    <hyperlink r:id="rId95" ref="B531"/>
    <hyperlink r:id="rId96" ref="B538"/>
    <hyperlink r:id="rId97" ref="B545"/>
    <hyperlink r:id="rId98" ref="B552"/>
    <hyperlink r:id="rId99" ref="B558"/>
    <hyperlink r:id="rId100" ref="B559"/>
    <hyperlink r:id="rId101" ref="B566"/>
    <hyperlink r:id="rId102" ref="B573"/>
    <hyperlink r:id="rId103" ref="B580"/>
    <hyperlink r:id="rId104" ref="B587"/>
    <hyperlink r:id="rId105" ref="B594"/>
    <hyperlink r:id="rId106" ref="B601"/>
    <hyperlink r:id="rId107" ref="B607"/>
    <hyperlink r:id="rId108" ref="B608"/>
    <hyperlink r:id="rId109" ref="B615"/>
    <hyperlink r:id="rId110" ref="B622"/>
    <hyperlink r:id="rId111" ref="B629"/>
    <hyperlink r:id="rId112" ref="B636"/>
    <hyperlink r:id="rId113" ref="B643"/>
    <hyperlink r:id="rId114" ref="B649"/>
    <hyperlink r:id="rId115" ref="B650"/>
    <hyperlink r:id="rId116" ref="B657"/>
    <hyperlink r:id="rId117" ref="B664"/>
    <hyperlink r:id="rId118" ref="B671"/>
    <hyperlink r:id="rId119" ref="B678"/>
    <hyperlink r:id="rId120" ref="B685"/>
    <hyperlink r:id="rId121" ref="B692"/>
    <hyperlink r:id="rId122" ref="B698"/>
    <hyperlink r:id="rId123" ref="B699"/>
  </hyperlinks>
  <printOptions/>
  <pageMargins bottom="0.75" footer="0.0" header="0.0" left="0.7" right="0.7" top="0.75"/>
  <pageSetup orientation="portrait"/>
  <drawing r:id="rId1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87.14"/>
    <col customWidth="1" min="4" max="7" width="10.71"/>
    <col customWidth="1" min="8" max="8" width="110.71"/>
    <col customWidth="1" min="9" max="26" width="10.71"/>
  </cols>
  <sheetData>
    <row r="1">
      <c r="B1" s="18" t="s">
        <v>348</v>
      </c>
    </row>
    <row r="2">
      <c r="B2" s="19" t="s">
        <v>303</v>
      </c>
      <c r="C2" s="20" t="s">
        <v>304</v>
      </c>
      <c r="D2" s="20" t="s">
        <v>305</v>
      </c>
      <c r="H2" s="22"/>
      <c r="L2" s="35" t="s">
        <v>310</v>
      </c>
    </row>
    <row r="3">
      <c r="B3" s="21" t="s">
        <v>10</v>
      </c>
      <c r="C3" s="4" t="s">
        <v>10</v>
      </c>
      <c r="D3" s="4">
        <f t="shared" ref="D3:D219" si="1">lenb(C3)</f>
        <v>114</v>
      </c>
      <c r="E3" s="22">
        <f>IF(IFERROR(VLOOKUP(LEFT(C3,14),consolidado!D:D,1,0),0)&gt;0,1,0)</f>
        <v>1</v>
      </c>
      <c r="F3" s="4" t="str">
        <f>VLOOKUP(LEFT(C3,14),consolidado!D:D,1,0)</f>
        <v>Test de drogas</v>
      </c>
      <c r="H3" s="22" t="str">
        <f>IFERROR(__xludf.DUMMYFUNCTION("query(C:E,"" select C where D &gt;18 AND NOT C matches 'BioBioChileHace 14 días|Ver cobertura completa|Noticias Universidad Andrés Bello|Partido Republicano' "")")," vinculos")</f>
        <v> vinculos</v>
      </c>
      <c r="L3" s="4" t="s">
        <v>311</v>
      </c>
    </row>
    <row r="4">
      <c r="B4" s="23" t="s">
        <v>306</v>
      </c>
      <c r="C4" s="4" t="s">
        <v>306</v>
      </c>
      <c r="D4" s="4">
        <f t="shared" si="1"/>
        <v>12</v>
      </c>
      <c r="E4" s="22">
        <f>IF(IFERROR(VLOOKUP(LEFT(C4,14),consolidado!D:D,1,0),0)&gt;0,1,0)</f>
        <v>0</v>
      </c>
      <c r="F4" s="4" t="str">
        <f>VLOOKUP(LEFT(C4,14),consolidado!D:D,1,0)</f>
        <v>#N/A</v>
      </c>
      <c r="H4" s="4" t="str">
        <f>IFERROR(__xludf.DUMMYFUNCTION("""COMPUTED_VALUE"""),"Test de drogas: segundo grupo de diputados no arroja positivos y dos parlamentarias no se presentaron a la muestra")</f>
        <v>Test de drogas: segundo grupo de diputados no arroja positivos y dos parlamentarias no se presentaron a la muestra</v>
      </c>
      <c r="I4" s="4">
        <f t="shared" ref="I4:I56" si="2">IFERROR(VLOOKUP(H4,C:E,3,0),"")</f>
        <v>1</v>
      </c>
      <c r="L4" s="4" t="s">
        <v>335</v>
      </c>
    </row>
    <row r="5">
      <c r="B5" s="24" t="s">
        <v>307</v>
      </c>
      <c r="C5" s="4" t="s">
        <v>307</v>
      </c>
      <c r="D5" s="4">
        <f t="shared" si="1"/>
        <v>15</v>
      </c>
      <c r="E5" s="22">
        <f>IF(IFERROR(VLOOKUP(LEFT(C5,14),consolidado!D:D,1,0),0)&gt;0,1,0)</f>
        <v>0</v>
      </c>
      <c r="F5" s="4" t="str">
        <f>VLOOKUP(LEFT(C5,14),consolidado!D:D,1,0)</f>
        <v>#N/A</v>
      </c>
      <c r="H5" s="4" t="str">
        <f>IFERROR(__xludf.DUMMYFUNCTION("""COMPUTED_VALUE"""),"Diputados chilenos dan negativo a segundo test de drogas")</f>
        <v>Diputados chilenos dan negativo a segundo test de drogas</v>
      </c>
      <c r="I5" s="4">
        <f t="shared" si="2"/>
        <v>1</v>
      </c>
    </row>
    <row r="6">
      <c r="B6" s="24" t="s">
        <v>308</v>
      </c>
      <c r="C6" s="4" t="s">
        <v>308</v>
      </c>
      <c r="D6" s="4">
        <f t="shared" si="1"/>
        <v>5</v>
      </c>
      <c r="E6" s="22">
        <f>IF(IFERROR(VLOOKUP(LEFT(C6,14),consolidado!D:D,1,0),0)&gt;0,1,0)</f>
        <v>0</v>
      </c>
      <c r="F6" s="4" t="str">
        <f>VLOOKUP(LEFT(C6,14),consolidado!D:D,1,0)</f>
        <v>#N/A</v>
      </c>
      <c r="H6" s="4" t="str">
        <f>IFERROR(__xludf.DUMMYFUNCTION("""COMPUTED_VALUE"""),"SWI swissinfo.ch en españolHace 14 días")</f>
        <v>SWI swissinfo.ch en españolHace 14 días</v>
      </c>
      <c r="I6" s="4">
        <f t="shared" si="2"/>
        <v>1</v>
      </c>
    </row>
    <row r="7">
      <c r="B7" s="24" t="s">
        <v>309</v>
      </c>
      <c r="C7" s="4" t="s">
        <v>309</v>
      </c>
      <c r="D7" s="4">
        <f t="shared" si="1"/>
        <v>9</v>
      </c>
      <c r="E7" s="22">
        <f>IF(IFERROR(VLOOKUP(LEFT(C7,14),consolidado!D:D,1,0),0)&gt;0,1,0)</f>
        <v>0</v>
      </c>
      <c r="F7" s="4" t="str">
        <f>VLOOKUP(LEFT(C7,14),consolidado!D:D,1,0)</f>
        <v>#N/A</v>
      </c>
      <c r="H7" s="4" t="str">
        <f>IFERROR(__xludf.DUMMYFUNCTION("""COMPUTED_VALUE"""),"Test de drogas: ningún diputado arrojó resultado positivo y tres no se hicieron la prueba")</f>
        <v>Test de drogas: ningún diputado arrojó resultado positivo y tres no se hicieron la prueba</v>
      </c>
      <c r="I7" s="4">
        <f t="shared" si="2"/>
        <v>1</v>
      </c>
    </row>
    <row r="8">
      <c r="B8" s="21" t="s">
        <v>232</v>
      </c>
      <c r="C8" s="4" t="s">
        <v>232</v>
      </c>
      <c r="D8" s="4">
        <f t="shared" si="1"/>
        <v>56</v>
      </c>
      <c r="E8" s="22">
        <f>IF(IFERROR(VLOOKUP(LEFT(C8,14),consolidado!D:D,1,0),0)&gt;0,1,0)</f>
        <v>1</v>
      </c>
      <c r="F8" s="4" t="str">
        <f>VLOOKUP(LEFT(C8,14),consolidado!D:D,1,0)</f>
        <v>Diputados chil</v>
      </c>
      <c r="H8" s="4" t="str">
        <f>IFERROR(__xludf.DUMMYFUNCTION("""COMPUTED_VALUE"""),"Ningún diputado dio positivo a polémico test de drogas: tres se negaron a practicarse el examen")</f>
        <v>Ningún diputado dio positivo a polémico test de drogas: tres se negaron a practicarse el examen</v>
      </c>
      <c r="I8" s="4">
        <f t="shared" si="2"/>
        <v>1</v>
      </c>
    </row>
    <row r="9">
      <c r="B9" s="23" t="s">
        <v>241</v>
      </c>
      <c r="C9" s="4" t="s">
        <v>241</v>
      </c>
      <c r="D9" s="4">
        <f t="shared" si="1"/>
        <v>39</v>
      </c>
      <c r="E9" s="22">
        <f>IF(IFERROR(VLOOKUP(LEFT(C9,14),consolidado!D:D,1,0),0)&gt;0,1,0)</f>
        <v>1</v>
      </c>
      <c r="F9" s="4" t="str">
        <f>VLOOKUP(LEFT(C9,14),consolidado!D:D,1,0)</f>
        <v>SWI swissinfo.</v>
      </c>
      <c r="H9" s="4" t="str">
        <f>IFERROR(__xludf.DUMMYFUNCTION("""COMPUTED_VALUE"""),"Test de drogas en el Congreso de Chile: los parlamentarios se someten a análisis del pelo para detectar consumo")</f>
        <v>Test de drogas en el Congreso de Chile: los parlamentarios se someten a análisis del pelo para detectar consumo</v>
      </c>
      <c r="I9" s="4">
        <f t="shared" si="2"/>
        <v>1</v>
      </c>
    </row>
    <row r="10">
      <c r="B10" s="24" t="s">
        <v>307</v>
      </c>
      <c r="C10" s="4" t="s">
        <v>307</v>
      </c>
      <c r="D10" s="4">
        <f t="shared" si="1"/>
        <v>15</v>
      </c>
      <c r="E10" s="22">
        <f>IF(IFERROR(VLOOKUP(LEFT(C10,14),consolidado!D:D,1,0),0)&gt;0,1,0)</f>
        <v>0</v>
      </c>
      <c r="F10" s="4" t="str">
        <f>VLOOKUP(LEFT(C10,14),consolidado!D:D,1,0)</f>
        <v>#N/A</v>
      </c>
      <c r="H10" s="4" t="str">
        <f>IFERROR(__xludf.DUMMYFUNCTION("""COMPUTED_VALUE"""),"Comenzó aplicación de test de drogas a parlamentarios: resultados demorarán entre 10 a 15 días")</f>
        <v>Comenzó aplicación de test de drogas a parlamentarios: resultados demorarán entre 10 a 15 días</v>
      </c>
      <c r="I10" s="4">
        <f t="shared" si="2"/>
        <v>1</v>
      </c>
      <c r="L10" s="35" t="str">
        <f>JOIN("|", L2:L6)</f>
        <v>BioBioChileHace 14 días|Ver cobertura completa|Noticias Universidad Andrés Bello||</v>
      </c>
    </row>
    <row r="11">
      <c r="B11" s="24" t="s">
        <v>308</v>
      </c>
      <c r="C11" s="4" t="s">
        <v>308</v>
      </c>
      <c r="D11" s="4">
        <f t="shared" si="1"/>
        <v>5</v>
      </c>
      <c r="E11" s="22">
        <f>IF(IFERROR(VLOOKUP(LEFT(C11,14),consolidado!D:D,1,0),0)&gt;0,1,0)</f>
        <v>0</v>
      </c>
      <c r="F11" s="4" t="str">
        <f>VLOOKUP(LEFT(C11,14),consolidado!D:D,1,0)</f>
        <v>#N/A</v>
      </c>
      <c r="H11" s="4" t="str">
        <f>IFERROR(__xludf.DUMMYFUNCTION("""COMPUTED_VALUE"""),"Suspenso en la Cámara: resultados de primeros test de drogas a diputados se conocerán el próximo lunes")</f>
        <v>Suspenso en la Cámara: resultados de primeros test de drogas a diputados se conocerán el próximo lunes</v>
      </c>
      <c r="I11" s="4">
        <f t="shared" si="2"/>
        <v>1</v>
      </c>
      <c r="L11" s="9"/>
    </row>
    <row r="12">
      <c r="B12" s="24" t="s">
        <v>309</v>
      </c>
      <c r="C12" s="4" t="s">
        <v>309</v>
      </c>
      <c r="D12" s="4">
        <f t="shared" si="1"/>
        <v>9</v>
      </c>
      <c r="E12" s="22">
        <f>IF(IFERROR(VLOOKUP(LEFT(C12,14),consolidado!D:D,1,0),0)&gt;0,1,0)</f>
        <v>0</v>
      </c>
      <c r="F12" s="4" t="str">
        <f>VLOOKUP(LEFT(C12,14),consolidado!D:D,1,0)</f>
        <v>#N/A</v>
      </c>
      <c r="H12" s="4" t="str">
        <f>IFERROR(__xludf.DUMMYFUNCTION("""COMPUTED_VALUE"""),"Resultados serán públicos: Cámara aprueba aplicar test de droga aleatorios a diputados")</f>
        <v>Resultados serán públicos: Cámara aprueba aplicar test de droga aleatorios a diputados</v>
      </c>
      <c r="I12" s="4">
        <f t="shared" si="2"/>
        <v>1</v>
      </c>
    </row>
    <row r="13">
      <c r="B13" s="25"/>
      <c r="C13" s="4" t="s">
        <v>349</v>
      </c>
      <c r="D13" s="4">
        <f t="shared" si="1"/>
        <v>0</v>
      </c>
      <c r="E13" s="22">
        <f>IF(IFERROR(VLOOKUP(LEFT(C13,14),consolidado!D:D,1,0),0)&gt;0,1,0)</f>
        <v>1</v>
      </c>
      <c r="F13" s="4" t="str">
        <f>VLOOKUP(LEFT(C13,14),consolidado!D:D,1,0)</f>
        <v/>
      </c>
      <c r="H13" s="4" t="str">
        <f>IFERROR(__xludf.DUMMYFUNCTION("""COMPUTED_VALUE"""),"Test de drogas: diputados oficialistas acusan maniobra política de la oposición")</f>
        <v>Test de drogas: diputados oficialistas acusan maniobra política de la oposición</v>
      </c>
      <c r="I13" s="4">
        <f t="shared" si="2"/>
        <v>1</v>
      </c>
    </row>
    <row r="14">
      <c r="B14" s="26" t="s">
        <v>311</v>
      </c>
      <c r="C14" s="4" t="s">
        <v>311</v>
      </c>
      <c r="D14" s="4">
        <f t="shared" si="1"/>
        <v>22</v>
      </c>
      <c r="E14" s="22">
        <f>IF(IFERROR(VLOOKUP(LEFT(C14,14),consolidado!D:D,1,0),0)&gt;0,1,0)</f>
        <v>0</v>
      </c>
      <c r="F14" s="4" t="str">
        <f>VLOOKUP(LEFT(C14,14),consolidado!D:D,1,0)</f>
        <v>#N/A</v>
      </c>
      <c r="H14" s="4" t="str">
        <f>IFERROR(__xludf.DUMMYFUNCTION("""COMPUTED_VALUE"""),"Test de drogas para diputados: ¿Cómo funciona el examen de pelo para detectar el consumo?")</f>
        <v>Test de drogas para diputados: ¿Cómo funciona el examen de pelo para detectar el consumo?</v>
      </c>
      <c r="I14" s="4">
        <f t="shared" si="2"/>
        <v>1</v>
      </c>
    </row>
    <row r="15">
      <c r="B15" s="27" t="s">
        <v>312</v>
      </c>
      <c r="C15" s="4" t="s">
        <v>312</v>
      </c>
      <c r="D15" s="4">
        <f t="shared" si="1"/>
        <v>17</v>
      </c>
      <c r="E15" s="22">
        <f>IF(IFERROR(VLOOKUP(LEFT(C15,14),consolidado!D:D,1,0),0)&gt;0,1,0)</f>
        <v>0</v>
      </c>
      <c r="F15" s="4" t="str">
        <f>VLOOKUP(LEFT(C15,14),consolidado!D:D,1,0)</f>
        <v>#N/A</v>
      </c>
      <c r="H15" s="4" t="str">
        <f>IFERROR(__xludf.DUMMYFUNCTION("""COMPUTED_VALUE"""),"Test de drogas: diputadas que no se realizaron la prueba entregaron sus descargos en la comisión de Ética de la Cámara")</f>
        <v>Test de drogas: diputadas que no se realizaron la prueba entregaron sus descargos en la comisión de Ética de la Cámara</v>
      </c>
      <c r="I15" s="4">
        <f t="shared" si="2"/>
        <v>1</v>
      </c>
    </row>
    <row r="16">
      <c r="B16" s="28"/>
      <c r="C16" s="4" t="s">
        <v>349</v>
      </c>
      <c r="D16" s="4">
        <f t="shared" si="1"/>
        <v>0</v>
      </c>
      <c r="E16" s="22">
        <f>IF(IFERROR(VLOOKUP(LEFT(C16,14),consolidado!D:D,1,0),0)&gt;0,1,0)</f>
        <v>1</v>
      </c>
      <c r="F16" s="4" t="str">
        <f>VLOOKUP(LEFT(C16,14),consolidado!D:D,1,0)</f>
        <v/>
      </c>
      <c r="H16" s="4" t="str">
        <f>IFERROR(__xludf.DUMMYFUNCTION("""COMPUTED_VALUE"""),"""Necesario"", ""show"" y ""extenderlo al Gobierno"": las reacciones de parlamentarios al test de drogas")</f>
        <v>"Necesario", "show" y "extenderlo al Gobierno": las reacciones de parlamentarios al test de drogas</v>
      </c>
      <c r="I16" s="4">
        <f t="shared" si="2"/>
        <v>1</v>
      </c>
    </row>
    <row r="17">
      <c r="B17" s="19" t="s">
        <v>303</v>
      </c>
      <c r="C17" s="4" t="s">
        <v>303</v>
      </c>
      <c r="D17" s="4">
        <f t="shared" si="1"/>
        <v>10</v>
      </c>
      <c r="E17" s="22">
        <f>IF(IFERROR(VLOOKUP(LEFT(C17,14),consolidado!D:D,1,0),0)&gt;0,1,0)</f>
        <v>0</v>
      </c>
      <c r="F17" s="4" t="str">
        <f>VLOOKUP(LEFT(C17,14),consolidado!D:D,1,0)</f>
        <v>#N/A</v>
      </c>
      <c r="H17" s="4" t="str">
        <f>IFERROR(__xludf.DUMMYFUNCTION("""COMPUTED_VALUE"""),"El trance incómodo del Frente Amplio frente al test de drogas")</f>
        <v>El trance incómodo del Frente Amplio frente al test de drogas</v>
      </c>
      <c r="I17" s="4">
        <f t="shared" si="2"/>
        <v>1</v>
      </c>
    </row>
    <row r="18">
      <c r="B18" s="21" t="s">
        <v>350</v>
      </c>
      <c r="C18" s="4" t="s">
        <v>350</v>
      </c>
      <c r="D18" s="4">
        <f t="shared" si="1"/>
        <v>89</v>
      </c>
      <c r="E18" s="22">
        <f>IF(IFERROR(VLOOKUP(LEFT(C18,14),consolidado!D:D,1,0),0)&gt;0,1,0)</f>
        <v>1</v>
      </c>
      <c r="F18" s="4" t="str">
        <f>VLOOKUP(LEFT(C18,14),consolidado!D:D,1,0)</f>
        <v>Test de drogas</v>
      </c>
      <c r="H18" s="4" t="str">
        <f>IFERROR(__xludf.DUMMYFUNCTION("""COMPUTED_VALUE"""),"Comisión de Ética de la Cámara no llega a acuerdo en las sanciones para diputados que no se realizaron el test de drogas")</f>
        <v>Comisión de Ética de la Cámara no llega a acuerdo en las sanciones para diputados que no se realizaron el test de drogas</v>
      </c>
      <c r="I18" s="4">
        <f t="shared" si="2"/>
        <v>1</v>
      </c>
    </row>
    <row r="19">
      <c r="B19" s="29">
        <v>44832.0</v>
      </c>
      <c r="C19" s="4" t="s">
        <v>351</v>
      </c>
      <c r="D19" s="4">
        <f t="shared" si="1"/>
        <v>5</v>
      </c>
      <c r="E19" s="22">
        <f>IF(IFERROR(VLOOKUP(LEFT(C19,14),consolidado!D:D,1,0),0)&gt;0,1,0)</f>
        <v>0</v>
      </c>
      <c r="F19" s="4" t="str">
        <f>VLOOKUP(LEFT(C19,14),consolidado!D:D,1,0)</f>
        <v>#N/A</v>
      </c>
      <c r="H19" s="4" t="str">
        <f>IFERROR(__xludf.DUMMYFUNCTION("""COMPUTED_VALUE"""),"Test de drogas: Cámara Baja extiende plazo para que 78 parlamentarios sorteados se realicen examen")</f>
        <v>Test de drogas: Cámara Baja extiende plazo para que 78 parlamentarios sorteados se realicen examen</v>
      </c>
      <c r="I19" s="4">
        <f t="shared" si="2"/>
        <v>1</v>
      </c>
    </row>
    <row r="20">
      <c r="B20" s="24" t="s">
        <v>307</v>
      </c>
      <c r="C20" s="4" t="s">
        <v>307</v>
      </c>
      <c r="D20" s="4">
        <f t="shared" si="1"/>
        <v>15</v>
      </c>
      <c r="E20" s="22">
        <f>IF(IFERROR(VLOOKUP(LEFT(C20,14),consolidado!D:D,1,0),0)&gt;0,1,0)</f>
        <v>0</v>
      </c>
      <c r="F20" s="4" t="str">
        <f>VLOOKUP(LEFT(C20,14),consolidado!D:D,1,0)</f>
        <v>#N/A</v>
      </c>
      <c r="H20" s="4" t="str">
        <f>IFERROR(__xludf.DUMMYFUNCTION("""COMPUTED_VALUE"""),"Diputada Flores (RN) y test de drogas: ""El que consume droga, debiera perder su cargo""")</f>
        <v>Diputada Flores (RN) y test de drogas: "El que consume droga, debiera perder su cargo"</v>
      </c>
      <c r="I20" s="4">
        <f t="shared" si="2"/>
        <v>1</v>
      </c>
    </row>
    <row r="21" ht="15.75" customHeight="1">
      <c r="B21" s="24" t="s">
        <v>308</v>
      </c>
      <c r="C21" s="4" t="s">
        <v>308</v>
      </c>
      <c r="D21" s="4">
        <f t="shared" si="1"/>
        <v>5</v>
      </c>
      <c r="E21" s="22">
        <f>IF(IFERROR(VLOOKUP(LEFT(C21,14),consolidado!D:D,1,0),0)&gt;0,1,0)</f>
        <v>0</v>
      </c>
      <c r="F21" s="4" t="str">
        <f>VLOOKUP(LEFT(C21,14),consolidado!D:D,1,0)</f>
        <v>#N/A</v>
      </c>
      <c r="H21" s="4" t="str">
        <f>IFERROR(__xludf.DUMMYFUNCTION("""COMPUTED_VALUE"""),"Primera ministra de Finlandia da negativo en test de drogas realizado tras polémico vídeo")</f>
        <v>Primera ministra de Finlandia da negativo en test de drogas realizado tras polémico vídeo</v>
      </c>
      <c r="I21" s="4">
        <f t="shared" si="2"/>
        <v>1</v>
      </c>
    </row>
    <row r="22" ht="15.75" customHeight="1">
      <c r="B22" s="24" t="s">
        <v>309</v>
      </c>
      <c r="C22" s="4" t="s">
        <v>309</v>
      </c>
      <c r="D22" s="4">
        <f t="shared" si="1"/>
        <v>9</v>
      </c>
      <c r="E22" s="22">
        <f>IF(IFERROR(VLOOKUP(LEFT(C22,14),consolidado!D:D,1,0),0)&gt;0,1,0)</f>
        <v>0</v>
      </c>
      <c r="F22" s="4" t="str">
        <f>VLOOKUP(LEFT(C22,14),consolidado!D:D,1,0)</f>
        <v>#N/A</v>
      </c>
      <c r="H22" s="4" t="str">
        <f>IFERROR(__xludf.DUMMYFUNCTION("""COMPUTED_VALUE"""),"Los diputados chilenos dieron negativo en el test de drogas")</f>
        <v>Los diputados chilenos dieron negativo en el test de drogas</v>
      </c>
      <c r="I22" s="4">
        <f t="shared" si="2"/>
        <v>1</v>
      </c>
    </row>
    <row r="23" ht="15.75" customHeight="1">
      <c r="B23" s="21" t="s">
        <v>235</v>
      </c>
      <c r="C23" s="4" t="s">
        <v>235</v>
      </c>
      <c r="D23" s="4">
        <f t="shared" si="1"/>
        <v>95</v>
      </c>
      <c r="E23" s="22">
        <f>IF(IFERROR(VLOOKUP(LEFT(C23,14),consolidado!D:D,1,0),0)&gt;0,1,0)</f>
        <v>1</v>
      </c>
      <c r="F23" s="4" t="str">
        <f>VLOOKUP(LEFT(C23,14),consolidado!D:D,1,0)</f>
        <v>Ningún diputad</v>
      </c>
      <c r="H23" s="4" t="str">
        <f>IFERROR(__xludf.DUMMYFUNCTION("""COMPUTED_VALUE"""),"Primera diputada que no quiere realizarse test de drogas: “El procedimiento ha infringido nuestra privacidad”")</f>
        <v>Primera diputada que no quiere realizarse test de drogas: “El procedimiento ha infringido nuestra privacidad”</v>
      </c>
      <c r="I23" s="4">
        <f t="shared" si="2"/>
        <v>1</v>
      </c>
    </row>
    <row r="24" ht="15.75" customHeight="1">
      <c r="B24" s="23" t="s">
        <v>352</v>
      </c>
      <c r="C24" s="4" t="s">
        <v>352</v>
      </c>
      <c r="D24" s="4">
        <f t="shared" si="1"/>
        <v>18</v>
      </c>
      <c r="E24" s="22">
        <f>IF(IFERROR(VLOOKUP(LEFT(C24,14),consolidado!D:D,1,0),0)&gt;0,1,0)</f>
        <v>0</v>
      </c>
      <c r="F24" s="4" t="str">
        <f>VLOOKUP(LEFT(C24,14),consolidado!D:D,1,0)</f>
        <v>#N/A</v>
      </c>
      <c r="H24" s="4" t="str">
        <f>IFERROR(__xludf.DUMMYFUNCTION("""COMPUTED_VALUE"""),"Escáner a José Morales: ¿Qué piensa el candidato a fiscal nacional?")</f>
        <v>Escáner a José Morales: ¿Qué piensa el candidato a fiscal nacional?</v>
      </c>
      <c r="I24" s="4">
        <f t="shared" si="2"/>
        <v>1</v>
      </c>
    </row>
    <row r="25" ht="15.75" customHeight="1">
      <c r="B25" s="24" t="s">
        <v>307</v>
      </c>
      <c r="C25" s="4" t="s">
        <v>307</v>
      </c>
      <c r="D25" s="4">
        <f t="shared" si="1"/>
        <v>15</v>
      </c>
      <c r="E25" s="22">
        <f>IF(IFERROR(VLOOKUP(LEFT(C25,14),consolidado!D:D,1,0),0)&gt;0,1,0)</f>
        <v>0</v>
      </c>
      <c r="F25" s="4" t="str">
        <f>VLOOKUP(LEFT(C25,14),consolidado!D:D,1,0)</f>
        <v>#N/A</v>
      </c>
      <c r="H25" s="4" t="str">
        <f>IFERROR(__xludf.DUMMYFUNCTION("""COMPUTED_VALUE"""),"Diputado Sáez reafirma su consumo de marihuana y dice que test de drogas es “pirotecnia propagandística”")</f>
        <v>Diputado Sáez reafirma su consumo de marihuana y dice que test de drogas es “pirotecnia propagandística”</v>
      </c>
      <c r="I25" s="4">
        <f t="shared" si="2"/>
        <v>1</v>
      </c>
    </row>
    <row r="26" ht="15.75" customHeight="1">
      <c r="B26" s="24" t="s">
        <v>308</v>
      </c>
      <c r="C26" s="4" t="s">
        <v>308</v>
      </c>
      <c r="D26" s="4">
        <f t="shared" si="1"/>
        <v>5</v>
      </c>
      <c r="E26" s="22">
        <f>IF(IFERROR(VLOOKUP(LEFT(C26,14),consolidado!D:D,1,0),0)&gt;0,1,0)</f>
        <v>0</v>
      </c>
      <c r="F26" s="4" t="str">
        <f>VLOOKUP(LEFT(C26,14),consolidado!D:D,1,0)</f>
        <v>#N/A</v>
      </c>
      <c r="H26" s="4" t="str">
        <f>IFERROR(__xludf.DUMMYFUNCTION("""COMPUTED_VALUE"""),"Diputados amenazan con instancias internacionales si se publican resultados de test de drogas")</f>
        <v>Diputados amenazan con instancias internacionales si se publican resultados de test de drogas</v>
      </c>
      <c r="I26" s="4">
        <f t="shared" si="2"/>
        <v>1</v>
      </c>
    </row>
    <row r="27" ht="15.75" customHeight="1">
      <c r="B27" s="24" t="s">
        <v>309</v>
      </c>
      <c r="C27" s="4" t="s">
        <v>309</v>
      </c>
      <c r="D27" s="4">
        <f t="shared" si="1"/>
        <v>9</v>
      </c>
      <c r="E27" s="22">
        <f>IF(IFERROR(VLOOKUP(LEFT(C27,14),consolidado!D:D,1,0),0)&gt;0,1,0)</f>
        <v>0</v>
      </c>
      <c r="F27" s="4" t="str">
        <f>VLOOKUP(LEFT(C27,14),consolidado!D:D,1,0)</f>
        <v>#N/A</v>
      </c>
      <c r="H27" s="4" t="str">
        <f>IFERROR(__xludf.DUMMYFUNCTION("""COMPUTED_VALUE"""),"Diputados de la región de Antofagasta se sometieron a test de drogas")</f>
        <v>Diputados de la región de Antofagasta se sometieron a test de drogas</v>
      </c>
      <c r="I27" s="4">
        <f t="shared" si="2"/>
        <v>1</v>
      </c>
    </row>
    <row r="28" ht="15.75" customHeight="1">
      <c r="B28" s="25"/>
      <c r="C28" s="4" t="s">
        <v>349</v>
      </c>
      <c r="D28" s="4">
        <f t="shared" si="1"/>
        <v>0</v>
      </c>
      <c r="E28" s="22">
        <f>IF(IFERROR(VLOOKUP(LEFT(C28,14),consolidado!D:D,1,0),0)&gt;0,1,0)</f>
        <v>1</v>
      </c>
      <c r="F28" s="4" t="str">
        <f>VLOOKUP(LEFT(C28,14),consolidado!D:D,1,0)</f>
        <v/>
      </c>
      <c r="H28" s="4" t="str">
        <f>IFERROR(__xludf.DUMMYFUNCTION("""COMPUTED_VALUE"""),"Corte de Valparaíso rechaza solicitud de dictar orden de no innovar por test de drogas a diputados. - Diario Constitucional")</f>
        <v>Corte de Valparaíso rechaza solicitud de dictar orden de no innovar por test de drogas a diputados. - Diario Constitucional</v>
      </c>
      <c r="I28" s="4">
        <f t="shared" si="2"/>
        <v>1</v>
      </c>
    </row>
    <row r="29" ht="15.75" customHeight="1">
      <c r="B29" s="26" t="s">
        <v>311</v>
      </c>
      <c r="C29" s="4" t="s">
        <v>311</v>
      </c>
      <c r="D29" s="4">
        <f t="shared" si="1"/>
        <v>22</v>
      </c>
      <c r="E29" s="22">
        <f>IF(IFERROR(VLOOKUP(LEFT(C29,14),consolidado!D:D,1,0),0)&gt;0,1,0)</f>
        <v>0</v>
      </c>
      <c r="F29" s="4" t="str">
        <f>VLOOKUP(LEFT(C29,14),consolidado!D:D,1,0)</f>
        <v>#N/A</v>
      </c>
      <c r="H29" s="4" t="str">
        <f>IFERROR(__xludf.DUMMYFUNCTION("""COMPUTED_VALUE"""),"Radio Bío Bío | Entrevista a Aleida Kulikoff, académica y toxicóloga de la Escuela de Química y Farmacia UNAB")</f>
        <v>Radio Bío Bío | Entrevista a Aleida Kulikoff, académica y toxicóloga de la Escuela de Química y Farmacia UNAB</v>
      </c>
      <c r="I29" s="4">
        <f t="shared" si="2"/>
        <v>1</v>
      </c>
    </row>
    <row r="30" ht="15.75" customHeight="1">
      <c r="B30" s="27" t="s">
        <v>312</v>
      </c>
      <c r="C30" s="4" t="s">
        <v>312</v>
      </c>
      <c r="D30" s="4">
        <f t="shared" si="1"/>
        <v>17</v>
      </c>
      <c r="E30" s="22">
        <f>IF(IFERROR(VLOOKUP(LEFT(C30,14),consolidado!D:D,1,0),0)&gt;0,1,0)</f>
        <v>0</v>
      </c>
      <c r="F30" s="4" t="str">
        <f>VLOOKUP(LEFT(C30,14),consolidado!D:D,1,0)</f>
        <v>#N/A</v>
      </c>
      <c r="H30" s="4" t="str">
        <f>IFERROR(__xludf.DUMMYFUNCTION("""COMPUTED_VALUE"""),"""No voy a satanizar el consumo de drogas"": José Antonio Neme admitió haber probado marihuana")</f>
        <v>"No voy a satanizar el consumo de drogas": José Antonio Neme admitió haber probado marihuana</v>
      </c>
      <c r="I30" s="4">
        <f t="shared" si="2"/>
        <v>1</v>
      </c>
    </row>
    <row r="31" ht="15.75" customHeight="1">
      <c r="B31" s="28"/>
      <c r="C31" s="4" t="s">
        <v>349</v>
      </c>
      <c r="D31" s="4">
        <f t="shared" si="1"/>
        <v>0</v>
      </c>
      <c r="E31" s="22">
        <f>IF(IFERROR(VLOOKUP(LEFT(C31,14),consolidado!D:D,1,0),0)&gt;0,1,0)</f>
        <v>1</v>
      </c>
      <c r="F31" s="4" t="str">
        <f>VLOOKUP(LEFT(C31,14),consolidado!D:D,1,0)</f>
        <v/>
      </c>
      <c r="H31" s="4" t="str">
        <f>IFERROR(__xludf.DUMMYFUNCTION("""COMPUTED_VALUE"""),"TURQUÍIA Ankara: El líder de la oposición es la primera víctima de la ley de desinformación")</f>
        <v>TURQUÍIA Ankara: El líder de la oposición es la primera víctima de la ley de desinformación</v>
      </c>
      <c r="I31" s="4">
        <f t="shared" si="2"/>
        <v>1</v>
      </c>
    </row>
    <row r="32" ht="15.75" customHeight="1">
      <c r="B32" s="32"/>
      <c r="C32" s="4" t="s">
        <v>349</v>
      </c>
      <c r="D32" s="4">
        <f t="shared" si="1"/>
        <v>0</v>
      </c>
      <c r="E32" s="22">
        <f>IF(IFERROR(VLOOKUP(LEFT(C32,14),consolidado!D:D,1,0),0)&gt;0,1,0)</f>
        <v>1</v>
      </c>
      <c r="F32" s="4" t="str">
        <f>VLOOKUP(LEFT(C32,14),consolidado!D:D,1,0)</f>
        <v/>
      </c>
      <c r="H32" s="4" t="str">
        <f>IFERROR(__xludf.DUMMYFUNCTION("""COMPUTED_VALUE"""),"Diputada Gazmuri: ""También fumo y no me avergüenzo, cultivo plantas en mi casa""")</f>
        <v>Diputada Gazmuri: "También fumo y no me avergüenzo, cultivo plantas en mi casa"</v>
      </c>
      <c r="I32" s="4">
        <f t="shared" si="2"/>
        <v>1</v>
      </c>
    </row>
    <row r="33" ht="15.75" customHeight="1">
      <c r="B33" s="21" t="s">
        <v>353</v>
      </c>
      <c r="C33" s="4" t="s">
        <v>353</v>
      </c>
      <c r="D33" s="4">
        <f t="shared" si="1"/>
        <v>111</v>
      </c>
      <c r="E33" s="22">
        <f>IF(IFERROR(VLOOKUP(LEFT(C33,14),consolidado!D:D,1,0),0)&gt;0,1,0)</f>
        <v>1</v>
      </c>
      <c r="F33" s="4" t="str">
        <f>VLOOKUP(LEFT(C33,14),consolidado!D:D,1,0)</f>
        <v>Test de drogas</v>
      </c>
      <c r="H33" s="4" t="str">
        <f>IFERROR(__xludf.DUMMYFUNCTION("""COMPUTED_VALUE"""),"El PSOE y sus socios parlamentarios acuerdan sustituir las multas por consumir droga en la calle por “actividades de reeducación”")</f>
        <v>El PSOE y sus socios parlamentarios acuerdan sustituir las multas por consumir droga en la calle por “actividades de reeducación”</v>
      </c>
      <c r="I33" s="4">
        <f t="shared" si="2"/>
        <v>1</v>
      </c>
    </row>
    <row r="34" ht="15.75" customHeight="1">
      <c r="B34" s="29">
        <v>44790.0</v>
      </c>
      <c r="C34" s="4" t="s">
        <v>354</v>
      </c>
      <c r="D34" s="4">
        <f t="shared" si="1"/>
        <v>5</v>
      </c>
      <c r="E34" s="22">
        <f>IF(IFERROR(VLOOKUP(LEFT(C34,14),consolidado!D:D,1,0),0)&gt;0,1,0)</f>
        <v>0</v>
      </c>
      <c r="F34" s="4" t="str">
        <f>VLOOKUP(LEFT(C34,14),consolidado!D:D,1,0)</f>
        <v>#N/A</v>
      </c>
      <c r="H34" s="4" t="str">
        <f>IFERROR(__xludf.DUMMYFUNCTION("""COMPUTED_VALUE"""),"Debutó este lunes la rendición de la PAES en todo Chile, examen que reemplaza a la PDT de transición y a la antigua PSU")</f>
        <v>Debutó este lunes la rendición de la PAES en todo Chile, examen que reemplaza a la PDT de transición y a la antigua PSU</v>
      </c>
      <c r="I34" s="4">
        <f t="shared" si="2"/>
        <v>1</v>
      </c>
    </row>
    <row r="35" ht="15.75" customHeight="1">
      <c r="B35" s="24" t="s">
        <v>307</v>
      </c>
      <c r="C35" s="4" t="s">
        <v>307</v>
      </c>
      <c r="D35" s="4">
        <f t="shared" si="1"/>
        <v>15</v>
      </c>
      <c r="E35" s="22">
        <f>IF(IFERROR(VLOOKUP(LEFT(C35,14),consolidado!D:D,1,0),0)&gt;0,1,0)</f>
        <v>0</v>
      </c>
      <c r="F35" s="4" t="str">
        <f>VLOOKUP(LEFT(C35,14),consolidado!D:D,1,0)</f>
        <v>#N/A</v>
      </c>
      <c r="H35" s="4" t="str">
        <f>IFERROR(__xludf.DUMMYFUNCTION("""COMPUTED_VALUE"""),"La primera ministra de Finlandia se somete a un test de drogas para ""limpiar su reputación""")</f>
        <v>La primera ministra de Finlandia se somete a un test de drogas para "limpiar su reputación"</v>
      </c>
      <c r="I35" s="4">
        <f t="shared" si="2"/>
        <v>1</v>
      </c>
    </row>
    <row r="36" ht="15.75" customHeight="1">
      <c r="B36" s="24" t="s">
        <v>308</v>
      </c>
      <c r="C36" s="4" t="s">
        <v>308</v>
      </c>
      <c r="D36" s="4">
        <f t="shared" si="1"/>
        <v>5</v>
      </c>
      <c r="E36" s="22">
        <f>IF(IFERROR(VLOOKUP(LEFT(C36,14),consolidado!D:D,1,0),0)&gt;0,1,0)</f>
        <v>0</v>
      </c>
      <c r="F36" s="4" t="str">
        <f>VLOOKUP(LEFT(C36,14),consolidado!D:D,1,0)</f>
        <v>#N/A</v>
      </c>
      <c r="I36" s="4" t="str">
        <f t="shared" si="2"/>
        <v/>
      </c>
    </row>
    <row r="37" ht="15.75" customHeight="1">
      <c r="B37" s="24" t="s">
        <v>309</v>
      </c>
      <c r="C37" s="4" t="s">
        <v>309</v>
      </c>
      <c r="D37" s="4">
        <f t="shared" si="1"/>
        <v>9</v>
      </c>
      <c r="E37" s="22">
        <f>IF(IFERROR(VLOOKUP(LEFT(C37,14),consolidado!D:D,1,0),0)&gt;0,1,0)</f>
        <v>0</v>
      </c>
      <c r="F37" s="4" t="str">
        <f>VLOOKUP(LEFT(C37,14),consolidado!D:D,1,0)</f>
        <v>#N/A</v>
      </c>
      <c r="I37" s="4" t="str">
        <f t="shared" si="2"/>
        <v/>
      </c>
    </row>
    <row r="38" ht="15.75" customHeight="1">
      <c r="B38" s="28"/>
      <c r="C38" s="4" t="s">
        <v>349</v>
      </c>
      <c r="D38" s="4">
        <f t="shared" si="1"/>
        <v>0</v>
      </c>
      <c r="E38" s="22">
        <f>IF(IFERROR(VLOOKUP(LEFT(C38,14),consolidado!D:D,1,0),0)&gt;0,1,0)</f>
        <v>1</v>
      </c>
      <c r="F38" s="4" t="str">
        <f>VLOOKUP(LEFT(C38,14),consolidado!D:D,1,0)</f>
        <v/>
      </c>
      <c r="I38" s="4" t="str">
        <f t="shared" si="2"/>
        <v/>
      </c>
    </row>
    <row r="39" ht="15.75" customHeight="1">
      <c r="B39" s="30" t="s">
        <v>316</v>
      </c>
      <c r="C39" s="4" t="s">
        <v>316</v>
      </c>
      <c r="D39" s="4">
        <f t="shared" si="1"/>
        <v>12</v>
      </c>
      <c r="E39" s="22">
        <f>IF(IFERROR(VLOOKUP(LEFT(C39,14),consolidado!D:D,1,0),0)&gt;0,1,0)</f>
        <v>0</v>
      </c>
      <c r="F39" s="4" t="str">
        <f>VLOOKUP(LEFT(C39,14),consolidado!D:D,1,0)</f>
        <v>#N/A</v>
      </c>
      <c r="I39" s="4" t="str">
        <f t="shared" si="2"/>
        <v/>
      </c>
    </row>
    <row r="40" ht="15.75" customHeight="1">
      <c r="B40" s="21" t="s">
        <v>21</v>
      </c>
      <c r="C40" s="4" t="s">
        <v>21</v>
      </c>
      <c r="D40" s="4">
        <f t="shared" si="1"/>
        <v>94</v>
      </c>
      <c r="E40" s="22">
        <f>IF(IFERROR(VLOOKUP(LEFT(C40,14),consolidado!D:D,1,0),0)&gt;0,1,0)</f>
        <v>1</v>
      </c>
      <c r="F40" s="4" t="str">
        <f>VLOOKUP(LEFT(C40,14),consolidado!D:D,1,0)</f>
        <v>Comenzó aplica</v>
      </c>
      <c r="I40" s="4" t="str">
        <f t="shared" si="2"/>
        <v/>
      </c>
    </row>
    <row r="41" ht="15.75" customHeight="1">
      <c r="B41" s="29">
        <v>44795.0</v>
      </c>
      <c r="C41" s="4" t="s">
        <v>355</v>
      </c>
      <c r="D41" s="4">
        <f t="shared" si="1"/>
        <v>5</v>
      </c>
      <c r="E41" s="22">
        <f>IF(IFERROR(VLOOKUP(LEFT(C41,14),consolidado!D:D,1,0),0)&gt;0,1,0)</f>
        <v>0</v>
      </c>
      <c r="F41" s="4" t="str">
        <f>VLOOKUP(LEFT(C41,14),consolidado!D:D,1,0)</f>
        <v>#N/A</v>
      </c>
      <c r="I41" s="4" t="str">
        <f t="shared" si="2"/>
        <v/>
      </c>
    </row>
    <row r="42" ht="15.75" customHeight="1">
      <c r="B42" s="24" t="s">
        <v>307</v>
      </c>
      <c r="C42" s="4" t="s">
        <v>307</v>
      </c>
      <c r="D42" s="4">
        <f t="shared" si="1"/>
        <v>15</v>
      </c>
      <c r="E42" s="22">
        <f>IF(IFERROR(VLOOKUP(LEFT(C42,14),consolidado!D:D,1,0),0)&gt;0,1,0)</f>
        <v>0</v>
      </c>
      <c r="F42" s="4" t="str">
        <f>VLOOKUP(LEFT(C42,14),consolidado!D:D,1,0)</f>
        <v>#N/A</v>
      </c>
      <c r="I42" s="4" t="str">
        <f t="shared" si="2"/>
        <v/>
      </c>
    </row>
    <row r="43" ht="15.75" customHeight="1">
      <c r="B43" s="24" t="s">
        <v>308</v>
      </c>
      <c r="C43" s="4" t="s">
        <v>308</v>
      </c>
      <c r="D43" s="4">
        <f t="shared" si="1"/>
        <v>5</v>
      </c>
      <c r="E43" s="22">
        <f>IF(IFERROR(VLOOKUP(LEFT(C43,14),consolidado!D:D,1,0),0)&gt;0,1,0)</f>
        <v>0</v>
      </c>
      <c r="F43" s="4" t="str">
        <f>VLOOKUP(LEFT(C43,14),consolidado!D:D,1,0)</f>
        <v>#N/A</v>
      </c>
      <c r="I43" s="4" t="str">
        <f t="shared" si="2"/>
        <v/>
      </c>
    </row>
    <row r="44" ht="15.75" customHeight="1">
      <c r="B44" s="24" t="s">
        <v>309</v>
      </c>
      <c r="C44" s="4" t="s">
        <v>309</v>
      </c>
      <c r="D44" s="4">
        <f t="shared" si="1"/>
        <v>9</v>
      </c>
      <c r="E44" s="22">
        <f>IF(IFERROR(VLOOKUP(LEFT(C44,14),consolidado!D:D,1,0),0)&gt;0,1,0)</f>
        <v>0</v>
      </c>
      <c r="F44" s="4" t="str">
        <f>VLOOKUP(LEFT(C44,14),consolidado!D:D,1,0)</f>
        <v>#N/A</v>
      </c>
      <c r="I44" s="4" t="str">
        <f t="shared" si="2"/>
        <v/>
      </c>
    </row>
    <row r="45" ht="15.75" customHeight="1">
      <c r="B45" s="28"/>
      <c r="C45" s="4" t="s">
        <v>349</v>
      </c>
      <c r="D45" s="4">
        <f t="shared" si="1"/>
        <v>0</v>
      </c>
      <c r="E45" s="22">
        <f>IF(IFERROR(VLOOKUP(LEFT(C45,14),consolidado!D:D,1,0),0)&gt;0,1,0)</f>
        <v>1</v>
      </c>
      <c r="F45" s="4" t="str">
        <f>VLOOKUP(LEFT(C45,14),consolidado!D:D,1,0)</f>
        <v/>
      </c>
      <c r="I45" s="4" t="str">
        <f t="shared" si="2"/>
        <v/>
      </c>
    </row>
    <row r="46" ht="15.75" customHeight="1">
      <c r="B46" s="19" t="s">
        <v>303</v>
      </c>
      <c r="C46" s="4" t="s">
        <v>303</v>
      </c>
      <c r="D46" s="4">
        <f t="shared" si="1"/>
        <v>10</v>
      </c>
      <c r="E46" s="22">
        <f>IF(IFERROR(VLOOKUP(LEFT(C46,14),consolidado!D:D,1,0),0)&gt;0,1,0)</f>
        <v>0</v>
      </c>
      <c r="F46" s="4" t="str">
        <f>VLOOKUP(LEFT(C46,14),consolidado!D:D,1,0)</f>
        <v>#N/A</v>
      </c>
      <c r="I46" s="4" t="str">
        <f t="shared" si="2"/>
        <v/>
      </c>
    </row>
    <row r="47" ht="15.75" customHeight="1">
      <c r="B47" s="21" t="s">
        <v>23</v>
      </c>
      <c r="C47" s="4" t="s">
        <v>23</v>
      </c>
      <c r="D47" s="4">
        <f t="shared" si="1"/>
        <v>102</v>
      </c>
      <c r="E47" s="22">
        <f>IF(IFERROR(VLOOKUP(LEFT(C47,14),consolidado!D:D,1,0),0)&gt;0,1,0)</f>
        <v>1</v>
      </c>
      <c r="F47" s="4" t="str">
        <f>VLOOKUP(LEFT(C47,14),consolidado!D:D,1,0)</f>
        <v>Suspenso en la</v>
      </c>
      <c r="I47" s="4" t="str">
        <f t="shared" si="2"/>
        <v/>
      </c>
    </row>
    <row r="48" ht="15.75" customHeight="1">
      <c r="B48" s="29">
        <v>44824.0</v>
      </c>
      <c r="C48" s="4" t="s">
        <v>356</v>
      </c>
      <c r="D48" s="4">
        <f t="shared" si="1"/>
        <v>5</v>
      </c>
      <c r="E48" s="22">
        <f>IF(IFERROR(VLOOKUP(LEFT(C48,14),consolidado!D:D,1,0),0)&gt;0,1,0)</f>
        <v>0</v>
      </c>
      <c r="F48" s="4" t="str">
        <f>VLOOKUP(LEFT(C48,14),consolidado!D:D,1,0)</f>
        <v>#N/A</v>
      </c>
      <c r="I48" s="4" t="str">
        <f t="shared" si="2"/>
        <v/>
      </c>
    </row>
    <row r="49" ht="15.75" customHeight="1">
      <c r="B49" s="24" t="s">
        <v>307</v>
      </c>
      <c r="C49" s="4" t="s">
        <v>307</v>
      </c>
      <c r="D49" s="4">
        <f t="shared" si="1"/>
        <v>15</v>
      </c>
      <c r="E49" s="22">
        <f>IF(IFERROR(VLOOKUP(LEFT(C49,14),consolidado!D:D,1,0),0)&gt;0,1,0)</f>
        <v>0</v>
      </c>
      <c r="F49" s="4" t="str">
        <f>VLOOKUP(LEFT(C49,14),consolidado!D:D,1,0)</f>
        <v>#N/A</v>
      </c>
      <c r="I49" s="4" t="str">
        <f t="shared" si="2"/>
        <v/>
      </c>
    </row>
    <row r="50" ht="15.75" customHeight="1">
      <c r="B50" s="24" t="s">
        <v>308</v>
      </c>
      <c r="C50" s="4" t="s">
        <v>308</v>
      </c>
      <c r="D50" s="4">
        <f t="shared" si="1"/>
        <v>5</v>
      </c>
      <c r="E50" s="22">
        <f>IF(IFERROR(VLOOKUP(LEFT(C50,14),consolidado!D:D,1,0),0)&gt;0,1,0)</f>
        <v>0</v>
      </c>
      <c r="F50" s="4" t="str">
        <f>VLOOKUP(LEFT(C50,14),consolidado!D:D,1,0)</f>
        <v>#N/A</v>
      </c>
      <c r="I50" s="4" t="str">
        <f t="shared" si="2"/>
        <v/>
      </c>
    </row>
    <row r="51" ht="15.75" customHeight="1">
      <c r="B51" s="24" t="s">
        <v>309</v>
      </c>
      <c r="C51" s="4" t="s">
        <v>309</v>
      </c>
      <c r="D51" s="4">
        <f t="shared" si="1"/>
        <v>9</v>
      </c>
      <c r="E51" s="22">
        <f>IF(IFERROR(VLOOKUP(LEFT(C51,14),consolidado!D:D,1,0),0)&gt;0,1,0)</f>
        <v>0</v>
      </c>
      <c r="F51" s="4" t="str">
        <f>VLOOKUP(LEFT(C51,14),consolidado!D:D,1,0)</f>
        <v>#N/A</v>
      </c>
      <c r="I51" s="4" t="str">
        <f t="shared" si="2"/>
        <v/>
      </c>
    </row>
    <row r="52" ht="15.75" customHeight="1">
      <c r="B52" s="28"/>
      <c r="C52" s="4" t="s">
        <v>349</v>
      </c>
      <c r="D52" s="4">
        <f t="shared" si="1"/>
        <v>0</v>
      </c>
      <c r="E52" s="22">
        <f>IF(IFERROR(VLOOKUP(LEFT(C52,14),consolidado!D:D,1,0),0)&gt;0,1,0)</f>
        <v>1</v>
      </c>
      <c r="F52" s="4" t="str">
        <f>VLOOKUP(LEFT(C52,14),consolidado!D:D,1,0)</f>
        <v/>
      </c>
      <c r="I52" s="4" t="str">
        <f t="shared" si="2"/>
        <v/>
      </c>
    </row>
    <row r="53" ht="15.75" customHeight="1">
      <c r="B53" s="30" t="s">
        <v>315</v>
      </c>
      <c r="C53" s="4" t="s">
        <v>315</v>
      </c>
      <c r="D53" s="4">
        <f t="shared" si="1"/>
        <v>11</v>
      </c>
      <c r="E53" s="22">
        <f>IF(IFERROR(VLOOKUP(LEFT(C53,14),consolidado!D:D,1,0),0)&gt;0,1,0)</f>
        <v>0</v>
      </c>
      <c r="F53" s="4" t="str">
        <f>VLOOKUP(LEFT(C53,14),consolidado!D:D,1,0)</f>
        <v>#N/A</v>
      </c>
      <c r="I53" s="4" t="str">
        <f t="shared" si="2"/>
        <v/>
      </c>
    </row>
    <row r="54" ht="15.75" customHeight="1">
      <c r="B54" s="21" t="s">
        <v>238</v>
      </c>
      <c r="C54" s="4" t="s">
        <v>238</v>
      </c>
      <c r="D54" s="4">
        <f t="shared" si="1"/>
        <v>86</v>
      </c>
      <c r="E54" s="22">
        <f>IF(IFERROR(VLOOKUP(LEFT(C54,14),consolidado!D:D,1,0),0)&gt;0,1,0)</f>
        <v>1</v>
      </c>
      <c r="F54" s="4" t="str">
        <f>VLOOKUP(LEFT(C54,14),consolidado!D:D,1,0)</f>
        <v>Resultados ser</v>
      </c>
      <c r="I54" s="4" t="str">
        <f t="shared" si="2"/>
        <v/>
      </c>
    </row>
    <row r="55" ht="15.75" customHeight="1">
      <c r="B55" s="29">
        <v>44755.0</v>
      </c>
      <c r="C55" s="4" t="s">
        <v>357</v>
      </c>
      <c r="D55" s="4">
        <f t="shared" si="1"/>
        <v>5</v>
      </c>
      <c r="E55" s="22">
        <f>IF(IFERROR(VLOOKUP(LEFT(C55,14),consolidado!D:D,1,0),0)&gt;0,1,0)</f>
        <v>0</v>
      </c>
      <c r="F55" s="4" t="str">
        <f>VLOOKUP(LEFT(C55,14),consolidado!D:D,1,0)</f>
        <v>#N/A</v>
      </c>
      <c r="I55" s="4" t="str">
        <f t="shared" si="2"/>
        <v/>
      </c>
    </row>
    <row r="56" ht="15.75" customHeight="1">
      <c r="B56" s="24" t="s">
        <v>307</v>
      </c>
      <c r="C56" s="4" t="s">
        <v>307</v>
      </c>
      <c r="D56" s="4">
        <f t="shared" si="1"/>
        <v>15</v>
      </c>
      <c r="E56" s="22">
        <f>IF(IFERROR(VLOOKUP(LEFT(C56,14),consolidado!D:D,1,0),0)&gt;0,1,0)</f>
        <v>0</v>
      </c>
      <c r="F56" s="4" t="str">
        <f>VLOOKUP(LEFT(C56,14),consolidado!D:D,1,0)</f>
        <v>#N/A</v>
      </c>
      <c r="I56" s="4" t="str">
        <f t="shared" si="2"/>
        <v/>
      </c>
    </row>
    <row r="57" ht="15.75" customHeight="1">
      <c r="B57" s="24" t="s">
        <v>308</v>
      </c>
      <c r="C57" s="4" t="s">
        <v>308</v>
      </c>
      <c r="D57" s="4">
        <f t="shared" si="1"/>
        <v>5</v>
      </c>
      <c r="E57" s="22">
        <f>IF(IFERROR(VLOOKUP(LEFT(C57,14),consolidado!D:D,1,0),0)&gt;0,1,0)</f>
        <v>0</v>
      </c>
      <c r="F57" s="4" t="str">
        <f>VLOOKUP(LEFT(C57,14),consolidado!D:D,1,0)</f>
        <v>#N/A</v>
      </c>
    </row>
    <row r="58" ht="15.75" customHeight="1">
      <c r="B58" s="24" t="s">
        <v>309</v>
      </c>
      <c r="C58" s="4" t="s">
        <v>309</v>
      </c>
      <c r="D58" s="4">
        <f t="shared" si="1"/>
        <v>9</v>
      </c>
      <c r="E58" s="22">
        <f>IF(IFERROR(VLOOKUP(LEFT(C58,14),consolidado!D:D,1,0),0)&gt;0,1,0)</f>
        <v>0</v>
      </c>
      <c r="F58" s="4" t="str">
        <f>VLOOKUP(LEFT(C58,14),consolidado!D:D,1,0)</f>
        <v>#N/A</v>
      </c>
    </row>
    <row r="59" ht="15.75" customHeight="1">
      <c r="B59" s="28"/>
      <c r="C59" s="4" t="s">
        <v>349</v>
      </c>
      <c r="D59" s="4">
        <f t="shared" si="1"/>
        <v>0</v>
      </c>
      <c r="E59" s="22">
        <f>IF(IFERROR(VLOOKUP(LEFT(C59,14),consolidado!D:D,1,0),0)&gt;0,1,0)</f>
        <v>1</v>
      </c>
      <c r="F59" s="4" t="str">
        <f>VLOOKUP(LEFT(C59,14),consolidado!D:D,1,0)</f>
        <v/>
      </c>
    </row>
    <row r="60" ht="15.75" customHeight="1">
      <c r="B60" s="30" t="s">
        <v>315</v>
      </c>
      <c r="C60" s="4" t="s">
        <v>315</v>
      </c>
      <c r="D60" s="4">
        <f t="shared" si="1"/>
        <v>11</v>
      </c>
      <c r="E60" s="22">
        <f>IF(IFERROR(VLOOKUP(LEFT(C60,14),consolidado!D:D,1,0),0)&gt;0,1,0)</f>
        <v>0</v>
      </c>
      <c r="F60" s="4" t="str">
        <f>VLOOKUP(LEFT(C60,14),consolidado!D:D,1,0)</f>
        <v>#N/A</v>
      </c>
    </row>
    <row r="61" ht="15.75" customHeight="1">
      <c r="B61" s="21" t="s">
        <v>35</v>
      </c>
      <c r="C61" s="4" t="s">
        <v>35</v>
      </c>
      <c r="D61" s="4">
        <f t="shared" si="1"/>
        <v>79</v>
      </c>
      <c r="E61" s="22">
        <f>IF(IFERROR(VLOOKUP(LEFT(C61,14),consolidado!D:D,1,0),0)&gt;0,1,0)</f>
        <v>1</v>
      </c>
      <c r="F61" s="4" t="str">
        <f>VLOOKUP(LEFT(C61,14),consolidado!D:D,1,0)</f>
        <v>Test de drogas</v>
      </c>
    </row>
    <row r="62" ht="15.75" customHeight="1">
      <c r="B62" s="29">
        <v>44802.0</v>
      </c>
      <c r="C62" s="4" t="s">
        <v>358</v>
      </c>
      <c r="D62" s="4">
        <f t="shared" si="1"/>
        <v>5</v>
      </c>
      <c r="E62" s="22">
        <f>IF(IFERROR(VLOOKUP(LEFT(C62,14),consolidado!D:D,1,0),0)&gt;0,1,0)</f>
        <v>0</v>
      </c>
      <c r="F62" s="4" t="str">
        <f>VLOOKUP(LEFT(C62,14),consolidado!D:D,1,0)</f>
        <v>#N/A</v>
      </c>
    </row>
    <row r="63" ht="15.75" customHeight="1">
      <c r="B63" s="24" t="s">
        <v>307</v>
      </c>
      <c r="C63" s="4" t="s">
        <v>307</v>
      </c>
      <c r="D63" s="4">
        <f t="shared" si="1"/>
        <v>15</v>
      </c>
      <c r="E63" s="22">
        <f>IF(IFERROR(VLOOKUP(LEFT(C63,14),consolidado!D:D,1,0),0)&gt;0,1,0)</f>
        <v>0</v>
      </c>
      <c r="F63" s="4" t="str">
        <f>VLOOKUP(LEFT(C63,14),consolidado!D:D,1,0)</f>
        <v>#N/A</v>
      </c>
    </row>
    <row r="64" ht="15.75" customHeight="1">
      <c r="B64" s="24" t="s">
        <v>308</v>
      </c>
      <c r="C64" s="4" t="s">
        <v>308</v>
      </c>
      <c r="D64" s="4">
        <f t="shared" si="1"/>
        <v>5</v>
      </c>
      <c r="E64" s="22">
        <f>IF(IFERROR(VLOOKUP(LEFT(C64,14),consolidado!D:D,1,0),0)&gt;0,1,0)</f>
        <v>0</v>
      </c>
      <c r="F64" s="4" t="str">
        <f>VLOOKUP(LEFT(C64,14),consolidado!D:D,1,0)</f>
        <v>#N/A</v>
      </c>
    </row>
    <row r="65" ht="15.75" customHeight="1">
      <c r="B65" s="24" t="s">
        <v>309</v>
      </c>
      <c r="C65" s="4" t="s">
        <v>309</v>
      </c>
      <c r="D65" s="4">
        <f t="shared" si="1"/>
        <v>9</v>
      </c>
      <c r="E65" s="22">
        <f>IF(IFERROR(VLOOKUP(LEFT(C65,14),consolidado!D:D,1,0),0)&gt;0,1,0)</f>
        <v>0</v>
      </c>
      <c r="F65" s="4" t="str">
        <f>VLOOKUP(LEFT(C65,14),consolidado!D:D,1,0)</f>
        <v>#N/A</v>
      </c>
    </row>
    <row r="66" ht="15.75" customHeight="1">
      <c r="B66" s="28"/>
      <c r="C66" s="4" t="s">
        <v>349</v>
      </c>
      <c r="D66" s="4">
        <f t="shared" si="1"/>
        <v>0</v>
      </c>
      <c r="E66" s="22">
        <f>IF(IFERROR(VLOOKUP(LEFT(C66,14),consolidado!D:D,1,0),0)&gt;0,1,0)</f>
        <v>1</v>
      </c>
      <c r="F66" s="4" t="str">
        <f>VLOOKUP(LEFT(C66,14),consolidado!D:D,1,0)</f>
        <v/>
      </c>
    </row>
    <row r="67" ht="15.75" customHeight="1">
      <c r="B67" s="30" t="s">
        <v>319</v>
      </c>
      <c r="C67" s="4" t="s">
        <v>319</v>
      </c>
      <c r="D67" s="4">
        <f t="shared" si="1"/>
        <v>5</v>
      </c>
      <c r="E67" s="22">
        <f>IF(IFERROR(VLOOKUP(LEFT(C67,14),consolidado!D:D,1,0),0)&gt;0,1,0)</f>
        <v>0</v>
      </c>
      <c r="F67" s="4" t="str">
        <f>VLOOKUP(LEFT(C67,14),consolidado!D:D,1,0)</f>
        <v>#N/A</v>
      </c>
    </row>
    <row r="68" ht="15.75" customHeight="1">
      <c r="B68" s="21" t="s">
        <v>42</v>
      </c>
      <c r="C68" s="4" t="s">
        <v>42</v>
      </c>
      <c r="D68" s="4">
        <f t="shared" si="1"/>
        <v>89</v>
      </c>
      <c r="E68" s="22">
        <f>IF(IFERROR(VLOOKUP(LEFT(C68,14),consolidado!D:D,1,0),0)&gt;0,1,0)</f>
        <v>1</v>
      </c>
      <c r="F68" s="4" t="str">
        <f>VLOOKUP(LEFT(C68,14),consolidado!D:D,1,0)</f>
        <v>Test de drogas</v>
      </c>
    </row>
    <row r="69" ht="15.75" customHeight="1">
      <c r="B69" s="29">
        <v>44799.0</v>
      </c>
      <c r="C69" s="4" t="s">
        <v>359</v>
      </c>
      <c r="D69" s="4">
        <f t="shared" si="1"/>
        <v>5</v>
      </c>
      <c r="E69" s="22">
        <f>IF(IFERROR(VLOOKUP(LEFT(C69,14),consolidado!D:D,1,0),0)&gt;0,1,0)</f>
        <v>0</v>
      </c>
      <c r="F69" s="4" t="str">
        <f>VLOOKUP(LEFT(C69,14),consolidado!D:D,1,0)</f>
        <v>#N/A</v>
      </c>
    </row>
    <row r="70" ht="15.75" customHeight="1">
      <c r="B70" s="24" t="s">
        <v>307</v>
      </c>
      <c r="C70" s="4" t="s">
        <v>307</v>
      </c>
      <c r="D70" s="4">
        <f t="shared" si="1"/>
        <v>15</v>
      </c>
      <c r="E70" s="22">
        <f>IF(IFERROR(VLOOKUP(LEFT(C70,14),consolidado!D:D,1,0),0)&gt;0,1,0)</f>
        <v>0</v>
      </c>
      <c r="F70" s="4" t="str">
        <f>VLOOKUP(LEFT(C70,14),consolidado!D:D,1,0)</f>
        <v>#N/A</v>
      </c>
    </row>
    <row r="71" ht="15.75" customHeight="1">
      <c r="B71" s="24" t="s">
        <v>308</v>
      </c>
      <c r="C71" s="4" t="s">
        <v>308</v>
      </c>
      <c r="D71" s="4">
        <f t="shared" si="1"/>
        <v>5</v>
      </c>
      <c r="E71" s="22">
        <f>IF(IFERROR(VLOOKUP(LEFT(C71,14),consolidado!D:D,1,0),0)&gt;0,1,0)</f>
        <v>0</v>
      </c>
      <c r="F71" s="4" t="str">
        <f>VLOOKUP(LEFT(C71,14),consolidado!D:D,1,0)</f>
        <v>#N/A</v>
      </c>
    </row>
    <row r="72" ht="15.75" customHeight="1">
      <c r="B72" s="24" t="s">
        <v>309</v>
      </c>
      <c r="C72" s="4" t="s">
        <v>309</v>
      </c>
      <c r="D72" s="4">
        <f t="shared" si="1"/>
        <v>9</v>
      </c>
      <c r="E72" s="22">
        <f>IF(IFERROR(VLOOKUP(LEFT(C72,14),consolidado!D:D,1,0),0)&gt;0,1,0)</f>
        <v>0</v>
      </c>
      <c r="F72" s="4" t="str">
        <f>VLOOKUP(LEFT(C72,14),consolidado!D:D,1,0)</f>
        <v>#N/A</v>
      </c>
    </row>
    <row r="73" ht="15.75" customHeight="1">
      <c r="B73" s="28"/>
      <c r="C73" s="4" t="s">
        <v>349</v>
      </c>
      <c r="D73" s="4">
        <f t="shared" si="1"/>
        <v>0</v>
      </c>
      <c r="E73" s="22">
        <f>IF(IFERROR(VLOOKUP(LEFT(C73,14),consolidado!D:D,1,0),0)&gt;0,1,0)</f>
        <v>1</v>
      </c>
      <c r="F73" s="4" t="str">
        <f>VLOOKUP(LEFT(C73,14),consolidado!D:D,1,0)</f>
        <v/>
      </c>
    </row>
    <row r="74" ht="15.75" customHeight="1">
      <c r="B74" s="19" t="s">
        <v>303</v>
      </c>
      <c r="C74" s="4" t="s">
        <v>303</v>
      </c>
      <c r="D74" s="4">
        <f t="shared" si="1"/>
        <v>10</v>
      </c>
      <c r="E74" s="22">
        <f>IF(IFERROR(VLOOKUP(LEFT(C74,14),consolidado!D:D,1,0),0)&gt;0,1,0)</f>
        <v>0</v>
      </c>
      <c r="F74" s="4" t="str">
        <f>VLOOKUP(LEFT(C74,14),consolidado!D:D,1,0)</f>
        <v>#N/A</v>
      </c>
    </row>
    <row r="75" ht="15.75" customHeight="1">
      <c r="B75" s="21" t="s">
        <v>56</v>
      </c>
      <c r="C75" s="4" t="s">
        <v>56</v>
      </c>
      <c r="D75" s="4">
        <f t="shared" si="1"/>
        <v>118</v>
      </c>
      <c r="E75" s="22">
        <f>IF(IFERROR(VLOOKUP(LEFT(C75,14),consolidado!D:D,1,0),0)&gt;0,1,0)</f>
        <v>1</v>
      </c>
      <c r="F75" s="4" t="str">
        <f>VLOOKUP(LEFT(C75,14),consolidado!D:D,1,0)</f>
        <v>Test de drogas</v>
      </c>
    </row>
    <row r="76" ht="15.75" customHeight="1">
      <c r="B76" s="29">
        <v>44853.0</v>
      </c>
      <c r="C76" s="4" t="s">
        <v>360</v>
      </c>
      <c r="D76" s="4">
        <f t="shared" si="1"/>
        <v>5</v>
      </c>
      <c r="E76" s="22">
        <f>IF(IFERROR(VLOOKUP(LEFT(C76,14),consolidado!D:D,1,0),0)&gt;0,1,0)</f>
        <v>0</v>
      </c>
      <c r="F76" s="4" t="str">
        <f>VLOOKUP(LEFT(C76,14),consolidado!D:D,1,0)</f>
        <v>#N/A</v>
      </c>
    </row>
    <row r="77" ht="15.75" customHeight="1">
      <c r="B77" s="24" t="s">
        <v>307</v>
      </c>
      <c r="C77" s="4" t="s">
        <v>307</v>
      </c>
      <c r="D77" s="4">
        <f t="shared" si="1"/>
        <v>15</v>
      </c>
      <c r="E77" s="22">
        <f>IF(IFERROR(VLOOKUP(LEFT(C77,14),consolidado!D:D,1,0),0)&gt;0,1,0)</f>
        <v>0</v>
      </c>
      <c r="F77" s="4" t="str">
        <f>VLOOKUP(LEFT(C77,14),consolidado!D:D,1,0)</f>
        <v>#N/A</v>
      </c>
    </row>
    <row r="78" ht="15.75" customHeight="1">
      <c r="B78" s="24" t="s">
        <v>308</v>
      </c>
      <c r="C78" s="4" t="s">
        <v>308</v>
      </c>
      <c r="D78" s="4">
        <f t="shared" si="1"/>
        <v>5</v>
      </c>
      <c r="E78" s="22">
        <f>IF(IFERROR(VLOOKUP(LEFT(C78,14),consolidado!D:D,1,0),0)&gt;0,1,0)</f>
        <v>0</v>
      </c>
      <c r="F78" s="4" t="str">
        <f>VLOOKUP(LEFT(C78,14),consolidado!D:D,1,0)</f>
        <v>#N/A</v>
      </c>
    </row>
    <row r="79" ht="15.75" customHeight="1">
      <c r="B79" s="24" t="s">
        <v>309</v>
      </c>
      <c r="C79" s="4" t="s">
        <v>309</v>
      </c>
      <c r="D79" s="4">
        <f t="shared" si="1"/>
        <v>9</v>
      </c>
      <c r="E79" s="22">
        <f>IF(IFERROR(VLOOKUP(LEFT(C79,14),consolidado!D:D,1,0),0)&gt;0,1,0)</f>
        <v>0</v>
      </c>
      <c r="F79" s="4" t="str">
        <f>VLOOKUP(LEFT(C79,14),consolidado!D:D,1,0)</f>
        <v>#N/A</v>
      </c>
    </row>
    <row r="80" ht="15.75" customHeight="1">
      <c r="B80" s="28"/>
      <c r="C80" s="4" t="s">
        <v>349</v>
      </c>
      <c r="D80" s="4">
        <f t="shared" si="1"/>
        <v>0</v>
      </c>
      <c r="E80" s="22">
        <f>IF(IFERROR(VLOOKUP(LEFT(C80,14),consolidado!D:D,1,0),0)&gt;0,1,0)</f>
        <v>1</v>
      </c>
      <c r="F80" s="4" t="str">
        <f>VLOOKUP(LEFT(C80,14),consolidado!D:D,1,0)</f>
        <v/>
      </c>
    </row>
    <row r="81" ht="15.75" customHeight="1">
      <c r="B81" s="30" t="s">
        <v>315</v>
      </c>
      <c r="C81" s="4" t="s">
        <v>315</v>
      </c>
      <c r="D81" s="4">
        <f t="shared" si="1"/>
        <v>11</v>
      </c>
      <c r="E81" s="22">
        <f>IF(IFERROR(VLOOKUP(LEFT(C81,14),consolidado!D:D,1,0),0)&gt;0,1,0)</f>
        <v>0</v>
      </c>
      <c r="F81" s="4" t="str">
        <f>VLOOKUP(LEFT(C81,14),consolidado!D:D,1,0)</f>
        <v>#N/A</v>
      </c>
    </row>
    <row r="82" ht="15.75" customHeight="1">
      <c r="B82" s="21" t="s">
        <v>29</v>
      </c>
      <c r="C82" s="4" t="s">
        <v>29</v>
      </c>
      <c r="D82" s="4">
        <f t="shared" si="1"/>
        <v>98</v>
      </c>
      <c r="E82" s="22">
        <f>IF(IFERROR(VLOOKUP(LEFT(C82,14),consolidado!D:D,1,0),0)&gt;0,1,0)</f>
        <v>1</v>
      </c>
      <c r="F82" s="4" t="str">
        <f>VLOOKUP(LEFT(C82,14),consolidado!D:D,1,0)</f>
        <v>"Necesario", "</v>
      </c>
    </row>
    <row r="83" ht="15.75" customHeight="1">
      <c r="B83" s="29">
        <v>44791.0</v>
      </c>
      <c r="C83" s="4" t="s">
        <v>361</v>
      </c>
      <c r="D83" s="4">
        <f t="shared" si="1"/>
        <v>5</v>
      </c>
      <c r="E83" s="22">
        <f>IF(IFERROR(VLOOKUP(LEFT(C83,14),consolidado!D:D,1,0),0)&gt;0,1,0)</f>
        <v>0</v>
      </c>
      <c r="F83" s="4" t="str">
        <f>VLOOKUP(LEFT(C83,14),consolidado!D:D,1,0)</f>
        <v>#N/A</v>
      </c>
    </row>
    <row r="84" ht="15.75" customHeight="1">
      <c r="B84" s="24" t="s">
        <v>307</v>
      </c>
      <c r="C84" s="4" t="s">
        <v>307</v>
      </c>
      <c r="D84" s="4">
        <f t="shared" si="1"/>
        <v>15</v>
      </c>
      <c r="E84" s="22">
        <f>IF(IFERROR(VLOOKUP(LEFT(C84,14),consolidado!D:D,1,0),0)&gt;0,1,0)</f>
        <v>0</v>
      </c>
      <c r="F84" s="4" t="str">
        <f>VLOOKUP(LEFT(C84,14),consolidado!D:D,1,0)</f>
        <v>#N/A</v>
      </c>
    </row>
    <row r="85" ht="15.75" customHeight="1">
      <c r="B85" s="24" t="s">
        <v>308</v>
      </c>
      <c r="C85" s="4" t="s">
        <v>308</v>
      </c>
      <c r="D85" s="4">
        <f t="shared" si="1"/>
        <v>5</v>
      </c>
      <c r="E85" s="22">
        <f>IF(IFERROR(VLOOKUP(LEFT(C85,14),consolidado!D:D,1,0),0)&gt;0,1,0)</f>
        <v>0</v>
      </c>
      <c r="F85" s="4" t="str">
        <f>VLOOKUP(LEFT(C85,14),consolidado!D:D,1,0)</f>
        <v>#N/A</v>
      </c>
    </row>
    <row r="86" ht="15.75" customHeight="1">
      <c r="B86" s="24" t="s">
        <v>309</v>
      </c>
      <c r="C86" s="4" t="s">
        <v>309</v>
      </c>
      <c r="D86" s="4">
        <f t="shared" si="1"/>
        <v>9</v>
      </c>
      <c r="E86" s="22">
        <f>IF(IFERROR(VLOOKUP(LEFT(C86,14),consolidado!D:D,1,0),0)&gt;0,1,0)</f>
        <v>0</v>
      </c>
      <c r="F86" s="4" t="str">
        <f>VLOOKUP(LEFT(C86,14),consolidado!D:D,1,0)</f>
        <v>#N/A</v>
      </c>
    </row>
    <row r="87" ht="15.75" customHeight="1">
      <c r="B87" s="28"/>
      <c r="C87" s="4" t="s">
        <v>349</v>
      </c>
      <c r="D87" s="4">
        <f t="shared" si="1"/>
        <v>0</v>
      </c>
      <c r="E87" s="22">
        <f>IF(IFERROR(VLOOKUP(LEFT(C87,14),consolidado!D:D,1,0),0)&gt;0,1,0)</f>
        <v>1</v>
      </c>
      <c r="F87" s="4" t="str">
        <f>VLOOKUP(LEFT(C87,14),consolidado!D:D,1,0)</f>
        <v/>
      </c>
    </row>
    <row r="88" ht="15.75" customHeight="1">
      <c r="B88" s="19" t="s">
        <v>303</v>
      </c>
      <c r="C88" s="4" t="s">
        <v>303</v>
      </c>
      <c r="D88" s="4">
        <f t="shared" si="1"/>
        <v>10</v>
      </c>
      <c r="E88" s="22">
        <f>IF(IFERROR(VLOOKUP(LEFT(C88,14),consolidado!D:D,1,0),0)&gt;0,1,0)</f>
        <v>0</v>
      </c>
      <c r="F88" s="4" t="str">
        <f>VLOOKUP(LEFT(C88,14),consolidado!D:D,1,0)</f>
        <v>#N/A</v>
      </c>
    </row>
    <row r="89" ht="15.75" customHeight="1">
      <c r="B89" s="21" t="s">
        <v>62</v>
      </c>
      <c r="C89" s="4" t="s">
        <v>62</v>
      </c>
      <c r="D89" s="4">
        <f t="shared" si="1"/>
        <v>61</v>
      </c>
      <c r="E89" s="22">
        <f>IF(IFERROR(VLOOKUP(LEFT(C89,14),consolidado!D:D,1,0),0)&gt;0,1,0)</f>
        <v>1</v>
      </c>
      <c r="F89" s="4" t="str">
        <f>VLOOKUP(LEFT(C89,14),consolidado!D:D,1,0)</f>
        <v>El trance incó</v>
      </c>
    </row>
    <row r="90" ht="15.75" customHeight="1">
      <c r="B90" s="29">
        <v>44756.0</v>
      </c>
      <c r="C90" s="4" t="s">
        <v>362</v>
      </c>
      <c r="D90" s="4">
        <f t="shared" si="1"/>
        <v>5</v>
      </c>
      <c r="E90" s="22">
        <f>IF(IFERROR(VLOOKUP(LEFT(C90,14),consolidado!D:D,1,0),0)&gt;0,1,0)</f>
        <v>0</v>
      </c>
      <c r="F90" s="4" t="str">
        <f>VLOOKUP(LEFT(C90,14),consolidado!D:D,1,0)</f>
        <v>#N/A</v>
      </c>
    </row>
    <row r="91" ht="15.75" customHeight="1">
      <c r="B91" s="24" t="s">
        <v>307</v>
      </c>
      <c r="C91" s="4" t="s">
        <v>307</v>
      </c>
      <c r="D91" s="4">
        <f t="shared" si="1"/>
        <v>15</v>
      </c>
      <c r="E91" s="22">
        <f>IF(IFERROR(VLOOKUP(LEFT(C91,14),consolidado!D:D,1,0),0)&gt;0,1,0)</f>
        <v>0</v>
      </c>
      <c r="F91" s="4" t="str">
        <f>VLOOKUP(LEFT(C91,14),consolidado!D:D,1,0)</f>
        <v>#N/A</v>
      </c>
    </row>
    <row r="92" ht="15.75" customHeight="1">
      <c r="B92" s="24" t="s">
        <v>308</v>
      </c>
      <c r="C92" s="4" t="s">
        <v>308</v>
      </c>
      <c r="D92" s="4">
        <f t="shared" si="1"/>
        <v>5</v>
      </c>
      <c r="E92" s="22">
        <f>IF(IFERROR(VLOOKUP(LEFT(C92,14),consolidado!D:D,1,0),0)&gt;0,1,0)</f>
        <v>0</v>
      </c>
      <c r="F92" s="4" t="str">
        <f>VLOOKUP(LEFT(C92,14),consolidado!D:D,1,0)</f>
        <v>#N/A</v>
      </c>
    </row>
    <row r="93" ht="15.75" customHeight="1">
      <c r="B93" s="24" t="s">
        <v>309</v>
      </c>
      <c r="C93" s="4" t="s">
        <v>309</v>
      </c>
      <c r="D93" s="4">
        <f t="shared" si="1"/>
        <v>9</v>
      </c>
      <c r="E93" s="22">
        <f>IF(IFERROR(VLOOKUP(LEFT(C93,14),consolidado!D:D,1,0),0)&gt;0,1,0)</f>
        <v>0</v>
      </c>
      <c r="F93" s="4" t="str">
        <f>VLOOKUP(LEFT(C93,14),consolidado!D:D,1,0)</f>
        <v>#N/A</v>
      </c>
    </row>
    <row r="94" ht="15.75" customHeight="1">
      <c r="B94" s="28"/>
      <c r="C94" s="4" t="s">
        <v>349</v>
      </c>
      <c r="D94" s="4">
        <f t="shared" si="1"/>
        <v>0</v>
      </c>
      <c r="E94" s="22">
        <f>IF(IFERROR(VLOOKUP(LEFT(C94,14),consolidado!D:D,1,0),0)&gt;0,1,0)</f>
        <v>1</v>
      </c>
      <c r="F94" s="4" t="str">
        <f>VLOOKUP(LEFT(C94,14),consolidado!D:D,1,0)</f>
        <v/>
      </c>
    </row>
    <row r="95" ht="15.75" customHeight="1">
      <c r="B95" s="19" t="s">
        <v>303</v>
      </c>
      <c r="C95" s="4" t="s">
        <v>303</v>
      </c>
      <c r="D95" s="4">
        <f t="shared" si="1"/>
        <v>10</v>
      </c>
      <c r="E95" s="22">
        <f>IF(IFERROR(VLOOKUP(LEFT(C95,14),consolidado!D:D,1,0),0)&gt;0,1,0)</f>
        <v>0</v>
      </c>
      <c r="F95" s="4" t="str">
        <f>VLOOKUP(LEFT(C95,14),consolidado!D:D,1,0)</f>
        <v>#N/A</v>
      </c>
    </row>
    <row r="96" ht="15.75" customHeight="1">
      <c r="B96" s="21" t="s">
        <v>58</v>
      </c>
      <c r="C96" s="4" t="s">
        <v>58</v>
      </c>
      <c r="D96" s="4">
        <f t="shared" si="1"/>
        <v>120</v>
      </c>
      <c r="E96" s="22">
        <f>IF(IFERROR(VLOOKUP(LEFT(C96,14),consolidado!D:D,1,0),0)&gt;0,1,0)</f>
        <v>1</v>
      </c>
      <c r="F96" s="4" t="str">
        <f>VLOOKUP(LEFT(C96,14),consolidado!D:D,1,0)</f>
        <v>Comisión de Ét</v>
      </c>
    </row>
    <row r="97" ht="15.75" customHeight="1">
      <c r="B97" s="29">
        <v>44860.0</v>
      </c>
      <c r="C97" s="4" t="s">
        <v>363</v>
      </c>
      <c r="D97" s="4">
        <f t="shared" si="1"/>
        <v>5</v>
      </c>
      <c r="E97" s="22">
        <f>IF(IFERROR(VLOOKUP(LEFT(C97,14),consolidado!D:D,1,0),0)&gt;0,1,0)</f>
        <v>0</v>
      </c>
      <c r="F97" s="4" t="str">
        <f>VLOOKUP(LEFT(C97,14),consolidado!D:D,1,0)</f>
        <v>#N/A</v>
      </c>
    </row>
    <row r="98" ht="15.75" customHeight="1">
      <c r="B98" s="24" t="s">
        <v>307</v>
      </c>
      <c r="C98" s="4" t="s">
        <v>307</v>
      </c>
      <c r="D98" s="4">
        <f t="shared" si="1"/>
        <v>15</v>
      </c>
      <c r="E98" s="22">
        <f>IF(IFERROR(VLOOKUP(LEFT(C98,14),consolidado!D:D,1,0),0)&gt;0,1,0)</f>
        <v>0</v>
      </c>
      <c r="F98" s="4" t="str">
        <f>VLOOKUP(LEFT(C98,14),consolidado!D:D,1,0)</f>
        <v>#N/A</v>
      </c>
    </row>
    <row r="99" ht="15.75" customHeight="1">
      <c r="B99" s="24" t="s">
        <v>308</v>
      </c>
      <c r="C99" s="4" t="s">
        <v>308</v>
      </c>
      <c r="D99" s="4">
        <f t="shared" si="1"/>
        <v>5</v>
      </c>
      <c r="E99" s="22">
        <f>IF(IFERROR(VLOOKUP(LEFT(C99,14),consolidado!D:D,1,0),0)&gt;0,1,0)</f>
        <v>0</v>
      </c>
      <c r="F99" s="4" t="str">
        <f>VLOOKUP(LEFT(C99,14),consolidado!D:D,1,0)</f>
        <v>#N/A</v>
      </c>
    </row>
    <row r="100" ht="15.75" customHeight="1">
      <c r="B100" s="24" t="s">
        <v>309</v>
      </c>
      <c r="C100" s="4" t="s">
        <v>309</v>
      </c>
      <c r="D100" s="4">
        <f t="shared" si="1"/>
        <v>9</v>
      </c>
      <c r="E100" s="22">
        <f>IF(IFERROR(VLOOKUP(LEFT(C100,14),consolidado!D:D,1,0),0)&gt;0,1,0)</f>
        <v>0</v>
      </c>
      <c r="F100" s="4" t="str">
        <f>VLOOKUP(LEFT(C100,14),consolidado!D:D,1,0)</f>
        <v>#N/A</v>
      </c>
    </row>
    <row r="101" ht="15.75" customHeight="1">
      <c r="B101" s="28"/>
      <c r="C101" s="4" t="s">
        <v>349</v>
      </c>
      <c r="D101" s="4">
        <f t="shared" si="1"/>
        <v>0</v>
      </c>
      <c r="E101" s="22">
        <f>IF(IFERROR(VLOOKUP(LEFT(C101,14),consolidado!D:D,1,0),0)&gt;0,1,0)</f>
        <v>1</v>
      </c>
      <c r="F101" s="4" t="str">
        <f>VLOOKUP(LEFT(C101,14),consolidado!D:D,1,0)</f>
        <v/>
      </c>
    </row>
    <row r="102" ht="15.75" customHeight="1">
      <c r="B102" s="30" t="s">
        <v>315</v>
      </c>
      <c r="C102" s="4" t="s">
        <v>315</v>
      </c>
      <c r="D102" s="4">
        <f t="shared" si="1"/>
        <v>11</v>
      </c>
      <c r="E102" s="22">
        <f>IF(IFERROR(VLOOKUP(LEFT(C102,14),consolidado!D:D,1,0),0)&gt;0,1,0)</f>
        <v>0</v>
      </c>
      <c r="F102" s="4" t="str">
        <f>VLOOKUP(LEFT(C102,14),consolidado!D:D,1,0)</f>
        <v>#N/A</v>
      </c>
    </row>
    <row r="103" ht="15.75" customHeight="1">
      <c r="B103" s="21" t="s">
        <v>50</v>
      </c>
      <c r="C103" s="4" t="s">
        <v>50</v>
      </c>
      <c r="D103" s="4">
        <f t="shared" si="1"/>
        <v>98</v>
      </c>
      <c r="E103" s="22">
        <f>IF(IFERROR(VLOOKUP(LEFT(C103,14),consolidado!D:D,1,0),0)&gt;0,1,0)</f>
        <v>1</v>
      </c>
      <c r="F103" s="4" t="str">
        <f>VLOOKUP(LEFT(C103,14),consolidado!D:D,1,0)</f>
        <v>Test de drogas</v>
      </c>
    </row>
    <row r="104" ht="15.75" customHeight="1">
      <c r="B104" s="29">
        <v>44804.0</v>
      </c>
      <c r="C104" s="4" t="s">
        <v>364</v>
      </c>
      <c r="D104" s="4">
        <f t="shared" si="1"/>
        <v>5</v>
      </c>
      <c r="E104" s="22">
        <f>IF(IFERROR(VLOOKUP(LEFT(C104,14),consolidado!D:D,1,0),0)&gt;0,1,0)</f>
        <v>0</v>
      </c>
      <c r="F104" s="4" t="str">
        <f>VLOOKUP(LEFT(C104,14),consolidado!D:D,1,0)</f>
        <v>#N/A</v>
      </c>
    </row>
    <row r="105" ht="15.75" customHeight="1">
      <c r="B105" s="24" t="s">
        <v>307</v>
      </c>
      <c r="C105" s="4" t="s">
        <v>307</v>
      </c>
      <c r="D105" s="4">
        <f t="shared" si="1"/>
        <v>15</v>
      </c>
      <c r="E105" s="22">
        <f>IF(IFERROR(VLOOKUP(LEFT(C105,14),consolidado!D:D,1,0),0)&gt;0,1,0)</f>
        <v>0</v>
      </c>
      <c r="F105" s="4" t="str">
        <f>VLOOKUP(LEFT(C105,14),consolidado!D:D,1,0)</f>
        <v>#N/A</v>
      </c>
    </row>
    <row r="106" ht="15.75" customHeight="1">
      <c r="B106" s="24" t="s">
        <v>308</v>
      </c>
      <c r="C106" s="4" t="s">
        <v>308</v>
      </c>
      <c r="D106" s="4">
        <f t="shared" si="1"/>
        <v>5</v>
      </c>
      <c r="E106" s="22">
        <f>IF(IFERROR(VLOOKUP(LEFT(C106,14),consolidado!D:D,1,0),0)&gt;0,1,0)</f>
        <v>0</v>
      </c>
      <c r="F106" s="4" t="str">
        <f>VLOOKUP(LEFT(C106,14),consolidado!D:D,1,0)</f>
        <v>#N/A</v>
      </c>
    </row>
    <row r="107" ht="15.75" customHeight="1">
      <c r="B107" s="24" t="s">
        <v>309</v>
      </c>
      <c r="C107" s="4" t="s">
        <v>309</v>
      </c>
      <c r="D107" s="4">
        <f t="shared" si="1"/>
        <v>9</v>
      </c>
      <c r="E107" s="22">
        <f>IF(IFERROR(VLOOKUP(LEFT(C107,14),consolidado!D:D,1,0),0)&gt;0,1,0)</f>
        <v>0</v>
      </c>
      <c r="F107" s="4" t="str">
        <f>VLOOKUP(LEFT(C107,14),consolidado!D:D,1,0)</f>
        <v>#N/A</v>
      </c>
    </row>
    <row r="108" ht="15.75" customHeight="1">
      <c r="B108" s="28"/>
      <c r="C108" s="4" t="s">
        <v>349</v>
      </c>
      <c r="D108" s="4">
        <f t="shared" si="1"/>
        <v>0</v>
      </c>
      <c r="E108" s="22">
        <f>IF(IFERROR(VLOOKUP(LEFT(C108,14),consolidado!D:D,1,0),0)&gt;0,1,0)</f>
        <v>1</v>
      </c>
      <c r="F108" s="4" t="str">
        <f>VLOOKUP(LEFT(C108,14),consolidado!D:D,1,0)</f>
        <v/>
      </c>
    </row>
    <row r="109" ht="15.75" customHeight="1">
      <c r="B109" s="30" t="s">
        <v>319</v>
      </c>
      <c r="C109" s="4" t="s">
        <v>319</v>
      </c>
      <c r="D109" s="4">
        <f t="shared" si="1"/>
        <v>5</v>
      </c>
      <c r="E109" s="22">
        <f>IF(IFERROR(VLOOKUP(LEFT(C109,14),consolidado!D:D,1,0),0)&gt;0,1,0)</f>
        <v>0</v>
      </c>
      <c r="F109" s="4" t="str">
        <f>VLOOKUP(LEFT(C109,14),consolidado!D:D,1,0)</f>
        <v>#N/A</v>
      </c>
    </row>
    <row r="110" ht="15.75" customHeight="1">
      <c r="B110" s="21" t="s">
        <v>72</v>
      </c>
      <c r="C110" s="4" t="s">
        <v>72</v>
      </c>
      <c r="D110" s="4">
        <f t="shared" si="1"/>
        <v>86</v>
      </c>
      <c r="E110" s="22">
        <f>IF(IFERROR(VLOOKUP(LEFT(C110,14),consolidado!D:D,1,0),0)&gt;0,1,0)</f>
        <v>1</v>
      </c>
      <c r="F110" s="4" t="str">
        <f>VLOOKUP(LEFT(C110,14),consolidado!D:D,1,0)</f>
        <v>Diputada Flore</v>
      </c>
    </row>
    <row r="111" ht="15.75" customHeight="1">
      <c r="B111" s="29">
        <v>44791.0</v>
      </c>
      <c r="C111" s="4" t="s">
        <v>361</v>
      </c>
      <c r="D111" s="4">
        <f t="shared" si="1"/>
        <v>5</v>
      </c>
      <c r="E111" s="22">
        <f>IF(IFERROR(VLOOKUP(LEFT(C111,14),consolidado!D:D,1,0),0)&gt;0,1,0)</f>
        <v>0</v>
      </c>
      <c r="F111" s="4" t="str">
        <f>VLOOKUP(LEFT(C111,14),consolidado!D:D,1,0)</f>
        <v>#N/A</v>
      </c>
    </row>
    <row r="112" ht="15.75" customHeight="1">
      <c r="B112" s="24" t="s">
        <v>307</v>
      </c>
      <c r="C112" s="4" t="s">
        <v>307</v>
      </c>
      <c r="D112" s="4">
        <f t="shared" si="1"/>
        <v>15</v>
      </c>
      <c r="E112" s="22">
        <f>IF(IFERROR(VLOOKUP(LEFT(C112,14),consolidado!D:D,1,0),0)&gt;0,1,0)</f>
        <v>0</v>
      </c>
      <c r="F112" s="4" t="str">
        <f>VLOOKUP(LEFT(C112,14),consolidado!D:D,1,0)</f>
        <v>#N/A</v>
      </c>
    </row>
    <row r="113" ht="15.75" customHeight="1">
      <c r="B113" s="24" t="s">
        <v>308</v>
      </c>
      <c r="C113" s="4" t="s">
        <v>308</v>
      </c>
      <c r="D113" s="4">
        <f t="shared" si="1"/>
        <v>5</v>
      </c>
      <c r="E113" s="22">
        <f>IF(IFERROR(VLOOKUP(LEFT(C113,14),consolidado!D:D,1,0),0)&gt;0,1,0)</f>
        <v>0</v>
      </c>
      <c r="F113" s="4" t="str">
        <f>VLOOKUP(LEFT(C113,14),consolidado!D:D,1,0)</f>
        <v>#N/A</v>
      </c>
    </row>
    <row r="114" ht="15.75" customHeight="1">
      <c r="B114" s="24" t="s">
        <v>309</v>
      </c>
      <c r="C114" s="4" t="s">
        <v>309</v>
      </c>
      <c r="D114" s="4">
        <f t="shared" si="1"/>
        <v>9</v>
      </c>
      <c r="E114" s="22">
        <f>IF(IFERROR(VLOOKUP(LEFT(C114,14),consolidado!D:D,1,0),0)&gt;0,1,0)</f>
        <v>0</v>
      </c>
      <c r="F114" s="4" t="str">
        <f>VLOOKUP(LEFT(C114,14),consolidado!D:D,1,0)</f>
        <v>#N/A</v>
      </c>
    </row>
    <row r="115" ht="15.75" customHeight="1">
      <c r="B115" s="28"/>
      <c r="C115" s="4" t="s">
        <v>349</v>
      </c>
      <c r="D115" s="4">
        <f t="shared" si="1"/>
        <v>0</v>
      </c>
      <c r="E115" s="22">
        <f>IF(IFERROR(VLOOKUP(LEFT(C115,14),consolidado!D:D,1,0),0)&gt;0,1,0)</f>
        <v>1</v>
      </c>
      <c r="F115" s="4" t="str">
        <f>VLOOKUP(LEFT(C115,14),consolidado!D:D,1,0)</f>
        <v/>
      </c>
    </row>
    <row r="116" ht="15.75" customHeight="1">
      <c r="B116" s="30" t="s">
        <v>316</v>
      </c>
      <c r="C116" s="4" t="s">
        <v>316</v>
      </c>
      <c r="D116" s="4">
        <f t="shared" si="1"/>
        <v>12</v>
      </c>
      <c r="E116" s="22">
        <f>IF(IFERROR(VLOOKUP(LEFT(C116,14),consolidado!D:D,1,0),0)&gt;0,1,0)</f>
        <v>0</v>
      </c>
      <c r="F116" s="4" t="str">
        <f>VLOOKUP(LEFT(C116,14),consolidado!D:D,1,0)</f>
        <v>#N/A</v>
      </c>
    </row>
    <row r="117" ht="15.75" customHeight="1">
      <c r="B117" s="21" t="s">
        <v>91</v>
      </c>
      <c r="C117" s="4" t="s">
        <v>91</v>
      </c>
      <c r="D117" s="4">
        <f t="shared" si="1"/>
        <v>89</v>
      </c>
      <c r="E117" s="22">
        <f>IF(IFERROR(VLOOKUP(LEFT(C117,14),consolidado!D:D,1,0),0)&gt;0,1,0)</f>
        <v>1</v>
      </c>
      <c r="F117" s="4" t="str">
        <f>VLOOKUP(LEFT(C117,14),consolidado!D:D,1,0)</f>
        <v>Primera minist</v>
      </c>
    </row>
    <row r="118" ht="15.75" customHeight="1">
      <c r="B118" s="29">
        <v>44795.0</v>
      </c>
      <c r="C118" s="4" t="s">
        <v>355</v>
      </c>
      <c r="D118" s="4">
        <f t="shared" si="1"/>
        <v>5</v>
      </c>
      <c r="E118" s="22">
        <f>IF(IFERROR(VLOOKUP(LEFT(C118,14),consolidado!D:D,1,0),0)&gt;0,1,0)</f>
        <v>0</v>
      </c>
      <c r="F118" s="4" t="str">
        <f>VLOOKUP(LEFT(C118,14),consolidado!D:D,1,0)</f>
        <v>#N/A</v>
      </c>
    </row>
    <row r="119" ht="15.75" customHeight="1">
      <c r="B119" s="24" t="s">
        <v>307</v>
      </c>
      <c r="C119" s="4" t="s">
        <v>307</v>
      </c>
      <c r="D119" s="4">
        <f t="shared" si="1"/>
        <v>15</v>
      </c>
      <c r="E119" s="22">
        <f>IF(IFERROR(VLOOKUP(LEFT(C119,14),consolidado!D:D,1,0),0)&gt;0,1,0)</f>
        <v>0</v>
      </c>
      <c r="F119" s="4" t="str">
        <f>VLOOKUP(LEFT(C119,14),consolidado!D:D,1,0)</f>
        <v>#N/A</v>
      </c>
    </row>
    <row r="120" ht="15.75" customHeight="1">
      <c r="B120" s="24" t="s">
        <v>308</v>
      </c>
      <c r="C120" s="4" t="s">
        <v>308</v>
      </c>
      <c r="D120" s="4">
        <f t="shared" si="1"/>
        <v>5</v>
      </c>
      <c r="E120" s="22">
        <f>IF(IFERROR(VLOOKUP(LEFT(C120,14),consolidado!D:D,1,0),0)&gt;0,1,0)</f>
        <v>0</v>
      </c>
      <c r="F120" s="4" t="str">
        <f>VLOOKUP(LEFT(C120,14),consolidado!D:D,1,0)</f>
        <v>#N/A</v>
      </c>
    </row>
    <row r="121" ht="15.75" customHeight="1">
      <c r="B121" s="24" t="s">
        <v>309</v>
      </c>
      <c r="C121" s="4" t="s">
        <v>309</v>
      </c>
      <c r="D121" s="4">
        <f t="shared" si="1"/>
        <v>9</v>
      </c>
      <c r="E121" s="22">
        <f>IF(IFERROR(VLOOKUP(LEFT(C121,14),consolidado!D:D,1,0),0)&gt;0,1,0)</f>
        <v>0</v>
      </c>
      <c r="F121" s="4" t="str">
        <f>VLOOKUP(LEFT(C121,14),consolidado!D:D,1,0)</f>
        <v>#N/A</v>
      </c>
    </row>
    <row r="122" ht="15.75" customHeight="1">
      <c r="B122" s="28"/>
      <c r="C122" s="4" t="s">
        <v>349</v>
      </c>
      <c r="D122" s="4">
        <f t="shared" si="1"/>
        <v>0</v>
      </c>
      <c r="E122" s="22">
        <f>IF(IFERROR(VLOOKUP(LEFT(C122,14),consolidado!D:D,1,0),0)&gt;0,1,0)</f>
        <v>1</v>
      </c>
      <c r="F122" s="4" t="str">
        <f>VLOOKUP(LEFT(C122,14),consolidado!D:D,1,0)</f>
        <v/>
      </c>
    </row>
    <row r="123" ht="15.75" customHeight="1">
      <c r="B123" s="32"/>
      <c r="C123" s="4" t="s">
        <v>349</v>
      </c>
      <c r="D123" s="4">
        <f t="shared" si="1"/>
        <v>0</v>
      </c>
      <c r="E123" s="22">
        <f>IF(IFERROR(VLOOKUP(LEFT(C123,14),consolidado!D:D,1,0),0)&gt;0,1,0)</f>
        <v>1</v>
      </c>
      <c r="F123" s="4" t="str">
        <f>VLOOKUP(LEFT(C123,14),consolidado!D:D,1,0)</f>
        <v/>
      </c>
    </row>
    <row r="124" ht="15.75" customHeight="1">
      <c r="B124" s="21" t="s">
        <v>87</v>
      </c>
      <c r="C124" s="4" t="s">
        <v>87</v>
      </c>
      <c r="D124" s="4">
        <f t="shared" si="1"/>
        <v>59</v>
      </c>
      <c r="E124" s="22">
        <f>IF(IFERROR(VLOOKUP(LEFT(C124,14),consolidado!D:D,1,0),0)&gt;0,1,0)</f>
        <v>1</v>
      </c>
      <c r="F124" s="4" t="str">
        <f>VLOOKUP(LEFT(C124,14),consolidado!D:D,1,0)</f>
        <v>Los diputados </v>
      </c>
    </row>
    <row r="125" ht="15.75" customHeight="1">
      <c r="B125" s="29">
        <v>44832.0</v>
      </c>
      <c r="C125" s="4" t="s">
        <v>351</v>
      </c>
      <c r="D125" s="4">
        <f t="shared" si="1"/>
        <v>5</v>
      </c>
      <c r="E125" s="22">
        <f>IF(IFERROR(VLOOKUP(LEFT(C125,14),consolidado!D:D,1,0),0)&gt;0,1,0)</f>
        <v>0</v>
      </c>
      <c r="F125" s="4" t="str">
        <f>VLOOKUP(LEFT(C125,14),consolidado!D:D,1,0)</f>
        <v>#N/A</v>
      </c>
    </row>
    <row r="126" ht="15.75" customHeight="1">
      <c r="B126" s="24" t="s">
        <v>307</v>
      </c>
      <c r="C126" s="4" t="s">
        <v>307</v>
      </c>
      <c r="D126" s="4">
        <f t="shared" si="1"/>
        <v>15</v>
      </c>
      <c r="E126" s="22">
        <f>IF(IFERROR(VLOOKUP(LEFT(C126,14),consolidado!D:D,1,0),0)&gt;0,1,0)</f>
        <v>0</v>
      </c>
      <c r="F126" s="4" t="str">
        <f>VLOOKUP(LEFT(C126,14),consolidado!D:D,1,0)</f>
        <v>#N/A</v>
      </c>
    </row>
    <row r="127" ht="15.75" customHeight="1">
      <c r="B127" s="24" t="s">
        <v>308</v>
      </c>
      <c r="C127" s="4" t="s">
        <v>308</v>
      </c>
      <c r="D127" s="4">
        <f t="shared" si="1"/>
        <v>5</v>
      </c>
      <c r="E127" s="22">
        <f>IF(IFERROR(VLOOKUP(LEFT(C127,14),consolidado!D:D,1,0),0)&gt;0,1,0)</f>
        <v>0</v>
      </c>
      <c r="F127" s="4" t="str">
        <f>VLOOKUP(LEFT(C127,14),consolidado!D:D,1,0)</f>
        <v>#N/A</v>
      </c>
    </row>
    <row r="128" ht="15.75" customHeight="1">
      <c r="B128" s="24" t="s">
        <v>309</v>
      </c>
      <c r="C128" s="4" t="s">
        <v>309</v>
      </c>
      <c r="D128" s="4">
        <f t="shared" si="1"/>
        <v>9</v>
      </c>
      <c r="E128" s="22">
        <f>IF(IFERROR(VLOOKUP(LEFT(C128,14),consolidado!D:D,1,0),0)&gt;0,1,0)</f>
        <v>0</v>
      </c>
      <c r="F128" s="4" t="str">
        <f>VLOOKUP(LEFT(C128,14),consolidado!D:D,1,0)</f>
        <v>#N/A</v>
      </c>
    </row>
    <row r="129" ht="15.75" customHeight="1">
      <c r="B129" s="28"/>
      <c r="C129" s="4" t="s">
        <v>349</v>
      </c>
      <c r="D129" s="4">
        <f t="shared" si="1"/>
        <v>0</v>
      </c>
      <c r="E129" s="22">
        <f>IF(IFERROR(VLOOKUP(LEFT(C129,14),consolidado!D:D,1,0),0)&gt;0,1,0)</f>
        <v>1</v>
      </c>
      <c r="F129" s="4" t="str">
        <f>VLOOKUP(LEFT(C129,14),consolidado!D:D,1,0)</f>
        <v/>
      </c>
    </row>
    <row r="130" ht="15.75" customHeight="1">
      <c r="B130" s="32"/>
      <c r="C130" s="4" t="s">
        <v>349</v>
      </c>
      <c r="D130" s="4">
        <f t="shared" si="1"/>
        <v>0</v>
      </c>
      <c r="E130" s="22">
        <f>IF(IFERROR(VLOOKUP(LEFT(C130,14),consolidado!D:D,1,0),0)&gt;0,1,0)</f>
        <v>1</v>
      </c>
      <c r="F130" s="4" t="str">
        <f>VLOOKUP(LEFT(C130,14),consolidado!D:D,1,0)</f>
        <v/>
      </c>
    </row>
    <row r="131" ht="15.75" customHeight="1">
      <c r="B131" s="21" t="s">
        <v>244</v>
      </c>
      <c r="C131" s="4" t="s">
        <v>244</v>
      </c>
      <c r="D131" s="4">
        <f t="shared" si="1"/>
        <v>111</v>
      </c>
      <c r="E131" s="22">
        <f>IF(IFERROR(VLOOKUP(LEFT(C131,14),consolidado!D:D,1,0),0)&gt;0,1,0)</f>
        <v>1</v>
      </c>
      <c r="F131" s="4" t="str">
        <f>VLOOKUP(LEFT(C131,14),consolidado!D:D,1,0)</f>
        <v>Primera diputa</v>
      </c>
    </row>
    <row r="132" ht="15.75" customHeight="1">
      <c r="B132" s="29">
        <v>44791.0</v>
      </c>
      <c r="C132" s="4" t="s">
        <v>361</v>
      </c>
      <c r="D132" s="4">
        <f t="shared" si="1"/>
        <v>5</v>
      </c>
      <c r="E132" s="22">
        <f>IF(IFERROR(VLOOKUP(LEFT(C132,14),consolidado!D:D,1,0),0)&gt;0,1,0)</f>
        <v>0</v>
      </c>
      <c r="F132" s="4" t="str">
        <f>VLOOKUP(LEFT(C132,14),consolidado!D:D,1,0)</f>
        <v>#N/A</v>
      </c>
    </row>
    <row r="133" ht="15.75" customHeight="1">
      <c r="B133" s="24" t="s">
        <v>307</v>
      </c>
      <c r="C133" s="4" t="s">
        <v>307</v>
      </c>
      <c r="D133" s="4">
        <f t="shared" si="1"/>
        <v>15</v>
      </c>
      <c r="E133" s="22">
        <f>IF(IFERROR(VLOOKUP(LEFT(C133,14),consolidado!D:D,1,0),0)&gt;0,1,0)</f>
        <v>0</v>
      </c>
      <c r="F133" s="4" t="str">
        <f>VLOOKUP(LEFT(C133,14),consolidado!D:D,1,0)</f>
        <v>#N/A</v>
      </c>
    </row>
    <row r="134" ht="15.75" customHeight="1">
      <c r="B134" s="24" t="s">
        <v>308</v>
      </c>
      <c r="C134" s="4" t="s">
        <v>308</v>
      </c>
      <c r="D134" s="4">
        <f t="shared" si="1"/>
        <v>5</v>
      </c>
      <c r="E134" s="22">
        <f>IF(IFERROR(VLOOKUP(LEFT(C134,14),consolidado!D:D,1,0),0)&gt;0,1,0)</f>
        <v>0</v>
      </c>
      <c r="F134" s="4" t="str">
        <f>VLOOKUP(LEFT(C134,14),consolidado!D:D,1,0)</f>
        <v>#N/A</v>
      </c>
    </row>
    <row r="135" ht="15.75" customHeight="1">
      <c r="B135" s="24" t="s">
        <v>309</v>
      </c>
      <c r="C135" s="4" t="s">
        <v>309</v>
      </c>
      <c r="D135" s="4">
        <f t="shared" si="1"/>
        <v>9</v>
      </c>
      <c r="E135" s="22">
        <f>IF(IFERROR(VLOOKUP(LEFT(C135,14),consolidado!D:D,1,0),0)&gt;0,1,0)</f>
        <v>0</v>
      </c>
      <c r="F135" s="4" t="str">
        <f>VLOOKUP(LEFT(C135,14),consolidado!D:D,1,0)</f>
        <v>#N/A</v>
      </c>
    </row>
    <row r="136" ht="15.75" customHeight="1">
      <c r="B136" s="28"/>
      <c r="C136" s="4" t="s">
        <v>349</v>
      </c>
      <c r="D136" s="4">
        <f t="shared" si="1"/>
        <v>0</v>
      </c>
      <c r="E136" s="22">
        <f>IF(IFERROR(VLOOKUP(LEFT(C136,14),consolidado!D:D,1,0),0)&gt;0,1,0)</f>
        <v>1</v>
      </c>
      <c r="F136" s="4" t="str">
        <f>VLOOKUP(LEFT(C136,14),consolidado!D:D,1,0)</f>
        <v/>
      </c>
    </row>
    <row r="137" ht="15.75" customHeight="1">
      <c r="B137" s="19" t="s">
        <v>303</v>
      </c>
      <c r="C137" s="4" t="s">
        <v>303</v>
      </c>
      <c r="D137" s="4">
        <f t="shared" si="1"/>
        <v>10</v>
      </c>
      <c r="E137" s="22">
        <f>IF(IFERROR(VLOOKUP(LEFT(C137,14),consolidado!D:D,1,0),0)&gt;0,1,0)</f>
        <v>0</v>
      </c>
      <c r="F137" s="4" t="str">
        <f>VLOOKUP(LEFT(C137,14),consolidado!D:D,1,0)</f>
        <v>#N/A</v>
      </c>
    </row>
    <row r="138" ht="15.75" customHeight="1">
      <c r="B138" s="21" t="s">
        <v>247</v>
      </c>
      <c r="C138" s="4" t="s">
        <v>247</v>
      </c>
      <c r="D138" s="4">
        <f t="shared" si="1"/>
        <v>67</v>
      </c>
      <c r="E138" s="22">
        <f>IF(IFERROR(VLOOKUP(LEFT(C138,14),consolidado!D:D,1,0),0)&gt;0,1,0)</f>
        <v>1</v>
      </c>
      <c r="F138" s="4" t="str">
        <f>VLOOKUP(LEFT(C138,14),consolidado!D:D,1,0)</f>
        <v>Escáner a José</v>
      </c>
    </row>
    <row r="139" ht="15.75" customHeight="1">
      <c r="B139" s="23" t="s">
        <v>365</v>
      </c>
      <c r="C139" s="4" t="s">
        <v>365</v>
      </c>
      <c r="D139" s="4">
        <f t="shared" si="1"/>
        <v>11</v>
      </c>
      <c r="E139" s="22">
        <f>IF(IFERROR(VLOOKUP(LEFT(C139,14),consolidado!D:D,1,0),0)&gt;0,1,0)</f>
        <v>0</v>
      </c>
      <c r="F139" s="4" t="str">
        <f>VLOOKUP(LEFT(C139,14),consolidado!D:D,1,0)</f>
        <v>#N/A</v>
      </c>
    </row>
    <row r="140" ht="15.75" customHeight="1">
      <c r="B140" s="24" t="s">
        <v>307</v>
      </c>
      <c r="C140" s="4" t="s">
        <v>307</v>
      </c>
      <c r="D140" s="4">
        <f t="shared" si="1"/>
        <v>15</v>
      </c>
      <c r="E140" s="22">
        <f>IF(IFERROR(VLOOKUP(LEFT(C140,14),consolidado!D:D,1,0),0)&gt;0,1,0)</f>
        <v>0</v>
      </c>
      <c r="F140" s="4" t="str">
        <f>VLOOKUP(LEFT(C140,14),consolidado!D:D,1,0)</f>
        <v>#N/A</v>
      </c>
    </row>
    <row r="141" ht="15.75" customHeight="1">
      <c r="B141" s="24" t="s">
        <v>308</v>
      </c>
      <c r="C141" s="4" t="s">
        <v>308</v>
      </c>
      <c r="D141" s="4">
        <f t="shared" si="1"/>
        <v>5</v>
      </c>
      <c r="E141" s="22">
        <f>IF(IFERROR(VLOOKUP(LEFT(C141,14),consolidado!D:D,1,0),0)&gt;0,1,0)</f>
        <v>0</v>
      </c>
      <c r="F141" s="4" t="str">
        <f>VLOOKUP(LEFT(C141,14),consolidado!D:D,1,0)</f>
        <v>#N/A</v>
      </c>
    </row>
    <row r="142" ht="15.75" customHeight="1">
      <c r="B142" s="24" t="s">
        <v>309</v>
      </c>
      <c r="C142" s="4" t="s">
        <v>309</v>
      </c>
      <c r="D142" s="4">
        <f t="shared" si="1"/>
        <v>9</v>
      </c>
      <c r="E142" s="22">
        <f>IF(IFERROR(VLOOKUP(LEFT(C142,14),consolidado!D:D,1,0),0)&gt;0,1,0)</f>
        <v>0</v>
      </c>
      <c r="F142" s="4" t="str">
        <f>VLOOKUP(LEFT(C142,14),consolidado!D:D,1,0)</f>
        <v>#N/A</v>
      </c>
    </row>
    <row r="143" ht="15.75" customHeight="1">
      <c r="B143" s="28"/>
      <c r="C143" s="4" t="s">
        <v>349</v>
      </c>
      <c r="D143" s="4">
        <f t="shared" si="1"/>
        <v>0</v>
      </c>
      <c r="E143" s="22">
        <f>IF(IFERROR(VLOOKUP(LEFT(C143,14),consolidado!D:D,1,0),0)&gt;0,1,0)</f>
        <v>1</v>
      </c>
      <c r="F143" s="4" t="str">
        <f>VLOOKUP(LEFT(C143,14),consolidado!D:D,1,0)</f>
        <v/>
      </c>
    </row>
    <row r="144" ht="15.75" customHeight="1">
      <c r="B144" s="32"/>
      <c r="C144" s="4" t="s">
        <v>349</v>
      </c>
      <c r="D144" s="4">
        <f t="shared" si="1"/>
        <v>0</v>
      </c>
      <c r="E144" s="22">
        <f>IF(IFERROR(VLOOKUP(LEFT(C144,14),consolidado!D:D,1,0),0)&gt;0,1,0)</f>
        <v>1</v>
      </c>
      <c r="F144" s="4" t="str">
        <f>VLOOKUP(LEFT(C144,14),consolidado!D:D,1,0)</f>
        <v/>
      </c>
    </row>
    <row r="145" ht="15.75" customHeight="1">
      <c r="B145" s="21" t="s">
        <v>249</v>
      </c>
      <c r="C145" s="4" t="s">
        <v>249</v>
      </c>
      <c r="D145" s="4">
        <f t="shared" si="1"/>
        <v>106</v>
      </c>
      <c r="E145" s="22">
        <f>IF(IFERROR(VLOOKUP(LEFT(C145,14),consolidado!D:D,1,0),0)&gt;0,1,0)</f>
        <v>1</v>
      </c>
      <c r="F145" s="4" t="str">
        <f>VLOOKUP(LEFT(C145,14),consolidado!D:D,1,0)</f>
        <v>Diputado Sáez </v>
      </c>
    </row>
    <row r="146" ht="15.75" customHeight="1">
      <c r="B146" s="29">
        <v>44791.0</v>
      </c>
      <c r="C146" s="4" t="s">
        <v>361</v>
      </c>
      <c r="D146" s="4">
        <f t="shared" si="1"/>
        <v>5</v>
      </c>
      <c r="E146" s="22">
        <f>IF(IFERROR(VLOOKUP(LEFT(C146,14),consolidado!D:D,1,0),0)&gt;0,1,0)</f>
        <v>0</v>
      </c>
      <c r="F146" s="4" t="str">
        <f>VLOOKUP(LEFT(C146,14),consolidado!D:D,1,0)</f>
        <v>#N/A</v>
      </c>
    </row>
    <row r="147" ht="15.75" customHeight="1">
      <c r="B147" s="24" t="s">
        <v>307</v>
      </c>
      <c r="C147" s="4" t="s">
        <v>307</v>
      </c>
      <c r="D147" s="4">
        <f t="shared" si="1"/>
        <v>15</v>
      </c>
      <c r="E147" s="22">
        <f>IF(IFERROR(VLOOKUP(LEFT(C147,14),consolidado!D:D,1,0),0)&gt;0,1,0)</f>
        <v>0</v>
      </c>
      <c r="F147" s="4" t="str">
        <f>VLOOKUP(LEFT(C147,14),consolidado!D:D,1,0)</f>
        <v>#N/A</v>
      </c>
    </row>
    <row r="148" ht="15.75" customHeight="1">
      <c r="B148" s="24" t="s">
        <v>308</v>
      </c>
      <c r="C148" s="4" t="s">
        <v>308</v>
      </c>
      <c r="D148" s="4">
        <f t="shared" si="1"/>
        <v>5</v>
      </c>
      <c r="E148" s="22">
        <f>IF(IFERROR(VLOOKUP(LEFT(C148,14),consolidado!D:D,1,0),0)&gt;0,1,0)</f>
        <v>0</v>
      </c>
      <c r="F148" s="4" t="str">
        <f>VLOOKUP(LEFT(C148,14),consolidado!D:D,1,0)</f>
        <v>#N/A</v>
      </c>
    </row>
    <row r="149" ht="15.75" customHeight="1">
      <c r="B149" s="24" t="s">
        <v>309</v>
      </c>
      <c r="C149" s="4" t="s">
        <v>309</v>
      </c>
      <c r="D149" s="4">
        <f t="shared" si="1"/>
        <v>9</v>
      </c>
      <c r="E149" s="22">
        <f>IF(IFERROR(VLOOKUP(LEFT(C149,14),consolidado!D:D,1,0),0)&gt;0,1,0)</f>
        <v>0</v>
      </c>
      <c r="F149" s="4" t="str">
        <f>VLOOKUP(LEFT(C149,14),consolidado!D:D,1,0)</f>
        <v>#N/A</v>
      </c>
    </row>
    <row r="150" ht="15.75" customHeight="1">
      <c r="B150" s="28"/>
      <c r="C150" s="4" t="s">
        <v>349</v>
      </c>
      <c r="D150" s="4">
        <f t="shared" si="1"/>
        <v>0</v>
      </c>
      <c r="E150" s="22">
        <f>IF(IFERROR(VLOOKUP(LEFT(C150,14),consolidado!D:D,1,0),0)&gt;0,1,0)</f>
        <v>1</v>
      </c>
      <c r="F150" s="4" t="str">
        <f>VLOOKUP(LEFT(C150,14),consolidado!D:D,1,0)</f>
        <v/>
      </c>
    </row>
    <row r="151" ht="15.75" customHeight="1">
      <c r="B151" s="32"/>
      <c r="C151" s="4" t="s">
        <v>349</v>
      </c>
      <c r="D151" s="4">
        <f t="shared" si="1"/>
        <v>0</v>
      </c>
      <c r="E151" s="22">
        <f>IF(IFERROR(VLOOKUP(LEFT(C151,14),consolidado!D:D,1,0),0)&gt;0,1,0)</f>
        <v>1</v>
      </c>
      <c r="F151" s="4" t="str">
        <f>VLOOKUP(LEFT(C151,14),consolidado!D:D,1,0)</f>
        <v/>
      </c>
    </row>
    <row r="152" ht="15.75" customHeight="1">
      <c r="B152" s="21" t="s">
        <v>266</v>
      </c>
      <c r="C152" s="4" t="s">
        <v>266</v>
      </c>
      <c r="D152" s="4">
        <f t="shared" si="1"/>
        <v>93</v>
      </c>
      <c r="E152" s="22">
        <f>IF(IFERROR(VLOOKUP(LEFT(C152,14),consolidado!D:D,1,0),0)&gt;0,1,0)</f>
        <v>1</v>
      </c>
      <c r="F152" s="4" t="str">
        <f>VLOOKUP(LEFT(C152,14),consolidado!D:D,1,0)</f>
        <v>Diputados amen</v>
      </c>
    </row>
    <row r="153" ht="15.75" customHeight="1">
      <c r="B153" s="29">
        <v>44831.0</v>
      </c>
      <c r="C153" s="4" t="s">
        <v>366</v>
      </c>
      <c r="D153" s="4">
        <f t="shared" si="1"/>
        <v>5</v>
      </c>
      <c r="E153" s="22">
        <f>IF(IFERROR(VLOOKUP(LEFT(C153,14),consolidado!D:D,1,0),0)&gt;0,1,0)</f>
        <v>0</v>
      </c>
      <c r="F153" s="4" t="str">
        <f>VLOOKUP(LEFT(C153,14),consolidado!D:D,1,0)</f>
        <v>#N/A</v>
      </c>
    </row>
    <row r="154" ht="15.75" customHeight="1">
      <c r="B154" s="24" t="s">
        <v>307</v>
      </c>
      <c r="C154" s="4" t="s">
        <v>307</v>
      </c>
      <c r="D154" s="4">
        <f t="shared" si="1"/>
        <v>15</v>
      </c>
      <c r="E154" s="22">
        <f>IF(IFERROR(VLOOKUP(LEFT(C154,14),consolidado!D:D,1,0),0)&gt;0,1,0)</f>
        <v>0</v>
      </c>
      <c r="F154" s="4" t="str">
        <f>VLOOKUP(LEFT(C154,14),consolidado!D:D,1,0)</f>
        <v>#N/A</v>
      </c>
    </row>
    <row r="155" ht="15.75" customHeight="1">
      <c r="B155" s="24" t="s">
        <v>308</v>
      </c>
      <c r="C155" s="4" t="s">
        <v>308</v>
      </c>
      <c r="D155" s="4">
        <f t="shared" si="1"/>
        <v>5</v>
      </c>
      <c r="E155" s="22">
        <f>IF(IFERROR(VLOOKUP(LEFT(C155,14),consolidado!D:D,1,0),0)&gt;0,1,0)</f>
        <v>0</v>
      </c>
      <c r="F155" s="4" t="str">
        <f>VLOOKUP(LEFT(C155,14),consolidado!D:D,1,0)</f>
        <v>#N/A</v>
      </c>
    </row>
    <row r="156" ht="15.75" customHeight="1">
      <c r="B156" s="24" t="s">
        <v>309</v>
      </c>
      <c r="C156" s="4" t="s">
        <v>309</v>
      </c>
      <c r="D156" s="4">
        <f t="shared" si="1"/>
        <v>9</v>
      </c>
      <c r="E156" s="22">
        <f>IF(IFERROR(VLOOKUP(LEFT(C156,14),consolidado!D:D,1,0),0)&gt;0,1,0)</f>
        <v>0</v>
      </c>
      <c r="F156" s="4" t="str">
        <f>VLOOKUP(LEFT(C156,14),consolidado!D:D,1,0)</f>
        <v>#N/A</v>
      </c>
    </row>
    <row r="157" ht="15.75" customHeight="1">
      <c r="B157" s="28"/>
      <c r="C157" s="4" t="s">
        <v>349</v>
      </c>
      <c r="D157" s="4">
        <f t="shared" si="1"/>
        <v>0</v>
      </c>
      <c r="E157" s="22">
        <f>IF(IFERROR(VLOOKUP(LEFT(C157,14),consolidado!D:D,1,0),0)&gt;0,1,0)</f>
        <v>1</v>
      </c>
      <c r="F157" s="4" t="str">
        <f>VLOOKUP(LEFT(C157,14),consolidado!D:D,1,0)</f>
        <v/>
      </c>
    </row>
    <row r="158" ht="15.75" customHeight="1">
      <c r="B158" s="32"/>
      <c r="C158" s="4" t="s">
        <v>349</v>
      </c>
      <c r="D158" s="4">
        <f t="shared" si="1"/>
        <v>0</v>
      </c>
      <c r="E158" s="22">
        <f>IF(IFERROR(VLOOKUP(LEFT(C158,14),consolidado!D:D,1,0),0)&gt;0,1,0)</f>
        <v>1</v>
      </c>
      <c r="F158" s="4" t="str">
        <f>VLOOKUP(LEFT(C158,14),consolidado!D:D,1,0)</f>
        <v/>
      </c>
    </row>
    <row r="159" ht="15.75" customHeight="1">
      <c r="B159" s="21" t="s">
        <v>252</v>
      </c>
      <c r="C159" s="4" t="s">
        <v>252</v>
      </c>
      <c r="D159" s="4">
        <f t="shared" si="1"/>
        <v>68</v>
      </c>
      <c r="E159" s="22">
        <f>IF(IFERROR(VLOOKUP(LEFT(C159,14),consolidado!D:D,1,0),0)&gt;0,1,0)</f>
        <v>1</v>
      </c>
      <c r="F159" s="4" t="str">
        <f>VLOOKUP(LEFT(C159,14),consolidado!D:D,1,0)</f>
        <v>Diputados de l</v>
      </c>
    </row>
    <row r="160" ht="15.75" customHeight="1">
      <c r="B160" s="29">
        <v>44803.0</v>
      </c>
      <c r="C160" s="4" t="s">
        <v>367</v>
      </c>
      <c r="D160" s="4">
        <f t="shared" si="1"/>
        <v>5</v>
      </c>
      <c r="E160" s="22">
        <f>IF(IFERROR(VLOOKUP(LEFT(C160,14),consolidado!D:D,1,0),0)&gt;0,1,0)</f>
        <v>0</v>
      </c>
      <c r="F160" s="4" t="str">
        <f>VLOOKUP(LEFT(C160,14),consolidado!D:D,1,0)</f>
        <v>#N/A</v>
      </c>
    </row>
    <row r="161" ht="15.75" customHeight="1">
      <c r="B161" s="24" t="s">
        <v>307</v>
      </c>
      <c r="C161" s="4" t="s">
        <v>307</v>
      </c>
      <c r="D161" s="4">
        <f t="shared" si="1"/>
        <v>15</v>
      </c>
      <c r="E161" s="22">
        <f>IF(IFERROR(VLOOKUP(LEFT(C161,14),consolidado!D:D,1,0),0)&gt;0,1,0)</f>
        <v>0</v>
      </c>
      <c r="F161" s="4" t="str">
        <f>VLOOKUP(LEFT(C161,14),consolidado!D:D,1,0)</f>
        <v>#N/A</v>
      </c>
    </row>
    <row r="162" ht="15.75" customHeight="1">
      <c r="B162" s="24" t="s">
        <v>308</v>
      </c>
      <c r="C162" s="4" t="s">
        <v>308</v>
      </c>
      <c r="D162" s="4">
        <f t="shared" si="1"/>
        <v>5</v>
      </c>
      <c r="E162" s="22">
        <f>IF(IFERROR(VLOOKUP(LEFT(C162,14),consolidado!D:D,1,0),0)&gt;0,1,0)</f>
        <v>0</v>
      </c>
      <c r="F162" s="4" t="str">
        <f>VLOOKUP(LEFT(C162,14),consolidado!D:D,1,0)</f>
        <v>#N/A</v>
      </c>
    </row>
    <row r="163" ht="15.75" customHeight="1">
      <c r="B163" s="24" t="s">
        <v>309</v>
      </c>
      <c r="C163" s="4" t="s">
        <v>309</v>
      </c>
      <c r="D163" s="4">
        <f t="shared" si="1"/>
        <v>9</v>
      </c>
      <c r="E163" s="22">
        <f>IF(IFERROR(VLOOKUP(LEFT(C163,14),consolidado!D:D,1,0),0)&gt;0,1,0)</f>
        <v>0</v>
      </c>
      <c r="F163" s="4" t="str">
        <f>VLOOKUP(LEFT(C163,14),consolidado!D:D,1,0)</f>
        <v>#N/A</v>
      </c>
    </row>
    <row r="164" ht="15.75" customHeight="1">
      <c r="B164" s="28"/>
      <c r="C164" s="4" t="s">
        <v>349</v>
      </c>
      <c r="D164" s="4">
        <f t="shared" si="1"/>
        <v>0</v>
      </c>
      <c r="E164" s="22">
        <f>IF(IFERROR(VLOOKUP(LEFT(C164,14),consolidado!D:D,1,0),0)&gt;0,1,0)</f>
        <v>1</v>
      </c>
      <c r="F164" s="4" t="str">
        <f>VLOOKUP(LEFT(C164,14),consolidado!D:D,1,0)</f>
        <v/>
      </c>
    </row>
    <row r="165" ht="15.75" customHeight="1">
      <c r="B165" s="32"/>
      <c r="C165" s="4" t="s">
        <v>349</v>
      </c>
      <c r="D165" s="4">
        <f t="shared" si="1"/>
        <v>0</v>
      </c>
      <c r="E165" s="22">
        <f>IF(IFERROR(VLOOKUP(LEFT(C165,14),consolidado!D:D,1,0),0)&gt;0,1,0)</f>
        <v>1</v>
      </c>
      <c r="F165" s="4" t="str">
        <f>VLOOKUP(LEFT(C165,14),consolidado!D:D,1,0)</f>
        <v/>
      </c>
    </row>
    <row r="166" ht="15.75" customHeight="1">
      <c r="B166" s="21" t="s">
        <v>112</v>
      </c>
      <c r="C166" s="4" t="s">
        <v>112</v>
      </c>
      <c r="D166" s="4">
        <f t="shared" si="1"/>
        <v>123</v>
      </c>
      <c r="E166" s="22">
        <f>IF(IFERROR(VLOOKUP(LEFT(C166,14),consolidado!D:D,1,0),0)&gt;0,1,0)</f>
        <v>1</v>
      </c>
      <c r="F166" s="4" t="str">
        <f>VLOOKUP(LEFT(C166,14),consolidado!D:D,1,0)</f>
        <v>Corte de Valpa</v>
      </c>
    </row>
    <row r="167" ht="15.75" customHeight="1">
      <c r="B167" s="29">
        <v>44831.0</v>
      </c>
      <c r="C167" s="4" t="s">
        <v>366</v>
      </c>
      <c r="D167" s="4">
        <f t="shared" si="1"/>
        <v>5</v>
      </c>
      <c r="E167" s="22">
        <f>IF(IFERROR(VLOOKUP(LEFT(C167,14),consolidado!D:D,1,0),0)&gt;0,1,0)</f>
        <v>0</v>
      </c>
      <c r="F167" s="4" t="str">
        <f>VLOOKUP(LEFT(C167,14),consolidado!D:D,1,0)</f>
        <v>#N/A</v>
      </c>
    </row>
    <row r="168" ht="15.75" customHeight="1">
      <c r="B168" s="24" t="s">
        <v>307</v>
      </c>
      <c r="C168" s="4" t="s">
        <v>307</v>
      </c>
      <c r="D168" s="4">
        <f t="shared" si="1"/>
        <v>15</v>
      </c>
      <c r="E168" s="22">
        <f>IF(IFERROR(VLOOKUP(LEFT(C168,14),consolidado!D:D,1,0),0)&gt;0,1,0)</f>
        <v>0</v>
      </c>
      <c r="F168" s="4" t="str">
        <f>VLOOKUP(LEFT(C168,14),consolidado!D:D,1,0)</f>
        <v>#N/A</v>
      </c>
    </row>
    <row r="169" ht="15.75" customHeight="1">
      <c r="B169" s="24" t="s">
        <v>308</v>
      </c>
      <c r="C169" s="4" t="s">
        <v>308</v>
      </c>
      <c r="D169" s="4">
        <f t="shared" si="1"/>
        <v>5</v>
      </c>
      <c r="E169" s="22">
        <f>IF(IFERROR(VLOOKUP(LEFT(C169,14),consolidado!D:D,1,0),0)&gt;0,1,0)</f>
        <v>0</v>
      </c>
      <c r="F169" s="4" t="str">
        <f>VLOOKUP(LEFT(C169,14),consolidado!D:D,1,0)</f>
        <v>#N/A</v>
      </c>
    </row>
    <row r="170" ht="15.75" customHeight="1">
      <c r="B170" s="24" t="s">
        <v>309</v>
      </c>
      <c r="C170" s="4" t="s">
        <v>309</v>
      </c>
      <c r="D170" s="4">
        <f t="shared" si="1"/>
        <v>9</v>
      </c>
      <c r="E170" s="22">
        <f>IF(IFERROR(VLOOKUP(LEFT(C170,14),consolidado!D:D,1,0),0)&gt;0,1,0)</f>
        <v>0</v>
      </c>
      <c r="F170" s="4" t="str">
        <f>VLOOKUP(LEFT(C170,14),consolidado!D:D,1,0)</f>
        <v>#N/A</v>
      </c>
    </row>
    <row r="171" ht="15.75" customHeight="1">
      <c r="B171" s="28"/>
      <c r="C171" s="4" t="s">
        <v>349</v>
      </c>
      <c r="D171" s="4">
        <f t="shared" si="1"/>
        <v>0</v>
      </c>
      <c r="E171" s="22">
        <f>IF(IFERROR(VLOOKUP(LEFT(C171,14),consolidado!D:D,1,0),0)&gt;0,1,0)</f>
        <v>1</v>
      </c>
      <c r="F171" s="4" t="str">
        <f>VLOOKUP(LEFT(C171,14),consolidado!D:D,1,0)</f>
        <v/>
      </c>
    </row>
    <row r="172" ht="15.75" customHeight="1">
      <c r="B172" s="30" t="s">
        <v>335</v>
      </c>
      <c r="C172" s="4" t="s">
        <v>335</v>
      </c>
      <c r="D172" s="4">
        <f t="shared" si="1"/>
        <v>33</v>
      </c>
      <c r="E172" s="22">
        <f>IF(IFERROR(VLOOKUP(LEFT(C172,14),consolidado!D:D,1,0),0)&gt;0,1,0)</f>
        <v>0</v>
      </c>
      <c r="F172" s="4" t="str">
        <f>VLOOKUP(LEFT(C172,14),consolidado!D:D,1,0)</f>
        <v>#N/A</v>
      </c>
    </row>
    <row r="173" ht="15.75" customHeight="1">
      <c r="B173" s="21" t="s">
        <v>140</v>
      </c>
      <c r="C173" s="4" t="s">
        <v>140</v>
      </c>
      <c r="D173" s="4">
        <f t="shared" si="1"/>
        <v>109</v>
      </c>
      <c r="E173" s="22">
        <f>IF(IFERROR(VLOOKUP(LEFT(C173,14),consolidado!D:D,1,0),0)&gt;0,1,0)</f>
        <v>1</v>
      </c>
      <c r="F173" s="4" t="str">
        <f>VLOOKUP(LEFT(C173,14),consolidado!D:D,1,0)</f>
        <v>Radio Bío Bío </v>
      </c>
    </row>
    <row r="174" ht="15.75" customHeight="1">
      <c r="B174" s="29">
        <v>44761.0</v>
      </c>
      <c r="C174" s="4" t="s">
        <v>368</v>
      </c>
      <c r="D174" s="4">
        <f t="shared" si="1"/>
        <v>5</v>
      </c>
      <c r="E174" s="22">
        <f>IF(IFERROR(VLOOKUP(LEFT(C174,14),consolidado!D:D,1,0),0)&gt;0,1,0)</f>
        <v>0</v>
      </c>
      <c r="F174" s="4" t="str">
        <f>VLOOKUP(LEFT(C174,14),consolidado!D:D,1,0)</f>
        <v>#N/A</v>
      </c>
    </row>
    <row r="175" ht="15.75" customHeight="1">
      <c r="B175" s="24" t="s">
        <v>307</v>
      </c>
      <c r="C175" s="4" t="s">
        <v>307</v>
      </c>
      <c r="D175" s="4">
        <f t="shared" si="1"/>
        <v>15</v>
      </c>
      <c r="E175" s="22">
        <f>IF(IFERROR(VLOOKUP(LEFT(C175,14),consolidado!D:D,1,0),0)&gt;0,1,0)</f>
        <v>0</v>
      </c>
      <c r="F175" s="4" t="str">
        <f>VLOOKUP(LEFT(C175,14),consolidado!D:D,1,0)</f>
        <v>#N/A</v>
      </c>
    </row>
    <row r="176" ht="15.75" customHeight="1">
      <c r="B176" s="24" t="s">
        <v>308</v>
      </c>
      <c r="C176" s="4" t="s">
        <v>308</v>
      </c>
      <c r="D176" s="4">
        <f t="shared" si="1"/>
        <v>5</v>
      </c>
      <c r="E176" s="22">
        <f>IF(IFERROR(VLOOKUP(LEFT(C176,14),consolidado!D:D,1,0),0)&gt;0,1,0)</f>
        <v>0</v>
      </c>
      <c r="F176" s="4" t="str">
        <f>VLOOKUP(LEFT(C176,14),consolidado!D:D,1,0)</f>
        <v>#N/A</v>
      </c>
    </row>
    <row r="177" ht="15.75" customHeight="1">
      <c r="B177" s="24" t="s">
        <v>309</v>
      </c>
      <c r="C177" s="4" t="s">
        <v>309</v>
      </c>
      <c r="D177" s="4">
        <f t="shared" si="1"/>
        <v>9</v>
      </c>
      <c r="E177" s="22">
        <f>IF(IFERROR(VLOOKUP(LEFT(C177,14),consolidado!D:D,1,0),0)&gt;0,1,0)</f>
        <v>0</v>
      </c>
      <c r="F177" s="4" t="str">
        <f>VLOOKUP(LEFT(C177,14),consolidado!D:D,1,0)</f>
        <v>#N/A</v>
      </c>
    </row>
    <row r="178" ht="15.75" customHeight="1">
      <c r="B178" s="28"/>
      <c r="C178" s="4" t="s">
        <v>349</v>
      </c>
      <c r="D178" s="4">
        <f t="shared" si="1"/>
        <v>0</v>
      </c>
      <c r="E178" s="22">
        <f>IF(IFERROR(VLOOKUP(LEFT(C178,14),consolidado!D:D,1,0),0)&gt;0,1,0)</f>
        <v>1</v>
      </c>
      <c r="F178" s="4" t="str">
        <f>VLOOKUP(LEFT(C178,14),consolidado!D:D,1,0)</f>
        <v/>
      </c>
    </row>
    <row r="179" ht="15.75" customHeight="1">
      <c r="B179" s="32"/>
      <c r="C179" s="4" t="s">
        <v>349</v>
      </c>
      <c r="D179" s="4">
        <f t="shared" si="1"/>
        <v>0</v>
      </c>
      <c r="E179" s="22">
        <f>IF(IFERROR(VLOOKUP(LEFT(C179,14),consolidado!D:D,1,0),0)&gt;0,1,0)</f>
        <v>1</v>
      </c>
      <c r="F179" s="4" t="str">
        <f>VLOOKUP(LEFT(C179,14),consolidado!D:D,1,0)</f>
        <v/>
      </c>
    </row>
    <row r="180" ht="15.75" customHeight="1">
      <c r="B180" s="21" t="s">
        <v>151</v>
      </c>
      <c r="C180" s="4" t="s">
        <v>151</v>
      </c>
      <c r="D180" s="4">
        <f t="shared" si="1"/>
        <v>92</v>
      </c>
      <c r="E180" s="22">
        <f>IF(IFERROR(VLOOKUP(LEFT(C180,14),consolidado!D:D,1,0),0)&gt;0,1,0)</f>
        <v>1</v>
      </c>
      <c r="F180" s="4" t="str">
        <f>VLOOKUP(LEFT(C180,14),consolidado!D:D,1,0)</f>
        <v>"No voy a sata</v>
      </c>
    </row>
    <row r="181" ht="15.75" customHeight="1">
      <c r="B181" s="29">
        <v>44728.0</v>
      </c>
      <c r="C181" s="4" t="s">
        <v>369</v>
      </c>
      <c r="D181" s="4">
        <f t="shared" si="1"/>
        <v>5</v>
      </c>
      <c r="E181" s="22">
        <f>IF(IFERROR(VLOOKUP(LEFT(C181,14),consolidado!D:D,1,0),0)&gt;0,1,0)</f>
        <v>0</v>
      </c>
      <c r="F181" s="4" t="str">
        <f>VLOOKUP(LEFT(C181,14),consolidado!D:D,1,0)</f>
        <v>#N/A</v>
      </c>
    </row>
    <row r="182" ht="15.75" customHeight="1">
      <c r="B182" s="24" t="s">
        <v>307</v>
      </c>
      <c r="C182" s="4" t="s">
        <v>307</v>
      </c>
      <c r="D182" s="4">
        <f t="shared" si="1"/>
        <v>15</v>
      </c>
      <c r="E182" s="22">
        <f>IF(IFERROR(VLOOKUP(LEFT(C182,14),consolidado!D:D,1,0),0)&gt;0,1,0)</f>
        <v>0</v>
      </c>
      <c r="F182" s="4" t="str">
        <f>VLOOKUP(LEFT(C182,14),consolidado!D:D,1,0)</f>
        <v>#N/A</v>
      </c>
    </row>
    <row r="183" ht="15.75" customHeight="1">
      <c r="B183" s="24" t="s">
        <v>308</v>
      </c>
      <c r="C183" s="4" t="s">
        <v>308</v>
      </c>
      <c r="D183" s="4">
        <f t="shared" si="1"/>
        <v>5</v>
      </c>
      <c r="E183" s="22">
        <f>IF(IFERROR(VLOOKUP(LEFT(C183,14),consolidado!D:D,1,0),0)&gt;0,1,0)</f>
        <v>0</v>
      </c>
      <c r="F183" s="4" t="str">
        <f>VLOOKUP(LEFT(C183,14),consolidado!D:D,1,0)</f>
        <v>#N/A</v>
      </c>
    </row>
    <row r="184" ht="15.75" customHeight="1">
      <c r="B184" s="24" t="s">
        <v>309</v>
      </c>
      <c r="C184" s="4" t="s">
        <v>309</v>
      </c>
      <c r="D184" s="4">
        <f t="shared" si="1"/>
        <v>9</v>
      </c>
      <c r="E184" s="22">
        <f>IF(IFERROR(VLOOKUP(LEFT(C184,14),consolidado!D:D,1,0),0)&gt;0,1,0)</f>
        <v>0</v>
      </c>
      <c r="F184" s="4" t="str">
        <f>VLOOKUP(LEFT(C184,14),consolidado!D:D,1,0)</f>
        <v>#N/A</v>
      </c>
    </row>
    <row r="185" ht="15.75" customHeight="1">
      <c r="B185" s="28"/>
      <c r="C185" s="4" t="s">
        <v>349</v>
      </c>
      <c r="D185" s="4">
        <f t="shared" si="1"/>
        <v>0</v>
      </c>
      <c r="E185" s="22">
        <f>IF(IFERROR(VLOOKUP(LEFT(C185,14),consolidado!D:D,1,0),0)&gt;0,1,0)</f>
        <v>1</v>
      </c>
      <c r="F185" s="4" t="str">
        <f>VLOOKUP(LEFT(C185,14),consolidado!D:D,1,0)</f>
        <v/>
      </c>
    </row>
    <row r="186" ht="15.75" customHeight="1">
      <c r="B186" s="30" t="s">
        <v>370</v>
      </c>
      <c r="C186" s="4" t="s">
        <v>370</v>
      </c>
      <c r="D186" s="4">
        <f t="shared" si="1"/>
        <v>8</v>
      </c>
      <c r="E186" s="22">
        <f>IF(IFERROR(VLOOKUP(LEFT(C186,14),consolidado!D:D,1,0),0)&gt;0,1,0)</f>
        <v>0</v>
      </c>
      <c r="F186" s="4" t="str">
        <f>VLOOKUP(LEFT(C186,14),consolidado!D:D,1,0)</f>
        <v>#N/A</v>
      </c>
    </row>
    <row r="187" ht="15.75" customHeight="1">
      <c r="B187" s="21" t="s">
        <v>256</v>
      </c>
      <c r="C187" s="4" t="s">
        <v>256</v>
      </c>
      <c r="D187" s="4">
        <f t="shared" si="1"/>
        <v>91</v>
      </c>
      <c r="E187" s="22">
        <f>IF(IFERROR(VLOOKUP(LEFT(C187,14),consolidado!D:D,1,0),0)&gt;0,1,0)</f>
        <v>1</v>
      </c>
      <c r="F187" s="4" t="str">
        <f>VLOOKUP(LEFT(C187,14),consolidado!D:D,1,0)</f>
        <v>TURQUÍIA Ankar</v>
      </c>
    </row>
    <row r="188" ht="15.75" customHeight="1">
      <c r="B188" s="23" t="s">
        <v>371</v>
      </c>
      <c r="C188" s="4" t="s">
        <v>371</v>
      </c>
      <c r="D188" s="4">
        <f t="shared" si="1"/>
        <v>12</v>
      </c>
      <c r="E188" s="22">
        <f>IF(IFERROR(VLOOKUP(LEFT(C188,14),consolidado!D:D,1,0),0)&gt;0,1,0)</f>
        <v>0</v>
      </c>
      <c r="F188" s="4" t="str">
        <f>VLOOKUP(LEFT(C188,14),consolidado!D:D,1,0)</f>
        <v>#N/A</v>
      </c>
    </row>
    <row r="189" ht="15.75" customHeight="1">
      <c r="B189" s="24" t="s">
        <v>307</v>
      </c>
      <c r="C189" s="4" t="s">
        <v>307</v>
      </c>
      <c r="D189" s="4">
        <f t="shared" si="1"/>
        <v>15</v>
      </c>
      <c r="E189" s="22">
        <f>IF(IFERROR(VLOOKUP(LEFT(C189,14),consolidado!D:D,1,0),0)&gt;0,1,0)</f>
        <v>0</v>
      </c>
      <c r="F189" s="4" t="str">
        <f>VLOOKUP(LEFT(C189,14),consolidado!D:D,1,0)</f>
        <v>#N/A</v>
      </c>
    </row>
    <row r="190" ht="15.75" customHeight="1">
      <c r="B190" s="24" t="s">
        <v>308</v>
      </c>
      <c r="C190" s="4" t="s">
        <v>308</v>
      </c>
      <c r="D190" s="4">
        <f t="shared" si="1"/>
        <v>5</v>
      </c>
      <c r="E190" s="22">
        <f>IF(IFERROR(VLOOKUP(LEFT(C190,14),consolidado!D:D,1,0),0)&gt;0,1,0)</f>
        <v>0</v>
      </c>
      <c r="F190" s="4" t="str">
        <f>VLOOKUP(LEFT(C190,14),consolidado!D:D,1,0)</f>
        <v>#N/A</v>
      </c>
    </row>
    <row r="191" ht="15.75" customHeight="1">
      <c r="B191" s="24" t="s">
        <v>309</v>
      </c>
      <c r="C191" s="4" t="s">
        <v>309</v>
      </c>
      <c r="D191" s="4">
        <f t="shared" si="1"/>
        <v>9</v>
      </c>
      <c r="E191" s="22">
        <f>IF(IFERROR(VLOOKUP(LEFT(C191,14),consolidado!D:D,1,0),0)&gt;0,1,0)</f>
        <v>0</v>
      </c>
      <c r="F191" s="4" t="str">
        <f>VLOOKUP(LEFT(C191,14),consolidado!D:D,1,0)</f>
        <v>#N/A</v>
      </c>
    </row>
    <row r="192" ht="15.75" customHeight="1">
      <c r="B192" s="28"/>
      <c r="C192" s="4" t="s">
        <v>349</v>
      </c>
      <c r="D192" s="4">
        <f t="shared" si="1"/>
        <v>0</v>
      </c>
      <c r="E192" s="22">
        <f>IF(IFERROR(VLOOKUP(LEFT(C192,14),consolidado!D:D,1,0),0)&gt;0,1,0)</f>
        <v>1</v>
      </c>
      <c r="F192" s="4" t="str">
        <f>VLOOKUP(LEFT(C192,14),consolidado!D:D,1,0)</f>
        <v/>
      </c>
    </row>
    <row r="193" ht="15.75" customHeight="1">
      <c r="B193" s="30" t="s">
        <v>372</v>
      </c>
      <c r="C193" s="4" t="s">
        <v>372</v>
      </c>
      <c r="D193" s="4">
        <f t="shared" si="1"/>
        <v>14</v>
      </c>
      <c r="E193" s="22">
        <f>IF(IFERROR(VLOOKUP(LEFT(C193,14),consolidado!D:D,1,0),0)&gt;0,1,0)</f>
        <v>0</v>
      </c>
      <c r="F193" s="4" t="str">
        <f>VLOOKUP(LEFT(C193,14),consolidado!D:D,1,0)</f>
        <v>#N/A</v>
      </c>
    </row>
    <row r="194" ht="15.75" customHeight="1">
      <c r="B194" s="21" t="s">
        <v>258</v>
      </c>
      <c r="C194" s="4" t="s">
        <v>258</v>
      </c>
      <c r="D194" s="4">
        <f t="shared" si="1"/>
        <v>79</v>
      </c>
      <c r="E194" s="22">
        <f>IF(IFERROR(VLOOKUP(LEFT(C194,14),consolidado!D:D,1,0),0)&gt;0,1,0)</f>
        <v>1</v>
      </c>
      <c r="F194" s="4" t="str">
        <f>VLOOKUP(LEFT(C194,14),consolidado!D:D,1,0)</f>
        <v>Diputada Gazmu</v>
      </c>
    </row>
    <row r="195" ht="15.75" customHeight="1">
      <c r="B195" s="29">
        <v>44774.0</v>
      </c>
      <c r="C195" s="4" t="s">
        <v>373</v>
      </c>
      <c r="D195" s="4">
        <f t="shared" si="1"/>
        <v>5</v>
      </c>
      <c r="E195" s="22">
        <f>IF(IFERROR(VLOOKUP(LEFT(C195,14),consolidado!D:D,1,0),0)&gt;0,1,0)</f>
        <v>0</v>
      </c>
      <c r="F195" s="4" t="str">
        <f>VLOOKUP(LEFT(C195,14),consolidado!D:D,1,0)</f>
        <v>#N/A</v>
      </c>
    </row>
    <row r="196" ht="15.75" customHeight="1">
      <c r="B196" s="24" t="s">
        <v>307</v>
      </c>
      <c r="C196" s="4" t="s">
        <v>307</v>
      </c>
      <c r="D196" s="4">
        <f t="shared" si="1"/>
        <v>15</v>
      </c>
      <c r="E196" s="22">
        <f>IF(IFERROR(VLOOKUP(LEFT(C196,14),consolidado!D:D,1,0),0)&gt;0,1,0)</f>
        <v>0</v>
      </c>
      <c r="F196" s="4" t="str">
        <f>VLOOKUP(LEFT(C196,14),consolidado!D:D,1,0)</f>
        <v>#N/A</v>
      </c>
    </row>
    <row r="197" ht="15.75" customHeight="1">
      <c r="B197" s="24" t="s">
        <v>308</v>
      </c>
      <c r="C197" s="4" t="s">
        <v>308</v>
      </c>
      <c r="D197" s="4">
        <f t="shared" si="1"/>
        <v>5</v>
      </c>
      <c r="E197" s="22">
        <f>IF(IFERROR(VLOOKUP(LEFT(C197,14),consolidado!D:D,1,0),0)&gt;0,1,0)</f>
        <v>0</v>
      </c>
      <c r="F197" s="4" t="str">
        <f>VLOOKUP(LEFT(C197,14),consolidado!D:D,1,0)</f>
        <v>#N/A</v>
      </c>
    </row>
    <row r="198" ht="15.75" customHeight="1">
      <c r="B198" s="24" t="s">
        <v>309</v>
      </c>
      <c r="C198" s="4" t="s">
        <v>309</v>
      </c>
      <c r="D198" s="4">
        <f t="shared" si="1"/>
        <v>9</v>
      </c>
      <c r="E198" s="22">
        <f>IF(IFERROR(VLOOKUP(LEFT(C198,14),consolidado!D:D,1,0),0)&gt;0,1,0)</f>
        <v>0</v>
      </c>
      <c r="F198" s="4" t="str">
        <f>VLOOKUP(LEFT(C198,14),consolidado!D:D,1,0)</f>
        <v>#N/A</v>
      </c>
    </row>
    <row r="199" ht="15.75" customHeight="1">
      <c r="B199" s="28"/>
      <c r="C199" s="4" t="s">
        <v>349</v>
      </c>
      <c r="D199" s="4">
        <f t="shared" si="1"/>
        <v>0</v>
      </c>
      <c r="E199" s="22">
        <f>IF(IFERROR(VLOOKUP(LEFT(C199,14),consolidado!D:D,1,0),0)&gt;0,1,0)</f>
        <v>1</v>
      </c>
      <c r="F199" s="4" t="str">
        <f>VLOOKUP(LEFT(C199,14),consolidado!D:D,1,0)</f>
        <v/>
      </c>
    </row>
    <row r="200" ht="15.75" customHeight="1">
      <c r="B200" s="32"/>
      <c r="C200" s="4" t="s">
        <v>349</v>
      </c>
      <c r="D200" s="4">
        <f t="shared" si="1"/>
        <v>0</v>
      </c>
      <c r="E200" s="22">
        <f>IF(IFERROR(VLOOKUP(LEFT(C200,14),consolidado!D:D,1,0),0)&gt;0,1,0)</f>
        <v>1</v>
      </c>
      <c r="F200" s="4" t="str">
        <f>VLOOKUP(LEFT(C200,14),consolidado!D:D,1,0)</f>
        <v/>
      </c>
    </row>
    <row r="201" ht="15.75" customHeight="1">
      <c r="B201" s="21" t="s">
        <v>261</v>
      </c>
      <c r="C201" s="4" t="s">
        <v>261</v>
      </c>
      <c r="D201" s="4">
        <f t="shared" si="1"/>
        <v>131</v>
      </c>
      <c r="E201" s="22">
        <f>IF(IFERROR(VLOOKUP(LEFT(C201,14),consolidado!D:D,1,0),0)&gt;0,1,0)</f>
        <v>1</v>
      </c>
      <c r="F201" s="4" t="str">
        <f>VLOOKUP(LEFT(C201,14),consolidado!D:D,1,0)</f>
        <v>El PSOE y sus </v>
      </c>
    </row>
    <row r="202" ht="15.75" customHeight="1">
      <c r="B202" s="29">
        <v>44825.0</v>
      </c>
      <c r="C202" s="4" t="s">
        <v>374</v>
      </c>
      <c r="D202" s="4">
        <f t="shared" si="1"/>
        <v>5</v>
      </c>
      <c r="E202" s="22">
        <f>IF(IFERROR(VLOOKUP(LEFT(C202,14),consolidado!D:D,1,0),0)&gt;0,1,0)</f>
        <v>0</v>
      </c>
      <c r="F202" s="4" t="str">
        <f>VLOOKUP(LEFT(C202,14),consolidado!D:D,1,0)</f>
        <v>#N/A</v>
      </c>
    </row>
    <row r="203" ht="15.75" customHeight="1">
      <c r="B203" s="24" t="s">
        <v>307</v>
      </c>
      <c r="C203" s="4" t="s">
        <v>307</v>
      </c>
      <c r="D203" s="4">
        <f t="shared" si="1"/>
        <v>15</v>
      </c>
      <c r="E203" s="22">
        <f>IF(IFERROR(VLOOKUP(LEFT(C203,14),consolidado!D:D,1,0),0)&gt;0,1,0)</f>
        <v>0</v>
      </c>
      <c r="F203" s="4" t="str">
        <f>VLOOKUP(LEFT(C203,14),consolidado!D:D,1,0)</f>
        <v>#N/A</v>
      </c>
    </row>
    <row r="204" ht="15.75" customHeight="1">
      <c r="B204" s="24" t="s">
        <v>308</v>
      </c>
      <c r="C204" s="4" t="s">
        <v>308</v>
      </c>
      <c r="D204" s="4">
        <f t="shared" si="1"/>
        <v>5</v>
      </c>
      <c r="E204" s="22">
        <f>IF(IFERROR(VLOOKUP(LEFT(C204,14),consolidado!D:D,1,0),0)&gt;0,1,0)</f>
        <v>0</v>
      </c>
      <c r="F204" s="4" t="str">
        <f>VLOOKUP(LEFT(C204,14),consolidado!D:D,1,0)</f>
        <v>#N/A</v>
      </c>
    </row>
    <row r="205" ht="15.75" customHeight="1">
      <c r="B205" s="24" t="s">
        <v>309</v>
      </c>
      <c r="C205" s="4" t="s">
        <v>309</v>
      </c>
      <c r="D205" s="4">
        <f t="shared" si="1"/>
        <v>9</v>
      </c>
      <c r="E205" s="22">
        <f>IF(IFERROR(VLOOKUP(LEFT(C205,14),consolidado!D:D,1,0),0)&gt;0,1,0)</f>
        <v>0</v>
      </c>
      <c r="F205" s="4" t="str">
        <f>VLOOKUP(LEFT(C205,14),consolidado!D:D,1,0)</f>
        <v>#N/A</v>
      </c>
    </row>
    <row r="206" ht="15.75" customHeight="1">
      <c r="B206" s="28"/>
      <c r="C206" s="4" t="s">
        <v>349</v>
      </c>
      <c r="D206" s="4">
        <f t="shared" si="1"/>
        <v>0</v>
      </c>
      <c r="E206" s="22">
        <f>IF(IFERROR(VLOOKUP(LEFT(C206,14),consolidado!D:D,1,0),0)&gt;0,1,0)</f>
        <v>1</v>
      </c>
      <c r="F206" s="4" t="str">
        <f>VLOOKUP(LEFT(C206,14),consolidado!D:D,1,0)</f>
        <v/>
      </c>
    </row>
    <row r="207" ht="15.75" customHeight="1">
      <c r="B207" s="32"/>
      <c r="C207" s="4" t="s">
        <v>349</v>
      </c>
      <c r="D207" s="4">
        <f t="shared" si="1"/>
        <v>0</v>
      </c>
      <c r="E207" s="22">
        <f>IF(IFERROR(VLOOKUP(LEFT(C207,14),consolidado!D:D,1,0),0)&gt;0,1,0)</f>
        <v>1</v>
      </c>
      <c r="F207" s="4" t="str">
        <f>VLOOKUP(LEFT(C207,14),consolidado!D:D,1,0)</f>
        <v/>
      </c>
    </row>
    <row r="208" ht="15.75" customHeight="1">
      <c r="B208" s="21" t="s">
        <v>177</v>
      </c>
      <c r="C208" s="4" t="s">
        <v>177</v>
      </c>
      <c r="D208" s="4">
        <f t="shared" si="1"/>
        <v>119</v>
      </c>
      <c r="E208" s="22">
        <f>IF(IFERROR(VLOOKUP(LEFT(C208,14),consolidado!D:D,1,0),0)&gt;0,1,0)</f>
        <v>1</v>
      </c>
      <c r="F208" s="4" t="str">
        <f>VLOOKUP(LEFT(C208,14),consolidado!D:D,1,0)</f>
        <v>Debutó este lu</v>
      </c>
    </row>
    <row r="209" ht="15.75" customHeight="1">
      <c r="B209" s="23" t="s">
        <v>340</v>
      </c>
      <c r="C209" s="4" t="s">
        <v>340</v>
      </c>
      <c r="D209" s="4">
        <f t="shared" si="1"/>
        <v>13</v>
      </c>
      <c r="E209" s="22">
        <f>IF(IFERROR(VLOOKUP(LEFT(C209,14),consolidado!D:D,1,0),0)&gt;0,1,0)</f>
        <v>0</v>
      </c>
      <c r="F209" s="4" t="str">
        <f>VLOOKUP(LEFT(C209,14),consolidado!D:D,1,0)</f>
        <v>#N/A</v>
      </c>
    </row>
    <row r="210" ht="15.75" customHeight="1">
      <c r="B210" s="24" t="s">
        <v>307</v>
      </c>
      <c r="C210" s="4" t="s">
        <v>307</v>
      </c>
      <c r="D210" s="4">
        <f t="shared" si="1"/>
        <v>15</v>
      </c>
      <c r="E210" s="22">
        <f>IF(IFERROR(VLOOKUP(LEFT(C210,14),consolidado!D:D,1,0),0)&gt;0,1,0)</f>
        <v>0</v>
      </c>
      <c r="F210" s="4" t="str">
        <f>VLOOKUP(LEFT(C210,14),consolidado!D:D,1,0)</f>
        <v>#N/A</v>
      </c>
    </row>
    <row r="211" ht="15.75" customHeight="1">
      <c r="B211" s="24" t="s">
        <v>308</v>
      </c>
      <c r="C211" s="4" t="s">
        <v>308</v>
      </c>
      <c r="D211" s="4">
        <f t="shared" si="1"/>
        <v>5</v>
      </c>
      <c r="E211" s="22">
        <f>IF(IFERROR(VLOOKUP(LEFT(C211,14),consolidado!D:D,1,0),0)&gt;0,1,0)</f>
        <v>0</v>
      </c>
      <c r="F211" s="4" t="str">
        <f>VLOOKUP(LEFT(C211,14),consolidado!D:D,1,0)</f>
        <v>#N/A</v>
      </c>
    </row>
    <row r="212" ht="15.75" customHeight="1">
      <c r="B212" s="24" t="s">
        <v>309</v>
      </c>
      <c r="C212" s="4" t="s">
        <v>309</v>
      </c>
      <c r="D212" s="4">
        <f t="shared" si="1"/>
        <v>9</v>
      </c>
      <c r="E212" s="22">
        <f>IF(IFERROR(VLOOKUP(LEFT(C212,14),consolidado!D:D,1,0),0)&gt;0,1,0)</f>
        <v>0</v>
      </c>
      <c r="F212" s="4" t="str">
        <f>VLOOKUP(LEFT(C212,14),consolidado!D:D,1,0)</f>
        <v>#N/A</v>
      </c>
    </row>
    <row r="213" ht="15.75" customHeight="1">
      <c r="B213" s="28"/>
      <c r="C213" s="4" t="s">
        <v>349</v>
      </c>
      <c r="D213" s="4">
        <f t="shared" si="1"/>
        <v>0</v>
      </c>
      <c r="E213" s="22">
        <f>IF(IFERROR(VLOOKUP(LEFT(C213,14),consolidado!D:D,1,0),0)&gt;0,1,0)</f>
        <v>1</v>
      </c>
      <c r="F213" s="4" t="str">
        <f>VLOOKUP(LEFT(C213,14),consolidado!D:D,1,0)</f>
        <v/>
      </c>
    </row>
    <row r="214" ht="15.75" customHeight="1">
      <c r="B214" s="32"/>
      <c r="C214" s="4" t="s">
        <v>349</v>
      </c>
      <c r="D214" s="4">
        <f t="shared" si="1"/>
        <v>0</v>
      </c>
      <c r="E214" s="22">
        <f>IF(IFERROR(VLOOKUP(LEFT(C214,14),consolidado!D:D,1,0),0)&gt;0,1,0)</f>
        <v>1</v>
      </c>
      <c r="F214" s="4" t="str">
        <f>VLOOKUP(LEFT(C214,14),consolidado!D:D,1,0)</f>
        <v/>
      </c>
    </row>
    <row r="215" ht="15.75" customHeight="1">
      <c r="B215" s="21" t="s">
        <v>264</v>
      </c>
      <c r="C215" s="4" t="s">
        <v>264</v>
      </c>
      <c r="D215" s="4">
        <f t="shared" si="1"/>
        <v>91</v>
      </c>
      <c r="E215" s="22">
        <f>IF(IFERROR(VLOOKUP(LEFT(C215,14),consolidado!D:D,1,0),0)&gt;0,1,0)</f>
        <v>1</v>
      </c>
      <c r="F215" s="4" t="str">
        <f>VLOOKUP(LEFT(C215,14),consolidado!D:D,1,0)</f>
        <v>La primera min</v>
      </c>
    </row>
    <row r="216" ht="15.75" customHeight="1">
      <c r="B216" s="29">
        <v>44792.0</v>
      </c>
      <c r="C216" s="4" t="s">
        <v>375</v>
      </c>
      <c r="D216" s="4">
        <f t="shared" si="1"/>
        <v>5</v>
      </c>
      <c r="E216" s="22">
        <f>IF(IFERROR(VLOOKUP(LEFT(C216,14),consolidado!D:D,1,0),0)&gt;0,1,0)</f>
        <v>0</v>
      </c>
      <c r="F216" s="4" t="str">
        <f>VLOOKUP(LEFT(C216,14),consolidado!D:D,1,0)</f>
        <v>#N/A</v>
      </c>
    </row>
    <row r="217" ht="15.75" customHeight="1">
      <c r="B217" s="24" t="s">
        <v>307</v>
      </c>
      <c r="C217" s="4" t="s">
        <v>307</v>
      </c>
      <c r="D217" s="4">
        <f t="shared" si="1"/>
        <v>15</v>
      </c>
      <c r="E217" s="22">
        <f>IF(IFERROR(VLOOKUP(LEFT(C217,14),consolidado!D:D,1,0),0)&gt;0,1,0)</f>
        <v>0</v>
      </c>
      <c r="F217" s="4" t="str">
        <f>VLOOKUP(LEFT(C217,14),consolidado!D:D,1,0)</f>
        <v>#N/A</v>
      </c>
    </row>
    <row r="218" ht="15.75" customHeight="1">
      <c r="B218" s="24" t="s">
        <v>308</v>
      </c>
      <c r="C218" s="4" t="s">
        <v>308</v>
      </c>
      <c r="D218" s="4">
        <f t="shared" si="1"/>
        <v>5</v>
      </c>
      <c r="E218" s="22">
        <f>IF(IFERROR(VLOOKUP(LEFT(C218,14),consolidado!D:D,1,0),0)&gt;0,1,0)</f>
        <v>0</v>
      </c>
      <c r="F218" s="4" t="str">
        <f>VLOOKUP(LEFT(C218,14),consolidado!D:D,1,0)</f>
        <v>#N/A</v>
      </c>
    </row>
    <row r="219" ht="15.75" customHeight="1">
      <c r="B219" s="24" t="s">
        <v>309</v>
      </c>
      <c r="C219" s="4" t="s">
        <v>309</v>
      </c>
      <c r="D219" s="4">
        <f t="shared" si="1"/>
        <v>9</v>
      </c>
      <c r="E219" s="22">
        <f>IF(IFERROR(VLOOKUP(LEFT(C219,14),consolidado!D:D,1,0),0)&gt;0,1,0)</f>
        <v>0</v>
      </c>
      <c r="F219" s="4" t="str">
        <f>VLOOKUP(LEFT(C219,14),consolidado!D:D,1,0)</f>
        <v>#N/A</v>
      </c>
    </row>
    <row r="220" ht="15.75" customHeight="1">
      <c r="B220" s="34"/>
      <c r="E220" s="22"/>
    </row>
  </sheetData>
  <hyperlinks>
    <hyperlink r:id="rId2" ref="B2"/>
    <hyperlink r:id="rId3" ref="B3"/>
    <hyperlink r:id="rId4" ref="B8"/>
    <hyperlink r:id="rId5" ref="B14"/>
    <hyperlink r:id="rId6" ref="B17"/>
    <hyperlink r:id="rId7" ref="B18"/>
    <hyperlink r:id="rId8" ref="B23"/>
    <hyperlink r:id="rId9" ref="B29"/>
    <hyperlink r:id="rId10" ref="B33"/>
    <hyperlink r:id="rId11" ref="B40"/>
    <hyperlink r:id="rId12" ref="B46"/>
    <hyperlink r:id="rId13" ref="B47"/>
    <hyperlink r:id="rId14" ref="B54"/>
    <hyperlink r:id="rId15" ref="B61"/>
    <hyperlink r:id="rId16" ref="B68"/>
    <hyperlink r:id="rId17" ref="B74"/>
    <hyperlink r:id="rId18" ref="B75"/>
    <hyperlink r:id="rId19" ref="B82"/>
    <hyperlink r:id="rId20" ref="B88"/>
    <hyperlink r:id="rId21" ref="B89"/>
    <hyperlink r:id="rId22" ref="B95"/>
    <hyperlink r:id="rId23" ref="B96"/>
    <hyperlink r:id="rId24" ref="B103"/>
    <hyperlink r:id="rId25" ref="B110"/>
    <hyperlink r:id="rId26" ref="B117"/>
    <hyperlink r:id="rId27" ref="B124"/>
    <hyperlink r:id="rId28" ref="B131"/>
    <hyperlink r:id="rId29" ref="B137"/>
    <hyperlink r:id="rId30" ref="B138"/>
    <hyperlink r:id="rId31" ref="B145"/>
    <hyperlink r:id="rId32" ref="B152"/>
    <hyperlink r:id="rId33" ref="B159"/>
    <hyperlink r:id="rId34" ref="B166"/>
    <hyperlink r:id="rId35" ref="B173"/>
    <hyperlink r:id="rId36" ref="B180"/>
    <hyperlink r:id="rId37" ref="B187"/>
    <hyperlink r:id="rId38" ref="B194"/>
    <hyperlink r:id="rId39" ref="B201"/>
    <hyperlink r:id="rId40" ref="B208"/>
    <hyperlink r:id="rId41" ref="B215"/>
  </hyperlinks>
  <printOptions/>
  <pageMargins bottom="0.75" footer="0.0" header="0.0" left="0.7" right="0.7" top="0.75"/>
  <pageSetup orientation="landscape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87.14"/>
    <col customWidth="1" min="4" max="7" width="10.71"/>
    <col customWidth="1" min="8" max="8" width="64.14"/>
    <col customWidth="1" min="9" max="26" width="10.71"/>
  </cols>
  <sheetData>
    <row r="1">
      <c r="B1" s="18" t="s">
        <v>376</v>
      </c>
    </row>
    <row r="2">
      <c r="B2" s="19" t="s">
        <v>303</v>
      </c>
      <c r="C2" s="31" t="str">
        <f t="shared" ref="C2:C702" si="1">B1&amp;""</f>
        <v>https://news.google.com/search?q=test%20de%20drogas%20parlamentarios&amp;hl=es-419&amp;gl=CL&amp;ceid=CL%3Aes-419</v>
      </c>
      <c r="D2" s="22">
        <f t="shared" ref="D2:D701" si="2">lenb(C2)</f>
        <v>101</v>
      </c>
      <c r="E2" s="4">
        <f>IF(IFERROR(VLOOKUP(LEFT(C2,14),consolidado!D:D,1,0),0)&gt;0,1,0)</f>
        <v>0</v>
      </c>
      <c r="F2" s="4" t="str">
        <f>VLOOKUP(LEFT(C2,14),consolidado!D:D,1,0)</f>
        <v>#N/A</v>
      </c>
      <c r="H2" s="36" t="str">
        <f>IFERROR(__xludf.DUMMYFUNCTION("query(C:E,"" select C where D &gt;18 AND NOT C matches 'BioBioChileHace 14 días|Ver cobertura completa|Noticias Universidad Andrés Bello|Partido Republicano' "")"),"https://news.google.com/search?q=test%20de%20drogas%20parlamentarios&amp;hl=es-419&amp;gl=CL&amp;ceid=CL%3Aes-419")</f>
        <v>https://news.google.com/search?q=test%20de%20drogas%20parlamentarios&amp;hl=es-419&amp;gl=CL&amp;ceid=CL%3Aes-419</v>
      </c>
      <c r="I2" s="4">
        <f t="shared" ref="I2:I105" si="3">IFERROR(VLOOKUP(H2,C:E,3,0),"")</f>
        <v>0</v>
      </c>
    </row>
    <row r="3">
      <c r="B3" s="21" t="s">
        <v>10</v>
      </c>
      <c r="C3" s="4" t="str">
        <f t="shared" si="1"/>
        <v>La Tercera</v>
      </c>
      <c r="D3" s="22">
        <f t="shared" si="2"/>
        <v>10</v>
      </c>
      <c r="E3" s="4">
        <f>IF(IFERROR(VLOOKUP(LEFT(C3,14),consolidado!D:D,1,0),0)&gt;0,1,0)</f>
        <v>0</v>
      </c>
      <c r="F3" s="4" t="str">
        <f>VLOOKUP(LEFT(C3,14),consolidado!D:D,1,0)</f>
        <v>#N/A</v>
      </c>
      <c r="H3" s="4" t="str">
        <f>IFERROR(__xludf.DUMMYFUNCTION("""COMPUTED_VALUE"""),"Test de drogas: segundo grupo de diputados no arroja positivos y dos parlamentarias no se presentaron a la muestra")</f>
        <v>Test de drogas: segundo grupo de diputados no arroja positivos y dos parlamentarias no se presentaron a la muestra</v>
      </c>
      <c r="I3" s="4">
        <f t="shared" si="3"/>
        <v>1</v>
      </c>
    </row>
    <row r="4">
      <c r="B4" s="23" t="s">
        <v>306</v>
      </c>
      <c r="C4" s="4" t="str">
        <f t="shared" si="1"/>
        <v>Test de drogas: segundo grupo de diputados no arroja positivos y dos parlamentarias no se presentaron a la muestra</v>
      </c>
      <c r="D4" s="22">
        <f t="shared" si="2"/>
        <v>114</v>
      </c>
      <c r="E4" s="4">
        <f>IF(IFERROR(VLOOKUP(LEFT(C4,14),consolidado!D:D,1,0),0)&gt;0,1,0)</f>
        <v>1</v>
      </c>
      <c r="F4" s="4" t="str">
        <f>VLOOKUP(LEFT(C4,14),consolidado!D:D,1,0)</f>
        <v>Test de drogas</v>
      </c>
      <c r="H4" s="4" t="str">
        <f>IFERROR(__xludf.DUMMYFUNCTION("""COMPUTED_VALUE"""),"Sin positivos el segundo test de drogas a diputados: Fries y Gazmuri se negaron al examen")</f>
        <v>Sin positivos el segundo test de drogas a diputados: Fries y Gazmuri se negaron al examen</v>
      </c>
      <c r="I4" s="4">
        <f t="shared" si="3"/>
        <v>1</v>
      </c>
    </row>
    <row r="5">
      <c r="B5" s="24" t="s">
        <v>307</v>
      </c>
      <c r="C5" s="4" t="str">
        <f t="shared" si="1"/>
        <v>Hace 15 días</v>
      </c>
      <c r="D5" s="22">
        <f t="shared" si="2"/>
        <v>12</v>
      </c>
      <c r="E5" s="4">
        <f>IF(IFERROR(VLOOKUP(LEFT(C5,14),consolidado!D:D,1,0),0)&gt;0,1,0)</f>
        <v>0</v>
      </c>
      <c r="F5" s="4" t="str">
        <f>VLOOKUP(LEFT(C5,14),consolidado!D:D,1,0)</f>
        <v>#N/A</v>
      </c>
      <c r="H5" s="4" t="str">
        <f>IFERROR(__xludf.DUMMYFUNCTION("""COMPUTED_VALUE"""),"Test de drogas en el Congreso: todos los parlamentarios examinados dieron negativo")</f>
        <v>Test de drogas en el Congreso: todos los parlamentarios examinados dieron negativo</v>
      </c>
      <c r="I5" s="4">
        <f t="shared" si="3"/>
        <v>1</v>
      </c>
    </row>
    <row r="6">
      <c r="B6" s="24" t="s">
        <v>308</v>
      </c>
      <c r="C6" s="4" t="str">
        <f t="shared" si="1"/>
        <v>bookmark_border</v>
      </c>
      <c r="D6" s="22">
        <f t="shared" si="2"/>
        <v>15</v>
      </c>
      <c r="E6" s="4">
        <f>IF(IFERROR(VLOOKUP(LEFT(C6,14),consolidado!D:D,1,0),0)&gt;0,1,0)</f>
        <v>0</v>
      </c>
      <c r="F6" s="4" t="str">
        <f>VLOOKUP(LEFT(C6,14),consolidado!D:D,1,0)</f>
        <v>#N/A</v>
      </c>
      <c r="H6" s="4" t="str">
        <f>IFERROR(__xludf.DUMMYFUNCTION("""COMPUTED_VALUE"""),"Test de drogas a diputados: resultados de los primeros exámenes se conocerán este lunes")</f>
        <v>Test de drogas a diputados: resultados de los primeros exámenes se conocerán este lunes</v>
      </c>
      <c r="I6" s="4">
        <f t="shared" si="3"/>
        <v>1</v>
      </c>
    </row>
    <row r="7">
      <c r="B7" s="24" t="s">
        <v>309</v>
      </c>
      <c r="C7" s="4" t="str">
        <f t="shared" si="1"/>
        <v>share</v>
      </c>
      <c r="D7" s="22">
        <f t="shared" si="2"/>
        <v>5</v>
      </c>
      <c r="E7" s="4">
        <f>IF(IFERROR(VLOOKUP(LEFT(C7,14),consolidado!D:D,1,0),0)&gt;0,1,0)</f>
        <v>0</v>
      </c>
      <c r="F7" s="4" t="str">
        <f>VLOOKUP(LEFT(C7,14),consolidado!D:D,1,0)</f>
        <v>#N/A</v>
      </c>
      <c r="H7" s="4" t="str">
        <f>IFERROR(__xludf.DUMMYFUNCTION("""COMPUTED_VALUE"""),"Diputado Becker da negativo a test de drogas: llamó a transparentar los resultados ante la opini&amp;oac...")</f>
        <v>Diputado Becker da negativo a test de drogas: llamó a transparentar los resultados ante la opini&amp;oac...</v>
      </c>
      <c r="I7" s="4">
        <f t="shared" si="3"/>
        <v>1</v>
      </c>
    </row>
    <row r="8">
      <c r="B8" s="21" t="s">
        <v>12</v>
      </c>
      <c r="C8" s="4" t="str">
        <f t="shared" si="1"/>
        <v>more_vert</v>
      </c>
      <c r="D8" s="22">
        <f t="shared" si="2"/>
        <v>9</v>
      </c>
      <c r="E8" s="4">
        <f>IF(IFERROR(VLOOKUP(LEFT(C8,14),consolidado!D:D,1,0),0)&gt;0,1,0)</f>
        <v>0</v>
      </c>
      <c r="F8" s="4" t="str">
        <f>VLOOKUP(LEFT(C8,14),consolidado!D:D,1,0)</f>
        <v>#N/A</v>
      </c>
      <c r="H8" s="4" t="str">
        <f>IFERROR(__xludf.DUMMYFUNCTION("""COMPUTED_VALUE"""),"Comenzó aplicación de test de drogas a parlamentarios: resultados demorarán entre 10 a 15 días")</f>
        <v>Comenzó aplicación de test de drogas a parlamentarios: resultados demorarán entre 10 a 15 días</v>
      </c>
      <c r="I8" s="4">
        <f t="shared" si="3"/>
        <v>1</v>
      </c>
    </row>
    <row r="9">
      <c r="B9" s="23" t="s">
        <v>310</v>
      </c>
      <c r="C9" s="4" t="str">
        <f t="shared" si="1"/>
        <v>Sin positivos el segundo test de drogas a diputados: Fries y Gazmuri se negaron al examen</v>
      </c>
      <c r="D9" s="22">
        <f t="shared" si="2"/>
        <v>89</v>
      </c>
      <c r="E9" s="4">
        <f>IF(IFERROR(VLOOKUP(LEFT(C9,14),consolidado!D:D,1,0),0)&gt;0,1,0)</f>
        <v>1</v>
      </c>
      <c r="F9" s="4" t="str">
        <f>VLOOKUP(LEFT(C9,14),consolidado!D:D,1,0)</f>
        <v>Sin positivos </v>
      </c>
      <c r="H9" s="4" t="str">
        <f>IFERROR(__xludf.DUMMYFUNCTION("""COMPUTED_VALUE"""),"Test de drogas en el Congreso de Chile: los parlamentarios se someten a análisis del pelo para detectar consumo")</f>
        <v>Test de drogas en el Congreso de Chile: los parlamentarios se someten a análisis del pelo para detectar consumo</v>
      </c>
      <c r="I9" s="4">
        <f t="shared" si="3"/>
        <v>1</v>
      </c>
    </row>
    <row r="10">
      <c r="B10" s="24" t="s">
        <v>307</v>
      </c>
      <c r="C10" s="4" t="str">
        <f t="shared" si="1"/>
        <v>BioBioChileHace 14 días</v>
      </c>
      <c r="D10" s="22">
        <f t="shared" si="2"/>
        <v>23</v>
      </c>
      <c r="E10" s="4">
        <f>IF(IFERROR(VLOOKUP(LEFT(C10,14),consolidado!D:D,1,0),0)&gt;0,1,0)</f>
        <v>0</v>
      </c>
      <c r="F10" s="4" t="str">
        <f>VLOOKUP(LEFT(C10,14),consolidado!D:D,1,0)</f>
        <v>#N/A</v>
      </c>
      <c r="H10" s="4" t="str">
        <f>IFERROR(__xludf.DUMMYFUNCTION("""COMPUTED_VALUE"""),"""Necesario"", ""show"" y ""extenderlo al Gobierno"": las reacciones de parlamentarios al test de drogas")</f>
        <v>"Necesario", "show" y "extenderlo al Gobierno": las reacciones de parlamentarios al test de drogas</v>
      </c>
      <c r="I10" s="4">
        <f t="shared" si="3"/>
        <v>1</v>
      </c>
    </row>
    <row r="11">
      <c r="B11" s="24" t="s">
        <v>308</v>
      </c>
      <c r="C11" s="4" t="str">
        <f t="shared" si="1"/>
        <v>bookmark_border</v>
      </c>
      <c r="D11" s="22">
        <f t="shared" si="2"/>
        <v>15</v>
      </c>
      <c r="E11" s="4">
        <f>IF(IFERROR(VLOOKUP(LEFT(C11,14),consolidado!D:D,1,0),0)&gt;0,1,0)</f>
        <v>0</v>
      </c>
      <c r="F11" s="4" t="str">
        <f>VLOOKUP(LEFT(C11,14),consolidado!D:D,1,0)</f>
        <v>#N/A</v>
      </c>
      <c r="H11" s="4" t="str">
        <f>IFERROR(__xludf.DUMMYFUNCTION("""COMPUTED_VALUE"""),"Comisión rechaza que resultados de test de drogas a los parlamentarios sean públicos")</f>
        <v>Comisión rechaza que resultados de test de drogas a los parlamentarios sean públicos</v>
      </c>
      <c r="I11" s="4">
        <f t="shared" si="3"/>
        <v>1</v>
      </c>
    </row>
    <row r="12">
      <c r="B12" s="24" t="s">
        <v>309</v>
      </c>
      <c r="C12" s="4" t="str">
        <f t="shared" si="1"/>
        <v>share</v>
      </c>
      <c r="D12" s="22">
        <f t="shared" si="2"/>
        <v>5</v>
      </c>
      <c r="E12" s="4">
        <f>IF(IFERROR(VLOOKUP(LEFT(C12,14),consolidado!D:D,1,0),0)&gt;0,1,0)</f>
        <v>0</v>
      </c>
      <c r="F12" s="4" t="str">
        <f>VLOOKUP(LEFT(C12,14),consolidado!D:D,1,0)</f>
        <v>#N/A</v>
      </c>
      <c r="H12" s="4" t="str">
        <f>IFERROR(__xludf.DUMMYFUNCTION("""COMPUTED_VALUE"""),"Un amigo sorpresivo en la corte: INDH sale en defensa de diputadas que se rebelaron al test de drogas")</f>
        <v>Un amigo sorpresivo en la corte: INDH sale en defensa de diputadas que se rebelaron al test de drogas</v>
      </c>
      <c r="I12" s="4">
        <f t="shared" si="3"/>
        <v>1</v>
      </c>
    </row>
    <row r="13">
      <c r="B13" s="25"/>
      <c r="C13" s="4" t="str">
        <f t="shared" si="1"/>
        <v>more_vert</v>
      </c>
      <c r="D13" s="22">
        <f t="shared" si="2"/>
        <v>9</v>
      </c>
      <c r="E13" s="4">
        <f>IF(IFERROR(VLOOKUP(LEFT(C13,14),consolidado!D:D,1,0),0)&gt;0,1,0)</f>
        <v>0</v>
      </c>
      <c r="F13" s="4" t="str">
        <f>VLOOKUP(LEFT(C13,14),consolidado!D:D,1,0)</f>
        <v>#N/A</v>
      </c>
      <c r="H13" s="4" t="str">
        <f>IFERROR(__xludf.DUMMYFUNCTION("""COMPUTED_VALUE"""),"La Cámara de Diputados aprueba realizar test de drogas a diputados")</f>
        <v>La Cámara de Diputados aprueba realizar test de drogas a diputados</v>
      </c>
      <c r="I13" s="4">
        <f t="shared" si="3"/>
        <v>1</v>
      </c>
    </row>
    <row r="14">
      <c r="B14" s="26" t="s">
        <v>311</v>
      </c>
      <c r="C14" s="4" t="str">
        <f t="shared" si="1"/>
        <v/>
      </c>
      <c r="D14" s="22">
        <f t="shared" si="2"/>
        <v>0</v>
      </c>
      <c r="E14" s="4">
        <f>IF(IFERROR(VLOOKUP(LEFT(C14,14),consolidado!D:D,1,0),0)&gt;0,1,0)</f>
        <v>1</v>
      </c>
      <c r="F14" s="4" t="str">
        <f>VLOOKUP(LEFT(C14,14),consolidado!D:D,1,0)</f>
        <v/>
      </c>
      <c r="H14" s="4" t="str">
        <f>IFERROR(__xludf.DUMMYFUNCTION("""COMPUTED_VALUE"""),"Columna de Pablo Carvacho: Test de drogas para parlamentarios")</f>
        <v>Columna de Pablo Carvacho: Test de drogas para parlamentarios</v>
      </c>
      <c r="I14" s="4">
        <f t="shared" si="3"/>
        <v>1</v>
      </c>
    </row>
    <row r="15">
      <c r="B15" s="27" t="s">
        <v>312</v>
      </c>
      <c r="C15" s="4" t="str">
        <f t="shared" si="1"/>
        <v>Ver cobertura completa</v>
      </c>
      <c r="D15" s="22">
        <f t="shared" si="2"/>
        <v>22</v>
      </c>
      <c r="E15" s="4">
        <f>IF(IFERROR(VLOOKUP(LEFT(C15,14),consolidado!D:D,1,0),0)&gt;0,1,0)</f>
        <v>0</v>
      </c>
      <c r="F15" s="4" t="str">
        <f>VLOOKUP(LEFT(C15,14),consolidado!D:D,1,0)</f>
        <v>#N/A</v>
      </c>
      <c r="H15" s="4" t="str">
        <f>IFERROR(__xludf.DUMMYFUNCTION("""COMPUTED_VALUE"""),"Suspenso en la Cámara: resultados de primeros test de drogas a diputados se conocerán el próximo lunes")</f>
        <v>Suspenso en la Cámara: resultados de primeros test de drogas a diputados se conocerán el próximo lunes</v>
      </c>
      <c r="I15" s="4">
        <f t="shared" si="3"/>
        <v>1</v>
      </c>
    </row>
    <row r="16">
      <c r="B16" s="28"/>
      <c r="C16" s="4" t="str">
        <f t="shared" si="1"/>
        <v>keyboard_arrow_up</v>
      </c>
      <c r="D16" s="22">
        <f t="shared" si="2"/>
        <v>17</v>
      </c>
      <c r="E16" s="4">
        <f>IF(IFERROR(VLOOKUP(LEFT(C16,14),consolidado!D:D,1,0),0)&gt;0,1,0)</f>
        <v>0</v>
      </c>
      <c r="F16" s="4" t="str">
        <f>VLOOKUP(LEFT(C16,14),consolidado!D:D,1,0)</f>
        <v>#N/A</v>
      </c>
      <c r="H16" s="4" t="str">
        <f>IFERROR(__xludf.DUMMYFUNCTION("""COMPUTED_VALUE"""),"Un test que incomoda: las jugadas que barajan los diputados para impedir que se publiquen los resultados de examen de drogas")</f>
        <v>Un test que incomoda: las jugadas que barajan los diputados para impedir que se publiquen los resultados de examen de drogas</v>
      </c>
      <c r="I16" s="4">
        <f t="shared" si="3"/>
        <v>1</v>
      </c>
    </row>
    <row r="17">
      <c r="B17" s="30" t="s">
        <v>322</v>
      </c>
      <c r="C17" s="4" t="str">
        <f t="shared" si="1"/>
        <v/>
      </c>
      <c r="D17" s="22">
        <f t="shared" si="2"/>
        <v>0</v>
      </c>
      <c r="E17" s="4">
        <f>IF(IFERROR(VLOOKUP(LEFT(C17,14),consolidado!D:D,1,0),0)&gt;0,1,0)</f>
        <v>1</v>
      </c>
      <c r="F17" s="4" t="str">
        <f>VLOOKUP(LEFT(C17,14),consolidado!D:D,1,0)</f>
        <v/>
      </c>
      <c r="H17" s="4" t="str">
        <f>IFERROR(__xludf.DUMMYFUNCTION("""COMPUTED_VALUE"""),"El test de drogas (y la ofensiva de la UDI y Jiles) que incomoda a la Cámara de Diputados")</f>
        <v>El test de drogas (y la ofensiva de la UDI y Jiles) que incomoda a la Cámara de Diputados</v>
      </c>
      <c r="I17" s="4">
        <f t="shared" si="3"/>
        <v>1</v>
      </c>
    </row>
    <row r="18">
      <c r="B18" s="21" t="s">
        <v>377</v>
      </c>
      <c r="C18" s="4" t="str">
        <f t="shared" si="1"/>
        <v>ADN Chile</v>
      </c>
      <c r="D18" s="22">
        <f t="shared" si="2"/>
        <v>9</v>
      </c>
      <c r="E18" s="4">
        <f>IF(IFERROR(VLOOKUP(LEFT(C18,14),consolidado!D:D,1,0),0)&gt;0,1,0)</f>
        <v>0</v>
      </c>
      <c r="F18" s="4" t="str">
        <f>VLOOKUP(LEFT(C18,14),consolidado!D:D,1,0)</f>
        <v>#N/A</v>
      </c>
      <c r="H18" s="4" t="str">
        <f>IFERROR(__xludf.DUMMYFUNCTION("""COMPUTED_VALUE"""),"Test de drogas a políticos: un tema que causa polémica en el mundo")</f>
        <v>Test de drogas a políticos: un tema que causa polémica en el mundo</v>
      </c>
      <c r="I18" s="4">
        <f t="shared" si="3"/>
        <v>1</v>
      </c>
    </row>
    <row r="19">
      <c r="B19" s="29">
        <v>44832.0</v>
      </c>
      <c r="C19" s="4" t="str">
        <f t="shared" si="1"/>
        <v>Test de drogas en el Congreso: todos los parlamentarios examinados dieron negativo</v>
      </c>
      <c r="D19" s="22">
        <f t="shared" si="2"/>
        <v>82</v>
      </c>
      <c r="E19" s="4">
        <f>IF(IFERROR(VLOOKUP(LEFT(C19,14),consolidado!D:D,1,0),0)&gt;0,1,0)</f>
        <v>1</v>
      </c>
      <c r="F19" s="4" t="str">
        <f>VLOOKUP(LEFT(C19,14),consolidado!D:D,1,0)</f>
        <v>Test de drogas</v>
      </c>
      <c r="H19" s="4" t="str">
        <f>IFERROR(__xludf.DUMMYFUNCTION("""COMPUTED_VALUE"""),"Test de drogas: Cámara Baja extiende plazo para que 78 parlamentarios sorteados se realicen examen")</f>
        <v>Test de drogas: Cámara Baja extiende plazo para que 78 parlamentarios sorteados se realicen examen</v>
      </c>
      <c r="I19" s="4">
        <f t="shared" si="3"/>
        <v>1</v>
      </c>
    </row>
    <row r="20">
      <c r="B20" s="24" t="s">
        <v>307</v>
      </c>
      <c r="C20" s="4" t="str">
        <f t="shared" si="1"/>
        <v>44832</v>
      </c>
      <c r="D20" s="22">
        <f t="shared" si="2"/>
        <v>5</v>
      </c>
      <c r="E20" s="4">
        <f>IF(IFERROR(VLOOKUP(LEFT(C20,14),consolidado!D:D,1,0),0)&gt;0,1,0)</f>
        <v>0</v>
      </c>
      <c r="F20" s="4" t="str">
        <f>VLOOKUP(LEFT(C20,14),consolidado!D:D,1,0)</f>
        <v>#N/A</v>
      </c>
      <c r="H20" s="4" t="str">
        <f>IFERROR(__xludf.DUMMYFUNCTION("""COMPUTED_VALUE"""),"Test de drogas: ¿Influye el consumo de sustancias de los parlamentarios?")</f>
        <v>Test de drogas: ¿Influye el consumo de sustancias de los parlamentarios?</v>
      </c>
      <c r="I20" s="4">
        <f t="shared" si="3"/>
        <v>1</v>
      </c>
    </row>
    <row r="21" ht="15.75" customHeight="1">
      <c r="B21" s="24" t="s">
        <v>308</v>
      </c>
      <c r="C21" s="4" t="str">
        <f t="shared" si="1"/>
        <v>bookmark_border</v>
      </c>
      <c r="D21" s="22">
        <f t="shared" si="2"/>
        <v>15</v>
      </c>
      <c r="E21" s="4">
        <f>IF(IFERROR(VLOOKUP(LEFT(C21,14),consolidado!D:D,1,0),0)&gt;0,1,0)</f>
        <v>0</v>
      </c>
      <c r="F21" s="4" t="str">
        <f>VLOOKUP(LEFT(C21,14),consolidado!D:D,1,0)</f>
        <v>#N/A</v>
      </c>
      <c r="H21" s="4" t="str">
        <f>IFERROR(__xludf.DUMMYFUNCTION("""COMPUTED_VALUE"""),"Corte Suprema declara admisible recurso contra test de drogas a parlamentarios")</f>
        <v>Corte Suprema declara admisible recurso contra test de drogas a parlamentarios</v>
      </c>
      <c r="I21" s="4">
        <f t="shared" si="3"/>
        <v>1</v>
      </c>
    </row>
    <row r="22" ht="15.75" customHeight="1">
      <c r="B22" s="24" t="s">
        <v>309</v>
      </c>
      <c r="C22" s="4" t="str">
        <f t="shared" si="1"/>
        <v>share</v>
      </c>
      <c r="D22" s="22">
        <f t="shared" si="2"/>
        <v>5</v>
      </c>
      <c r="E22" s="4">
        <f>IF(IFERROR(VLOOKUP(LEFT(C22,14),consolidado!D:D,1,0),0)&gt;0,1,0)</f>
        <v>0</v>
      </c>
      <c r="F22" s="4" t="str">
        <f>VLOOKUP(LEFT(C22,14),consolidado!D:D,1,0)</f>
        <v>#N/A</v>
      </c>
      <c r="H22" s="4" t="str">
        <f>IFERROR(__xludf.DUMMYFUNCTION("""COMPUTED_VALUE"""),"Jorge Schaulsohn y test de drogas: “Es patético que los parlamentarios se presten para este show”")</f>
        <v>Jorge Schaulsohn y test de drogas: “Es patético que los parlamentarios se presten para este show”</v>
      </c>
      <c r="I22" s="4">
        <f t="shared" si="3"/>
        <v>1</v>
      </c>
    </row>
    <row r="23" ht="15.75" customHeight="1">
      <c r="B23" s="21" t="s">
        <v>17</v>
      </c>
      <c r="C23" s="4" t="str">
        <f t="shared" si="1"/>
        <v>more_vert</v>
      </c>
      <c r="D23" s="22">
        <f t="shared" si="2"/>
        <v>9</v>
      </c>
      <c r="E23" s="4">
        <f>IF(IFERROR(VLOOKUP(LEFT(C23,14),consolidado!D:D,1,0),0)&gt;0,1,0)</f>
        <v>0</v>
      </c>
      <c r="F23" s="4" t="str">
        <f>VLOOKUP(LEFT(C23,14),consolidado!D:D,1,0)</f>
        <v>#N/A</v>
      </c>
      <c r="H23" s="4" t="str">
        <f>IFERROR(__xludf.DUMMYFUNCTION("""COMPUTED_VALUE"""),"Test de drogas: diputados oficialistas acusan maniobra política de la oposición")</f>
        <v>Test de drogas: diputados oficialistas acusan maniobra política de la oposición</v>
      </c>
      <c r="I23" s="4">
        <f t="shared" si="3"/>
        <v>1</v>
      </c>
    </row>
    <row r="24" ht="15.75" customHeight="1">
      <c r="B24" s="19" t="s">
        <v>378</v>
      </c>
      <c r="C24" s="4" t="str">
        <f t="shared" si="1"/>
        <v>Test de drogas a diputados: resultados de los primeros exámenes se conocerán este lunes</v>
      </c>
      <c r="D24" s="22">
        <f t="shared" si="2"/>
        <v>87</v>
      </c>
      <c r="E24" s="4">
        <f>IF(IFERROR(VLOOKUP(LEFT(C24,14),consolidado!D:D,1,0),0)&gt;0,1,0)</f>
        <v>1</v>
      </c>
      <c r="F24" s="4" t="str">
        <f>VLOOKUP(LEFT(C24,14),consolidado!D:D,1,0)</f>
        <v>Test de drogas</v>
      </c>
      <c r="H24" s="4" t="str">
        <f>IFERROR(__xludf.DUMMYFUNCTION("""COMPUTED_VALUE"""),"Test de drogas en Cámara Baja: el debate sobre si la medida invade el derecho a la vida privada")</f>
        <v>Test de drogas en Cámara Baja: el debate sobre si la medida invade el derecho a la vida privada</v>
      </c>
      <c r="I24" s="4">
        <f t="shared" si="3"/>
        <v>1</v>
      </c>
    </row>
    <row r="25" ht="15.75" customHeight="1">
      <c r="B25" s="24" t="s">
        <v>307</v>
      </c>
      <c r="C25" s="4" t="str">
        <f t="shared" si="1"/>
        <v>La Tercera26 sept</v>
      </c>
      <c r="D25" s="22">
        <f t="shared" si="2"/>
        <v>17</v>
      </c>
      <c r="E25" s="4">
        <f>IF(IFERROR(VLOOKUP(LEFT(C25,14),consolidado!D:D,1,0),0)&gt;0,1,0)</f>
        <v>0</v>
      </c>
      <c r="F25" s="4" t="str">
        <f>VLOOKUP(LEFT(C25,14),consolidado!D:D,1,0)</f>
        <v>#N/A</v>
      </c>
      <c r="H25" s="4" t="str">
        <f>IFERROR(__xludf.DUMMYFUNCTION("""COMPUTED_VALUE"""),"Pamela Jiles por test de drogas a parlamentarios: “Noto un sospechoso nerviosismo ¿Qué ocultan?”")</f>
        <v>Pamela Jiles por test de drogas a parlamentarios: “Noto un sospechoso nerviosismo ¿Qué ocultan?”</v>
      </c>
      <c r="I25" s="4">
        <f t="shared" si="3"/>
        <v>1</v>
      </c>
    </row>
    <row r="26" ht="15.75" customHeight="1">
      <c r="B26" s="24" t="s">
        <v>308</v>
      </c>
      <c r="C26" s="4" t="str">
        <f t="shared" si="1"/>
        <v>bookmark_border</v>
      </c>
      <c r="D26" s="22">
        <f t="shared" si="2"/>
        <v>15</v>
      </c>
      <c r="E26" s="4">
        <f>IF(IFERROR(VLOOKUP(LEFT(C26,14),consolidado!D:D,1,0),0)&gt;0,1,0)</f>
        <v>0</v>
      </c>
      <c r="F26" s="4" t="str">
        <f>VLOOKUP(LEFT(C26,14),consolidado!D:D,1,0)</f>
        <v>#N/A</v>
      </c>
      <c r="H26" s="4" t="str">
        <f>IFERROR(__xludf.DUMMYFUNCTION("""COMPUTED_VALUE"""),"El trance incómodo del Frente Amplio frente al test de drogas")</f>
        <v>El trance incómodo del Frente Amplio frente al test de drogas</v>
      </c>
      <c r="I26" s="4">
        <f t="shared" si="3"/>
        <v>1</v>
      </c>
    </row>
    <row r="27" ht="15.75" customHeight="1">
      <c r="B27" s="24" t="s">
        <v>309</v>
      </c>
      <c r="C27" s="4" t="str">
        <f t="shared" si="1"/>
        <v>share</v>
      </c>
      <c r="D27" s="22">
        <f t="shared" si="2"/>
        <v>5</v>
      </c>
      <c r="E27" s="4">
        <f>IF(IFERROR(VLOOKUP(LEFT(C27,14),consolidado!D:D,1,0),0)&gt;0,1,0)</f>
        <v>0</v>
      </c>
      <c r="F27" s="4" t="str">
        <f>VLOOKUP(LEFT(C27,14),consolidado!D:D,1,0)</f>
        <v>#N/A</v>
      </c>
      <c r="H27" s="4" t="str">
        <f>IFERROR(__xludf.DUMMYFUNCTION("""COMPUTED_VALUE"""),"Corte de Apelaciones de Valparaíso da luz verde a difusión de resultados de test de drogas a diputados")</f>
        <v>Corte de Apelaciones de Valparaíso da luz verde a difusión de resultados de test de drogas a diputados</v>
      </c>
      <c r="I27" s="4">
        <f t="shared" si="3"/>
        <v>1</v>
      </c>
    </row>
    <row r="28" ht="15.75" customHeight="1">
      <c r="B28" s="25"/>
      <c r="C28" s="4" t="str">
        <f t="shared" si="1"/>
        <v>more_vert</v>
      </c>
      <c r="D28" s="22">
        <f t="shared" si="2"/>
        <v>9</v>
      </c>
      <c r="E28" s="4">
        <f>IF(IFERROR(VLOOKUP(LEFT(C28,14),consolidado!D:D,1,0),0)&gt;0,1,0)</f>
        <v>0</v>
      </c>
      <c r="F28" s="4" t="str">
        <f>VLOOKUP(LEFT(C28,14),consolidado!D:D,1,0)</f>
        <v>#N/A</v>
      </c>
      <c r="H28" s="4" t="str">
        <f>IFERROR(__xludf.DUMMYFUNCTION("""COMPUTED_VALUE"""),"Sofía Salas: ¿Publicidad necesaria o show mediático?")</f>
        <v>Sofía Salas: ¿Publicidad necesaria o show mediático?</v>
      </c>
      <c r="I28" s="4">
        <f t="shared" si="3"/>
        <v>1</v>
      </c>
    </row>
    <row r="29" ht="15.75" customHeight="1">
      <c r="B29" s="26" t="s">
        <v>311</v>
      </c>
      <c r="C29" s="4" t="str">
        <f t="shared" si="1"/>
        <v/>
      </c>
      <c r="D29" s="22">
        <f t="shared" si="2"/>
        <v>0</v>
      </c>
      <c r="E29" s="4">
        <f>IF(IFERROR(VLOOKUP(LEFT(C29,14),consolidado!D:D,1,0),0)&gt;0,1,0)</f>
        <v>1</v>
      </c>
      <c r="F29" s="4" t="str">
        <f>VLOOKUP(LEFT(C29,14),consolidado!D:D,1,0)</f>
        <v/>
      </c>
      <c r="H29" s="4" t="str">
        <f>IFERROR(__xludf.DUMMYFUNCTION("""COMPUTED_VALUE"""),"Parlamentarios se refieren a test de drogas en el Congreso")</f>
        <v>Parlamentarios se refieren a test de drogas en el Congreso</v>
      </c>
      <c r="I29" s="4">
        <f t="shared" si="3"/>
        <v>1</v>
      </c>
    </row>
    <row r="30" ht="15.75" customHeight="1">
      <c r="B30" s="27" t="s">
        <v>312</v>
      </c>
      <c r="C30" s="4" t="str">
        <f t="shared" si="1"/>
        <v>Ver cobertura completa</v>
      </c>
      <c r="D30" s="22">
        <f t="shared" si="2"/>
        <v>22</v>
      </c>
      <c r="E30" s="4">
        <f>IF(IFERROR(VLOOKUP(LEFT(C30,14),consolidado!D:D,1,0),0)&gt;0,1,0)</f>
        <v>0</v>
      </c>
      <c r="F30" s="4" t="str">
        <f>VLOOKUP(LEFT(C30,14),consolidado!D:D,1,0)</f>
        <v>#N/A</v>
      </c>
      <c r="H30" s="4" t="str">
        <f>IFERROR(__xludf.DUMMYFUNCTION("""COMPUTED_VALUE"""),"Presupuesto 2022: Cámara de Diputados aprueba indicación de la UDI que destina recursos para test de drogas a parlamentarios")</f>
        <v>Presupuesto 2022: Cámara de Diputados aprueba indicación de la UDI que destina recursos para test de drogas a parlamentarios</v>
      </c>
      <c r="I30" s="4">
        <f t="shared" si="3"/>
        <v>1</v>
      </c>
    </row>
    <row r="31" ht="15.75" customHeight="1">
      <c r="B31" s="28"/>
      <c r="C31" s="4" t="str">
        <f t="shared" si="1"/>
        <v>keyboard_arrow_up</v>
      </c>
      <c r="D31" s="22">
        <f t="shared" si="2"/>
        <v>17</v>
      </c>
      <c r="E31" s="4">
        <f>IF(IFERROR(VLOOKUP(LEFT(C31,14),consolidado!D:D,1,0),0)&gt;0,1,0)</f>
        <v>0</v>
      </c>
      <c r="F31" s="4" t="str">
        <f>VLOOKUP(LEFT(C31,14),consolidado!D:D,1,0)</f>
        <v>#N/A</v>
      </c>
      <c r="H31" s="4" t="str">
        <f>IFERROR(__xludf.DUMMYFUNCTION("""COMPUTED_VALUE"""),"Test de drogas en el Congreso: reglamento fue aprobado en general en la Cámara")</f>
        <v>Test de drogas en el Congreso: reglamento fue aprobado en general en la Cámara</v>
      </c>
      <c r="I31" s="4">
        <f t="shared" si="3"/>
        <v>1</v>
      </c>
    </row>
    <row r="32" ht="15.75" customHeight="1">
      <c r="B32" s="19" t="s">
        <v>313</v>
      </c>
      <c r="C32" s="4" t="str">
        <f t="shared" si="1"/>
        <v/>
      </c>
      <c r="D32" s="22">
        <f t="shared" si="2"/>
        <v>0</v>
      </c>
      <c r="E32" s="4">
        <f>IF(IFERROR(VLOOKUP(LEFT(C32,14),consolidado!D:D,1,0),0)&gt;0,1,0)</f>
        <v>1</v>
      </c>
      <c r="F32" s="4" t="str">
        <f>VLOOKUP(LEFT(C32,14),consolidado!D:D,1,0)</f>
        <v/>
      </c>
      <c r="H32" s="4" t="str">
        <f>IFERROR(__xludf.DUMMYFUNCTION("""COMPUTED_VALUE"""),"Diputada Flores (RN) y test de drogas: ""El que consume droga, debiera perder su cargo""")</f>
        <v>Diputada Flores (RN) y test de drogas: "El que consume droga, debiera perder su cargo"</v>
      </c>
      <c r="I32" s="4">
        <f t="shared" si="3"/>
        <v>1</v>
      </c>
    </row>
    <row r="33" ht="15.75" customHeight="1">
      <c r="B33" s="21" t="s">
        <v>15</v>
      </c>
      <c r="C33" s="4" t="str">
        <f t="shared" si="1"/>
        <v>Araucanía Noticias</v>
      </c>
      <c r="D33" s="22">
        <f t="shared" si="2"/>
        <v>18</v>
      </c>
      <c r="E33" s="4">
        <f>IF(IFERROR(VLOOKUP(LEFT(C33,14),consolidado!D:D,1,0),0)&gt;0,1,0)</f>
        <v>0</v>
      </c>
      <c r="F33" s="4" t="str">
        <f>VLOOKUP(LEFT(C33,14),consolidado!D:D,1,0)</f>
        <v>#N/A</v>
      </c>
      <c r="H33" s="4" t="str">
        <f>IFERROR(__xludf.DUMMYFUNCTION("""COMPUTED_VALUE"""),"“Los tengo identificados”: Doctora Cordero arremete contra parlamentarios por test de drogas")</f>
        <v>“Los tengo identificados”: Doctora Cordero arremete contra parlamentarios por test de drogas</v>
      </c>
      <c r="I33" s="4">
        <f t="shared" si="3"/>
        <v>1</v>
      </c>
    </row>
    <row r="34" ht="15.75" customHeight="1">
      <c r="B34" s="23" t="s">
        <v>314</v>
      </c>
      <c r="C34" s="4" t="str">
        <f t="shared" si="1"/>
        <v>Diputado Becker da negativo a test de drogas: llamó a transparentar los resultados ante la opini&amp;oac...</v>
      </c>
      <c r="D34" s="22">
        <f t="shared" si="2"/>
        <v>103</v>
      </c>
      <c r="E34" s="4">
        <f>IF(IFERROR(VLOOKUP(LEFT(C34,14),consolidado!D:D,1,0),0)&gt;0,1,0)</f>
        <v>1</v>
      </c>
      <c r="F34" s="4" t="str">
        <f>VLOOKUP(LEFT(C34,14),consolidado!D:D,1,0)</f>
        <v>Diputado Becke</v>
      </c>
      <c r="H34" s="4" t="str">
        <f>IFERROR(__xludf.DUMMYFUNCTION("""COMPUTED_VALUE"""),"Test de drogas para diputados: ¿Cómo funciona el examen de pelo para detectar el consumo?")</f>
        <v>Test de drogas para diputados: ¿Cómo funciona el examen de pelo para detectar el consumo?</v>
      </c>
      <c r="I34" s="4">
        <f t="shared" si="3"/>
        <v>1</v>
      </c>
    </row>
    <row r="35" ht="15.75" customHeight="1">
      <c r="B35" s="24" t="s">
        <v>307</v>
      </c>
      <c r="C35" s="4" t="str">
        <f t="shared" si="1"/>
        <v>Hace 14 días</v>
      </c>
      <c r="D35" s="22">
        <f t="shared" si="2"/>
        <v>12</v>
      </c>
      <c r="E35" s="4">
        <f>IF(IFERROR(VLOOKUP(LEFT(C35,14),consolidado!D:D,1,0),0)&gt;0,1,0)</f>
        <v>0</v>
      </c>
      <c r="F35" s="4" t="str">
        <f>VLOOKUP(LEFT(C35,14),consolidado!D:D,1,0)</f>
        <v>#N/A</v>
      </c>
      <c r="H35" s="4" t="str">
        <f>IFERROR(__xludf.DUMMYFUNCTION("""COMPUTED_VALUE"""),"“No solo no me avergüenzo…”: diputada Gazmuri reconoció consumo de cannabis y lanzó dura crítica al test de drogas en la Cámara")</f>
        <v>“No solo no me avergüenzo…”: diputada Gazmuri reconoció consumo de cannabis y lanzó dura crítica al test de drogas en la Cámara</v>
      </c>
      <c r="I35" s="4">
        <f t="shared" si="3"/>
        <v>1</v>
      </c>
    </row>
    <row r="36" ht="15.75" customHeight="1">
      <c r="B36" s="24" t="s">
        <v>308</v>
      </c>
      <c r="C36" s="4" t="str">
        <f t="shared" si="1"/>
        <v>bookmark_border</v>
      </c>
      <c r="D36" s="22">
        <f t="shared" si="2"/>
        <v>15</v>
      </c>
      <c r="E36" s="4">
        <f>IF(IFERROR(VLOOKUP(LEFT(C36,14),consolidado!D:D,1,0),0)&gt;0,1,0)</f>
        <v>0</v>
      </c>
      <c r="F36" s="4" t="str">
        <f>VLOOKUP(LEFT(C36,14),consolidado!D:D,1,0)</f>
        <v>#N/A</v>
      </c>
      <c r="H36" s="4" t="str">
        <f>IFERROR(__xludf.DUMMYFUNCTION("""COMPUTED_VALUE"""),"Comisión de Ética de la Cámara no llega a acuerdo en las sanciones para diputados que no se realizaron el test de drogas")</f>
        <v>Comisión de Ética de la Cámara no llega a acuerdo en las sanciones para diputados que no se realizaron el test de drogas</v>
      </c>
      <c r="I36" s="4">
        <f t="shared" si="3"/>
        <v>1</v>
      </c>
    </row>
    <row r="37" ht="15.75" customHeight="1">
      <c r="B37" s="24" t="s">
        <v>309</v>
      </c>
      <c r="C37" s="4" t="str">
        <f t="shared" si="1"/>
        <v>share</v>
      </c>
      <c r="D37" s="22">
        <f t="shared" si="2"/>
        <v>5</v>
      </c>
      <c r="E37" s="4">
        <f>IF(IFERROR(VLOOKUP(LEFT(C37,14),consolidado!D:D,1,0),0)&gt;0,1,0)</f>
        <v>0</v>
      </c>
      <c r="F37" s="4" t="str">
        <f>VLOOKUP(LEFT(C37,14),consolidado!D:D,1,0)</f>
        <v>#N/A</v>
      </c>
      <c r="H37" s="4" t="str">
        <f>IFERROR(__xludf.DUMMYFUNCTION("""COMPUTED_VALUE"""),"Avanza proyecto que busca hacer test de drogas a parlamentarios")</f>
        <v>Avanza proyecto que busca hacer test de drogas a parlamentarios</v>
      </c>
      <c r="I37" s="4">
        <f t="shared" si="3"/>
        <v>1</v>
      </c>
    </row>
    <row r="38" ht="15.75" customHeight="1">
      <c r="B38" s="28"/>
      <c r="C38" s="4" t="str">
        <f t="shared" si="1"/>
        <v>more_vert</v>
      </c>
      <c r="D38" s="22">
        <f t="shared" si="2"/>
        <v>9</v>
      </c>
      <c r="E38" s="4">
        <f>IF(IFERROR(VLOOKUP(LEFT(C38,14),consolidado!D:D,1,0),0)&gt;0,1,0)</f>
        <v>0</v>
      </c>
      <c r="F38" s="4" t="str">
        <f>VLOOKUP(LEFT(C38,14),consolidado!D:D,1,0)</f>
        <v>#N/A</v>
      </c>
      <c r="H38" s="4" t="str">
        <f>IFERROR(__xludf.DUMMYFUNCTION("""COMPUTED_VALUE"""),"Test de drogas: diputadas que no se realizaron la prueba entregaron sus descargos en la comisión de Ética de la Cámara")</f>
        <v>Test de drogas: diputadas que no se realizaron la prueba entregaron sus descargos en la comisión de Ética de la Cámara</v>
      </c>
      <c r="I38" s="4">
        <f t="shared" si="3"/>
        <v>1</v>
      </c>
    </row>
    <row r="39" ht="15.75" customHeight="1">
      <c r="B39" s="30" t="s">
        <v>316</v>
      </c>
      <c r="C39" s="4" t="str">
        <f t="shared" si="1"/>
        <v/>
      </c>
      <c r="D39" s="22">
        <f t="shared" si="2"/>
        <v>0</v>
      </c>
      <c r="E39" s="4">
        <f>IF(IFERROR(VLOOKUP(LEFT(C39,14),consolidado!D:D,1,0),0)&gt;0,1,0)</f>
        <v>1</v>
      </c>
      <c r="F39" s="4" t="str">
        <f>VLOOKUP(LEFT(C39,14),consolidado!D:D,1,0)</f>
        <v/>
      </c>
      <c r="H39" s="4" t="str">
        <f>IFERROR(__xludf.DUMMYFUNCTION("""COMPUTED_VALUE"""),"Primera ministra de Finlandia da negativo en test de drogas realizado tras polémico vídeo")</f>
        <v>Primera ministra de Finlandia da negativo en test de drogas realizado tras polémico vídeo</v>
      </c>
      <c r="I39" s="4">
        <f t="shared" si="3"/>
        <v>1</v>
      </c>
    </row>
    <row r="40" ht="15.75" customHeight="1">
      <c r="B40" s="21" t="s">
        <v>21</v>
      </c>
      <c r="C40" s="4" t="str">
        <f t="shared" si="1"/>
        <v>El Mostrador</v>
      </c>
      <c r="D40" s="22">
        <f t="shared" si="2"/>
        <v>12</v>
      </c>
      <c r="E40" s="4">
        <f>IF(IFERROR(VLOOKUP(LEFT(C40,14),consolidado!D:D,1,0),0)&gt;0,1,0)</f>
        <v>0</v>
      </c>
      <c r="F40" s="4" t="str">
        <f>VLOOKUP(LEFT(C40,14),consolidado!D:D,1,0)</f>
        <v>#N/A</v>
      </c>
      <c r="H40" s="4" t="str">
        <f>IFERROR(__xludf.DUMMYFUNCTION("""COMPUTED_VALUE"""),"Requisitos para ser parlamentario")</f>
        <v>Requisitos para ser parlamentario</v>
      </c>
      <c r="I40" s="4">
        <f t="shared" si="3"/>
        <v>1</v>
      </c>
    </row>
    <row r="41" ht="15.75" customHeight="1">
      <c r="B41" s="29">
        <v>44795.0</v>
      </c>
      <c r="C41" s="4" t="str">
        <f t="shared" si="1"/>
        <v>Comenzó aplicación de test de drogas a parlamentarios: resultados demorarán entre 10 a 15 días</v>
      </c>
      <c r="D41" s="22">
        <f t="shared" si="2"/>
        <v>94</v>
      </c>
      <c r="E41" s="4">
        <f>IF(IFERROR(VLOOKUP(LEFT(C41,14),consolidado!D:D,1,0),0)&gt;0,1,0)</f>
        <v>1</v>
      </c>
      <c r="F41" s="4" t="str">
        <f>VLOOKUP(LEFT(C41,14),consolidado!D:D,1,0)</f>
        <v>Comenzó aplica</v>
      </c>
      <c r="H41" s="4" t="str">
        <f>IFERROR(__xludf.DUMMYFUNCTION("""COMPUTED_VALUE"""),"Diputada Riquelme (Ind-FA) piensa no realizarse test de drogas: acusa ""vulneración de derechos""")</f>
        <v>Diputada Riquelme (Ind-FA) piensa no realizarse test de drogas: acusa "vulneración de derechos"</v>
      </c>
      <c r="I41" s="4">
        <f t="shared" si="3"/>
        <v>1</v>
      </c>
    </row>
    <row r="42" ht="15.75" customHeight="1">
      <c r="B42" s="24" t="s">
        <v>307</v>
      </c>
      <c r="C42" s="4" t="str">
        <f t="shared" si="1"/>
        <v>44795</v>
      </c>
      <c r="D42" s="22">
        <f t="shared" si="2"/>
        <v>5</v>
      </c>
      <c r="E42" s="4">
        <f>IF(IFERROR(VLOOKUP(LEFT(C42,14),consolidado!D:D,1,0),0)&gt;0,1,0)</f>
        <v>0</v>
      </c>
      <c r="F42" s="4" t="str">
        <f>VLOOKUP(LEFT(C42,14),consolidado!D:D,1,0)</f>
        <v>#N/A</v>
      </c>
      <c r="H42" s="4" t="str">
        <f>IFERROR(__xludf.DUMMYFUNCTION("""COMPUTED_VALUE"""),"Informe expone accionar de la ultraderecha en Twitter para magnificar resultados del test de droga a Diputados")</f>
        <v>Informe expone accionar de la ultraderecha en Twitter para magnificar resultados del test de droga a Diputados</v>
      </c>
      <c r="I42" s="4">
        <f t="shared" si="3"/>
        <v>1</v>
      </c>
    </row>
    <row r="43" ht="15.75" customHeight="1">
      <c r="B43" s="24" t="s">
        <v>308</v>
      </c>
      <c r="C43" s="4" t="str">
        <f t="shared" si="1"/>
        <v>bookmark_border</v>
      </c>
      <c r="D43" s="22">
        <f t="shared" si="2"/>
        <v>15</v>
      </c>
      <c r="E43" s="4">
        <f>IF(IFERROR(VLOOKUP(LEFT(C43,14),consolidado!D:D,1,0),0)&gt;0,1,0)</f>
        <v>0</v>
      </c>
      <c r="F43" s="4" t="str">
        <f>VLOOKUP(LEFT(C43,14),consolidado!D:D,1,0)</f>
        <v>#N/A</v>
      </c>
      <c r="H43" s="4" t="str">
        <f>IFERROR(__xludf.DUMMYFUNCTION("""COMPUTED_VALUE"""),"Diputado Barria pide aplicar ""test psiquiátrico"" a parlamentarios tras agresión de De la Carrera")</f>
        <v>Diputado Barria pide aplicar "test psiquiátrico" a parlamentarios tras agresión de De la Carrera</v>
      </c>
      <c r="I43" s="4">
        <f t="shared" si="3"/>
        <v>1</v>
      </c>
    </row>
    <row r="44" ht="15.75" customHeight="1">
      <c r="B44" s="24" t="s">
        <v>309</v>
      </c>
      <c r="C44" s="4" t="str">
        <f t="shared" si="1"/>
        <v>share</v>
      </c>
      <c r="D44" s="22">
        <f t="shared" si="2"/>
        <v>5</v>
      </c>
      <c r="E44" s="4">
        <f>IF(IFERROR(VLOOKUP(LEFT(C44,14),consolidado!D:D,1,0),0)&gt;0,1,0)</f>
        <v>0</v>
      </c>
      <c r="F44" s="4" t="str">
        <f>VLOOKUP(LEFT(C44,14),consolidado!D:D,1,0)</f>
        <v>#N/A</v>
      </c>
      <c r="H44" s="4" t="str">
        <f>IFERROR(__xludf.DUMMYFUNCTION("""COMPUTED_VALUE"""),"Los diputados chilenos dieron negativo en el test de drogas")</f>
        <v>Los diputados chilenos dieron negativo en el test de drogas</v>
      </c>
      <c r="I44" s="4">
        <f t="shared" si="3"/>
        <v>1</v>
      </c>
    </row>
    <row r="45" ht="15.75" customHeight="1">
      <c r="B45" s="28"/>
      <c r="C45" s="4" t="str">
        <f t="shared" si="1"/>
        <v>more_vert</v>
      </c>
      <c r="D45" s="22">
        <f t="shared" si="2"/>
        <v>9</v>
      </c>
      <c r="E45" s="4">
        <f>IF(IFERROR(VLOOKUP(LEFT(C45,14),consolidado!D:D,1,0),0)&gt;0,1,0)</f>
        <v>0</v>
      </c>
      <c r="F45" s="4" t="str">
        <f>VLOOKUP(LEFT(C45,14),consolidado!D:D,1,0)</f>
        <v>#N/A</v>
      </c>
      <c r="H45" s="4" t="str">
        <f>IFERROR(__xludf.DUMMYFUNCTION("""COMPUTED_VALUE"""),"Proponen realizar test de drogas y alcohol a personas que trabajan con menores de edad")</f>
        <v>Proponen realizar test de drogas y alcohol a personas que trabajan con menores de edad</v>
      </c>
      <c r="I45" s="4">
        <f t="shared" si="3"/>
        <v>1</v>
      </c>
    </row>
    <row r="46" ht="15.75" customHeight="1">
      <c r="B46" s="32"/>
      <c r="C46" s="4" t="str">
        <f t="shared" si="1"/>
        <v/>
      </c>
      <c r="D46" s="22">
        <f t="shared" si="2"/>
        <v>0</v>
      </c>
      <c r="E46" s="4">
        <f>IF(IFERROR(VLOOKUP(LEFT(C46,14),consolidado!D:D,1,0),0)&gt;0,1,0)</f>
        <v>1</v>
      </c>
      <c r="F46" s="4" t="str">
        <f>VLOOKUP(LEFT(C46,14),consolidado!D:D,1,0)</f>
        <v/>
      </c>
      <c r="H46" s="4" t="str">
        <f>IFERROR(__xludf.DUMMYFUNCTION("""COMPUTED_VALUE"""),"Test de drogas a diputados y cambios al uso recreacional de la marihuana prenden el debate")</f>
        <v>Test de drogas a diputados y cambios al uso recreacional de la marihuana prenden el debate</v>
      </c>
      <c r="I46" s="4">
        <f t="shared" si="3"/>
        <v>1</v>
      </c>
    </row>
    <row r="47" ht="15.75" customHeight="1">
      <c r="B47" s="21" t="s">
        <v>353</v>
      </c>
      <c r="C47" s="4" t="str">
        <f t="shared" si="1"/>
        <v/>
      </c>
      <c r="D47" s="22">
        <f t="shared" si="2"/>
        <v>0</v>
      </c>
      <c r="E47" s="4">
        <f>IF(IFERROR(VLOOKUP(LEFT(C47,14),consolidado!D:D,1,0),0)&gt;0,1,0)</f>
        <v>1</v>
      </c>
      <c r="F47" s="4" t="str">
        <f>VLOOKUP(LEFT(C47,14),consolidado!D:D,1,0)</f>
        <v/>
      </c>
      <c r="H47" s="4" t="str">
        <f>IFERROR(__xludf.DUMMYFUNCTION("""COMPUTED_VALUE"""),"Ana María Gazmuri por proyecto de test de drogas en Cámara; ""Va en la dirección equivocada""")</f>
        <v>Ana María Gazmuri por proyecto de test de drogas en Cámara; "Va en la dirección equivocada"</v>
      </c>
      <c r="I47" s="4">
        <f t="shared" si="3"/>
        <v>1</v>
      </c>
    </row>
    <row r="48" ht="15.75" customHeight="1">
      <c r="B48" s="29">
        <v>44790.0</v>
      </c>
      <c r="C48" s="4" t="str">
        <f t="shared" si="1"/>
        <v>Test de drogas en el Congreso de Chile: los parlamentarios se someten a análisis del pelo para detectar consumo</v>
      </c>
      <c r="D48" s="22">
        <f t="shared" si="2"/>
        <v>111</v>
      </c>
      <c r="E48" s="4">
        <f>IF(IFERROR(VLOOKUP(LEFT(C48,14),consolidado!D:D,1,0),0)&gt;0,1,0)</f>
        <v>1</v>
      </c>
      <c r="F48" s="4" t="str">
        <f>VLOOKUP(LEFT(C48,14),consolidado!D:D,1,0)</f>
        <v>Test de drogas</v>
      </c>
      <c r="H48" s="4" t="str">
        <f>IFERROR(__xludf.DUMMYFUNCTION("""COMPUTED_VALUE"""),"Test de drogas en el Congreso: Corte de Apelaciones da golpe a diputadas oficialistas")</f>
        <v>Test de drogas en el Congreso: Corte de Apelaciones da golpe a diputadas oficialistas</v>
      </c>
      <c r="I48" s="4">
        <f t="shared" si="3"/>
        <v>1</v>
      </c>
    </row>
    <row r="49" ht="15.75" customHeight="1">
      <c r="B49" s="24" t="s">
        <v>307</v>
      </c>
      <c r="C49" s="4" t="str">
        <f t="shared" si="1"/>
        <v>44790</v>
      </c>
      <c r="D49" s="22">
        <f t="shared" si="2"/>
        <v>5</v>
      </c>
      <c r="E49" s="4">
        <f>IF(IFERROR(VLOOKUP(LEFT(C49,14),consolidado!D:D,1,0),0)&gt;0,1,0)</f>
        <v>0</v>
      </c>
      <c r="F49" s="4" t="str">
        <f>VLOOKUP(LEFT(C49,14),consolidado!D:D,1,0)</f>
        <v>#N/A</v>
      </c>
      <c r="H49" s="4" t="str">
        <f>IFERROR(__xludf.DUMMYFUNCTION("""COMPUTED_VALUE"""),"Doctora Cordero cuestionó test de drogas a parlamentarios: “Está todo arreglado”")</f>
        <v>Doctora Cordero cuestionó test de drogas a parlamentarios: “Está todo arreglado”</v>
      </c>
      <c r="I49" s="4">
        <f t="shared" si="3"/>
        <v>1</v>
      </c>
    </row>
    <row r="50" ht="15.75" customHeight="1">
      <c r="B50" s="24" t="s">
        <v>308</v>
      </c>
      <c r="C50" s="4" t="str">
        <f t="shared" si="1"/>
        <v>bookmark_border</v>
      </c>
      <c r="D50" s="22">
        <f t="shared" si="2"/>
        <v>15</v>
      </c>
      <c r="E50" s="4">
        <f>IF(IFERROR(VLOOKUP(LEFT(C50,14),consolidado!D:D,1,0),0)&gt;0,1,0)</f>
        <v>0</v>
      </c>
      <c r="F50" s="4" t="str">
        <f>VLOOKUP(LEFT(C50,14),consolidado!D:D,1,0)</f>
        <v>#N/A</v>
      </c>
      <c r="H50" s="4" t="str">
        <f>IFERROR(__xludf.DUMMYFUNCTION("""COMPUTED_VALUE"""),"Diputado Felipe Donoso exige al Gobierno que se aplique test de drogas a funcionarios del poder Legislativo y Ejecutivo")</f>
        <v>Diputado Felipe Donoso exige al Gobierno que se aplique test de drogas a funcionarios del poder Legislativo y Ejecutivo</v>
      </c>
      <c r="I50" s="4">
        <f t="shared" si="3"/>
        <v>1</v>
      </c>
    </row>
    <row r="51" ht="15.75" customHeight="1">
      <c r="B51" s="24" t="s">
        <v>309</v>
      </c>
      <c r="C51" s="4" t="str">
        <f t="shared" si="1"/>
        <v>share</v>
      </c>
      <c r="D51" s="22">
        <f t="shared" si="2"/>
        <v>5</v>
      </c>
      <c r="E51" s="4">
        <f>IF(IFERROR(VLOOKUP(LEFT(C51,14),consolidado!D:D,1,0),0)&gt;0,1,0)</f>
        <v>0</v>
      </c>
      <c r="F51" s="4" t="str">
        <f>VLOOKUP(LEFT(C51,14),consolidado!D:D,1,0)</f>
        <v>#N/A</v>
      </c>
      <c r="H51" s="4" t="str">
        <f>IFERROR(__xludf.DUMMYFUNCTION("""COMPUTED_VALUE"""),"Diputada Paula Labra (RN-IND) se ofrece voluntaria a hacer el test de droga ante negativa de algunos parlamentarios de cumplir con requerimiento")</f>
        <v>Diputada Paula Labra (RN-IND) se ofrece voluntaria a hacer el test de droga ante negativa de algunos parlamentarios de cumplir con requerimiento</v>
      </c>
      <c r="I51" s="4">
        <f t="shared" si="3"/>
        <v>1</v>
      </c>
    </row>
    <row r="52" ht="15.75" customHeight="1">
      <c r="B52" s="28"/>
      <c r="C52" s="4" t="str">
        <f t="shared" si="1"/>
        <v>more_vert</v>
      </c>
      <c r="D52" s="22">
        <f t="shared" si="2"/>
        <v>9</v>
      </c>
      <c r="E52" s="4">
        <f>IF(IFERROR(VLOOKUP(LEFT(C52,14),consolidado!D:D,1,0),0)&gt;0,1,0)</f>
        <v>0</v>
      </c>
      <c r="F52" s="4" t="str">
        <f>VLOOKUP(LEFT(C52,14),consolidado!D:D,1,0)</f>
        <v>#N/A</v>
      </c>
      <c r="H52" s="4" t="str">
        <f>IFERROR(__xludf.DUMMYFUNCTION("""COMPUTED_VALUE"""),"“No hagan la cimarra”: De la Carrera y su provocador tuit a diputados frenteamplistas tras ser sorteados a test de drogas")</f>
        <v>“No hagan la cimarra”: De la Carrera y su provocador tuit a diputados frenteamplistas tras ser sorteados a test de drogas</v>
      </c>
      <c r="I52" s="4">
        <f t="shared" si="3"/>
        <v>1</v>
      </c>
    </row>
    <row r="53" ht="15.75" customHeight="1">
      <c r="B53" s="30" t="s">
        <v>315</v>
      </c>
      <c r="C53" s="4" t="str">
        <f t="shared" si="1"/>
        <v/>
      </c>
      <c r="D53" s="22">
        <f t="shared" si="2"/>
        <v>0</v>
      </c>
      <c r="E53" s="4">
        <f>IF(IFERROR(VLOOKUP(LEFT(C53,14),consolidado!D:D,1,0),0)&gt;0,1,0)</f>
        <v>1</v>
      </c>
      <c r="F53" s="4" t="str">
        <f>VLOOKUP(LEFT(C53,14),consolidado!D:D,1,0)</f>
        <v/>
      </c>
      <c r="H53" s="4" t="str">
        <f>IFERROR(__xludf.DUMMYFUNCTION("""COMPUTED_VALUE"""),"Segundo grupo de diputados dio negativo a test de drogas")</f>
        <v>Segundo grupo de diputados dio negativo a test de drogas</v>
      </c>
      <c r="I53" s="4">
        <f t="shared" si="3"/>
        <v>1</v>
      </c>
    </row>
    <row r="54" ht="15.75" customHeight="1">
      <c r="B54" s="21" t="s">
        <v>29</v>
      </c>
      <c r="C54" s="4" t="str">
        <f t="shared" si="1"/>
        <v>BioBioChile</v>
      </c>
      <c r="D54" s="22">
        <f t="shared" si="2"/>
        <v>11</v>
      </c>
      <c r="E54" s="4">
        <f>IF(IFERROR(VLOOKUP(LEFT(C54,14),consolidado!D:D,1,0),0)&gt;0,1,0)</f>
        <v>0</v>
      </c>
      <c r="F54" s="4" t="str">
        <f>VLOOKUP(LEFT(C54,14),consolidado!D:D,1,0)</f>
        <v>#N/A</v>
      </c>
      <c r="H54" s="4" t="str">
        <f>IFERROR(__xludf.DUMMYFUNCTION("""COMPUTED_VALUE"""),"Urruticoechea tilda de ""imprudente"" recurso presentado por diputadas en contra de test de drogas")</f>
        <v>Urruticoechea tilda de "imprudente" recurso presentado por diputadas en contra de test de drogas</v>
      </c>
      <c r="I54" s="4">
        <f t="shared" si="3"/>
        <v>1</v>
      </c>
    </row>
    <row r="55" ht="15.75" customHeight="1">
      <c r="B55" s="29">
        <v>44791.0</v>
      </c>
      <c r="C55" s="4" t="str">
        <f t="shared" si="1"/>
        <v>"Necesario", "show" y "extenderlo al Gobierno": las reacciones de parlamentarios al test de drogas</v>
      </c>
      <c r="D55" s="22">
        <f t="shared" si="2"/>
        <v>98</v>
      </c>
      <c r="E55" s="4">
        <f>IF(IFERROR(VLOOKUP(LEFT(C55,14),consolidado!D:D,1,0),0)&gt;0,1,0)</f>
        <v>1</v>
      </c>
      <c r="F55" s="4" t="str">
        <f>VLOOKUP(LEFT(C55,14),consolidado!D:D,1,0)</f>
        <v>"Necesario", "</v>
      </c>
      <c r="H55" s="4" t="str">
        <f>IFERROR(__xludf.DUMMYFUNCTION("""COMPUTED_VALUE"""),"Corte de Valparaíso rechaza solicitud de dictar orden de no innovar por test de drogas a diputados. - Diario Constitucional")</f>
        <v>Corte de Valparaíso rechaza solicitud de dictar orden de no innovar por test de drogas a diputados. - Diario Constitucional</v>
      </c>
      <c r="I55" s="4">
        <f t="shared" si="3"/>
        <v>1</v>
      </c>
    </row>
    <row r="56" ht="15.75" customHeight="1">
      <c r="B56" s="24" t="s">
        <v>307</v>
      </c>
      <c r="C56" s="4" t="str">
        <f t="shared" si="1"/>
        <v>44791</v>
      </c>
      <c r="D56" s="22">
        <f t="shared" si="2"/>
        <v>5</v>
      </c>
      <c r="E56" s="4">
        <f>IF(IFERROR(VLOOKUP(LEFT(C56,14),consolidado!D:D,1,0),0)&gt;0,1,0)</f>
        <v>0</v>
      </c>
      <c r="F56" s="4" t="str">
        <f>VLOOKUP(LEFT(C56,14),consolidado!D:D,1,0)</f>
        <v>#N/A</v>
      </c>
      <c r="H56" s="4" t="str">
        <f>IFERROR(__xludf.DUMMYFUNCTION("""COMPUTED_VALUE"""),"Cámara sortea a los primeros parlamentarios para iniciar test de drogas. - Diario Constitucional")</f>
        <v>Cámara sortea a los primeros parlamentarios para iniciar test de drogas. - Diario Constitucional</v>
      </c>
      <c r="I56" s="4">
        <f t="shared" si="3"/>
        <v>1</v>
      </c>
    </row>
    <row r="57" ht="15.75" customHeight="1">
      <c r="B57" s="24" t="s">
        <v>308</v>
      </c>
      <c r="C57" s="4" t="str">
        <f t="shared" si="1"/>
        <v>bookmark_border</v>
      </c>
      <c r="D57" s="22">
        <f t="shared" si="2"/>
        <v>15</v>
      </c>
      <c r="E57" s="4">
        <f>IF(IFERROR(VLOOKUP(LEFT(C57,14),consolidado!D:D,1,0),0)&gt;0,1,0)</f>
        <v>0</v>
      </c>
      <c r="F57" s="4" t="str">
        <f>VLOOKUP(LEFT(C57,14),consolidado!D:D,1,0)</f>
        <v>#N/A</v>
      </c>
      <c r="H57" s="4" t="str">
        <f>IFERROR(__xludf.DUMMYFUNCTION("""COMPUTED_VALUE"""),"Diputado Gaspar Rivas (PDG) critica posturas de los sectores políticos de la Cámara acerca del test de drogas")</f>
        <v>Diputado Gaspar Rivas (PDG) critica posturas de los sectores políticos de la Cámara acerca del test de drogas</v>
      </c>
      <c r="I57" s="4">
        <f t="shared" si="3"/>
        <v>1</v>
      </c>
    </row>
    <row r="58" ht="15.75" customHeight="1">
      <c r="B58" s="24" t="s">
        <v>309</v>
      </c>
      <c r="C58" s="4" t="str">
        <f t="shared" si="1"/>
        <v>share</v>
      </c>
      <c r="D58" s="22">
        <f t="shared" si="2"/>
        <v>5</v>
      </c>
      <c r="E58" s="4">
        <f>IF(IFERROR(VLOOKUP(LEFT(C58,14),consolidado!D:D,1,0),0)&gt;0,1,0)</f>
        <v>0</v>
      </c>
      <c r="F58" s="4" t="str">
        <f>VLOOKUP(LEFT(C58,14),consolidado!D:D,1,0)</f>
        <v>#N/A</v>
      </c>
      <c r="H58" s="4" t="str">
        <f>IFERROR(__xludf.DUMMYFUNCTION("""COMPUTED_VALUE"""),"Ciber acoso y hostigamiento a diputadas por test de Drogas: ¿Cuál es el límite de la persecución anti narcóticos dentro de la Cámara?")</f>
        <v>Ciber acoso y hostigamiento a diputadas por test de Drogas: ¿Cuál es el límite de la persecución anti narcóticos dentro de la Cámara?</v>
      </c>
      <c r="I58" s="4">
        <f t="shared" si="3"/>
        <v>1</v>
      </c>
    </row>
    <row r="59" ht="15.75" customHeight="1">
      <c r="B59" s="28"/>
      <c r="C59" s="4" t="str">
        <f t="shared" si="1"/>
        <v>more_vert</v>
      </c>
      <c r="D59" s="22">
        <f t="shared" si="2"/>
        <v>9</v>
      </c>
      <c r="E59" s="4">
        <f>IF(IFERROR(VLOOKUP(LEFT(C59,14),consolidado!D:D,1,0),0)&gt;0,1,0)</f>
        <v>0</v>
      </c>
      <c r="F59" s="4" t="str">
        <f>VLOOKUP(LEFT(C59,14),consolidado!D:D,1,0)</f>
        <v>#N/A</v>
      </c>
      <c r="H59" s="4" t="str">
        <f>IFERROR(__xludf.DUMMYFUNCTION("""COMPUTED_VALUE"""),"Cristian Camargo, director del Laboratorio de Análisis Antidoping : “Alguien que es adicto a una droga es fácil de corromper”")</f>
        <v>Cristian Camargo, director del Laboratorio de Análisis Antidoping : “Alguien que es adicto a una droga es fácil de corromper”</v>
      </c>
      <c r="I59" s="4">
        <f t="shared" si="3"/>
        <v>1</v>
      </c>
    </row>
    <row r="60" ht="15.75" customHeight="1">
      <c r="B60" s="32"/>
      <c r="C60" s="4" t="str">
        <f t="shared" si="1"/>
        <v/>
      </c>
      <c r="D60" s="22">
        <f t="shared" si="2"/>
        <v>0</v>
      </c>
      <c r="E60" s="4">
        <f>IF(IFERROR(VLOOKUP(LEFT(C60,14),consolidado!D:D,1,0),0)&gt;0,1,0)</f>
        <v>1</v>
      </c>
      <c r="F60" s="4" t="str">
        <f>VLOOKUP(LEFT(C60,14),consolidado!D:D,1,0)</f>
        <v/>
      </c>
      <c r="H60" s="4" t="str">
        <f>IFERROR(__xludf.DUMMYFUNCTION("""COMPUTED_VALUE"""),"Radio Bío Bío | Entrevista a Aleida Kulikoff, académica y toxicóloga de la Escuela de Química y Farmacia UNAB")</f>
        <v>Radio Bío Bío | Entrevista a Aleida Kulikoff, académica y toxicóloga de la Escuela de Química y Farmacia UNAB</v>
      </c>
      <c r="I60" s="4">
        <f t="shared" si="3"/>
        <v>1</v>
      </c>
    </row>
    <row r="61" ht="15.75" customHeight="1">
      <c r="B61" s="21" t="s">
        <v>269</v>
      </c>
      <c r="C61" s="4" t="str">
        <f t="shared" si="1"/>
        <v/>
      </c>
      <c r="D61" s="22">
        <f t="shared" si="2"/>
        <v>0</v>
      </c>
      <c r="E61" s="4">
        <f>IF(IFERROR(VLOOKUP(LEFT(C61,14),consolidado!D:D,1,0),0)&gt;0,1,0)</f>
        <v>1</v>
      </c>
      <c r="F61" s="4" t="str">
        <f>VLOOKUP(LEFT(C61,14),consolidado!D:D,1,0)</f>
        <v/>
      </c>
      <c r="H61" s="4" t="str">
        <f>IFERROR(__xludf.DUMMYFUNCTION("""COMPUTED_VALUE"""),"Diputada Pamela Jiles: ""No puede haber plata mejor gastada que para saber si tenemos narcodiputados""")</f>
        <v>Diputada Pamela Jiles: "No puede haber plata mejor gastada que para saber si tenemos narcodiputados"</v>
      </c>
      <c r="I61" s="4">
        <f t="shared" si="3"/>
        <v>1</v>
      </c>
    </row>
    <row r="62" ht="15.75" customHeight="1">
      <c r="B62" s="29">
        <v>44740.0</v>
      </c>
      <c r="C62" s="4" t="str">
        <f t="shared" si="1"/>
        <v>Comisión rechaza que resultados de test de drogas a los parlamentarios sean públicos</v>
      </c>
      <c r="D62" s="22">
        <f t="shared" si="2"/>
        <v>84</v>
      </c>
      <c r="E62" s="4">
        <f>IF(IFERROR(VLOOKUP(LEFT(C62,14),consolidado!D:D,1,0),0)&gt;0,1,0)</f>
        <v>1</v>
      </c>
      <c r="F62" s="4" t="str">
        <f>VLOOKUP(LEFT(C62,14),consolidado!D:D,1,0)</f>
        <v>Comisión recha</v>
      </c>
      <c r="H62" s="4" t="str">
        <f>IFERROR(__xludf.DUMMYFUNCTION("""COMPUTED_VALUE"""),"Diputados UDI: ""El INDH se transformó en un problema para la democracia cuando fue capturado por el PC y el FA""")</f>
        <v>Diputados UDI: "El INDH se transformó en un problema para la democracia cuando fue capturado por el PC y el FA"</v>
      </c>
      <c r="I62" s="4">
        <f t="shared" si="3"/>
        <v>1</v>
      </c>
    </row>
    <row r="63" ht="15.75" customHeight="1">
      <c r="B63" s="24" t="s">
        <v>307</v>
      </c>
      <c r="C63" s="4" t="str">
        <f t="shared" si="1"/>
        <v>44740</v>
      </c>
      <c r="D63" s="22">
        <f t="shared" si="2"/>
        <v>5</v>
      </c>
      <c r="E63" s="4">
        <f>IF(IFERROR(VLOOKUP(LEFT(C63,14),consolidado!D:D,1,0),0)&gt;0,1,0)</f>
        <v>0</v>
      </c>
      <c r="F63" s="4" t="str">
        <f>VLOOKUP(LEFT(C63,14),consolidado!D:D,1,0)</f>
        <v>#N/A</v>
      </c>
      <c r="H63" s="4" t="str">
        <f>IFERROR(__xludf.DUMMYFUNCTION("""COMPUTED_VALUE"""),"“Le rogaría que me explicara…”: la dura pregunta que José Luis Repenning le arrojó a Camila Flores por debate sobre test de drogas a diputados")</f>
        <v>“Le rogaría que me explicara…”: la dura pregunta que José Luis Repenning le arrojó a Camila Flores por debate sobre test de drogas a diputados</v>
      </c>
      <c r="I63" s="4">
        <f t="shared" si="3"/>
        <v>1</v>
      </c>
    </row>
    <row r="64" ht="15.75" customHeight="1">
      <c r="B64" s="24" t="s">
        <v>308</v>
      </c>
      <c r="C64" s="4" t="str">
        <f t="shared" si="1"/>
        <v>bookmark_border</v>
      </c>
      <c r="D64" s="22">
        <f t="shared" si="2"/>
        <v>15</v>
      </c>
      <c r="E64" s="4">
        <f>IF(IFERROR(VLOOKUP(LEFT(C64,14),consolidado!D:D,1,0),0)&gt;0,1,0)</f>
        <v>0</v>
      </c>
      <c r="F64" s="4" t="str">
        <f>VLOOKUP(LEFT(C64,14),consolidado!D:D,1,0)</f>
        <v>#N/A</v>
      </c>
      <c r="H64" s="4" t="str">
        <f>IFERROR(__xludf.DUMMYFUNCTION("""COMPUTED_VALUE"""),"Emilia Schneider se refirió a su adicción a las drogas en la adolescencia: ""Consumí muchas sustancias pelig...")</f>
        <v>Emilia Schneider se refirió a su adicción a las drogas en la adolescencia: "Consumí muchas sustancias pelig...</v>
      </c>
      <c r="I64" s="4">
        <f t="shared" si="3"/>
        <v>1</v>
      </c>
    </row>
    <row r="65" ht="15.75" customHeight="1">
      <c r="B65" s="24" t="s">
        <v>309</v>
      </c>
      <c r="C65" s="4" t="str">
        <f t="shared" si="1"/>
        <v>share</v>
      </c>
      <c r="D65" s="22">
        <f t="shared" si="2"/>
        <v>5</v>
      </c>
      <c r="E65" s="4">
        <f>IF(IFERROR(VLOOKUP(LEFT(C65,14),consolidado!D:D,1,0),0)&gt;0,1,0)</f>
        <v>0</v>
      </c>
      <c r="F65" s="4" t="str">
        <f>VLOOKUP(LEFT(C65,14),consolidado!D:D,1,0)</f>
        <v>#N/A</v>
      </c>
      <c r="H65" s="4" t="str">
        <f>IFERROR(__xludf.DUMMYFUNCTION("""COMPUTED_VALUE"""),"La polémica entre Kast y Sáez por el consumo de marihuana del diputado RD")</f>
        <v>La polémica entre Kast y Sáez por el consumo de marihuana del diputado RD</v>
      </c>
      <c r="I65" s="4">
        <f t="shared" si="3"/>
        <v>1</v>
      </c>
    </row>
    <row r="66" ht="15.75" customHeight="1">
      <c r="B66" s="28"/>
      <c r="C66" s="4" t="str">
        <f t="shared" si="1"/>
        <v>more_vert</v>
      </c>
      <c r="D66" s="22">
        <f t="shared" si="2"/>
        <v>9</v>
      </c>
      <c r="E66" s="4">
        <f>IF(IFERROR(VLOOKUP(LEFT(C66,14),consolidado!D:D,1,0),0)&gt;0,1,0)</f>
        <v>0</v>
      </c>
      <c r="F66" s="4" t="str">
        <f>VLOOKUP(LEFT(C66,14),consolidado!D:D,1,0)</f>
        <v>#N/A</v>
      </c>
      <c r="H66" s="4" t="str">
        <f>IFERROR(__xludf.DUMMYFUNCTION("""COMPUTED_VALUE"""),"El Senado vetó los controles de droga como los que pide Vox para no ofender a los parlamentarios")</f>
        <v>El Senado vetó los controles de droga como los que pide Vox para no ofender a los parlamentarios</v>
      </c>
      <c r="I66" s="4">
        <f t="shared" si="3"/>
        <v>1</v>
      </c>
    </row>
    <row r="67" ht="15.75" customHeight="1">
      <c r="B67" s="19" t="s">
        <v>303</v>
      </c>
      <c r="C67" s="4" t="str">
        <f t="shared" si="1"/>
        <v/>
      </c>
      <c r="D67" s="22">
        <f t="shared" si="2"/>
        <v>0</v>
      </c>
      <c r="E67" s="4">
        <f>IF(IFERROR(VLOOKUP(LEFT(C67,14),consolidado!D:D,1,0),0)&gt;0,1,0)</f>
        <v>1</v>
      </c>
      <c r="F67" s="4" t="str">
        <f>VLOOKUP(LEFT(C67,14),consolidado!D:D,1,0)</f>
        <v/>
      </c>
      <c r="H67" s="4" t="str">
        <f>IFERROR(__xludf.DUMMYFUNCTION("""COMPUTED_VALUE"""),"""No voy a satanizar el consumo de drogas"": José Antonio Neme admitió haber probado marihuana")</f>
        <v>"No voy a satanizar el consumo de drogas": José Antonio Neme admitió haber probado marihuana</v>
      </c>
      <c r="I67" s="4">
        <f t="shared" si="3"/>
        <v>1</v>
      </c>
    </row>
    <row r="68" ht="15.75" customHeight="1">
      <c r="B68" s="21" t="s">
        <v>25</v>
      </c>
      <c r="C68" s="4" t="str">
        <f t="shared" si="1"/>
        <v>La Tercera</v>
      </c>
      <c r="D68" s="22">
        <f t="shared" si="2"/>
        <v>10</v>
      </c>
      <c r="E68" s="4">
        <f>IF(IFERROR(VLOOKUP(LEFT(C68,14),consolidado!D:D,1,0),0)&gt;0,1,0)</f>
        <v>0</v>
      </c>
      <c r="F68" s="4" t="str">
        <f>VLOOKUP(LEFT(C68,14),consolidado!D:D,1,0)</f>
        <v>#N/A</v>
      </c>
      <c r="H68" s="4" t="str">
        <f>IFERROR(__xludf.DUMMYFUNCTION("""COMPUTED_VALUE"""),"¿Qué dice la ley (y el reglamento de la Cámara) sobre el consumo de alcohol en el trabajo?")</f>
        <v>¿Qué dice la ley (y el reglamento de la Cámara) sobre el consumo de alcohol en el trabajo?</v>
      </c>
      <c r="I68" s="4">
        <f t="shared" si="3"/>
        <v>1</v>
      </c>
    </row>
    <row r="69" ht="15.75" customHeight="1">
      <c r="B69" s="23" t="s">
        <v>317</v>
      </c>
      <c r="C69" s="4" t="str">
        <f t="shared" si="1"/>
        <v>Un amigo sorpresivo en la corte: INDH sale en defensa de diputadas que se rebelaron al test de drogas</v>
      </c>
      <c r="D69" s="22">
        <f t="shared" si="2"/>
        <v>101</v>
      </c>
      <c r="E69" s="4">
        <f>IF(IFERROR(VLOOKUP(LEFT(C69,14),consolidado!D:D,1,0),0)&gt;0,1,0)</f>
        <v>1</v>
      </c>
      <c r="F69" s="4" t="str">
        <f>VLOOKUP(LEFT(C69,14),consolidado!D:D,1,0)</f>
        <v>Un amigo sorpr</v>
      </c>
      <c r="H69" s="4" t="str">
        <f>IFERROR(__xludf.DUMMYFUNCTION("""COMPUTED_VALUE"""),"Francisco Pulgar es el primer diputado del Maule que se someterse al test de drogas")</f>
        <v>Francisco Pulgar es el primer diputado del Maule que se someterse al test de drogas</v>
      </c>
      <c r="I69" s="4">
        <f t="shared" si="3"/>
        <v>1</v>
      </c>
    </row>
    <row r="70" ht="15.75" customHeight="1">
      <c r="B70" s="24" t="s">
        <v>307</v>
      </c>
      <c r="C70" s="4" t="str">
        <f t="shared" si="1"/>
        <v>Hace 22 días</v>
      </c>
      <c r="D70" s="22">
        <f t="shared" si="2"/>
        <v>12</v>
      </c>
      <c r="E70" s="4">
        <f>IF(IFERROR(VLOOKUP(LEFT(C70,14),consolidado!D:D,1,0),0)&gt;0,1,0)</f>
        <v>0</v>
      </c>
      <c r="F70" s="4" t="str">
        <f>VLOOKUP(LEFT(C70,14),consolidado!D:D,1,0)</f>
        <v>#N/A</v>
      </c>
      <c r="H70" s="4" t="str">
        <f>IFERROR(__xludf.DUMMYFUNCTION("""COMPUTED_VALUE"""),"63 diputados confesaron que consumieron algún tipo de drogas alguna vez")</f>
        <v>63 diputados confesaron que consumieron algún tipo de drogas alguna vez</v>
      </c>
      <c r="I70" s="4">
        <f t="shared" si="3"/>
        <v>1</v>
      </c>
    </row>
    <row r="71" ht="15.75" customHeight="1">
      <c r="B71" s="24" t="s">
        <v>308</v>
      </c>
      <c r="C71" s="4" t="str">
        <f t="shared" si="1"/>
        <v>bookmark_border</v>
      </c>
      <c r="D71" s="22">
        <f t="shared" si="2"/>
        <v>15</v>
      </c>
      <c r="E71" s="4">
        <f>IF(IFERROR(VLOOKUP(LEFT(C71,14),consolidado!D:D,1,0),0)&gt;0,1,0)</f>
        <v>0</v>
      </c>
      <c r="F71" s="4" t="str">
        <f>VLOOKUP(LEFT(C71,14),consolidado!D:D,1,0)</f>
        <v>#N/A</v>
      </c>
      <c r="H71" s="4" t="str">
        <f>IFERROR(__xludf.DUMMYFUNCTION("""COMPUTED_VALUE"""),"Corte Suprema admite recurso contra Test de Drogas en la Cámara de Diputadas y Diputados")</f>
        <v>Corte Suprema admite recurso contra Test de Drogas en la Cámara de Diputadas y Diputados</v>
      </c>
      <c r="I71" s="4">
        <f t="shared" si="3"/>
        <v>1</v>
      </c>
    </row>
    <row r="72" ht="15.75" customHeight="1">
      <c r="B72" s="24" t="s">
        <v>309</v>
      </c>
      <c r="C72" s="4" t="str">
        <f t="shared" si="1"/>
        <v>share</v>
      </c>
      <c r="D72" s="22">
        <f t="shared" si="2"/>
        <v>5</v>
      </c>
      <c r="E72" s="4">
        <f>IF(IFERROR(VLOOKUP(LEFT(C72,14),consolidado!D:D,1,0),0)&gt;0,1,0)</f>
        <v>0</v>
      </c>
      <c r="F72" s="4" t="str">
        <f>VLOOKUP(LEFT(C72,14),consolidado!D:D,1,0)</f>
        <v>#N/A</v>
      </c>
      <c r="H72" s="4" t="str">
        <f>IFERROR(__xludf.DUMMYFUNCTION("""COMPUTED_VALUE"""),"«Evitamos bajar a los genitales»: la singular anécdota del diputado Romero al tomarse muestra de pelo para el examen de drogas")</f>
        <v>«Evitamos bajar a los genitales»: la singular anécdota del diputado Romero al tomarse muestra de pelo para el examen de drogas</v>
      </c>
      <c r="I72" s="4">
        <f t="shared" si="3"/>
        <v>1</v>
      </c>
    </row>
    <row r="73" ht="15.75" customHeight="1">
      <c r="B73" s="28"/>
      <c r="C73" s="4" t="str">
        <f t="shared" si="1"/>
        <v>more_vert</v>
      </c>
      <c r="D73" s="22">
        <f t="shared" si="2"/>
        <v>9</v>
      </c>
      <c r="E73" s="4">
        <f>IF(IFERROR(VLOOKUP(LEFT(C73,14),consolidado!D:D,1,0),0)&gt;0,1,0)</f>
        <v>0</v>
      </c>
      <c r="F73" s="4" t="str">
        <f>VLOOKUP(LEFT(C73,14),consolidado!D:D,1,0)</f>
        <v>#N/A</v>
      </c>
      <c r="H73" s="4" t="str">
        <f>IFERROR(__xludf.DUMMYFUNCTION("""COMPUTED_VALUE"""),"Los otros políticos que han vinculado a parlamentarios con el consumo de drogas")</f>
        <v>Los otros políticos que han vinculado a parlamentarios con el consumo de drogas</v>
      </c>
      <c r="I73" s="4">
        <f t="shared" si="3"/>
        <v>1</v>
      </c>
    </row>
    <row r="74" ht="15.75" customHeight="1">
      <c r="B74" s="30" t="s">
        <v>319</v>
      </c>
      <c r="C74" s="4" t="str">
        <f t="shared" si="1"/>
        <v/>
      </c>
      <c r="D74" s="22">
        <f t="shared" si="2"/>
        <v>0</v>
      </c>
      <c r="E74" s="4">
        <f>IF(IFERROR(VLOOKUP(LEFT(C74,14),consolidado!D:D,1,0),0)&gt;0,1,0)</f>
        <v>1</v>
      </c>
      <c r="F74" s="4" t="str">
        <f>VLOOKUP(LEFT(C74,14),consolidado!D:D,1,0)</f>
        <v/>
      </c>
      <c r="H74" s="4" t="str">
        <f>IFERROR(__xludf.DUMMYFUNCTION("""COMPUTED_VALUE"""),"Debía vigilar a narcos y era uno de ellos: así operaba funcionario de gobierno condenado por tráfico")</f>
        <v>Debía vigilar a narcos y era uno de ellos: así operaba funcionario de gobierno condenado por tráfico</v>
      </c>
      <c r="I74" s="4">
        <f t="shared" si="3"/>
        <v>1</v>
      </c>
    </row>
    <row r="75" ht="15.75" customHeight="1">
      <c r="B75" s="21" t="s">
        <v>271</v>
      </c>
      <c r="C75" s="4" t="str">
        <f t="shared" si="1"/>
        <v>pauta</v>
      </c>
      <c r="D75" s="22">
        <f t="shared" si="2"/>
        <v>5</v>
      </c>
      <c r="E75" s="4">
        <f>IF(IFERROR(VLOOKUP(LEFT(C75,14),consolidado!D:D,1,0),0)&gt;0,1,0)</f>
        <v>0</v>
      </c>
      <c r="F75" s="4" t="str">
        <f>VLOOKUP(LEFT(C75,14),consolidado!D:D,1,0)</f>
        <v>#N/A</v>
      </c>
      <c r="H75" s="4" t="str">
        <f>IFERROR(__xludf.DUMMYFUNCTION("""COMPUTED_VALUE"""),"Juan Antonio Coloma (UDI): ""Quisimos agregar una reforma que obligue a los ministro y al Presidente a realizarse el test de droga""")</f>
        <v>Juan Antonio Coloma (UDI): "Quisimos agregar una reforma que obligue a los ministro y al Presidente a realizarse el test de droga"</v>
      </c>
      <c r="I75" s="4">
        <f t="shared" si="3"/>
        <v>1</v>
      </c>
    </row>
    <row r="76" ht="15.75" customHeight="1">
      <c r="B76" s="29">
        <v>44755.0</v>
      </c>
      <c r="C76" s="4" t="str">
        <f t="shared" si="1"/>
        <v>La Cámara de Diputados aprueba realizar test de drogas a diputados</v>
      </c>
      <c r="D76" s="22">
        <f t="shared" si="2"/>
        <v>66</v>
      </c>
      <c r="E76" s="4">
        <f>IF(IFERROR(VLOOKUP(LEFT(C76,14),consolidado!D:D,1,0),0)&gt;0,1,0)</f>
        <v>1</v>
      </c>
      <c r="F76" s="4" t="str">
        <f>VLOOKUP(LEFT(C76,14),consolidado!D:D,1,0)</f>
        <v>La Cámara de D</v>
      </c>
      <c r="H76" s="4" t="str">
        <f>IFERROR(__xludf.DUMMYFUNCTION("""COMPUTED_VALUE"""),"Vendían en el persa Biobío: Detienen a narcotraficantes que importaban droga desde Cali")</f>
        <v>Vendían en el persa Biobío: Detienen a narcotraficantes que importaban droga desde Cali</v>
      </c>
      <c r="I76" s="4">
        <f t="shared" si="3"/>
        <v>1</v>
      </c>
    </row>
    <row r="77" ht="15.75" customHeight="1">
      <c r="B77" s="24" t="s">
        <v>307</v>
      </c>
      <c r="C77" s="4" t="str">
        <f t="shared" si="1"/>
        <v>44755</v>
      </c>
      <c r="D77" s="22">
        <f t="shared" si="2"/>
        <v>5</v>
      </c>
      <c r="E77" s="4">
        <f>IF(IFERROR(VLOOKUP(LEFT(C77,14),consolidado!D:D,1,0),0)&gt;0,1,0)</f>
        <v>0</v>
      </c>
      <c r="F77" s="4" t="str">
        <f>VLOOKUP(LEFT(C77,14),consolidado!D:D,1,0)</f>
        <v>#N/A</v>
      </c>
      <c r="H77" s="4" t="str">
        <f>IFERROR(__xludf.DUMMYFUNCTION("""COMPUTED_VALUE"""),"Jefe de la Bancada Republicana y llamado de Vallejo a que oposición se ponga de acuerdo por Plebiscito: ""Dejen de intervenir en un proceso democrático que nos pertenece a todos""")</f>
        <v>Jefe de la Bancada Republicana y llamado de Vallejo a que oposición se ponga de acuerdo por Plebiscito: "Dejen de intervenir en un proceso democrático que nos pertenece a todos"</v>
      </c>
      <c r="I77" s="4">
        <f t="shared" si="3"/>
        <v>1</v>
      </c>
    </row>
    <row r="78" ht="15.75" customHeight="1">
      <c r="B78" s="24" t="s">
        <v>308</v>
      </c>
      <c r="C78" s="4" t="str">
        <f t="shared" si="1"/>
        <v>bookmark_border</v>
      </c>
      <c r="D78" s="22">
        <f t="shared" si="2"/>
        <v>15</v>
      </c>
      <c r="E78" s="4">
        <f>IF(IFERROR(VLOOKUP(LEFT(C78,14),consolidado!D:D,1,0),0)&gt;0,1,0)</f>
        <v>0</v>
      </c>
      <c r="F78" s="4" t="str">
        <f>VLOOKUP(LEFT(C78,14),consolidado!D:D,1,0)</f>
        <v>#N/A</v>
      </c>
      <c r="H78" s="4" t="str">
        <f>IFERROR(__xludf.DUMMYFUNCTION("""COMPUTED_VALUE"""),"Organización Mundial de la salud le asignó un nuevo nombre a la Viruela del Mono para evitar burlas y comentarios racistas")</f>
        <v>Organización Mundial de la salud le asignó un nuevo nombre a la Viruela del Mono para evitar burlas y comentarios racistas</v>
      </c>
      <c r="I78" s="4">
        <f t="shared" si="3"/>
        <v>1</v>
      </c>
    </row>
    <row r="79" ht="15.75" customHeight="1">
      <c r="B79" s="24" t="s">
        <v>309</v>
      </c>
      <c r="C79" s="4" t="str">
        <f t="shared" si="1"/>
        <v>share</v>
      </c>
      <c r="D79" s="22">
        <f t="shared" si="2"/>
        <v>5</v>
      </c>
      <c r="E79" s="4">
        <f>IF(IFERROR(VLOOKUP(LEFT(C79,14),consolidado!D:D,1,0),0)&gt;0,1,0)</f>
        <v>0</v>
      </c>
      <c r="F79" s="4" t="str">
        <f>VLOOKUP(LEFT(C79,14),consolidado!D:D,1,0)</f>
        <v>#N/A</v>
      </c>
      <c r="H79" s="4" t="str">
        <f>IFERROR(__xludf.DUMMYFUNCTION("""COMPUTED_VALUE"""),"El tenso cruce entre Karol Cariola y Pamela Jiles")</f>
        <v>El tenso cruce entre Karol Cariola y Pamela Jiles</v>
      </c>
      <c r="I79" s="4">
        <f t="shared" si="3"/>
        <v>1</v>
      </c>
    </row>
    <row r="80" ht="15.75" customHeight="1">
      <c r="B80" s="28"/>
      <c r="C80" s="4" t="str">
        <f t="shared" si="1"/>
        <v>more_vert</v>
      </c>
      <c r="D80" s="22">
        <f t="shared" si="2"/>
        <v>9</v>
      </c>
      <c r="E80" s="4">
        <f>IF(IFERROR(VLOOKUP(LEFT(C80,14),consolidado!D:D,1,0),0)&gt;0,1,0)</f>
        <v>0</v>
      </c>
      <c r="F80" s="4" t="str">
        <f>VLOOKUP(LEFT(C80,14),consolidado!D:D,1,0)</f>
        <v>#N/A</v>
      </c>
      <c r="H80" s="4" t="str">
        <f>IFERROR(__xludf.DUMMYFUNCTION("""COMPUTED_VALUE"""),"COVID-19: Casos confirmados disminuyen 16% en los últimos 7 días. Este domingo se reportaron 4.077 nuevos contagios y 20 fallecidos")</f>
        <v>COVID-19: Casos confirmados disminuyen 16% en los últimos 7 días. Este domingo se reportaron 4.077 nuevos contagios y 20 fallecidos</v>
      </c>
      <c r="I80" s="4">
        <f t="shared" si="3"/>
        <v>1</v>
      </c>
    </row>
    <row r="81" ht="15.75" customHeight="1">
      <c r="B81" s="19" t="s">
        <v>303</v>
      </c>
      <c r="C81" s="4" t="str">
        <f t="shared" si="1"/>
        <v/>
      </c>
      <c r="D81" s="22">
        <f t="shared" si="2"/>
        <v>0</v>
      </c>
      <c r="E81" s="4">
        <f>IF(IFERROR(VLOOKUP(LEFT(C81,14),consolidado!D:D,1,0),0)&gt;0,1,0)</f>
        <v>1</v>
      </c>
      <c r="F81" s="4" t="str">
        <f>VLOOKUP(LEFT(C81,14),consolidado!D:D,1,0)</f>
        <v/>
      </c>
      <c r="H81" s="4" t="str">
        <f>IFERROR(__xludf.DUMMYFUNCTION("""COMPUTED_VALUE"""),"Florcita, drogas y prejuicios: ""Piensan que la gente de izquierda se mete cualquier cosa a la boca""")</f>
        <v>Florcita, drogas y prejuicios: "Piensan que la gente de izquierda se mete cualquier cosa a la boca"</v>
      </c>
      <c r="I81" s="4">
        <f t="shared" si="3"/>
        <v>1</v>
      </c>
    </row>
    <row r="82" ht="15.75" customHeight="1">
      <c r="B82" s="21" t="s">
        <v>39</v>
      </c>
      <c r="C82" s="4" t="str">
        <f t="shared" si="1"/>
        <v>La Tercera</v>
      </c>
      <c r="D82" s="22">
        <f t="shared" si="2"/>
        <v>10</v>
      </c>
      <c r="E82" s="4">
        <f>IF(IFERROR(VLOOKUP(LEFT(C82,14),consolidado!D:D,1,0),0)&gt;0,1,0)</f>
        <v>0</v>
      </c>
      <c r="F82" s="4" t="str">
        <f>VLOOKUP(LEFT(C82,14),consolidado!D:D,1,0)</f>
        <v>#N/A</v>
      </c>
      <c r="H82" s="4" t="str">
        <f>IFERROR(__xludf.DUMMYFUNCTION("""COMPUTED_VALUE"""),"Nelson Ávila, agricultor y escritor: “Fui tildado como el niño símbolo de la cannabis, pero las veces que consumí fueron muy esporádicas”")</f>
        <v>Nelson Ávila, agricultor y escritor: “Fui tildado como el niño símbolo de la cannabis, pero las veces que consumí fueron muy esporádicas”</v>
      </c>
      <c r="I82" s="4">
        <f t="shared" si="3"/>
        <v>1</v>
      </c>
    </row>
    <row r="83" ht="15.75" customHeight="1">
      <c r="B83" s="23" t="s">
        <v>379</v>
      </c>
      <c r="C83" s="4" t="str">
        <f t="shared" si="1"/>
        <v>Columna de Pablo Carvacho: Test de drogas para parlamentarios</v>
      </c>
      <c r="D83" s="22">
        <f t="shared" si="2"/>
        <v>61</v>
      </c>
      <c r="E83" s="4">
        <f>IF(IFERROR(VLOOKUP(LEFT(C83,14),consolidado!D:D,1,0),0)&gt;0,1,0)</f>
        <v>1</v>
      </c>
      <c r="F83" s="4" t="str">
        <f>VLOOKUP(LEFT(C83,14),consolidado!D:D,1,0)</f>
        <v>Columna de Pab</v>
      </c>
      <c r="H83" s="4" t="str">
        <f>IFERROR(__xludf.DUMMYFUNCTION("""COMPUTED_VALUE"""),"Ipsos: Confianza de los consumidores chilenos vuelve a bajar durante noviembre")</f>
        <v>Ipsos: Confianza de los consumidores chilenos vuelve a bajar durante noviembre</v>
      </c>
      <c r="I83" s="4">
        <f t="shared" si="3"/>
        <v>1</v>
      </c>
    </row>
    <row r="84" ht="15.75" customHeight="1">
      <c r="B84" s="24" t="s">
        <v>307</v>
      </c>
      <c r="C84" s="4" t="str">
        <f t="shared" si="1"/>
        <v>26 agoOpinión</v>
      </c>
      <c r="D84" s="22">
        <f t="shared" si="2"/>
        <v>13</v>
      </c>
      <c r="E84" s="4">
        <f>IF(IFERROR(VLOOKUP(LEFT(C84,14),consolidado!D:D,1,0),0)&gt;0,1,0)</f>
        <v>0</v>
      </c>
      <c r="F84" s="4" t="str">
        <f>VLOOKUP(LEFT(C84,14),consolidado!D:D,1,0)</f>
        <v>#N/A</v>
      </c>
      <c r="H84" s="4" t="str">
        <f>IFERROR(__xludf.DUMMYFUNCTION("""COMPUTED_VALUE"""),"Hackeo al EMCO: Consejo para la Transparencia da 10 días hábiles para entregar antecedentes")</f>
        <v>Hackeo al EMCO: Consejo para la Transparencia da 10 días hábiles para entregar antecedentes</v>
      </c>
      <c r="I84" s="4">
        <f t="shared" si="3"/>
        <v>1</v>
      </c>
    </row>
    <row r="85" ht="15.75" customHeight="1">
      <c r="B85" s="24" t="s">
        <v>308</v>
      </c>
      <c r="C85" s="4" t="str">
        <f t="shared" si="1"/>
        <v>bookmark_border</v>
      </c>
      <c r="D85" s="22">
        <f t="shared" si="2"/>
        <v>15</v>
      </c>
      <c r="E85" s="4">
        <f>IF(IFERROR(VLOOKUP(LEFT(C85,14),consolidado!D:D,1,0),0)&gt;0,1,0)</f>
        <v>0</v>
      </c>
      <c r="F85" s="4" t="str">
        <f>VLOOKUP(LEFT(C85,14),consolidado!D:D,1,0)</f>
        <v>#N/A</v>
      </c>
      <c r="H85" s="4" t="str">
        <f>IFERROR(__xludf.DUMMYFUNCTION("""COMPUTED_VALUE"""),"Diputado Soto por dichos de Presidente Boric sobre “redundancia” de plebiscito de entrada ante eventual triunfo del Rechazo: “Ninguno puede imponer su posición”")</f>
        <v>Diputado Soto por dichos de Presidente Boric sobre “redundancia” de plebiscito de entrada ante eventual triunfo del Rechazo: “Ninguno puede imponer su posición”</v>
      </c>
      <c r="I85" s="4">
        <f t="shared" si="3"/>
        <v>1</v>
      </c>
    </row>
    <row r="86" ht="15.75" customHeight="1">
      <c r="B86" s="24" t="s">
        <v>309</v>
      </c>
      <c r="C86" s="4" t="str">
        <f t="shared" si="1"/>
        <v>share</v>
      </c>
      <c r="D86" s="22">
        <f t="shared" si="2"/>
        <v>5</v>
      </c>
      <c r="E86" s="4">
        <f>IF(IFERROR(VLOOKUP(LEFT(C86,14),consolidado!D:D,1,0),0)&gt;0,1,0)</f>
        <v>0</v>
      </c>
      <c r="F86" s="4" t="str">
        <f>VLOOKUP(LEFT(C86,14),consolidado!D:D,1,0)</f>
        <v>#N/A</v>
      </c>
      <c r="H86" s="4" t="str">
        <f>IFERROR(__xludf.DUMMYFUNCTION("""COMPUTED_VALUE"""),"Marihuana y cocaína: Estudio revela aumento en el consumo de estas drogas")</f>
        <v>Marihuana y cocaína: Estudio revela aumento en el consumo de estas drogas</v>
      </c>
      <c r="I86" s="4">
        <f t="shared" si="3"/>
        <v>1</v>
      </c>
    </row>
    <row r="87" ht="15.75" customHeight="1">
      <c r="B87" s="28"/>
      <c r="C87" s="4" t="str">
        <f t="shared" si="1"/>
        <v>more_vert</v>
      </c>
      <c r="D87" s="22">
        <f t="shared" si="2"/>
        <v>9</v>
      </c>
      <c r="E87" s="4">
        <f>IF(IFERROR(VLOOKUP(LEFT(C87,14),consolidado!D:D,1,0),0)&gt;0,1,0)</f>
        <v>0</v>
      </c>
      <c r="F87" s="4" t="str">
        <f>VLOOKUP(LEFT(C87,14),consolidado!D:D,1,0)</f>
        <v>#N/A</v>
      </c>
      <c r="H87" s="4" t="str">
        <f>IFERROR(__xludf.DUMMYFUNCTION("""COMPUTED_VALUE"""),"Debutó este lunes la rendición de la PAES en todo Chile, examen que reemplaza a la PDT de transición y a la antigua PSU")</f>
        <v>Debutó este lunes la rendición de la PAES en todo Chile, examen que reemplaza a la PDT de transición y a la antigua PSU</v>
      </c>
      <c r="I87" s="4">
        <f t="shared" si="3"/>
        <v>1</v>
      </c>
    </row>
    <row r="88" ht="15.75" customHeight="1">
      <c r="B88" s="19" t="s">
        <v>303</v>
      </c>
      <c r="C88" s="4" t="str">
        <f t="shared" si="1"/>
        <v/>
      </c>
      <c r="D88" s="22">
        <f t="shared" si="2"/>
        <v>0</v>
      </c>
      <c r="E88" s="4">
        <f>IF(IFERROR(VLOOKUP(LEFT(C88,14),consolidado!D:D,1,0),0)&gt;0,1,0)</f>
        <v>1</v>
      </c>
      <c r="F88" s="4" t="str">
        <f>VLOOKUP(LEFT(C88,14),consolidado!D:D,1,0)</f>
        <v/>
      </c>
      <c r="H88" s="4" t="str">
        <f>IFERROR(__xludf.DUMMYFUNCTION("""COMPUTED_VALUE"""),"Gobierno ingresa proyecto para expulsar a extranjeros condenados por ley de drogas")</f>
        <v>Gobierno ingresa proyecto para expulsar a extranjeros condenados por ley de drogas</v>
      </c>
      <c r="I88" s="4">
        <f t="shared" si="3"/>
        <v>1</v>
      </c>
    </row>
    <row r="89" ht="15.75" customHeight="1">
      <c r="B89" s="21" t="s">
        <v>23</v>
      </c>
      <c r="C89" s="4" t="str">
        <f t="shared" si="1"/>
        <v>La Tercera</v>
      </c>
      <c r="D89" s="22">
        <f t="shared" si="2"/>
        <v>10</v>
      </c>
      <c r="E89" s="4">
        <f>IF(IFERROR(VLOOKUP(LEFT(C89,14),consolidado!D:D,1,0),0)&gt;0,1,0)</f>
        <v>0</v>
      </c>
      <c r="F89" s="4" t="str">
        <f>VLOOKUP(LEFT(C89,14),consolidado!D:D,1,0)</f>
        <v>#N/A</v>
      </c>
      <c r="H89" s="4" t="str">
        <f>IFERROR(__xludf.DUMMYFUNCTION("""COMPUTED_VALUE"""),"La primera ministra de Finlandia se somete a un test de drogas para ""limpiar su reputación""")</f>
        <v>La primera ministra de Finlandia se somete a un test de drogas para "limpiar su reputación"</v>
      </c>
      <c r="I89" s="4">
        <f t="shared" si="3"/>
        <v>1</v>
      </c>
    </row>
    <row r="90" ht="15.75" customHeight="1">
      <c r="B90" s="29">
        <v>44824.0</v>
      </c>
      <c r="C90" s="4" t="str">
        <f t="shared" si="1"/>
        <v>Suspenso en la Cámara: resultados de primeros test de drogas a diputados se conocerán el próximo lunes</v>
      </c>
      <c r="D90" s="22">
        <f t="shared" si="2"/>
        <v>102</v>
      </c>
      <c r="E90" s="4">
        <f>IF(IFERROR(VLOOKUP(LEFT(C90,14),consolidado!D:D,1,0),0)&gt;0,1,0)</f>
        <v>1</v>
      </c>
      <c r="F90" s="4" t="str">
        <f>VLOOKUP(LEFT(C90,14),consolidado!D:D,1,0)</f>
        <v>Suspenso en la</v>
      </c>
      <c r="H90" s="4" t="str">
        <f>IFERROR(__xludf.DUMMYFUNCTION("""COMPUTED_VALUE"""),"Bulnes: Equipo municipal se sometió a examen de detección de drogas")</f>
        <v>Bulnes: Equipo municipal se sometió a examen de detección de drogas</v>
      </c>
      <c r="I90" s="4">
        <f t="shared" si="3"/>
        <v>1</v>
      </c>
    </row>
    <row r="91" ht="15.75" customHeight="1">
      <c r="B91" s="24" t="s">
        <v>307</v>
      </c>
      <c r="C91" s="4" t="str">
        <f t="shared" si="1"/>
        <v>44824</v>
      </c>
      <c r="D91" s="22">
        <f t="shared" si="2"/>
        <v>5</v>
      </c>
      <c r="E91" s="4">
        <f>IF(IFERROR(VLOOKUP(LEFT(C91,14),consolidado!D:D,1,0),0)&gt;0,1,0)</f>
        <v>0</v>
      </c>
      <c r="F91" s="4" t="str">
        <f>VLOOKUP(LEFT(C91,14),consolidado!D:D,1,0)</f>
        <v>#N/A</v>
      </c>
      <c r="H91" s="4" t="str">
        <f>IFERROR(__xludf.DUMMYFUNCTION("""COMPUTED_VALUE"""),"Cámara denuncia amenazas contra diputados por continuidad del proceso constituyente")</f>
        <v>Cámara denuncia amenazas contra diputados por continuidad del proceso constituyente</v>
      </c>
      <c r="I91" s="4">
        <f t="shared" si="3"/>
        <v>1</v>
      </c>
    </row>
    <row r="92" ht="15.75" customHeight="1">
      <c r="B92" s="24" t="s">
        <v>308</v>
      </c>
      <c r="C92" s="4" t="str">
        <f t="shared" si="1"/>
        <v>bookmark_border</v>
      </c>
      <c r="D92" s="22">
        <f t="shared" si="2"/>
        <v>15</v>
      </c>
      <c r="E92" s="4">
        <f>IF(IFERROR(VLOOKUP(LEFT(C92,14),consolidado!D:D,1,0),0)&gt;0,1,0)</f>
        <v>0</v>
      </c>
      <c r="F92" s="4" t="str">
        <f>VLOOKUP(LEFT(C92,14),consolidado!D:D,1,0)</f>
        <v>#N/A</v>
      </c>
      <c r="H92" s="4" t="str">
        <f>IFERROR(__xludf.DUMMYFUNCTION("""COMPUTED_VALUE"""),"Encuesta Criteria: Chilenos se inclinan en un 70% más por la seguridad que por sobre libertad, a la cual le dan sólo un 32% de valor por estos días")</f>
        <v>Encuesta Criteria: Chilenos se inclinan en un 70% más por la seguridad que por sobre libertad, a la cual le dan sólo un 32% de valor por estos días</v>
      </c>
      <c r="I92" s="4">
        <f t="shared" si="3"/>
        <v>1</v>
      </c>
    </row>
    <row r="93" ht="15.75" customHeight="1">
      <c r="B93" s="24" t="s">
        <v>309</v>
      </c>
      <c r="C93" s="4" t="str">
        <f t="shared" si="1"/>
        <v>share</v>
      </c>
      <c r="D93" s="22">
        <f t="shared" si="2"/>
        <v>5</v>
      </c>
      <c r="E93" s="4">
        <f>IF(IFERROR(VLOOKUP(LEFT(C93,14),consolidado!D:D,1,0),0)&gt;0,1,0)</f>
        <v>0</v>
      </c>
      <c r="F93" s="4" t="str">
        <f>VLOOKUP(LEFT(C93,14),consolidado!D:D,1,0)</f>
        <v>#N/A</v>
      </c>
      <c r="H93" s="4" t="str">
        <f>IFERROR(__xludf.DUMMYFUNCTION("""COMPUTED_VALUE"""),"Paro de camioneros: Fantasma de desabastecimiento o menores productos, sumado a posibles aumentos de precios, intimida transversalmente")</f>
        <v>Paro de camioneros: Fantasma de desabastecimiento o menores productos, sumado a posibles aumentos de precios, intimida transversalmente</v>
      </c>
      <c r="I93" s="4">
        <f t="shared" si="3"/>
        <v>1</v>
      </c>
    </row>
    <row r="94" ht="15.75" customHeight="1">
      <c r="B94" s="28"/>
      <c r="C94" s="4" t="str">
        <f t="shared" si="1"/>
        <v>more_vert</v>
      </c>
      <c r="D94" s="22">
        <f t="shared" si="2"/>
        <v>9</v>
      </c>
      <c r="E94" s="4">
        <f>IF(IFERROR(VLOOKUP(LEFT(C94,14),consolidado!D:D,1,0),0)&gt;0,1,0)</f>
        <v>0</v>
      </c>
      <c r="F94" s="4" t="str">
        <f>VLOOKUP(LEFT(C94,14),consolidado!D:D,1,0)</f>
        <v>#N/A</v>
      </c>
      <c r="H94" s="4" t="str">
        <f>IFERROR(__xludf.DUMMYFUNCTION("""COMPUTED_VALUE"""),"Diputado Francisco Pulgar y test de drogas: “Es un gran paso en materia de transparencia”")</f>
        <v>Diputado Francisco Pulgar y test de drogas: “Es un gran paso en materia de transparencia”</v>
      </c>
      <c r="I94" s="4">
        <f t="shared" si="3"/>
        <v>1</v>
      </c>
    </row>
    <row r="95" ht="15.75" customHeight="1">
      <c r="B95" s="19" t="s">
        <v>303</v>
      </c>
      <c r="C95" s="4" t="str">
        <f t="shared" si="1"/>
        <v/>
      </c>
      <c r="D95" s="22">
        <f t="shared" si="2"/>
        <v>0</v>
      </c>
      <c r="E95" s="4">
        <f>IF(IFERROR(VLOOKUP(LEFT(C95,14),consolidado!D:D,1,0),0)&gt;0,1,0)</f>
        <v>1</v>
      </c>
      <c r="F95" s="4" t="str">
        <f>VLOOKUP(LEFT(C95,14),consolidado!D:D,1,0)</f>
        <v/>
      </c>
      <c r="H95" s="4" t="str">
        <f>IFERROR(__xludf.DUMMYFUNCTION("""COMPUTED_VALUE"""),"Chile impulsa el primer Foro Anual Sobre Defensoras y Defensores de DDHH en Asuntos Ambientales")</f>
        <v>Chile impulsa el primer Foro Anual Sobre Defensoras y Defensores de DDHH en Asuntos Ambientales</v>
      </c>
      <c r="I95" s="4">
        <f t="shared" si="3"/>
        <v>1</v>
      </c>
    </row>
    <row r="96" ht="15.75" customHeight="1">
      <c r="B96" s="21" t="s">
        <v>31</v>
      </c>
      <c r="C96" s="4" t="str">
        <f t="shared" si="1"/>
        <v>La Tercera</v>
      </c>
      <c r="D96" s="22">
        <f t="shared" si="2"/>
        <v>10</v>
      </c>
      <c r="E96" s="4">
        <f>IF(IFERROR(VLOOKUP(LEFT(C96,14),consolidado!D:D,1,0),0)&gt;0,1,0)</f>
        <v>0</v>
      </c>
      <c r="F96" s="4" t="str">
        <f>VLOOKUP(LEFT(C96,14),consolidado!D:D,1,0)</f>
        <v>#N/A</v>
      </c>
      <c r="H96" s="4" t="str">
        <f>IFERROR(__xludf.DUMMYFUNCTION("""COMPUTED_VALUE"""),"Diputada Camila Flores, reconoce que se sorprendió gratamente con el apoyo de Irina Karamanos, tras sufrir “violencia ginecológica en el parto”, que la tuvo hospitalizada por semanas")</f>
        <v>Diputada Camila Flores, reconoce que se sorprendió gratamente con el apoyo de Irina Karamanos, tras sufrir “violencia ginecológica en el parto”, que la tuvo hospitalizada por semanas</v>
      </c>
      <c r="I96" s="4">
        <f t="shared" si="3"/>
        <v>1</v>
      </c>
    </row>
    <row r="97" ht="15.75" customHeight="1">
      <c r="B97" s="29">
        <v>44790.0</v>
      </c>
      <c r="C97" s="4" t="str">
        <f t="shared" si="1"/>
        <v>Un test que incomoda: las jugadas que barajan los diputados para impedir que se publiquen los resultados de examen de drogas</v>
      </c>
      <c r="D97" s="22">
        <f t="shared" si="2"/>
        <v>124</v>
      </c>
      <c r="E97" s="4">
        <f>IF(IFERROR(VLOOKUP(LEFT(C97,14),consolidado!D:D,1,0),0)&gt;0,1,0)</f>
        <v>1</v>
      </c>
      <c r="F97" s="4" t="str">
        <f>VLOOKUP(LEFT(C97,14),consolidado!D:D,1,0)</f>
        <v>Un test que in</v>
      </c>
      <c r="H97" s="4" t="str">
        <f>IFERROR(__xludf.DUMMYFUNCTION("""COMPUTED_VALUE"""),"Lily Pérez quiere que políticos y jueces se hagan test de drogas: ""No podemos estar sujetos a la presión de un dealer""")</f>
        <v>Lily Pérez quiere que políticos y jueces se hagan test de drogas: "No podemos estar sujetos a la presión de un dealer"</v>
      </c>
      <c r="I97" s="4">
        <f t="shared" si="3"/>
        <v>1</v>
      </c>
    </row>
    <row r="98" ht="15.75" customHeight="1">
      <c r="B98" s="24" t="s">
        <v>307</v>
      </c>
      <c r="C98" s="4" t="str">
        <f t="shared" si="1"/>
        <v>44790</v>
      </c>
      <c r="D98" s="22">
        <f t="shared" si="2"/>
        <v>5</v>
      </c>
      <c r="E98" s="4">
        <f>IF(IFERROR(VLOOKUP(LEFT(C98,14),consolidado!D:D,1,0),0)&gt;0,1,0)</f>
        <v>0</v>
      </c>
      <c r="F98" s="4" t="str">
        <f>VLOOKUP(LEFT(C98,14),consolidado!D:D,1,0)</f>
        <v>#N/A</v>
      </c>
      <c r="H98" s="4" t="str">
        <f>IFERROR(__xludf.DUMMYFUNCTION("""COMPUTED_VALUE"""),"Senado de la República aprueba que una persona pueda plantar en su casa diez matas de marihuana")</f>
        <v>Senado de la República aprueba que una persona pueda plantar en su casa diez matas de marihuana</v>
      </c>
      <c r="I98" s="4">
        <f t="shared" si="3"/>
        <v>1</v>
      </c>
    </row>
    <row r="99" ht="15.75" customHeight="1">
      <c r="B99" s="24" t="s">
        <v>308</v>
      </c>
      <c r="C99" s="4" t="str">
        <f t="shared" si="1"/>
        <v>bookmark_border</v>
      </c>
      <c r="D99" s="22">
        <f t="shared" si="2"/>
        <v>15</v>
      </c>
      <c r="E99" s="4">
        <f>IF(IFERROR(VLOOKUP(LEFT(C99,14),consolidado!D:D,1,0),0)&gt;0,1,0)</f>
        <v>0</v>
      </c>
      <c r="F99" s="4" t="str">
        <f>VLOOKUP(LEFT(C99,14),consolidado!D:D,1,0)</f>
        <v>#N/A</v>
      </c>
      <c r="H99" s="4" t="str">
        <f>IFERROR(__xludf.DUMMYFUNCTION("""COMPUTED_VALUE"""),"“Como somos mujeres podemos, hemos aprendido a hacer varias cosas a la vez”: la respuesta de Tohá a diputados que reclamaron no ser escuchados en la Cámara")</f>
        <v>“Como somos mujeres podemos, hemos aprendido a hacer varias cosas a la vez”: la respuesta de Tohá a diputados que reclamaron no ser escuchados en la Cámara</v>
      </c>
      <c r="I99" s="4">
        <f t="shared" si="3"/>
        <v>1</v>
      </c>
    </row>
    <row r="100" ht="15.75" customHeight="1">
      <c r="B100" s="24" t="s">
        <v>309</v>
      </c>
      <c r="C100" s="4" t="str">
        <f t="shared" si="1"/>
        <v>share</v>
      </c>
      <c r="D100" s="22">
        <f t="shared" si="2"/>
        <v>5</v>
      </c>
      <c r="E100" s="4">
        <f>IF(IFERROR(VLOOKUP(LEFT(C100,14),consolidado!D:D,1,0),0)&gt;0,1,0)</f>
        <v>0</v>
      </c>
      <c r="F100" s="4" t="str">
        <f>VLOOKUP(LEFT(C100,14),consolidado!D:D,1,0)</f>
        <v>#N/A</v>
      </c>
      <c r="H100" s="4" t="str">
        <f>IFERROR(__xludf.DUMMYFUNCTION("""COMPUTED_VALUE"""),"Por controversiales dichos, diputado Gonzalo de la Carrera será llevado al Tribunal de Ética de la Cámara")</f>
        <v>Por controversiales dichos, diputado Gonzalo de la Carrera será llevado al Tribunal de Ética de la Cámara</v>
      </c>
      <c r="I100" s="4">
        <f t="shared" si="3"/>
        <v>1</v>
      </c>
    </row>
    <row r="101" ht="15.75" customHeight="1">
      <c r="B101" s="28"/>
      <c r="C101" s="4" t="str">
        <f t="shared" si="1"/>
        <v>more_vert</v>
      </c>
      <c r="D101" s="22">
        <f t="shared" si="2"/>
        <v>9</v>
      </c>
      <c r="E101" s="4">
        <f>IF(IFERROR(VLOOKUP(LEFT(C101,14),consolidado!D:D,1,0),0)&gt;0,1,0)</f>
        <v>0</v>
      </c>
      <c r="F101" s="4" t="str">
        <f>VLOOKUP(LEFT(C101,14),consolidado!D:D,1,0)</f>
        <v>#N/A</v>
      </c>
      <c r="H101" s="4" t="str">
        <f>IFERROR(__xludf.DUMMYFUNCTION("""COMPUTED_VALUE"""),"Descontrolada reacción: Gaspar Rivas fue expulsado de la mesa paralela por ataque de furia")</f>
        <v>Descontrolada reacción: Gaspar Rivas fue expulsado de la mesa paralela por ataque de furia</v>
      </c>
      <c r="I101" s="4">
        <f t="shared" si="3"/>
        <v>1</v>
      </c>
    </row>
    <row r="102" ht="15.75" customHeight="1">
      <c r="B102" s="19" t="s">
        <v>303</v>
      </c>
      <c r="C102" s="4" t="str">
        <f t="shared" si="1"/>
        <v/>
      </c>
      <c r="D102" s="22">
        <f t="shared" si="2"/>
        <v>0</v>
      </c>
      <c r="E102" s="4">
        <f>IF(IFERROR(VLOOKUP(LEFT(C102,14),consolidado!D:D,1,0),0)&gt;0,1,0)</f>
        <v>1</v>
      </c>
      <c r="F102" s="4" t="str">
        <f>VLOOKUP(LEFT(C102,14),consolidado!D:D,1,0)</f>
        <v/>
      </c>
      <c r="H102" s="4" t="str">
        <f>IFERROR(__xludf.DUMMYFUNCTION("""COMPUTED_VALUE"""),"Isabel Berríos: la primera mujer entrenadora de fútbol profesional en Chile")</f>
        <v>Isabel Berríos: la primera mujer entrenadora de fútbol profesional en Chile</v>
      </c>
      <c r="I102" s="4">
        <f t="shared" si="3"/>
        <v>1</v>
      </c>
    </row>
    <row r="103" ht="15.75" customHeight="1">
      <c r="B103" s="21" t="s">
        <v>37</v>
      </c>
      <c r="C103" s="4" t="str">
        <f t="shared" si="1"/>
        <v>La Tercera</v>
      </c>
      <c r="D103" s="22">
        <f t="shared" si="2"/>
        <v>10</v>
      </c>
      <c r="E103" s="4">
        <f>IF(IFERROR(VLOOKUP(LEFT(C103,14),consolidado!D:D,1,0),0)&gt;0,1,0)</f>
        <v>0</v>
      </c>
      <c r="F103" s="4" t="str">
        <f>VLOOKUP(LEFT(C103,14),consolidado!D:D,1,0)</f>
        <v>#N/A</v>
      </c>
      <c r="I103" s="4" t="str">
        <f t="shared" si="3"/>
        <v/>
      </c>
    </row>
    <row r="104" ht="15.75" customHeight="1">
      <c r="B104" s="29">
        <v>44726.0</v>
      </c>
      <c r="C104" s="4" t="str">
        <f t="shared" si="1"/>
        <v>El test de drogas (y la ofensiva de la UDI y Jiles) que incomoda a la Cámara de Diputados</v>
      </c>
      <c r="D104" s="22">
        <f t="shared" si="2"/>
        <v>89</v>
      </c>
      <c r="E104" s="4">
        <f>IF(IFERROR(VLOOKUP(LEFT(C104,14),consolidado!D:D,1,0),0)&gt;0,1,0)</f>
        <v>1</v>
      </c>
      <c r="F104" s="4" t="str">
        <f>VLOOKUP(LEFT(C104,14),consolidado!D:D,1,0)</f>
        <v>El test de dro</v>
      </c>
      <c r="I104" s="4" t="str">
        <f t="shared" si="3"/>
        <v/>
      </c>
    </row>
    <row r="105" ht="15.75" customHeight="1">
      <c r="B105" s="24" t="s">
        <v>307</v>
      </c>
      <c r="C105" s="4" t="str">
        <f t="shared" si="1"/>
        <v>44726</v>
      </c>
      <c r="D105" s="22">
        <f t="shared" si="2"/>
        <v>5</v>
      </c>
      <c r="E105" s="4">
        <f>IF(IFERROR(VLOOKUP(LEFT(C105,14),consolidado!D:D,1,0),0)&gt;0,1,0)</f>
        <v>0</v>
      </c>
      <c r="F105" s="4" t="str">
        <f>VLOOKUP(LEFT(C105,14),consolidado!D:D,1,0)</f>
        <v>#N/A</v>
      </c>
      <c r="I105" s="4" t="str">
        <f t="shared" si="3"/>
        <v/>
      </c>
    </row>
    <row r="106" ht="15.75" customHeight="1">
      <c r="B106" s="24" t="s">
        <v>308</v>
      </c>
      <c r="C106" s="4" t="str">
        <f t="shared" si="1"/>
        <v>bookmark_border</v>
      </c>
      <c r="D106" s="22">
        <f t="shared" si="2"/>
        <v>15</v>
      </c>
      <c r="E106" s="4">
        <f>IF(IFERROR(VLOOKUP(LEFT(C106,14),consolidado!D:D,1,0),0)&gt;0,1,0)</f>
        <v>0</v>
      </c>
      <c r="F106" s="4" t="str">
        <f>VLOOKUP(LEFT(C106,14),consolidado!D:D,1,0)</f>
        <v>#N/A</v>
      </c>
    </row>
    <row r="107" ht="15.75" customHeight="1">
      <c r="B107" s="24" t="s">
        <v>309</v>
      </c>
      <c r="C107" s="4" t="str">
        <f t="shared" si="1"/>
        <v>share</v>
      </c>
      <c r="D107" s="22">
        <f t="shared" si="2"/>
        <v>5</v>
      </c>
      <c r="E107" s="4">
        <f>IF(IFERROR(VLOOKUP(LEFT(C107,14),consolidado!D:D,1,0),0)&gt;0,1,0)</f>
        <v>0</v>
      </c>
      <c r="F107" s="4" t="str">
        <f>VLOOKUP(LEFT(C107,14),consolidado!D:D,1,0)</f>
        <v>#N/A</v>
      </c>
    </row>
    <row r="108" ht="15.75" customHeight="1">
      <c r="B108" s="28"/>
      <c r="C108" s="4" t="str">
        <f t="shared" si="1"/>
        <v>more_vert</v>
      </c>
      <c r="D108" s="22">
        <f t="shared" si="2"/>
        <v>9</v>
      </c>
      <c r="E108" s="4">
        <f>IF(IFERROR(VLOOKUP(LEFT(C108,14),consolidado!D:D,1,0),0)&gt;0,1,0)</f>
        <v>0</v>
      </c>
      <c r="F108" s="4" t="str">
        <f>VLOOKUP(LEFT(C108,14),consolidado!D:D,1,0)</f>
        <v>#N/A</v>
      </c>
    </row>
    <row r="109" ht="15.75" customHeight="1">
      <c r="B109" s="19" t="s">
        <v>303</v>
      </c>
      <c r="C109" s="4" t="str">
        <f t="shared" si="1"/>
        <v/>
      </c>
      <c r="D109" s="22">
        <f t="shared" si="2"/>
        <v>0</v>
      </c>
      <c r="E109" s="4">
        <f>IF(IFERROR(VLOOKUP(LEFT(C109,14),consolidado!D:D,1,0),0)&gt;0,1,0)</f>
        <v>1</v>
      </c>
      <c r="F109" s="4" t="str">
        <f>VLOOKUP(LEFT(C109,14),consolidado!D:D,1,0)</f>
        <v/>
      </c>
    </row>
    <row r="110" ht="15.75" customHeight="1">
      <c r="B110" s="21" t="s">
        <v>47</v>
      </c>
      <c r="C110" s="4" t="str">
        <f t="shared" si="1"/>
        <v>La Tercera</v>
      </c>
      <c r="D110" s="22">
        <f t="shared" si="2"/>
        <v>10</v>
      </c>
      <c r="E110" s="4">
        <f>IF(IFERROR(VLOOKUP(LEFT(C110,14),consolidado!D:D,1,0),0)&gt;0,1,0)</f>
        <v>0</v>
      </c>
      <c r="F110" s="4" t="str">
        <f>VLOOKUP(LEFT(C110,14),consolidado!D:D,1,0)</f>
        <v>#N/A</v>
      </c>
    </row>
    <row r="111" ht="15.75" customHeight="1">
      <c r="B111" s="29">
        <v>44764.0</v>
      </c>
      <c r="C111" s="4" t="str">
        <f t="shared" si="1"/>
        <v>Test de drogas a políticos: un tema que causa polémica en el mundo</v>
      </c>
      <c r="D111" s="22">
        <f t="shared" si="2"/>
        <v>66</v>
      </c>
      <c r="E111" s="4">
        <f>IF(IFERROR(VLOOKUP(LEFT(C111,14),consolidado!D:D,1,0),0)&gt;0,1,0)</f>
        <v>1</v>
      </c>
      <c r="F111" s="4" t="str">
        <f>VLOOKUP(LEFT(C111,14),consolidado!D:D,1,0)</f>
        <v>Test de drogas</v>
      </c>
    </row>
    <row r="112" ht="15.75" customHeight="1">
      <c r="B112" s="24" t="s">
        <v>307</v>
      </c>
      <c r="C112" s="4" t="str">
        <f t="shared" si="1"/>
        <v>44764</v>
      </c>
      <c r="D112" s="22">
        <f t="shared" si="2"/>
        <v>5</v>
      </c>
      <c r="E112" s="4">
        <f>IF(IFERROR(VLOOKUP(LEFT(C112,14),consolidado!D:D,1,0),0)&gt;0,1,0)</f>
        <v>0</v>
      </c>
      <c r="F112" s="4" t="str">
        <f>VLOOKUP(LEFT(C112,14),consolidado!D:D,1,0)</f>
        <v>#N/A</v>
      </c>
    </row>
    <row r="113" ht="15.75" customHeight="1">
      <c r="B113" s="24" t="s">
        <v>308</v>
      </c>
      <c r="C113" s="4" t="str">
        <f t="shared" si="1"/>
        <v>bookmark_border</v>
      </c>
      <c r="D113" s="22">
        <f t="shared" si="2"/>
        <v>15</v>
      </c>
      <c r="E113" s="4">
        <f>IF(IFERROR(VLOOKUP(LEFT(C113,14),consolidado!D:D,1,0),0)&gt;0,1,0)</f>
        <v>0</v>
      </c>
      <c r="F113" s="4" t="str">
        <f>VLOOKUP(LEFT(C113,14),consolidado!D:D,1,0)</f>
        <v>#N/A</v>
      </c>
    </row>
    <row r="114" ht="15.75" customHeight="1">
      <c r="B114" s="24" t="s">
        <v>309</v>
      </c>
      <c r="C114" s="4" t="str">
        <f t="shared" si="1"/>
        <v>share</v>
      </c>
      <c r="D114" s="22">
        <f t="shared" si="2"/>
        <v>5</v>
      </c>
      <c r="E114" s="4">
        <f>IF(IFERROR(VLOOKUP(LEFT(C114,14),consolidado!D:D,1,0),0)&gt;0,1,0)</f>
        <v>0</v>
      </c>
      <c r="F114" s="4" t="str">
        <f>VLOOKUP(LEFT(C114,14),consolidado!D:D,1,0)</f>
        <v>#N/A</v>
      </c>
    </row>
    <row r="115" ht="15.75" customHeight="1">
      <c r="B115" s="28"/>
      <c r="C115" s="4" t="str">
        <f t="shared" si="1"/>
        <v>more_vert</v>
      </c>
      <c r="D115" s="22">
        <f t="shared" si="2"/>
        <v>9</v>
      </c>
      <c r="E115" s="4">
        <f>IF(IFERROR(VLOOKUP(LEFT(C115,14),consolidado!D:D,1,0),0)&gt;0,1,0)</f>
        <v>0</v>
      </c>
      <c r="F115" s="4" t="str">
        <f>VLOOKUP(LEFT(C115,14),consolidado!D:D,1,0)</f>
        <v>#N/A</v>
      </c>
    </row>
    <row r="116" ht="15.75" customHeight="1">
      <c r="B116" s="30" t="s">
        <v>315</v>
      </c>
      <c r="C116" s="4" t="str">
        <f t="shared" si="1"/>
        <v/>
      </c>
      <c r="D116" s="22">
        <f t="shared" si="2"/>
        <v>0</v>
      </c>
      <c r="E116" s="4">
        <f>IF(IFERROR(VLOOKUP(LEFT(C116,14),consolidado!D:D,1,0),0)&gt;0,1,0)</f>
        <v>1</v>
      </c>
      <c r="F116" s="4" t="str">
        <f>VLOOKUP(LEFT(C116,14),consolidado!D:D,1,0)</f>
        <v/>
      </c>
    </row>
    <row r="117" ht="15.75" customHeight="1">
      <c r="B117" s="21" t="s">
        <v>50</v>
      </c>
      <c r="C117" s="4" t="str">
        <f t="shared" si="1"/>
        <v>BioBioChile</v>
      </c>
      <c r="D117" s="22">
        <f t="shared" si="2"/>
        <v>11</v>
      </c>
      <c r="E117" s="4">
        <f>IF(IFERROR(VLOOKUP(LEFT(C117,14),consolidado!D:D,1,0),0)&gt;0,1,0)</f>
        <v>0</v>
      </c>
      <c r="F117" s="4" t="str">
        <f>VLOOKUP(LEFT(C117,14),consolidado!D:D,1,0)</f>
        <v>#N/A</v>
      </c>
    </row>
    <row r="118" ht="15.75" customHeight="1">
      <c r="B118" s="29">
        <v>44804.0</v>
      </c>
      <c r="C118" s="4" t="str">
        <f t="shared" si="1"/>
        <v>Test de drogas: Cámara Baja extiende plazo para que 78 parlamentarios sorteados se realicen examen</v>
      </c>
      <c r="D118" s="22">
        <f t="shared" si="2"/>
        <v>98</v>
      </c>
      <c r="E118" s="4">
        <f>IF(IFERROR(VLOOKUP(LEFT(C118,14),consolidado!D:D,1,0),0)&gt;0,1,0)</f>
        <v>1</v>
      </c>
      <c r="F118" s="4" t="str">
        <f>VLOOKUP(LEFT(C118,14),consolidado!D:D,1,0)</f>
        <v>Test de drogas</v>
      </c>
    </row>
    <row r="119" ht="15.75" customHeight="1">
      <c r="B119" s="24" t="s">
        <v>307</v>
      </c>
      <c r="C119" s="4" t="str">
        <f t="shared" si="1"/>
        <v>44804</v>
      </c>
      <c r="D119" s="22">
        <f t="shared" si="2"/>
        <v>5</v>
      </c>
      <c r="E119" s="4">
        <f>IF(IFERROR(VLOOKUP(LEFT(C119,14),consolidado!D:D,1,0),0)&gt;0,1,0)</f>
        <v>0</v>
      </c>
      <c r="F119" s="4" t="str">
        <f>VLOOKUP(LEFT(C119,14),consolidado!D:D,1,0)</f>
        <v>#N/A</v>
      </c>
    </row>
    <row r="120" ht="15.75" customHeight="1">
      <c r="B120" s="24" t="s">
        <v>308</v>
      </c>
      <c r="C120" s="4" t="str">
        <f t="shared" si="1"/>
        <v>bookmark_border</v>
      </c>
      <c r="D120" s="22">
        <f t="shared" si="2"/>
        <v>15</v>
      </c>
      <c r="E120" s="4">
        <f>IF(IFERROR(VLOOKUP(LEFT(C120,14),consolidado!D:D,1,0),0)&gt;0,1,0)</f>
        <v>0</v>
      </c>
      <c r="F120" s="4" t="str">
        <f>VLOOKUP(LEFT(C120,14),consolidado!D:D,1,0)</f>
        <v>#N/A</v>
      </c>
    </row>
    <row r="121" ht="15.75" customHeight="1">
      <c r="B121" s="24" t="s">
        <v>309</v>
      </c>
      <c r="C121" s="4" t="str">
        <f t="shared" si="1"/>
        <v>share</v>
      </c>
      <c r="D121" s="22">
        <f t="shared" si="2"/>
        <v>5</v>
      </c>
      <c r="E121" s="4">
        <f>IF(IFERROR(VLOOKUP(LEFT(C121,14),consolidado!D:D,1,0),0)&gt;0,1,0)</f>
        <v>0</v>
      </c>
      <c r="F121" s="4" t="str">
        <f>VLOOKUP(LEFT(C121,14),consolidado!D:D,1,0)</f>
        <v>#N/A</v>
      </c>
    </row>
    <row r="122" ht="15.75" customHeight="1">
      <c r="B122" s="28"/>
      <c r="C122" s="4" t="str">
        <f t="shared" si="1"/>
        <v>more_vert</v>
      </c>
      <c r="D122" s="22">
        <f t="shared" si="2"/>
        <v>9</v>
      </c>
      <c r="E122" s="4">
        <f>IF(IFERROR(VLOOKUP(LEFT(C122,14),consolidado!D:D,1,0),0)&gt;0,1,0)</f>
        <v>0</v>
      </c>
      <c r="F122" s="4" t="str">
        <f>VLOOKUP(LEFT(C122,14),consolidado!D:D,1,0)</f>
        <v>#N/A</v>
      </c>
    </row>
    <row r="123" ht="15.75" customHeight="1">
      <c r="B123" s="30" t="s">
        <v>321</v>
      </c>
      <c r="C123" s="4" t="str">
        <f t="shared" si="1"/>
        <v/>
      </c>
      <c r="D123" s="22">
        <f t="shared" si="2"/>
        <v>0</v>
      </c>
      <c r="E123" s="4">
        <f>IF(IFERROR(VLOOKUP(LEFT(C123,14),consolidado!D:D,1,0),0)&gt;0,1,0)</f>
        <v>1</v>
      </c>
      <c r="F123" s="4" t="str">
        <f>VLOOKUP(LEFT(C123,14),consolidado!D:D,1,0)</f>
        <v/>
      </c>
    </row>
    <row r="124" ht="15.75" customHeight="1">
      <c r="B124" s="21" t="s">
        <v>60</v>
      </c>
      <c r="C124" s="4" t="str">
        <f t="shared" si="1"/>
        <v>Radio Concierto</v>
      </c>
      <c r="D124" s="22">
        <f t="shared" si="2"/>
        <v>15</v>
      </c>
      <c r="E124" s="4">
        <f>IF(IFERROR(VLOOKUP(LEFT(C124,14),consolidado!D:D,1,0),0)&gt;0,1,0)</f>
        <v>0</v>
      </c>
      <c r="F124" s="4" t="str">
        <f>VLOOKUP(LEFT(C124,14),consolidado!D:D,1,0)</f>
        <v>#N/A</v>
      </c>
    </row>
    <row r="125" ht="15.75" customHeight="1">
      <c r="B125" s="29">
        <v>44777.0</v>
      </c>
      <c r="C125" s="4" t="str">
        <f t="shared" si="1"/>
        <v>Test de drogas: ¿Influye el consumo de sustancias de los parlamentarios?</v>
      </c>
      <c r="D125" s="22">
        <f t="shared" si="2"/>
        <v>72</v>
      </c>
      <c r="E125" s="4">
        <f>IF(IFERROR(VLOOKUP(LEFT(C125,14),consolidado!D:D,1,0),0)&gt;0,1,0)</f>
        <v>1</v>
      </c>
      <c r="F125" s="4" t="str">
        <f>VLOOKUP(LEFT(C125,14),consolidado!D:D,1,0)</f>
        <v>Test de drogas</v>
      </c>
    </row>
    <row r="126" ht="15.75" customHeight="1">
      <c r="B126" s="24" t="s">
        <v>307</v>
      </c>
      <c r="C126" s="4" t="str">
        <f t="shared" si="1"/>
        <v>44777</v>
      </c>
      <c r="D126" s="22">
        <f t="shared" si="2"/>
        <v>5</v>
      </c>
      <c r="E126" s="4">
        <f>IF(IFERROR(VLOOKUP(LEFT(C126,14),consolidado!D:D,1,0),0)&gt;0,1,0)</f>
        <v>0</v>
      </c>
      <c r="F126" s="4" t="str">
        <f>VLOOKUP(LEFT(C126,14),consolidado!D:D,1,0)</f>
        <v>#N/A</v>
      </c>
    </row>
    <row r="127" ht="15.75" customHeight="1">
      <c r="B127" s="24" t="s">
        <v>308</v>
      </c>
      <c r="C127" s="4" t="str">
        <f t="shared" si="1"/>
        <v>bookmark_border</v>
      </c>
      <c r="D127" s="22">
        <f t="shared" si="2"/>
        <v>15</v>
      </c>
      <c r="E127" s="4">
        <f>IF(IFERROR(VLOOKUP(LEFT(C127,14),consolidado!D:D,1,0),0)&gt;0,1,0)</f>
        <v>0</v>
      </c>
      <c r="F127" s="4" t="str">
        <f>VLOOKUP(LEFT(C127,14),consolidado!D:D,1,0)</f>
        <v>#N/A</v>
      </c>
    </row>
    <row r="128" ht="15.75" customHeight="1">
      <c r="B128" s="24" t="s">
        <v>309</v>
      </c>
      <c r="C128" s="4" t="str">
        <f t="shared" si="1"/>
        <v>share</v>
      </c>
      <c r="D128" s="22">
        <f t="shared" si="2"/>
        <v>5</v>
      </c>
      <c r="E128" s="4">
        <f>IF(IFERROR(VLOOKUP(LEFT(C128,14),consolidado!D:D,1,0),0)&gt;0,1,0)</f>
        <v>0</v>
      </c>
      <c r="F128" s="4" t="str">
        <f>VLOOKUP(LEFT(C128,14),consolidado!D:D,1,0)</f>
        <v>#N/A</v>
      </c>
    </row>
    <row r="129" ht="15.75" customHeight="1">
      <c r="B129" s="28"/>
      <c r="C129" s="4" t="str">
        <f t="shared" si="1"/>
        <v>more_vert</v>
      </c>
      <c r="D129" s="22">
        <f t="shared" si="2"/>
        <v>9</v>
      </c>
      <c r="E129" s="4">
        <f>IF(IFERROR(VLOOKUP(LEFT(C129,14),consolidado!D:D,1,0),0)&gt;0,1,0)</f>
        <v>0</v>
      </c>
      <c r="F129" s="4" t="str">
        <f>VLOOKUP(LEFT(C129,14),consolidado!D:D,1,0)</f>
        <v>#N/A</v>
      </c>
    </row>
    <row r="130" ht="15.75" customHeight="1">
      <c r="B130" s="30" t="s">
        <v>322</v>
      </c>
      <c r="C130" s="4" t="str">
        <f t="shared" si="1"/>
        <v/>
      </c>
      <c r="D130" s="22">
        <f t="shared" si="2"/>
        <v>0</v>
      </c>
      <c r="E130" s="4">
        <f>IF(IFERROR(VLOOKUP(LEFT(C130,14),consolidado!D:D,1,0),0)&gt;0,1,0)</f>
        <v>1</v>
      </c>
      <c r="F130" s="4" t="str">
        <f>VLOOKUP(LEFT(C130,14),consolidado!D:D,1,0)</f>
        <v/>
      </c>
    </row>
    <row r="131" ht="15.75" customHeight="1">
      <c r="B131" s="21" t="s">
        <v>65</v>
      </c>
      <c r="C131" s="4" t="str">
        <f t="shared" si="1"/>
        <v>ADN Chile</v>
      </c>
      <c r="D131" s="22">
        <f t="shared" si="2"/>
        <v>9</v>
      </c>
      <c r="E131" s="4">
        <f>IF(IFERROR(VLOOKUP(LEFT(C131,14),consolidado!D:D,1,0),0)&gt;0,1,0)</f>
        <v>0</v>
      </c>
      <c r="F131" s="4" t="str">
        <f>VLOOKUP(LEFT(C131,14),consolidado!D:D,1,0)</f>
        <v>#N/A</v>
      </c>
    </row>
    <row r="132" ht="15.75" customHeight="1">
      <c r="B132" s="29">
        <v>44820.0</v>
      </c>
      <c r="C132" s="4" t="str">
        <f t="shared" si="1"/>
        <v>Corte Suprema declara admisible recurso contra test de drogas a parlamentarios</v>
      </c>
      <c r="D132" s="22">
        <f t="shared" si="2"/>
        <v>78</v>
      </c>
      <c r="E132" s="4">
        <f>IF(IFERROR(VLOOKUP(LEFT(C132,14),consolidado!D:D,1,0),0)&gt;0,1,0)</f>
        <v>1</v>
      </c>
      <c r="F132" s="4" t="str">
        <f>VLOOKUP(LEFT(C132,14),consolidado!D:D,1,0)</f>
        <v>Corte Suprema </v>
      </c>
    </row>
    <row r="133" ht="15.75" customHeight="1">
      <c r="B133" s="24" t="s">
        <v>307</v>
      </c>
      <c r="C133" s="4" t="str">
        <f t="shared" si="1"/>
        <v>44820</v>
      </c>
      <c r="D133" s="22">
        <f t="shared" si="2"/>
        <v>5</v>
      </c>
      <c r="E133" s="4">
        <f>IF(IFERROR(VLOOKUP(LEFT(C133,14),consolidado!D:D,1,0),0)&gt;0,1,0)</f>
        <v>0</v>
      </c>
      <c r="F133" s="4" t="str">
        <f>VLOOKUP(LEFT(C133,14),consolidado!D:D,1,0)</f>
        <v>#N/A</v>
      </c>
    </row>
    <row r="134" ht="15.75" customHeight="1">
      <c r="B134" s="24" t="s">
        <v>308</v>
      </c>
      <c r="C134" s="4" t="str">
        <f t="shared" si="1"/>
        <v>bookmark_border</v>
      </c>
      <c r="D134" s="22">
        <f t="shared" si="2"/>
        <v>15</v>
      </c>
      <c r="E134" s="4">
        <f>IF(IFERROR(VLOOKUP(LEFT(C134,14),consolidado!D:D,1,0),0)&gt;0,1,0)</f>
        <v>0</v>
      </c>
      <c r="F134" s="4" t="str">
        <f>VLOOKUP(LEFT(C134,14),consolidado!D:D,1,0)</f>
        <v>#N/A</v>
      </c>
    </row>
    <row r="135" ht="15.75" customHeight="1">
      <c r="B135" s="24" t="s">
        <v>309</v>
      </c>
      <c r="C135" s="4" t="str">
        <f t="shared" si="1"/>
        <v>share</v>
      </c>
      <c r="D135" s="22">
        <f t="shared" si="2"/>
        <v>5</v>
      </c>
      <c r="E135" s="4">
        <f>IF(IFERROR(VLOOKUP(LEFT(C135,14),consolidado!D:D,1,0),0)&gt;0,1,0)</f>
        <v>0</v>
      </c>
      <c r="F135" s="4" t="str">
        <f>VLOOKUP(LEFT(C135,14),consolidado!D:D,1,0)</f>
        <v>#N/A</v>
      </c>
    </row>
    <row r="136" ht="15.75" customHeight="1">
      <c r="B136" s="28"/>
      <c r="C136" s="4" t="str">
        <f t="shared" si="1"/>
        <v>more_vert</v>
      </c>
      <c r="D136" s="22">
        <f t="shared" si="2"/>
        <v>9</v>
      </c>
      <c r="E136" s="4">
        <f>IF(IFERROR(VLOOKUP(LEFT(C136,14),consolidado!D:D,1,0),0)&gt;0,1,0)</f>
        <v>0</v>
      </c>
      <c r="F136" s="4" t="str">
        <f>VLOOKUP(LEFT(C136,14),consolidado!D:D,1,0)</f>
        <v>#N/A</v>
      </c>
    </row>
    <row r="137" ht="15.75" customHeight="1">
      <c r="B137" s="30" t="s">
        <v>320</v>
      </c>
      <c r="C137" s="4" t="str">
        <f t="shared" si="1"/>
        <v/>
      </c>
      <c r="D137" s="22">
        <f t="shared" si="2"/>
        <v>0</v>
      </c>
      <c r="E137" s="4">
        <f>IF(IFERROR(VLOOKUP(LEFT(C137,14),consolidado!D:D,1,0),0)&gt;0,1,0)</f>
        <v>1</v>
      </c>
      <c r="F137" s="4" t="str">
        <f>VLOOKUP(LEFT(C137,14),consolidado!D:D,1,0)</f>
        <v/>
      </c>
    </row>
    <row r="138" ht="15.75" customHeight="1">
      <c r="B138" s="21" t="s">
        <v>52</v>
      </c>
      <c r="C138" s="4" t="str">
        <f t="shared" si="1"/>
        <v>Ex-Ante</v>
      </c>
      <c r="D138" s="22">
        <f t="shared" si="2"/>
        <v>7</v>
      </c>
      <c r="E138" s="4">
        <f>IF(IFERROR(VLOOKUP(LEFT(C138,14),consolidado!D:D,1,0),0)&gt;0,1,0)</f>
        <v>0</v>
      </c>
      <c r="F138" s="4" t="str">
        <f>VLOOKUP(LEFT(C138,14),consolidado!D:D,1,0)</f>
        <v>#N/A</v>
      </c>
    </row>
    <row r="139" ht="15.75" customHeight="1">
      <c r="B139" s="29">
        <v>44796.0</v>
      </c>
      <c r="C139" s="4" t="str">
        <f t="shared" si="1"/>
        <v>Jorge Schaulsohn y test de drogas: “Es patético que los parlamentarios se presten para este show”</v>
      </c>
      <c r="D139" s="22">
        <f t="shared" si="2"/>
        <v>99</v>
      </c>
      <c r="E139" s="4">
        <f>IF(IFERROR(VLOOKUP(LEFT(C139,14),consolidado!D:D,1,0),0)&gt;0,1,0)</f>
        <v>1</v>
      </c>
      <c r="F139" s="4" t="str">
        <f>VLOOKUP(LEFT(C139,14),consolidado!D:D,1,0)</f>
        <v>Jorge Schaulso</v>
      </c>
    </row>
    <row r="140" ht="15.75" customHeight="1">
      <c r="B140" s="24" t="s">
        <v>307</v>
      </c>
      <c r="C140" s="4" t="str">
        <f t="shared" si="1"/>
        <v>44796</v>
      </c>
      <c r="D140" s="22">
        <f t="shared" si="2"/>
        <v>5</v>
      </c>
      <c r="E140" s="4">
        <f>IF(IFERROR(VLOOKUP(LEFT(C140,14),consolidado!D:D,1,0),0)&gt;0,1,0)</f>
        <v>0</v>
      </c>
      <c r="F140" s="4" t="str">
        <f>VLOOKUP(LEFT(C140,14),consolidado!D:D,1,0)</f>
        <v>#N/A</v>
      </c>
    </row>
    <row r="141" ht="15.75" customHeight="1">
      <c r="B141" s="24" t="s">
        <v>308</v>
      </c>
      <c r="C141" s="4" t="str">
        <f t="shared" si="1"/>
        <v>bookmark_border</v>
      </c>
      <c r="D141" s="22">
        <f t="shared" si="2"/>
        <v>15</v>
      </c>
      <c r="E141" s="4">
        <f>IF(IFERROR(VLOOKUP(LEFT(C141,14),consolidado!D:D,1,0),0)&gt;0,1,0)</f>
        <v>0</v>
      </c>
      <c r="F141" s="4" t="str">
        <f>VLOOKUP(LEFT(C141,14),consolidado!D:D,1,0)</f>
        <v>#N/A</v>
      </c>
    </row>
    <row r="142" ht="15.75" customHeight="1">
      <c r="B142" s="24" t="s">
        <v>309</v>
      </c>
      <c r="C142" s="4" t="str">
        <f t="shared" si="1"/>
        <v>share</v>
      </c>
      <c r="D142" s="22">
        <f t="shared" si="2"/>
        <v>5</v>
      </c>
      <c r="E142" s="4">
        <f>IF(IFERROR(VLOOKUP(LEFT(C142,14),consolidado!D:D,1,0),0)&gt;0,1,0)</f>
        <v>0</v>
      </c>
      <c r="F142" s="4" t="str">
        <f>VLOOKUP(LEFT(C142,14),consolidado!D:D,1,0)</f>
        <v>#N/A</v>
      </c>
    </row>
    <row r="143" ht="15.75" customHeight="1">
      <c r="B143" s="28"/>
      <c r="C143" s="4" t="str">
        <f t="shared" si="1"/>
        <v>more_vert</v>
      </c>
      <c r="D143" s="22">
        <f t="shared" si="2"/>
        <v>9</v>
      </c>
      <c r="E143" s="4">
        <f>IF(IFERROR(VLOOKUP(LEFT(C143,14),consolidado!D:D,1,0),0)&gt;0,1,0)</f>
        <v>0</v>
      </c>
      <c r="F143" s="4" t="str">
        <f>VLOOKUP(LEFT(C143,14),consolidado!D:D,1,0)</f>
        <v>#N/A</v>
      </c>
    </row>
    <row r="144" ht="15.75" customHeight="1">
      <c r="B144" s="30" t="s">
        <v>315</v>
      </c>
      <c r="C144" s="4" t="str">
        <f t="shared" si="1"/>
        <v/>
      </c>
      <c r="D144" s="22">
        <f t="shared" si="2"/>
        <v>0</v>
      </c>
      <c r="E144" s="4">
        <f>IF(IFERROR(VLOOKUP(LEFT(C144,14),consolidado!D:D,1,0),0)&gt;0,1,0)</f>
        <v>1</v>
      </c>
      <c r="F144" s="4" t="str">
        <f>VLOOKUP(LEFT(C144,14),consolidado!D:D,1,0)</f>
        <v/>
      </c>
    </row>
    <row r="145" ht="15.75" customHeight="1">
      <c r="B145" s="21" t="s">
        <v>35</v>
      </c>
      <c r="C145" s="4" t="str">
        <f t="shared" si="1"/>
        <v>BioBioChile</v>
      </c>
      <c r="D145" s="22">
        <f t="shared" si="2"/>
        <v>11</v>
      </c>
      <c r="E145" s="4">
        <f>IF(IFERROR(VLOOKUP(LEFT(C145,14),consolidado!D:D,1,0),0)&gt;0,1,0)</f>
        <v>0</v>
      </c>
      <c r="F145" s="4" t="str">
        <f>VLOOKUP(LEFT(C145,14),consolidado!D:D,1,0)</f>
        <v>#N/A</v>
      </c>
    </row>
    <row r="146" ht="15.75" customHeight="1">
      <c r="B146" s="29">
        <v>44802.0</v>
      </c>
      <c r="C146" s="4" t="str">
        <f t="shared" si="1"/>
        <v>Test de drogas: diputados oficialistas acusan maniobra política de la oposición</v>
      </c>
      <c r="D146" s="22">
        <f t="shared" si="2"/>
        <v>79</v>
      </c>
      <c r="E146" s="4">
        <f>IF(IFERROR(VLOOKUP(LEFT(C146,14),consolidado!D:D,1,0),0)&gt;0,1,0)</f>
        <v>1</v>
      </c>
      <c r="F146" s="4" t="str">
        <f>VLOOKUP(LEFT(C146,14),consolidado!D:D,1,0)</f>
        <v>Test de drogas</v>
      </c>
    </row>
    <row r="147" ht="15.75" customHeight="1">
      <c r="B147" s="24" t="s">
        <v>307</v>
      </c>
      <c r="C147" s="4" t="str">
        <f t="shared" si="1"/>
        <v>44802</v>
      </c>
      <c r="D147" s="22">
        <f t="shared" si="2"/>
        <v>5</v>
      </c>
      <c r="E147" s="4">
        <f>IF(IFERROR(VLOOKUP(LEFT(C147,14),consolidado!D:D,1,0),0)&gt;0,1,0)</f>
        <v>0</v>
      </c>
      <c r="F147" s="4" t="str">
        <f>VLOOKUP(LEFT(C147,14),consolidado!D:D,1,0)</f>
        <v>#N/A</v>
      </c>
    </row>
    <row r="148" ht="15.75" customHeight="1">
      <c r="B148" s="24" t="s">
        <v>308</v>
      </c>
      <c r="C148" s="4" t="str">
        <f t="shared" si="1"/>
        <v>bookmark_border</v>
      </c>
      <c r="D148" s="22">
        <f t="shared" si="2"/>
        <v>15</v>
      </c>
      <c r="E148" s="4">
        <f>IF(IFERROR(VLOOKUP(LEFT(C148,14),consolidado!D:D,1,0),0)&gt;0,1,0)</f>
        <v>0</v>
      </c>
      <c r="F148" s="4" t="str">
        <f>VLOOKUP(LEFT(C148,14),consolidado!D:D,1,0)</f>
        <v>#N/A</v>
      </c>
    </row>
    <row r="149" ht="15.75" customHeight="1">
      <c r="B149" s="24" t="s">
        <v>309</v>
      </c>
      <c r="C149" s="4" t="str">
        <f t="shared" si="1"/>
        <v>share</v>
      </c>
      <c r="D149" s="22">
        <f t="shared" si="2"/>
        <v>5</v>
      </c>
      <c r="E149" s="4">
        <f>IF(IFERROR(VLOOKUP(LEFT(C149,14),consolidado!D:D,1,0),0)&gt;0,1,0)</f>
        <v>0</v>
      </c>
      <c r="F149" s="4" t="str">
        <f>VLOOKUP(LEFT(C149,14),consolidado!D:D,1,0)</f>
        <v>#N/A</v>
      </c>
    </row>
    <row r="150" ht="15.75" customHeight="1">
      <c r="B150" s="28"/>
      <c r="C150" s="4" t="str">
        <f t="shared" si="1"/>
        <v>more_vert</v>
      </c>
      <c r="D150" s="22">
        <f t="shared" si="2"/>
        <v>9</v>
      </c>
      <c r="E150" s="4">
        <f>IF(IFERROR(VLOOKUP(LEFT(C150,14),consolidado!D:D,1,0),0)&gt;0,1,0)</f>
        <v>0</v>
      </c>
      <c r="F150" s="4" t="str">
        <f>VLOOKUP(LEFT(C150,14),consolidado!D:D,1,0)</f>
        <v>#N/A</v>
      </c>
    </row>
    <row r="151" ht="15.75" customHeight="1">
      <c r="B151" s="30" t="s">
        <v>315</v>
      </c>
      <c r="C151" s="4" t="str">
        <f t="shared" si="1"/>
        <v/>
      </c>
      <c r="D151" s="22">
        <f t="shared" si="2"/>
        <v>0</v>
      </c>
      <c r="E151" s="4">
        <f>IF(IFERROR(VLOOKUP(LEFT(C151,14),consolidado!D:D,1,0),0)&gt;0,1,0)</f>
        <v>1</v>
      </c>
      <c r="F151" s="4" t="str">
        <f>VLOOKUP(LEFT(C151,14),consolidado!D:D,1,0)</f>
        <v/>
      </c>
    </row>
    <row r="152" ht="15.75" customHeight="1">
      <c r="B152" s="21" t="s">
        <v>54</v>
      </c>
      <c r="C152" s="4" t="str">
        <f t="shared" si="1"/>
        <v>BioBioChile</v>
      </c>
      <c r="D152" s="22">
        <f t="shared" si="2"/>
        <v>11</v>
      </c>
      <c r="E152" s="4">
        <f>IF(IFERROR(VLOOKUP(LEFT(C152,14),consolidado!D:D,1,0),0)&gt;0,1,0)</f>
        <v>0</v>
      </c>
      <c r="F152" s="4" t="str">
        <f>VLOOKUP(LEFT(C152,14),consolidado!D:D,1,0)</f>
        <v>#N/A</v>
      </c>
    </row>
    <row r="153" ht="15.75" customHeight="1">
      <c r="B153" s="29">
        <v>44794.0</v>
      </c>
      <c r="C153" s="4" t="str">
        <f t="shared" si="1"/>
        <v>Test de drogas en Cámara Baja: el debate sobre si la medida invade el derecho a la vida privada</v>
      </c>
      <c r="D153" s="22">
        <f t="shared" si="2"/>
        <v>95</v>
      </c>
      <c r="E153" s="4">
        <f>IF(IFERROR(VLOOKUP(LEFT(C153,14),consolidado!D:D,1,0),0)&gt;0,1,0)</f>
        <v>1</v>
      </c>
      <c r="F153" s="4" t="str">
        <f>VLOOKUP(LEFT(C153,14),consolidado!D:D,1,0)</f>
        <v>Test de drogas</v>
      </c>
    </row>
    <row r="154" ht="15.75" customHeight="1">
      <c r="B154" s="24" t="s">
        <v>307</v>
      </c>
      <c r="C154" s="4" t="str">
        <f t="shared" si="1"/>
        <v>44794</v>
      </c>
      <c r="D154" s="22">
        <f t="shared" si="2"/>
        <v>5</v>
      </c>
      <c r="E154" s="4">
        <f>IF(IFERROR(VLOOKUP(LEFT(C154,14),consolidado!D:D,1,0),0)&gt;0,1,0)</f>
        <v>0</v>
      </c>
      <c r="F154" s="4" t="str">
        <f>VLOOKUP(LEFT(C154,14),consolidado!D:D,1,0)</f>
        <v>#N/A</v>
      </c>
    </row>
    <row r="155" ht="15.75" customHeight="1">
      <c r="B155" s="24" t="s">
        <v>308</v>
      </c>
      <c r="C155" s="4" t="str">
        <f t="shared" si="1"/>
        <v>bookmark_border</v>
      </c>
      <c r="D155" s="22">
        <f t="shared" si="2"/>
        <v>15</v>
      </c>
      <c r="E155" s="4">
        <f>IF(IFERROR(VLOOKUP(LEFT(C155,14),consolidado!D:D,1,0),0)&gt;0,1,0)</f>
        <v>0</v>
      </c>
      <c r="F155" s="4" t="str">
        <f>VLOOKUP(LEFT(C155,14),consolidado!D:D,1,0)</f>
        <v>#N/A</v>
      </c>
    </row>
    <row r="156" ht="15.75" customHeight="1">
      <c r="B156" s="24" t="s">
        <v>309</v>
      </c>
      <c r="C156" s="4" t="str">
        <f t="shared" si="1"/>
        <v>share</v>
      </c>
      <c r="D156" s="22">
        <f t="shared" si="2"/>
        <v>5</v>
      </c>
      <c r="E156" s="4">
        <f>IF(IFERROR(VLOOKUP(LEFT(C156,14),consolidado!D:D,1,0),0)&gt;0,1,0)</f>
        <v>0</v>
      </c>
      <c r="F156" s="4" t="str">
        <f>VLOOKUP(LEFT(C156,14),consolidado!D:D,1,0)</f>
        <v>#N/A</v>
      </c>
    </row>
    <row r="157" ht="15.75" customHeight="1">
      <c r="B157" s="28"/>
      <c r="C157" s="4" t="str">
        <f t="shared" si="1"/>
        <v>more_vert</v>
      </c>
      <c r="D157" s="22">
        <f t="shared" si="2"/>
        <v>9</v>
      </c>
      <c r="E157" s="4">
        <f>IF(IFERROR(VLOOKUP(LEFT(C157,14),consolidado!D:D,1,0),0)&gt;0,1,0)</f>
        <v>0</v>
      </c>
      <c r="F157" s="4" t="str">
        <f>VLOOKUP(LEFT(C157,14),consolidado!D:D,1,0)</f>
        <v>#N/A</v>
      </c>
    </row>
    <row r="158" ht="15.75" customHeight="1">
      <c r="B158" s="30" t="s">
        <v>322</v>
      </c>
      <c r="C158" s="4" t="str">
        <f t="shared" si="1"/>
        <v/>
      </c>
      <c r="D158" s="22">
        <f t="shared" si="2"/>
        <v>0</v>
      </c>
      <c r="E158" s="4">
        <f>IF(IFERROR(VLOOKUP(LEFT(C158,14),consolidado!D:D,1,0),0)&gt;0,1,0)</f>
        <v>1</v>
      </c>
      <c r="F158" s="4" t="str">
        <f>VLOOKUP(LEFT(C158,14),consolidado!D:D,1,0)</f>
        <v/>
      </c>
    </row>
    <row r="159" ht="15.75" customHeight="1">
      <c r="B159" s="21" t="s">
        <v>70</v>
      </c>
      <c r="C159" s="4" t="str">
        <f t="shared" si="1"/>
        <v>ADN Chile</v>
      </c>
      <c r="D159" s="22">
        <f t="shared" si="2"/>
        <v>9</v>
      </c>
      <c r="E159" s="4">
        <f>IF(IFERROR(VLOOKUP(LEFT(C159,14),consolidado!D:D,1,0),0)&gt;0,1,0)</f>
        <v>0</v>
      </c>
      <c r="F159" s="4" t="str">
        <f>VLOOKUP(LEFT(C159,14),consolidado!D:D,1,0)</f>
        <v>#N/A</v>
      </c>
    </row>
    <row r="160" ht="15.75" customHeight="1">
      <c r="B160" s="29">
        <v>44728.0</v>
      </c>
      <c r="C160" s="4" t="str">
        <f t="shared" si="1"/>
        <v>Pamela Jiles por test de drogas a parlamentarios: “Noto un sospechoso nerviosismo ¿Qué ocultan?”</v>
      </c>
      <c r="D160" s="22">
        <f t="shared" si="2"/>
        <v>98</v>
      </c>
      <c r="E160" s="4">
        <f>IF(IFERROR(VLOOKUP(LEFT(C160,14),consolidado!D:D,1,0),0)&gt;0,1,0)</f>
        <v>1</v>
      </c>
      <c r="F160" s="4" t="str">
        <f>VLOOKUP(LEFT(C160,14),consolidado!D:D,1,0)</f>
        <v>Pamela Jiles p</v>
      </c>
    </row>
    <row r="161" ht="15.75" customHeight="1">
      <c r="B161" s="24" t="s">
        <v>307</v>
      </c>
      <c r="C161" s="4" t="str">
        <f t="shared" si="1"/>
        <v>44728</v>
      </c>
      <c r="D161" s="22">
        <f t="shared" si="2"/>
        <v>5</v>
      </c>
      <c r="E161" s="4">
        <f>IF(IFERROR(VLOOKUP(LEFT(C161,14),consolidado!D:D,1,0),0)&gt;0,1,0)</f>
        <v>0</v>
      </c>
      <c r="F161" s="4" t="str">
        <f>VLOOKUP(LEFT(C161,14),consolidado!D:D,1,0)</f>
        <v>#N/A</v>
      </c>
    </row>
    <row r="162" ht="15.75" customHeight="1">
      <c r="B162" s="24" t="s">
        <v>308</v>
      </c>
      <c r="C162" s="4" t="str">
        <f t="shared" si="1"/>
        <v>bookmark_border</v>
      </c>
      <c r="D162" s="22">
        <f t="shared" si="2"/>
        <v>15</v>
      </c>
      <c r="E162" s="4">
        <f>IF(IFERROR(VLOOKUP(LEFT(C162,14),consolidado!D:D,1,0),0)&gt;0,1,0)</f>
        <v>0</v>
      </c>
      <c r="F162" s="4" t="str">
        <f>VLOOKUP(LEFT(C162,14),consolidado!D:D,1,0)</f>
        <v>#N/A</v>
      </c>
    </row>
    <row r="163" ht="15.75" customHeight="1">
      <c r="B163" s="24" t="s">
        <v>309</v>
      </c>
      <c r="C163" s="4" t="str">
        <f t="shared" si="1"/>
        <v>share</v>
      </c>
      <c r="D163" s="22">
        <f t="shared" si="2"/>
        <v>5</v>
      </c>
      <c r="E163" s="4">
        <f>IF(IFERROR(VLOOKUP(LEFT(C163,14),consolidado!D:D,1,0),0)&gt;0,1,0)</f>
        <v>0</v>
      </c>
      <c r="F163" s="4" t="str">
        <f>VLOOKUP(LEFT(C163,14),consolidado!D:D,1,0)</f>
        <v>#N/A</v>
      </c>
    </row>
    <row r="164" ht="15.75" customHeight="1">
      <c r="B164" s="28"/>
      <c r="C164" s="4" t="str">
        <f t="shared" si="1"/>
        <v>more_vert</v>
      </c>
      <c r="D164" s="22">
        <f t="shared" si="2"/>
        <v>9</v>
      </c>
      <c r="E164" s="4">
        <f>IF(IFERROR(VLOOKUP(LEFT(C164,14),consolidado!D:D,1,0),0)&gt;0,1,0)</f>
        <v>0</v>
      </c>
      <c r="F164" s="4" t="str">
        <f>VLOOKUP(LEFT(C164,14),consolidado!D:D,1,0)</f>
        <v>#N/A</v>
      </c>
    </row>
    <row r="165" ht="15.75" customHeight="1">
      <c r="B165" s="19" t="s">
        <v>303</v>
      </c>
      <c r="C165" s="4" t="str">
        <f t="shared" si="1"/>
        <v/>
      </c>
      <c r="D165" s="22">
        <f t="shared" si="2"/>
        <v>0</v>
      </c>
      <c r="E165" s="4">
        <f>IF(IFERROR(VLOOKUP(LEFT(C165,14),consolidado!D:D,1,0),0)&gt;0,1,0)</f>
        <v>1</v>
      </c>
      <c r="F165" s="4" t="str">
        <f>VLOOKUP(LEFT(C165,14),consolidado!D:D,1,0)</f>
        <v/>
      </c>
    </row>
    <row r="166" ht="15.75" customHeight="1">
      <c r="B166" s="21" t="s">
        <v>62</v>
      </c>
      <c r="C166" s="4" t="str">
        <f t="shared" si="1"/>
        <v>La Tercera</v>
      </c>
      <c r="D166" s="22">
        <f t="shared" si="2"/>
        <v>10</v>
      </c>
      <c r="E166" s="4">
        <f>IF(IFERROR(VLOOKUP(LEFT(C166,14),consolidado!D:D,1,0),0)&gt;0,1,0)</f>
        <v>0</v>
      </c>
      <c r="F166" s="4" t="str">
        <f>VLOOKUP(LEFT(C166,14),consolidado!D:D,1,0)</f>
        <v>#N/A</v>
      </c>
    </row>
    <row r="167" ht="15.75" customHeight="1">
      <c r="B167" s="29">
        <v>44756.0</v>
      </c>
      <c r="C167" s="4" t="str">
        <f t="shared" si="1"/>
        <v>El trance incómodo del Frente Amplio frente al test de drogas</v>
      </c>
      <c r="D167" s="22">
        <f t="shared" si="2"/>
        <v>61</v>
      </c>
      <c r="E167" s="4">
        <f>IF(IFERROR(VLOOKUP(LEFT(C167,14),consolidado!D:D,1,0),0)&gt;0,1,0)</f>
        <v>1</v>
      </c>
      <c r="F167" s="4" t="str">
        <f>VLOOKUP(LEFT(C167,14),consolidado!D:D,1,0)</f>
        <v>El trance incó</v>
      </c>
    </row>
    <row r="168" ht="15.75" customHeight="1">
      <c r="B168" s="24" t="s">
        <v>307</v>
      </c>
      <c r="C168" s="4" t="str">
        <f t="shared" si="1"/>
        <v>44756</v>
      </c>
      <c r="D168" s="22">
        <f t="shared" si="2"/>
        <v>5</v>
      </c>
      <c r="E168" s="4">
        <f>IF(IFERROR(VLOOKUP(LEFT(C168,14),consolidado!D:D,1,0),0)&gt;0,1,0)</f>
        <v>0</v>
      </c>
      <c r="F168" s="4" t="str">
        <f>VLOOKUP(LEFT(C168,14),consolidado!D:D,1,0)</f>
        <v>#N/A</v>
      </c>
    </row>
    <row r="169" ht="15.75" customHeight="1">
      <c r="B169" s="24" t="s">
        <v>308</v>
      </c>
      <c r="C169" s="4" t="str">
        <f t="shared" si="1"/>
        <v>bookmark_border</v>
      </c>
      <c r="D169" s="22">
        <f t="shared" si="2"/>
        <v>15</v>
      </c>
      <c r="E169" s="4">
        <f>IF(IFERROR(VLOOKUP(LEFT(C169,14),consolidado!D:D,1,0),0)&gt;0,1,0)</f>
        <v>0</v>
      </c>
      <c r="F169" s="4" t="str">
        <f>VLOOKUP(LEFT(C169,14),consolidado!D:D,1,0)</f>
        <v>#N/A</v>
      </c>
    </row>
    <row r="170" ht="15.75" customHeight="1">
      <c r="B170" s="24" t="s">
        <v>309</v>
      </c>
      <c r="C170" s="4" t="str">
        <f t="shared" si="1"/>
        <v>share</v>
      </c>
      <c r="D170" s="22">
        <f t="shared" si="2"/>
        <v>5</v>
      </c>
      <c r="E170" s="4">
        <f>IF(IFERROR(VLOOKUP(LEFT(C170,14),consolidado!D:D,1,0),0)&gt;0,1,0)</f>
        <v>0</v>
      </c>
      <c r="F170" s="4" t="str">
        <f>VLOOKUP(LEFT(C170,14),consolidado!D:D,1,0)</f>
        <v>#N/A</v>
      </c>
    </row>
    <row r="171" ht="15.75" customHeight="1">
      <c r="B171" s="28"/>
      <c r="C171" s="4" t="str">
        <f t="shared" si="1"/>
        <v>more_vert</v>
      </c>
      <c r="D171" s="22">
        <f t="shared" si="2"/>
        <v>9</v>
      </c>
      <c r="E171" s="4">
        <f>IF(IFERROR(VLOOKUP(LEFT(C171,14),consolidado!D:D,1,0),0)&gt;0,1,0)</f>
        <v>0</v>
      </c>
      <c r="F171" s="4" t="str">
        <f>VLOOKUP(LEFT(C171,14),consolidado!D:D,1,0)</f>
        <v>#N/A</v>
      </c>
    </row>
    <row r="172" ht="15.75" customHeight="1">
      <c r="B172" s="19" t="s">
        <v>303</v>
      </c>
      <c r="C172" s="4" t="str">
        <f t="shared" si="1"/>
        <v/>
      </c>
      <c r="D172" s="22">
        <f t="shared" si="2"/>
        <v>0</v>
      </c>
      <c r="E172" s="4">
        <f>IF(IFERROR(VLOOKUP(LEFT(C172,14),consolidado!D:D,1,0),0)&gt;0,1,0)</f>
        <v>1</v>
      </c>
      <c r="F172" s="4" t="str">
        <f>VLOOKUP(LEFT(C172,14),consolidado!D:D,1,0)</f>
        <v/>
      </c>
    </row>
    <row r="173" ht="15.75" customHeight="1">
      <c r="B173" s="21" t="s">
        <v>45</v>
      </c>
      <c r="C173" s="4" t="str">
        <f t="shared" si="1"/>
        <v>La Tercera</v>
      </c>
      <c r="D173" s="22">
        <f t="shared" si="2"/>
        <v>10</v>
      </c>
      <c r="E173" s="4">
        <f>IF(IFERROR(VLOOKUP(LEFT(C173,14),consolidado!D:D,1,0),0)&gt;0,1,0)</f>
        <v>0</v>
      </c>
      <c r="F173" s="4" t="str">
        <f>VLOOKUP(LEFT(C173,14),consolidado!D:D,1,0)</f>
        <v>#N/A</v>
      </c>
    </row>
    <row r="174" ht="15.75" customHeight="1">
      <c r="B174" s="29">
        <v>44831.0</v>
      </c>
      <c r="C174" s="4" t="str">
        <f t="shared" si="1"/>
        <v>Corte de Apelaciones de Valparaíso da luz verde a difusión de resultados de test de drogas a diputados</v>
      </c>
      <c r="D174" s="22">
        <f t="shared" si="2"/>
        <v>102</v>
      </c>
      <c r="E174" s="4">
        <f>IF(IFERROR(VLOOKUP(LEFT(C174,14),consolidado!D:D,1,0),0)&gt;0,1,0)</f>
        <v>1</v>
      </c>
      <c r="F174" s="4" t="str">
        <f>VLOOKUP(LEFT(C174,14),consolidado!D:D,1,0)</f>
        <v>Corte de Apela</v>
      </c>
    </row>
    <row r="175" ht="15.75" customHeight="1">
      <c r="B175" s="24" t="s">
        <v>307</v>
      </c>
      <c r="C175" s="4" t="str">
        <f t="shared" si="1"/>
        <v>44831</v>
      </c>
      <c r="D175" s="22">
        <f t="shared" si="2"/>
        <v>5</v>
      </c>
      <c r="E175" s="4">
        <f>IF(IFERROR(VLOOKUP(LEFT(C175,14),consolidado!D:D,1,0),0)&gt;0,1,0)</f>
        <v>0</v>
      </c>
      <c r="F175" s="4" t="str">
        <f>VLOOKUP(LEFT(C175,14),consolidado!D:D,1,0)</f>
        <v>#N/A</v>
      </c>
    </row>
    <row r="176" ht="15.75" customHeight="1">
      <c r="B176" s="24" t="s">
        <v>308</v>
      </c>
      <c r="C176" s="4" t="str">
        <f t="shared" si="1"/>
        <v>bookmark_border</v>
      </c>
      <c r="D176" s="22">
        <f t="shared" si="2"/>
        <v>15</v>
      </c>
      <c r="E176" s="4">
        <f>IF(IFERROR(VLOOKUP(LEFT(C176,14),consolidado!D:D,1,0),0)&gt;0,1,0)</f>
        <v>0</v>
      </c>
      <c r="F176" s="4" t="str">
        <f>VLOOKUP(LEFT(C176,14),consolidado!D:D,1,0)</f>
        <v>#N/A</v>
      </c>
    </row>
    <row r="177" ht="15.75" customHeight="1">
      <c r="B177" s="24" t="s">
        <v>309</v>
      </c>
      <c r="C177" s="4" t="str">
        <f t="shared" si="1"/>
        <v>share</v>
      </c>
      <c r="D177" s="22">
        <f t="shared" si="2"/>
        <v>5</v>
      </c>
      <c r="E177" s="4">
        <f>IF(IFERROR(VLOOKUP(LEFT(C177,14),consolidado!D:D,1,0),0)&gt;0,1,0)</f>
        <v>0</v>
      </c>
      <c r="F177" s="4" t="str">
        <f>VLOOKUP(LEFT(C177,14),consolidado!D:D,1,0)</f>
        <v>#N/A</v>
      </c>
    </row>
    <row r="178" ht="15.75" customHeight="1">
      <c r="B178" s="28"/>
      <c r="C178" s="4" t="str">
        <f t="shared" si="1"/>
        <v>more_vert</v>
      </c>
      <c r="D178" s="22">
        <f t="shared" si="2"/>
        <v>9</v>
      </c>
      <c r="E178" s="4">
        <f>IF(IFERROR(VLOOKUP(LEFT(C178,14),consolidado!D:D,1,0),0)&gt;0,1,0)</f>
        <v>0</v>
      </c>
      <c r="F178" s="4" t="str">
        <f>VLOOKUP(LEFT(C178,14),consolidado!D:D,1,0)</f>
        <v>#N/A</v>
      </c>
    </row>
    <row r="179" ht="15.75" customHeight="1">
      <c r="B179" s="30" t="s">
        <v>323</v>
      </c>
      <c r="C179" s="4" t="str">
        <f t="shared" si="1"/>
        <v/>
      </c>
      <c r="D179" s="22">
        <f t="shared" si="2"/>
        <v>0</v>
      </c>
      <c r="E179" s="4">
        <f>IF(IFERROR(VLOOKUP(LEFT(C179,14),consolidado!D:D,1,0),0)&gt;0,1,0)</f>
        <v>1</v>
      </c>
      <c r="F179" s="4" t="str">
        <f>VLOOKUP(LEFT(C179,14),consolidado!D:D,1,0)</f>
        <v/>
      </c>
    </row>
    <row r="180" ht="15.75" customHeight="1">
      <c r="B180" s="21" t="s">
        <v>76</v>
      </c>
      <c r="C180" s="4" t="str">
        <f t="shared" si="1"/>
        <v>El Líbero</v>
      </c>
      <c r="D180" s="22">
        <f t="shared" si="2"/>
        <v>9</v>
      </c>
      <c r="E180" s="4">
        <f>IF(IFERROR(VLOOKUP(LEFT(C180,14),consolidado!D:D,1,0),0)&gt;0,1,0)</f>
        <v>0</v>
      </c>
      <c r="F180" s="4" t="str">
        <f>VLOOKUP(LEFT(C180,14),consolidado!D:D,1,0)</f>
        <v>#N/A</v>
      </c>
    </row>
    <row r="181" ht="15.75" customHeight="1">
      <c r="B181" s="23" t="s">
        <v>380</v>
      </c>
      <c r="C181" s="4" t="str">
        <f t="shared" si="1"/>
        <v>Sofía Salas: ¿Publicidad necesaria o show mediático?</v>
      </c>
      <c r="D181" s="22">
        <f t="shared" si="2"/>
        <v>52</v>
      </c>
      <c r="E181" s="4">
        <f>IF(IFERROR(VLOOKUP(LEFT(C181,14),consolidado!D:D,1,0),0)&gt;0,1,0)</f>
        <v>1</v>
      </c>
      <c r="F181" s="4" t="str">
        <f>VLOOKUP(LEFT(C181,14),consolidado!D:D,1,0)</f>
        <v>Sofía Salas: ¿</v>
      </c>
    </row>
    <row r="182" ht="15.75" customHeight="1">
      <c r="B182" s="24" t="s">
        <v>307</v>
      </c>
      <c r="C182" s="4" t="str">
        <f t="shared" si="1"/>
        <v>26 agoOpinión</v>
      </c>
      <c r="D182" s="22">
        <f t="shared" si="2"/>
        <v>13</v>
      </c>
      <c r="E182" s="4">
        <f>IF(IFERROR(VLOOKUP(LEFT(C182,14),consolidado!D:D,1,0),0)&gt;0,1,0)</f>
        <v>0</v>
      </c>
      <c r="F182" s="4" t="str">
        <f>VLOOKUP(LEFT(C182,14),consolidado!D:D,1,0)</f>
        <v>#N/A</v>
      </c>
    </row>
    <row r="183" ht="15.75" customHeight="1">
      <c r="B183" s="24" t="s">
        <v>308</v>
      </c>
      <c r="C183" s="4" t="str">
        <f t="shared" si="1"/>
        <v>bookmark_border</v>
      </c>
      <c r="D183" s="22">
        <f t="shared" si="2"/>
        <v>15</v>
      </c>
      <c r="E183" s="4">
        <f>IF(IFERROR(VLOOKUP(LEFT(C183,14),consolidado!D:D,1,0),0)&gt;0,1,0)</f>
        <v>0</v>
      </c>
      <c r="F183" s="4" t="str">
        <f>VLOOKUP(LEFT(C183,14),consolidado!D:D,1,0)</f>
        <v>#N/A</v>
      </c>
    </row>
    <row r="184" ht="15.75" customHeight="1">
      <c r="B184" s="24" t="s">
        <v>309</v>
      </c>
      <c r="C184" s="4" t="str">
        <f t="shared" si="1"/>
        <v>share</v>
      </c>
      <c r="D184" s="22">
        <f t="shared" si="2"/>
        <v>5</v>
      </c>
      <c r="E184" s="4">
        <f>IF(IFERROR(VLOOKUP(LEFT(C184,14),consolidado!D:D,1,0),0)&gt;0,1,0)</f>
        <v>0</v>
      </c>
      <c r="F184" s="4" t="str">
        <f>VLOOKUP(LEFT(C184,14),consolidado!D:D,1,0)</f>
        <v>#N/A</v>
      </c>
    </row>
    <row r="185" ht="15.75" customHeight="1">
      <c r="B185" s="28"/>
      <c r="C185" s="4" t="str">
        <f t="shared" si="1"/>
        <v>more_vert</v>
      </c>
      <c r="D185" s="22">
        <f t="shared" si="2"/>
        <v>9</v>
      </c>
      <c r="E185" s="4">
        <f>IF(IFERROR(VLOOKUP(LEFT(C185,14),consolidado!D:D,1,0),0)&gt;0,1,0)</f>
        <v>0</v>
      </c>
      <c r="F185" s="4" t="str">
        <f>VLOOKUP(LEFT(C185,14),consolidado!D:D,1,0)</f>
        <v>#N/A</v>
      </c>
    </row>
    <row r="186" ht="15.75" customHeight="1">
      <c r="B186" s="19" t="s">
        <v>327</v>
      </c>
      <c r="C186" s="4" t="str">
        <f t="shared" si="1"/>
        <v/>
      </c>
      <c r="D186" s="22">
        <f t="shared" si="2"/>
        <v>0</v>
      </c>
      <c r="E186" s="4">
        <f>IF(IFERROR(VLOOKUP(LEFT(C186,14),consolidado!D:D,1,0),0)&gt;0,1,0)</f>
        <v>1</v>
      </c>
      <c r="F186" s="4" t="str">
        <f>VLOOKUP(LEFT(C186,14),consolidado!D:D,1,0)</f>
        <v/>
      </c>
    </row>
    <row r="187" ht="15.75" customHeight="1">
      <c r="B187" s="21" t="s">
        <v>95</v>
      </c>
      <c r="C187" s="4" t="str">
        <f t="shared" si="1"/>
        <v>Canal 13</v>
      </c>
      <c r="D187" s="22">
        <f t="shared" si="2"/>
        <v>8</v>
      </c>
      <c r="E187" s="4">
        <f>IF(IFERROR(VLOOKUP(LEFT(C187,14),consolidado!D:D,1,0),0)&gt;0,1,0)</f>
        <v>0</v>
      </c>
      <c r="F187" s="4" t="str">
        <f>VLOOKUP(LEFT(C187,14),consolidado!D:D,1,0)</f>
        <v>#N/A</v>
      </c>
    </row>
    <row r="188" ht="15.75" customHeight="1">
      <c r="B188" s="29">
        <v>44791.0</v>
      </c>
      <c r="C188" s="4" t="str">
        <f t="shared" si="1"/>
        <v>Parlamentarios se refieren a test de drogas en el Congreso</v>
      </c>
      <c r="D188" s="22">
        <f t="shared" si="2"/>
        <v>58</v>
      </c>
      <c r="E188" s="4">
        <f>IF(IFERROR(VLOOKUP(LEFT(C188,14),consolidado!D:D,1,0),0)&gt;0,1,0)</f>
        <v>1</v>
      </c>
      <c r="F188" s="4" t="str">
        <f>VLOOKUP(LEFT(C188,14),consolidado!D:D,1,0)</f>
        <v>Parlamentarios</v>
      </c>
    </row>
    <row r="189" ht="15.75" customHeight="1">
      <c r="B189" s="24" t="s">
        <v>307</v>
      </c>
      <c r="C189" s="4" t="str">
        <f t="shared" si="1"/>
        <v>44791</v>
      </c>
      <c r="D189" s="22">
        <f t="shared" si="2"/>
        <v>5</v>
      </c>
      <c r="E189" s="4">
        <f>IF(IFERROR(VLOOKUP(LEFT(C189,14),consolidado!D:D,1,0),0)&gt;0,1,0)</f>
        <v>0</v>
      </c>
      <c r="F189" s="4" t="str">
        <f>VLOOKUP(LEFT(C189,14),consolidado!D:D,1,0)</f>
        <v>#N/A</v>
      </c>
    </row>
    <row r="190" ht="15.75" customHeight="1">
      <c r="B190" s="24" t="s">
        <v>308</v>
      </c>
      <c r="C190" s="4" t="str">
        <f t="shared" si="1"/>
        <v>bookmark_border</v>
      </c>
      <c r="D190" s="22">
        <f t="shared" si="2"/>
        <v>15</v>
      </c>
      <c r="E190" s="4">
        <f>IF(IFERROR(VLOOKUP(LEFT(C190,14),consolidado!D:D,1,0),0)&gt;0,1,0)</f>
        <v>0</v>
      </c>
      <c r="F190" s="4" t="str">
        <f>VLOOKUP(LEFT(C190,14),consolidado!D:D,1,0)</f>
        <v>#N/A</v>
      </c>
    </row>
    <row r="191" ht="15.75" customHeight="1">
      <c r="B191" s="24" t="s">
        <v>309</v>
      </c>
      <c r="C191" s="4" t="str">
        <f t="shared" si="1"/>
        <v>share</v>
      </c>
      <c r="D191" s="22">
        <f t="shared" si="2"/>
        <v>5</v>
      </c>
      <c r="E191" s="4">
        <f>IF(IFERROR(VLOOKUP(LEFT(C191,14),consolidado!D:D,1,0),0)&gt;0,1,0)</f>
        <v>0</v>
      </c>
      <c r="F191" s="4" t="str">
        <f>VLOOKUP(LEFT(C191,14),consolidado!D:D,1,0)</f>
        <v>#N/A</v>
      </c>
    </row>
    <row r="192" ht="15.75" customHeight="1">
      <c r="B192" s="28"/>
      <c r="C192" s="4" t="str">
        <f t="shared" si="1"/>
        <v>more_vert</v>
      </c>
      <c r="D192" s="22">
        <f t="shared" si="2"/>
        <v>9</v>
      </c>
      <c r="E192" s="4">
        <f>IF(IFERROR(VLOOKUP(LEFT(C192,14),consolidado!D:D,1,0),0)&gt;0,1,0)</f>
        <v>0</v>
      </c>
      <c r="F192" s="4" t="str">
        <f>VLOOKUP(LEFT(C192,14),consolidado!D:D,1,0)</f>
        <v>#N/A</v>
      </c>
    </row>
    <row r="193" ht="15.75" customHeight="1">
      <c r="B193" s="30" t="s">
        <v>316</v>
      </c>
      <c r="C193" s="4" t="str">
        <f t="shared" si="1"/>
        <v/>
      </c>
      <c r="D193" s="22">
        <f t="shared" si="2"/>
        <v>0</v>
      </c>
      <c r="E193" s="4">
        <f>IF(IFERROR(VLOOKUP(LEFT(C193,14),consolidado!D:D,1,0),0)&gt;0,1,0)</f>
        <v>1</v>
      </c>
      <c r="F193" s="4" t="str">
        <f>VLOOKUP(LEFT(C193,14),consolidado!D:D,1,0)</f>
        <v/>
      </c>
    </row>
    <row r="194" ht="15.75" customHeight="1">
      <c r="B194" s="21" t="s">
        <v>89</v>
      </c>
      <c r="C194" s="4" t="str">
        <f t="shared" si="1"/>
        <v>El Mostrador</v>
      </c>
      <c r="D194" s="22">
        <f t="shared" si="2"/>
        <v>12</v>
      </c>
      <c r="E194" s="4">
        <f>IF(IFERROR(VLOOKUP(LEFT(C194,14),consolidado!D:D,1,0),0)&gt;0,1,0)</f>
        <v>0</v>
      </c>
      <c r="F194" s="4" t="str">
        <f>VLOOKUP(LEFT(C194,14),consolidado!D:D,1,0)</f>
        <v>#N/A</v>
      </c>
    </row>
    <row r="195" ht="15.75" customHeight="1">
      <c r="B195" s="33">
        <v>44504.0</v>
      </c>
      <c r="C195" s="4" t="str">
        <f t="shared" si="1"/>
        <v>Presupuesto 2022: Cámara de Diputados aprueba indicación de la UDI que destina recursos para test de drogas a parlamentarios</v>
      </c>
      <c r="D195" s="22">
        <f t="shared" si="2"/>
        <v>124</v>
      </c>
      <c r="E195" s="4">
        <f>IF(IFERROR(VLOOKUP(LEFT(C195,14),consolidado!D:D,1,0),0)&gt;0,1,0)</f>
        <v>1</v>
      </c>
      <c r="F195" s="4" t="str">
        <f>VLOOKUP(LEFT(C195,14),consolidado!D:D,1,0)</f>
        <v>Presupuesto 20</v>
      </c>
    </row>
    <row r="196" ht="15.75" customHeight="1">
      <c r="B196" s="24" t="s">
        <v>307</v>
      </c>
      <c r="C196" s="4" t="str">
        <f t="shared" si="1"/>
        <v>44504</v>
      </c>
      <c r="D196" s="22">
        <f t="shared" si="2"/>
        <v>5</v>
      </c>
      <c r="E196" s="4">
        <f>IF(IFERROR(VLOOKUP(LEFT(C196,14),consolidado!D:D,1,0),0)&gt;0,1,0)</f>
        <v>0</v>
      </c>
      <c r="F196" s="4" t="str">
        <f>VLOOKUP(LEFT(C196,14),consolidado!D:D,1,0)</f>
        <v>#N/A</v>
      </c>
    </row>
    <row r="197" ht="15.75" customHeight="1">
      <c r="B197" s="24" t="s">
        <v>308</v>
      </c>
      <c r="C197" s="4" t="str">
        <f t="shared" si="1"/>
        <v>bookmark_border</v>
      </c>
      <c r="D197" s="22">
        <f t="shared" si="2"/>
        <v>15</v>
      </c>
      <c r="E197" s="4">
        <f>IF(IFERROR(VLOOKUP(LEFT(C197,14),consolidado!D:D,1,0),0)&gt;0,1,0)</f>
        <v>0</v>
      </c>
      <c r="F197" s="4" t="str">
        <f>VLOOKUP(LEFT(C197,14),consolidado!D:D,1,0)</f>
        <v>#N/A</v>
      </c>
    </row>
    <row r="198" ht="15.75" customHeight="1">
      <c r="B198" s="24" t="s">
        <v>309</v>
      </c>
      <c r="C198" s="4" t="str">
        <f t="shared" si="1"/>
        <v>share</v>
      </c>
      <c r="D198" s="22">
        <f t="shared" si="2"/>
        <v>5</v>
      </c>
      <c r="E198" s="4">
        <f>IF(IFERROR(VLOOKUP(LEFT(C198,14),consolidado!D:D,1,0),0)&gt;0,1,0)</f>
        <v>0</v>
      </c>
      <c r="F198" s="4" t="str">
        <f>VLOOKUP(LEFT(C198,14),consolidado!D:D,1,0)</f>
        <v>#N/A</v>
      </c>
    </row>
    <row r="199" ht="15.75" customHeight="1">
      <c r="B199" s="28"/>
      <c r="C199" s="4" t="str">
        <f t="shared" si="1"/>
        <v>more_vert</v>
      </c>
      <c r="D199" s="22">
        <f t="shared" si="2"/>
        <v>9</v>
      </c>
      <c r="E199" s="4">
        <f>IF(IFERROR(VLOOKUP(LEFT(C199,14),consolidado!D:D,1,0),0)&gt;0,1,0)</f>
        <v>0</v>
      </c>
      <c r="F199" s="4" t="str">
        <f>VLOOKUP(LEFT(C199,14),consolidado!D:D,1,0)</f>
        <v>#N/A</v>
      </c>
    </row>
    <row r="200" ht="15.75" customHeight="1">
      <c r="B200" s="30" t="s">
        <v>326</v>
      </c>
      <c r="C200" s="4" t="str">
        <f t="shared" si="1"/>
        <v/>
      </c>
      <c r="D200" s="22">
        <f t="shared" si="2"/>
        <v>0</v>
      </c>
      <c r="E200" s="4">
        <f>IF(IFERROR(VLOOKUP(LEFT(C200,14),consolidado!D:D,1,0),0)&gt;0,1,0)</f>
        <v>1</v>
      </c>
      <c r="F200" s="4" t="str">
        <f>VLOOKUP(LEFT(C200,14),consolidado!D:D,1,0)</f>
        <v/>
      </c>
    </row>
    <row r="201" ht="15.75" customHeight="1">
      <c r="B201" s="21" t="s">
        <v>82</v>
      </c>
      <c r="C201" s="31" t="str">
        <f t="shared" si="1"/>
        <v>24Horas.cl</v>
      </c>
      <c r="D201" s="22">
        <f t="shared" si="2"/>
        <v>10</v>
      </c>
      <c r="E201" s="4">
        <f>IF(IFERROR(VLOOKUP(LEFT(C201,14),consolidado!D:D,1,0),0)&gt;0,1,0)</f>
        <v>0</v>
      </c>
      <c r="F201" s="4" t="str">
        <f>VLOOKUP(LEFT(C201,14),consolidado!D:D,1,0)</f>
        <v>#N/A</v>
      </c>
    </row>
    <row r="202" ht="15.75" customHeight="1">
      <c r="B202" s="29">
        <v>44741.0</v>
      </c>
      <c r="C202" s="4" t="str">
        <f t="shared" si="1"/>
        <v>Test de drogas en el Congreso: reglamento fue aprobado en general en la Cámara</v>
      </c>
      <c r="D202" s="22">
        <f t="shared" si="2"/>
        <v>78</v>
      </c>
      <c r="E202" s="4">
        <f>IF(IFERROR(VLOOKUP(LEFT(C202,14),consolidado!D:D,1,0),0)&gt;0,1,0)</f>
        <v>1</v>
      </c>
      <c r="F202" s="4" t="str">
        <f>VLOOKUP(LEFT(C202,14),consolidado!D:D,1,0)</f>
        <v>Test de drogas</v>
      </c>
    </row>
    <row r="203" ht="15.75" customHeight="1">
      <c r="B203" s="24" t="s">
        <v>307</v>
      </c>
      <c r="C203" s="4" t="str">
        <f t="shared" si="1"/>
        <v>44741</v>
      </c>
      <c r="D203" s="22">
        <f t="shared" si="2"/>
        <v>5</v>
      </c>
      <c r="E203" s="4">
        <f>IF(IFERROR(VLOOKUP(LEFT(C203,14),consolidado!D:D,1,0),0)&gt;0,1,0)</f>
        <v>0</v>
      </c>
      <c r="F203" s="4" t="str">
        <f>VLOOKUP(LEFT(C203,14),consolidado!D:D,1,0)</f>
        <v>#N/A</v>
      </c>
    </row>
    <row r="204" ht="15.75" customHeight="1">
      <c r="B204" s="24" t="s">
        <v>308</v>
      </c>
      <c r="C204" s="4" t="str">
        <f t="shared" si="1"/>
        <v>bookmark_border</v>
      </c>
      <c r="D204" s="22">
        <f t="shared" si="2"/>
        <v>15</v>
      </c>
      <c r="E204" s="4">
        <f>IF(IFERROR(VLOOKUP(LEFT(C204,14),consolidado!D:D,1,0),0)&gt;0,1,0)</f>
        <v>0</v>
      </c>
      <c r="F204" s="4" t="str">
        <f>VLOOKUP(LEFT(C204,14),consolidado!D:D,1,0)</f>
        <v>#N/A</v>
      </c>
    </row>
    <row r="205" ht="15.75" customHeight="1">
      <c r="B205" s="24" t="s">
        <v>309</v>
      </c>
      <c r="C205" s="4" t="str">
        <f t="shared" si="1"/>
        <v>share</v>
      </c>
      <c r="D205" s="22">
        <f t="shared" si="2"/>
        <v>5</v>
      </c>
      <c r="E205" s="4">
        <f>IF(IFERROR(VLOOKUP(LEFT(C205,14),consolidado!D:D,1,0),0)&gt;0,1,0)</f>
        <v>0</v>
      </c>
      <c r="F205" s="4" t="str">
        <f>VLOOKUP(LEFT(C205,14),consolidado!D:D,1,0)</f>
        <v>#N/A</v>
      </c>
    </row>
    <row r="206" ht="15.75" customHeight="1">
      <c r="B206" s="28"/>
      <c r="C206" s="4" t="str">
        <f t="shared" si="1"/>
        <v>more_vert</v>
      </c>
      <c r="D206" s="22">
        <f t="shared" si="2"/>
        <v>9</v>
      </c>
      <c r="E206" s="4">
        <f>IF(IFERROR(VLOOKUP(LEFT(C206,14),consolidado!D:D,1,0),0)&gt;0,1,0)</f>
        <v>0</v>
      </c>
      <c r="F206" s="4" t="str">
        <f>VLOOKUP(LEFT(C206,14),consolidado!D:D,1,0)</f>
        <v>#N/A</v>
      </c>
    </row>
    <row r="207" ht="15.75" customHeight="1">
      <c r="B207" s="30" t="s">
        <v>319</v>
      </c>
      <c r="C207" s="4" t="str">
        <f t="shared" si="1"/>
        <v/>
      </c>
      <c r="D207" s="22">
        <f t="shared" si="2"/>
        <v>0</v>
      </c>
      <c r="E207" s="4">
        <f>IF(IFERROR(VLOOKUP(LEFT(C207,14),consolidado!D:D,1,0),0)&gt;0,1,0)</f>
        <v>1</v>
      </c>
      <c r="F207" s="4" t="str">
        <f>VLOOKUP(LEFT(C207,14),consolidado!D:D,1,0)</f>
        <v/>
      </c>
    </row>
    <row r="208" ht="15.75" customHeight="1">
      <c r="B208" s="21" t="s">
        <v>72</v>
      </c>
      <c r="C208" s="4" t="str">
        <f t="shared" si="1"/>
        <v>pauta</v>
      </c>
      <c r="D208" s="22">
        <f t="shared" si="2"/>
        <v>5</v>
      </c>
      <c r="E208" s="4">
        <f>IF(IFERROR(VLOOKUP(LEFT(C208,14),consolidado!D:D,1,0),0)&gt;0,1,0)</f>
        <v>0</v>
      </c>
      <c r="F208" s="4" t="str">
        <f>VLOOKUP(LEFT(C208,14),consolidado!D:D,1,0)</f>
        <v>#N/A</v>
      </c>
    </row>
    <row r="209" ht="15.75" customHeight="1">
      <c r="B209" s="29">
        <v>44791.0</v>
      </c>
      <c r="C209" s="4" t="str">
        <f t="shared" si="1"/>
        <v>Diputada Flores (RN) y test de drogas: "El que consume droga, debiera perder su cargo"</v>
      </c>
      <c r="D209" s="22">
        <f t="shared" si="2"/>
        <v>86</v>
      </c>
      <c r="E209" s="4">
        <f>IF(IFERROR(VLOOKUP(LEFT(C209,14),consolidado!D:D,1,0),0)&gt;0,1,0)</f>
        <v>1</v>
      </c>
      <c r="F209" s="4" t="str">
        <f>VLOOKUP(LEFT(C209,14),consolidado!D:D,1,0)</f>
        <v>Diputada Flore</v>
      </c>
    </row>
    <row r="210" ht="15.75" customHeight="1">
      <c r="B210" s="24" t="s">
        <v>307</v>
      </c>
      <c r="C210" s="4" t="str">
        <f t="shared" si="1"/>
        <v>44791</v>
      </c>
      <c r="D210" s="22">
        <f t="shared" si="2"/>
        <v>5</v>
      </c>
      <c r="E210" s="4">
        <f>IF(IFERROR(VLOOKUP(LEFT(C210,14),consolidado!D:D,1,0),0)&gt;0,1,0)</f>
        <v>0</v>
      </c>
      <c r="F210" s="4" t="str">
        <f>VLOOKUP(LEFT(C210,14),consolidado!D:D,1,0)</f>
        <v>#N/A</v>
      </c>
    </row>
    <row r="211" ht="15.75" customHeight="1">
      <c r="B211" s="24" t="s">
        <v>308</v>
      </c>
      <c r="C211" s="4" t="str">
        <f t="shared" si="1"/>
        <v>bookmark_border</v>
      </c>
      <c r="D211" s="22">
        <f t="shared" si="2"/>
        <v>15</v>
      </c>
      <c r="E211" s="4">
        <f>IF(IFERROR(VLOOKUP(LEFT(C211,14),consolidado!D:D,1,0),0)&gt;0,1,0)</f>
        <v>0</v>
      </c>
      <c r="F211" s="4" t="str">
        <f>VLOOKUP(LEFT(C211,14),consolidado!D:D,1,0)</f>
        <v>#N/A</v>
      </c>
    </row>
    <row r="212" ht="15.75" customHeight="1">
      <c r="B212" s="24" t="s">
        <v>309</v>
      </c>
      <c r="C212" s="4" t="str">
        <f t="shared" si="1"/>
        <v>share</v>
      </c>
      <c r="D212" s="22">
        <f t="shared" si="2"/>
        <v>5</v>
      </c>
      <c r="E212" s="4">
        <f>IF(IFERROR(VLOOKUP(LEFT(C212,14),consolidado!D:D,1,0),0)&gt;0,1,0)</f>
        <v>0</v>
      </c>
      <c r="F212" s="4" t="str">
        <f>VLOOKUP(LEFT(C212,14),consolidado!D:D,1,0)</f>
        <v>#N/A</v>
      </c>
    </row>
    <row r="213" ht="15.75" customHeight="1">
      <c r="B213" s="28"/>
      <c r="C213" s="4" t="str">
        <f t="shared" si="1"/>
        <v>more_vert</v>
      </c>
      <c r="D213" s="22">
        <f t="shared" si="2"/>
        <v>9</v>
      </c>
      <c r="E213" s="4">
        <f>IF(IFERROR(VLOOKUP(LEFT(C213,14),consolidado!D:D,1,0),0)&gt;0,1,0)</f>
        <v>0</v>
      </c>
      <c r="F213" s="4" t="str">
        <f>VLOOKUP(LEFT(C213,14),consolidado!D:D,1,0)</f>
        <v>#N/A</v>
      </c>
    </row>
    <row r="214" ht="15.75" customHeight="1">
      <c r="B214" s="30" t="s">
        <v>322</v>
      </c>
      <c r="C214" s="4" t="str">
        <f t="shared" si="1"/>
        <v/>
      </c>
      <c r="D214" s="22">
        <f t="shared" si="2"/>
        <v>0</v>
      </c>
      <c r="E214" s="4">
        <f>IF(IFERROR(VLOOKUP(LEFT(C214,14),consolidado!D:D,1,0),0)&gt;0,1,0)</f>
        <v>1</v>
      </c>
      <c r="F214" s="4" t="str">
        <f>VLOOKUP(LEFT(C214,14),consolidado!D:D,1,0)</f>
        <v/>
      </c>
    </row>
    <row r="215" ht="15.75" customHeight="1">
      <c r="B215" s="21" t="s">
        <v>85</v>
      </c>
      <c r="C215" s="4" t="str">
        <f t="shared" si="1"/>
        <v>ADN Chile</v>
      </c>
      <c r="D215" s="22">
        <f t="shared" si="2"/>
        <v>9</v>
      </c>
      <c r="E215" s="4">
        <f>IF(IFERROR(VLOOKUP(LEFT(C215,14),consolidado!D:D,1,0),0)&gt;0,1,0)</f>
        <v>0</v>
      </c>
      <c r="F215" s="4" t="str">
        <f>VLOOKUP(LEFT(C215,14),consolidado!D:D,1,0)</f>
        <v>#N/A</v>
      </c>
    </row>
    <row r="216" ht="15.75" customHeight="1">
      <c r="B216" s="29">
        <v>44756.0</v>
      </c>
      <c r="C216" s="4" t="str">
        <f t="shared" si="1"/>
        <v>“Los tengo identificados”: Doctora Cordero arremete contra parlamentarios por test de drogas</v>
      </c>
      <c r="D216" s="22">
        <f t="shared" si="2"/>
        <v>94</v>
      </c>
      <c r="E216" s="4">
        <f>IF(IFERROR(VLOOKUP(LEFT(C216,14),consolidado!D:D,1,0),0)&gt;0,1,0)</f>
        <v>1</v>
      </c>
      <c r="F216" s="4" t="str">
        <f>VLOOKUP(LEFT(C216,14),consolidado!D:D,1,0)</f>
        <v>“Los tengo ide</v>
      </c>
    </row>
    <row r="217" ht="15.75" customHeight="1">
      <c r="B217" s="24" t="s">
        <v>307</v>
      </c>
      <c r="C217" s="4" t="str">
        <f t="shared" si="1"/>
        <v>44756</v>
      </c>
      <c r="D217" s="22">
        <f t="shared" si="2"/>
        <v>5</v>
      </c>
      <c r="E217" s="4">
        <f>IF(IFERROR(VLOOKUP(LEFT(C217,14),consolidado!D:D,1,0),0)&gt;0,1,0)</f>
        <v>0</v>
      </c>
      <c r="F217" s="4" t="str">
        <f>VLOOKUP(LEFT(C217,14),consolidado!D:D,1,0)</f>
        <v>#N/A</v>
      </c>
    </row>
    <row r="218" ht="15.75" customHeight="1">
      <c r="B218" s="24" t="s">
        <v>308</v>
      </c>
      <c r="C218" s="4" t="str">
        <f t="shared" si="1"/>
        <v>bookmark_border</v>
      </c>
      <c r="D218" s="22">
        <f t="shared" si="2"/>
        <v>15</v>
      </c>
      <c r="E218" s="4">
        <f>IF(IFERROR(VLOOKUP(LEFT(C218,14),consolidado!D:D,1,0),0)&gt;0,1,0)</f>
        <v>0</v>
      </c>
      <c r="F218" s="4" t="str">
        <f>VLOOKUP(LEFT(C218,14),consolidado!D:D,1,0)</f>
        <v>#N/A</v>
      </c>
    </row>
    <row r="219" ht="15.75" customHeight="1">
      <c r="B219" s="24" t="s">
        <v>309</v>
      </c>
      <c r="C219" s="4" t="str">
        <f t="shared" si="1"/>
        <v>share</v>
      </c>
      <c r="D219" s="22">
        <f t="shared" si="2"/>
        <v>5</v>
      </c>
      <c r="E219" s="4">
        <f>IF(IFERROR(VLOOKUP(LEFT(C219,14),consolidado!D:D,1,0),0)&gt;0,1,0)</f>
        <v>0</v>
      </c>
      <c r="F219" s="4" t="str">
        <f>VLOOKUP(LEFT(C219,14),consolidado!D:D,1,0)</f>
        <v>#N/A</v>
      </c>
    </row>
    <row r="220" ht="15.75" customHeight="1">
      <c r="B220" s="28"/>
      <c r="C220" s="4" t="str">
        <f t="shared" si="1"/>
        <v>more_vert</v>
      </c>
      <c r="D220" s="22">
        <f t="shared" si="2"/>
        <v>9</v>
      </c>
      <c r="E220" s="4">
        <f>IF(IFERROR(VLOOKUP(LEFT(C220,14),consolidado!D:D,1,0),0)&gt;0,1,0)</f>
        <v>0</v>
      </c>
      <c r="F220" s="4" t="str">
        <f>VLOOKUP(LEFT(C220,14),consolidado!D:D,1,0)</f>
        <v>#N/A</v>
      </c>
    </row>
    <row r="221" ht="15.75" customHeight="1">
      <c r="B221" s="30" t="s">
        <v>319</v>
      </c>
      <c r="C221" s="4" t="str">
        <f t="shared" si="1"/>
        <v/>
      </c>
      <c r="D221" s="22">
        <f t="shared" si="2"/>
        <v>0</v>
      </c>
      <c r="E221" s="4">
        <f>IF(IFERROR(VLOOKUP(LEFT(C221,14),consolidado!D:D,1,0),0)&gt;0,1,0)</f>
        <v>1</v>
      </c>
      <c r="F221" s="4" t="str">
        <f>VLOOKUP(LEFT(C221,14),consolidado!D:D,1,0)</f>
        <v/>
      </c>
    </row>
    <row r="222" ht="15.75" customHeight="1">
      <c r="B222" s="21" t="s">
        <v>42</v>
      </c>
      <c r="C222" s="4" t="str">
        <f t="shared" si="1"/>
        <v>pauta</v>
      </c>
      <c r="D222" s="22">
        <f t="shared" si="2"/>
        <v>5</v>
      </c>
      <c r="E222" s="4">
        <f>IF(IFERROR(VLOOKUP(LEFT(C222,14),consolidado!D:D,1,0),0)&gt;0,1,0)</f>
        <v>0</v>
      </c>
      <c r="F222" s="4" t="str">
        <f>VLOOKUP(LEFT(C222,14),consolidado!D:D,1,0)</f>
        <v>#N/A</v>
      </c>
    </row>
    <row r="223" ht="15.75" customHeight="1">
      <c r="B223" s="29">
        <v>44799.0</v>
      </c>
      <c r="C223" s="4" t="str">
        <f t="shared" si="1"/>
        <v>Test de drogas para diputados: ¿Cómo funciona el examen de pelo para detectar el consumo?</v>
      </c>
      <c r="D223" s="22">
        <f t="shared" si="2"/>
        <v>89</v>
      </c>
      <c r="E223" s="4">
        <f>IF(IFERROR(VLOOKUP(LEFT(C223,14),consolidado!D:D,1,0),0)&gt;0,1,0)</f>
        <v>1</v>
      </c>
      <c r="F223" s="4" t="str">
        <f>VLOOKUP(LEFT(C223,14),consolidado!D:D,1,0)</f>
        <v>Test de drogas</v>
      </c>
    </row>
    <row r="224" ht="15.75" customHeight="1">
      <c r="B224" s="24" t="s">
        <v>307</v>
      </c>
      <c r="C224" s="4" t="str">
        <f t="shared" si="1"/>
        <v>44799</v>
      </c>
      <c r="D224" s="22">
        <f t="shared" si="2"/>
        <v>5</v>
      </c>
      <c r="E224" s="4">
        <f>IF(IFERROR(VLOOKUP(LEFT(C224,14),consolidado!D:D,1,0),0)&gt;0,1,0)</f>
        <v>0</v>
      </c>
      <c r="F224" s="4" t="str">
        <f>VLOOKUP(LEFT(C224,14),consolidado!D:D,1,0)</f>
        <v>#N/A</v>
      </c>
    </row>
    <row r="225" ht="15.75" customHeight="1">
      <c r="B225" s="24" t="s">
        <v>308</v>
      </c>
      <c r="C225" s="4" t="str">
        <f t="shared" si="1"/>
        <v>bookmark_border</v>
      </c>
      <c r="D225" s="22">
        <f t="shared" si="2"/>
        <v>15</v>
      </c>
      <c r="E225" s="4">
        <f>IF(IFERROR(VLOOKUP(LEFT(C225,14),consolidado!D:D,1,0),0)&gt;0,1,0)</f>
        <v>0</v>
      </c>
      <c r="F225" s="4" t="str">
        <f>VLOOKUP(LEFT(C225,14),consolidado!D:D,1,0)</f>
        <v>#N/A</v>
      </c>
    </row>
    <row r="226" ht="15.75" customHeight="1">
      <c r="B226" s="24" t="s">
        <v>309</v>
      </c>
      <c r="C226" s="4" t="str">
        <f t="shared" si="1"/>
        <v>share</v>
      </c>
      <c r="D226" s="22">
        <f t="shared" si="2"/>
        <v>5</v>
      </c>
      <c r="E226" s="4">
        <f>IF(IFERROR(VLOOKUP(LEFT(C226,14),consolidado!D:D,1,0),0)&gt;0,1,0)</f>
        <v>0</v>
      </c>
      <c r="F226" s="4" t="str">
        <f>VLOOKUP(LEFT(C226,14),consolidado!D:D,1,0)</f>
        <v>#N/A</v>
      </c>
    </row>
    <row r="227" ht="15.75" customHeight="1">
      <c r="B227" s="28"/>
      <c r="C227" s="4" t="str">
        <f t="shared" si="1"/>
        <v>more_vert</v>
      </c>
      <c r="D227" s="22">
        <f t="shared" si="2"/>
        <v>9</v>
      </c>
      <c r="E227" s="4">
        <f>IF(IFERROR(VLOOKUP(LEFT(C227,14),consolidado!D:D,1,0),0)&gt;0,1,0)</f>
        <v>0</v>
      </c>
      <c r="F227" s="4" t="str">
        <f>VLOOKUP(LEFT(C227,14),consolidado!D:D,1,0)</f>
        <v>#N/A</v>
      </c>
    </row>
    <row r="228" ht="15.75" customHeight="1">
      <c r="B228" s="32"/>
      <c r="C228" s="4" t="str">
        <f t="shared" si="1"/>
        <v/>
      </c>
      <c r="D228" s="22">
        <f t="shared" si="2"/>
        <v>0</v>
      </c>
      <c r="E228" s="4">
        <f>IF(IFERROR(VLOOKUP(LEFT(C228,14),consolidado!D:D,1,0),0)&gt;0,1,0)</f>
        <v>1</v>
      </c>
      <c r="F228" s="4" t="str">
        <f>VLOOKUP(LEFT(C228,14),consolidado!D:D,1,0)</f>
        <v/>
      </c>
    </row>
    <row r="229" ht="15.75" customHeight="1">
      <c r="B229" s="21" t="s">
        <v>100</v>
      </c>
      <c r="C229" s="4" t="str">
        <f t="shared" si="1"/>
        <v/>
      </c>
      <c r="D229" s="22">
        <f t="shared" si="2"/>
        <v>0</v>
      </c>
      <c r="E229" s="4">
        <f>IF(IFERROR(VLOOKUP(LEFT(C229,14),consolidado!D:D,1,0),0)&gt;0,1,0)</f>
        <v>1</v>
      </c>
      <c r="F229" s="4" t="str">
        <f>VLOOKUP(LEFT(C229,14),consolidado!D:D,1,0)</f>
        <v/>
      </c>
    </row>
    <row r="230" ht="15.75" customHeight="1">
      <c r="B230" s="29">
        <v>44774.0</v>
      </c>
      <c r="C230" s="4" t="str">
        <f t="shared" si="1"/>
        <v>“No solo no me avergüenzo…”: diputada Gazmuri reconoció consumo de cannabis y lanzó dura crítica al test de drogas en la Cámara</v>
      </c>
      <c r="D230" s="22">
        <f t="shared" si="2"/>
        <v>130</v>
      </c>
      <c r="E230" s="4">
        <f>IF(IFERROR(VLOOKUP(LEFT(C230,14),consolidado!D:D,1,0),0)&gt;0,1,0)</f>
        <v>1</v>
      </c>
      <c r="F230" s="4" t="str">
        <f>VLOOKUP(LEFT(C230,14),consolidado!D:D,1,0)</f>
        <v>“No solo no me</v>
      </c>
    </row>
    <row r="231" ht="15.75" customHeight="1">
      <c r="B231" s="24" t="s">
        <v>307</v>
      </c>
      <c r="C231" s="4" t="str">
        <f t="shared" si="1"/>
        <v>44774</v>
      </c>
      <c r="D231" s="22">
        <f t="shared" si="2"/>
        <v>5</v>
      </c>
      <c r="E231" s="4">
        <f>IF(IFERROR(VLOOKUP(LEFT(C231,14),consolidado!D:D,1,0),0)&gt;0,1,0)</f>
        <v>0</v>
      </c>
      <c r="F231" s="4" t="str">
        <f>VLOOKUP(LEFT(C231,14),consolidado!D:D,1,0)</f>
        <v>#N/A</v>
      </c>
    </row>
    <row r="232" ht="15.75" customHeight="1">
      <c r="B232" s="24" t="s">
        <v>308</v>
      </c>
      <c r="C232" s="4" t="str">
        <f t="shared" si="1"/>
        <v>bookmark_border</v>
      </c>
      <c r="D232" s="22">
        <f t="shared" si="2"/>
        <v>15</v>
      </c>
      <c r="E232" s="4">
        <f>IF(IFERROR(VLOOKUP(LEFT(C232,14),consolidado!D:D,1,0),0)&gt;0,1,0)</f>
        <v>0</v>
      </c>
      <c r="F232" s="4" t="str">
        <f>VLOOKUP(LEFT(C232,14),consolidado!D:D,1,0)</f>
        <v>#N/A</v>
      </c>
    </row>
    <row r="233" ht="15.75" customHeight="1">
      <c r="B233" s="24" t="s">
        <v>309</v>
      </c>
      <c r="C233" s="4" t="str">
        <f t="shared" si="1"/>
        <v>share</v>
      </c>
      <c r="D233" s="22">
        <f t="shared" si="2"/>
        <v>5</v>
      </c>
      <c r="E233" s="4">
        <f>IF(IFERROR(VLOOKUP(LEFT(C233,14),consolidado!D:D,1,0),0)&gt;0,1,0)</f>
        <v>0</v>
      </c>
      <c r="F233" s="4" t="str">
        <f>VLOOKUP(LEFT(C233,14),consolidado!D:D,1,0)</f>
        <v>#N/A</v>
      </c>
    </row>
    <row r="234" ht="15.75" customHeight="1">
      <c r="B234" s="28"/>
      <c r="C234" s="4" t="str">
        <f t="shared" si="1"/>
        <v>more_vert</v>
      </c>
      <c r="D234" s="22">
        <f t="shared" si="2"/>
        <v>9</v>
      </c>
      <c r="E234" s="4">
        <f>IF(IFERROR(VLOOKUP(LEFT(C234,14),consolidado!D:D,1,0),0)&gt;0,1,0)</f>
        <v>0</v>
      </c>
      <c r="F234" s="4" t="str">
        <f>VLOOKUP(LEFT(C234,14),consolidado!D:D,1,0)</f>
        <v>#N/A</v>
      </c>
    </row>
    <row r="235" ht="15.75" customHeight="1">
      <c r="B235" s="19" t="s">
        <v>303</v>
      </c>
      <c r="C235" s="4" t="str">
        <f t="shared" si="1"/>
        <v/>
      </c>
      <c r="D235" s="22">
        <f t="shared" si="2"/>
        <v>0</v>
      </c>
      <c r="E235" s="4">
        <f>IF(IFERROR(VLOOKUP(LEFT(C235,14),consolidado!D:D,1,0),0)&gt;0,1,0)</f>
        <v>1</v>
      </c>
      <c r="F235" s="4" t="str">
        <f>VLOOKUP(LEFT(C235,14),consolidado!D:D,1,0)</f>
        <v/>
      </c>
    </row>
    <row r="236" ht="15.75" customHeight="1">
      <c r="B236" s="21" t="s">
        <v>58</v>
      </c>
      <c r="C236" s="4" t="str">
        <f t="shared" si="1"/>
        <v>La Tercera</v>
      </c>
      <c r="D236" s="22">
        <f t="shared" si="2"/>
        <v>10</v>
      </c>
      <c r="E236" s="4">
        <f>IF(IFERROR(VLOOKUP(LEFT(C236,14),consolidado!D:D,1,0),0)&gt;0,1,0)</f>
        <v>0</v>
      </c>
      <c r="F236" s="4" t="str">
        <f>VLOOKUP(LEFT(C236,14),consolidado!D:D,1,0)</f>
        <v>#N/A</v>
      </c>
    </row>
    <row r="237" ht="15.75" customHeight="1">
      <c r="B237" s="29">
        <v>44860.0</v>
      </c>
      <c r="C237" s="4" t="str">
        <f t="shared" si="1"/>
        <v>Comisión de Ética de la Cámara no llega a acuerdo en las sanciones para diputados que no se realizaron el test de drogas</v>
      </c>
      <c r="D237" s="22">
        <f t="shared" si="2"/>
        <v>120</v>
      </c>
      <c r="E237" s="4">
        <f>IF(IFERROR(VLOOKUP(LEFT(C237,14),consolidado!D:D,1,0),0)&gt;0,1,0)</f>
        <v>1</v>
      </c>
      <c r="F237" s="4" t="str">
        <f>VLOOKUP(LEFT(C237,14),consolidado!D:D,1,0)</f>
        <v>Comisión de Ét</v>
      </c>
    </row>
    <row r="238" ht="15.75" customHeight="1">
      <c r="B238" s="24" t="s">
        <v>307</v>
      </c>
      <c r="C238" s="4" t="str">
        <f t="shared" si="1"/>
        <v>44860</v>
      </c>
      <c r="D238" s="22">
        <f t="shared" si="2"/>
        <v>5</v>
      </c>
      <c r="E238" s="4">
        <f>IF(IFERROR(VLOOKUP(LEFT(C238,14),consolidado!D:D,1,0),0)&gt;0,1,0)</f>
        <v>0</v>
      </c>
      <c r="F238" s="4" t="str">
        <f>VLOOKUP(LEFT(C238,14),consolidado!D:D,1,0)</f>
        <v>#N/A</v>
      </c>
    </row>
    <row r="239" ht="15.75" customHeight="1">
      <c r="B239" s="24" t="s">
        <v>308</v>
      </c>
      <c r="C239" s="4" t="str">
        <f t="shared" si="1"/>
        <v>bookmark_border</v>
      </c>
      <c r="D239" s="22">
        <f t="shared" si="2"/>
        <v>15</v>
      </c>
      <c r="E239" s="4">
        <f>IF(IFERROR(VLOOKUP(LEFT(C239,14),consolidado!D:D,1,0),0)&gt;0,1,0)</f>
        <v>0</v>
      </c>
      <c r="F239" s="4" t="str">
        <f>VLOOKUP(LEFT(C239,14),consolidado!D:D,1,0)</f>
        <v>#N/A</v>
      </c>
    </row>
    <row r="240" ht="15.75" customHeight="1">
      <c r="B240" s="24" t="s">
        <v>309</v>
      </c>
      <c r="C240" s="4" t="str">
        <f t="shared" si="1"/>
        <v>share</v>
      </c>
      <c r="D240" s="22">
        <f t="shared" si="2"/>
        <v>5</v>
      </c>
      <c r="E240" s="4">
        <f>IF(IFERROR(VLOOKUP(LEFT(C240,14),consolidado!D:D,1,0),0)&gt;0,1,0)</f>
        <v>0</v>
      </c>
      <c r="F240" s="4" t="str">
        <f>VLOOKUP(LEFT(C240,14),consolidado!D:D,1,0)</f>
        <v>#N/A</v>
      </c>
    </row>
    <row r="241" ht="15.75" customHeight="1">
      <c r="B241" s="28"/>
      <c r="C241" s="4" t="str">
        <f t="shared" si="1"/>
        <v>more_vert</v>
      </c>
      <c r="D241" s="22">
        <f t="shared" si="2"/>
        <v>9</v>
      </c>
      <c r="E241" s="4">
        <f>IF(IFERROR(VLOOKUP(LEFT(C241,14),consolidado!D:D,1,0),0)&gt;0,1,0)</f>
        <v>0</v>
      </c>
      <c r="F241" s="4" t="str">
        <f>VLOOKUP(LEFT(C241,14),consolidado!D:D,1,0)</f>
        <v>#N/A</v>
      </c>
    </row>
    <row r="242" ht="15.75" customHeight="1">
      <c r="B242" s="30" t="s">
        <v>321</v>
      </c>
      <c r="C242" s="4" t="str">
        <f t="shared" si="1"/>
        <v/>
      </c>
      <c r="D242" s="22">
        <f t="shared" si="2"/>
        <v>0</v>
      </c>
      <c r="E242" s="4">
        <f>IF(IFERROR(VLOOKUP(LEFT(C242,14),consolidado!D:D,1,0),0)&gt;0,1,0)</f>
        <v>1</v>
      </c>
      <c r="F242" s="4" t="str">
        <f>VLOOKUP(LEFT(C242,14),consolidado!D:D,1,0)</f>
        <v/>
      </c>
    </row>
    <row r="243" ht="15.75" customHeight="1">
      <c r="B243" s="21" t="s">
        <v>102</v>
      </c>
      <c r="C243" s="4" t="str">
        <f t="shared" si="1"/>
        <v>Radio Concierto</v>
      </c>
      <c r="D243" s="22">
        <f t="shared" si="2"/>
        <v>15</v>
      </c>
      <c r="E243" s="4">
        <f>IF(IFERROR(VLOOKUP(LEFT(C243,14),consolidado!D:D,1,0),0)&gt;0,1,0)</f>
        <v>0</v>
      </c>
      <c r="F243" s="4" t="str">
        <f>VLOOKUP(LEFT(C243,14),consolidado!D:D,1,0)</f>
        <v>#N/A</v>
      </c>
    </row>
    <row r="244" ht="15.75" customHeight="1">
      <c r="B244" s="29">
        <v>44742.0</v>
      </c>
      <c r="C244" s="4" t="str">
        <f t="shared" si="1"/>
        <v>Avanza proyecto que busca hacer test de drogas a parlamentarios</v>
      </c>
      <c r="D244" s="22">
        <f t="shared" si="2"/>
        <v>63</v>
      </c>
      <c r="E244" s="4">
        <f>IF(IFERROR(VLOOKUP(LEFT(C244,14),consolidado!D:D,1,0),0)&gt;0,1,0)</f>
        <v>1</v>
      </c>
      <c r="F244" s="4" t="str">
        <f>VLOOKUP(LEFT(C244,14),consolidado!D:D,1,0)</f>
        <v>Avanza proyect</v>
      </c>
    </row>
    <row r="245" ht="15.75" customHeight="1">
      <c r="B245" s="24" t="s">
        <v>307</v>
      </c>
      <c r="C245" s="4" t="str">
        <f t="shared" si="1"/>
        <v>44742</v>
      </c>
      <c r="D245" s="22">
        <f t="shared" si="2"/>
        <v>5</v>
      </c>
      <c r="E245" s="4">
        <f>IF(IFERROR(VLOOKUP(LEFT(C245,14),consolidado!D:D,1,0),0)&gt;0,1,0)</f>
        <v>0</v>
      </c>
      <c r="F245" s="4" t="str">
        <f>VLOOKUP(LEFT(C245,14),consolidado!D:D,1,0)</f>
        <v>#N/A</v>
      </c>
    </row>
    <row r="246" ht="15.75" customHeight="1">
      <c r="B246" s="24" t="s">
        <v>308</v>
      </c>
      <c r="C246" s="4" t="str">
        <f t="shared" si="1"/>
        <v>bookmark_border</v>
      </c>
      <c r="D246" s="22">
        <f t="shared" si="2"/>
        <v>15</v>
      </c>
      <c r="E246" s="4">
        <f>IF(IFERROR(VLOOKUP(LEFT(C246,14),consolidado!D:D,1,0),0)&gt;0,1,0)</f>
        <v>0</v>
      </c>
      <c r="F246" s="4" t="str">
        <f>VLOOKUP(LEFT(C246,14),consolidado!D:D,1,0)</f>
        <v>#N/A</v>
      </c>
    </row>
    <row r="247" ht="15.75" customHeight="1">
      <c r="B247" s="24" t="s">
        <v>309</v>
      </c>
      <c r="C247" s="4" t="str">
        <f t="shared" si="1"/>
        <v>share</v>
      </c>
      <c r="D247" s="22">
        <f t="shared" si="2"/>
        <v>5</v>
      </c>
      <c r="E247" s="4">
        <f>IF(IFERROR(VLOOKUP(LEFT(C247,14),consolidado!D:D,1,0),0)&gt;0,1,0)</f>
        <v>0</v>
      </c>
      <c r="F247" s="4" t="str">
        <f>VLOOKUP(LEFT(C247,14),consolidado!D:D,1,0)</f>
        <v>#N/A</v>
      </c>
    </row>
    <row r="248" ht="15.75" customHeight="1">
      <c r="B248" s="28"/>
      <c r="C248" s="4" t="str">
        <f t="shared" si="1"/>
        <v>more_vert</v>
      </c>
      <c r="D248" s="22">
        <f t="shared" si="2"/>
        <v>9</v>
      </c>
      <c r="E248" s="4">
        <f>IF(IFERROR(VLOOKUP(LEFT(C248,14),consolidado!D:D,1,0),0)&gt;0,1,0)</f>
        <v>0</v>
      </c>
      <c r="F248" s="4" t="str">
        <f>VLOOKUP(LEFT(C248,14),consolidado!D:D,1,0)</f>
        <v>#N/A</v>
      </c>
    </row>
    <row r="249" ht="15.75" customHeight="1">
      <c r="B249" s="19" t="s">
        <v>303</v>
      </c>
      <c r="C249" s="4" t="str">
        <f t="shared" si="1"/>
        <v/>
      </c>
      <c r="D249" s="22">
        <f t="shared" si="2"/>
        <v>0</v>
      </c>
      <c r="E249" s="4">
        <f>IF(IFERROR(VLOOKUP(LEFT(C249,14),consolidado!D:D,1,0),0)&gt;0,1,0)</f>
        <v>1</v>
      </c>
      <c r="F249" s="4" t="str">
        <f>VLOOKUP(LEFT(C249,14),consolidado!D:D,1,0)</f>
        <v/>
      </c>
    </row>
    <row r="250" ht="15.75" customHeight="1">
      <c r="B250" s="21" t="s">
        <v>56</v>
      </c>
      <c r="C250" s="4" t="str">
        <f t="shared" si="1"/>
        <v>La Tercera</v>
      </c>
      <c r="D250" s="22">
        <f t="shared" si="2"/>
        <v>10</v>
      </c>
      <c r="E250" s="4">
        <f>IF(IFERROR(VLOOKUP(LEFT(C250,14),consolidado!D:D,1,0),0)&gt;0,1,0)</f>
        <v>0</v>
      </c>
      <c r="F250" s="4" t="str">
        <f>VLOOKUP(LEFT(C250,14),consolidado!D:D,1,0)</f>
        <v>#N/A</v>
      </c>
    </row>
    <row r="251" ht="15.75" customHeight="1">
      <c r="B251" s="29">
        <v>44853.0</v>
      </c>
      <c r="C251" s="4" t="str">
        <f t="shared" si="1"/>
        <v>Test de drogas: diputadas que no se realizaron la prueba entregaron sus descargos en la comisión de Ética de la Cámara</v>
      </c>
      <c r="D251" s="22">
        <f t="shared" si="2"/>
        <v>118</v>
      </c>
      <c r="E251" s="4">
        <f>IF(IFERROR(VLOOKUP(LEFT(C251,14),consolidado!D:D,1,0),0)&gt;0,1,0)</f>
        <v>1</v>
      </c>
      <c r="F251" s="4" t="str">
        <f>VLOOKUP(LEFT(C251,14),consolidado!D:D,1,0)</f>
        <v>Test de drogas</v>
      </c>
    </row>
    <row r="252" ht="15.75" customHeight="1">
      <c r="B252" s="24" t="s">
        <v>307</v>
      </c>
      <c r="C252" s="4" t="str">
        <f t="shared" si="1"/>
        <v>44853</v>
      </c>
      <c r="D252" s="22">
        <f t="shared" si="2"/>
        <v>5</v>
      </c>
      <c r="E252" s="4">
        <f>IF(IFERROR(VLOOKUP(LEFT(C252,14),consolidado!D:D,1,0),0)&gt;0,1,0)</f>
        <v>0</v>
      </c>
      <c r="F252" s="4" t="str">
        <f>VLOOKUP(LEFT(C252,14),consolidado!D:D,1,0)</f>
        <v>#N/A</v>
      </c>
    </row>
    <row r="253" ht="15.75" customHeight="1">
      <c r="B253" s="24" t="s">
        <v>308</v>
      </c>
      <c r="C253" s="4" t="str">
        <f t="shared" si="1"/>
        <v>bookmark_border</v>
      </c>
      <c r="D253" s="22">
        <f t="shared" si="2"/>
        <v>15</v>
      </c>
      <c r="E253" s="4">
        <f>IF(IFERROR(VLOOKUP(LEFT(C253,14),consolidado!D:D,1,0),0)&gt;0,1,0)</f>
        <v>0</v>
      </c>
      <c r="F253" s="4" t="str">
        <f>VLOOKUP(LEFT(C253,14),consolidado!D:D,1,0)</f>
        <v>#N/A</v>
      </c>
    </row>
    <row r="254" ht="15.75" customHeight="1">
      <c r="B254" s="24" t="s">
        <v>309</v>
      </c>
      <c r="C254" s="4" t="str">
        <f t="shared" si="1"/>
        <v>share</v>
      </c>
      <c r="D254" s="22">
        <f t="shared" si="2"/>
        <v>5</v>
      </c>
      <c r="E254" s="4">
        <f>IF(IFERROR(VLOOKUP(LEFT(C254,14),consolidado!D:D,1,0),0)&gt;0,1,0)</f>
        <v>0</v>
      </c>
      <c r="F254" s="4" t="str">
        <f>VLOOKUP(LEFT(C254,14),consolidado!D:D,1,0)</f>
        <v>#N/A</v>
      </c>
    </row>
    <row r="255" ht="15.75" customHeight="1">
      <c r="B255" s="28"/>
      <c r="C255" s="4" t="str">
        <f t="shared" si="1"/>
        <v>more_vert</v>
      </c>
      <c r="D255" s="22">
        <f t="shared" si="2"/>
        <v>9</v>
      </c>
      <c r="E255" s="4">
        <f>IF(IFERROR(VLOOKUP(LEFT(C255,14),consolidado!D:D,1,0),0)&gt;0,1,0)</f>
        <v>0</v>
      </c>
      <c r="F255" s="4" t="str">
        <f>VLOOKUP(LEFT(C255,14),consolidado!D:D,1,0)</f>
        <v>#N/A</v>
      </c>
    </row>
    <row r="256" ht="15.75" customHeight="1">
      <c r="B256" s="30" t="s">
        <v>316</v>
      </c>
      <c r="C256" s="4" t="str">
        <f t="shared" si="1"/>
        <v/>
      </c>
      <c r="D256" s="22">
        <f t="shared" si="2"/>
        <v>0</v>
      </c>
      <c r="E256" s="4">
        <f>IF(IFERROR(VLOOKUP(LEFT(C256,14),consolidado!D:D,1,0),0)&gt;0,1,0)</f>
        <v>1</v>
      </c>
      <c r="F256" s="4" t="str">
        <f>VLOOKUP(LEFT(C256,14),consolidado!D:D,1,0)</f>
        <v/>
      </c>
    </row>
    <row r="257" ht="15.75" customHeight="1">
      <c r="B257" s="21" t="s">
        <v>91</v>
      </c>
      <c r="C257" s="4" t="str">
        <f t="shared" si="1"/>
        <v>El Mostrador</v>
      </c>
      <c r="D257" s="22">
        <f t="shared" si="2"/>
        <v>12</v>
      </c>
      <c r="E257" s="4">
        <f>IF(IFERROR(VLOOKUP(LEFT(C257,14),consolidado!D:D,1,0),0)&gt;0,1,0)</f>
        <v>0</v>
      </c>
      <c r="F257" s="4" t="str">
        <f>VLOOKUP(LEFT(C257,14),consolidado!D:D,1,0)</f>
        <v>#N/A</v>
      </c>
    </row>
    <row r="258" ht="15.75" customHeight="1">
      <c r="B258" s="29">
        <v>44795.0</v>
      </c>
      <c r="C258" s="4" t="str">
        <f t="shared" si="1"/>
        <v>Primera ministra de Finlandia da negativo en test de drogas realizado tras polémico vídeo</v>
      </c>
      <c r="D258" s="22">
        <f t="shared" si="2"/>
        <v>89</v>
      </c>
      <c r="E258" s="4">
        <f>IF(IFERROR(VLOOKUP(LEFT(C258,14),consolidado!D:D,1,0),0)&gt;0,1,0)</f>
        <v>1</v>
      </c>
      <c r="F258" s="4" t="str">
        <f>VLOOKUP(LEFT(C258,14),consolidado!D:D,1,0)</f>
        <v>Primera minist</v>
      </c>
    </row>
    <row r="259" ht="15.75" customHeight="1">
      <c r="B259" s="24" t="s">
        <v>307</v>
      </c>
      <c r="C259" s="4" t="str">
        <f t="shared" si="1"/>
        <v>44795</v>
      </c>
      <c r="D259" s="22">
        <f t="shared" si="2"/>
        <v>5</v>
      </c>
      <c r="E259" s="4">
        <f>IF(IFERROR(VLOOKUP(LEFT(C259,14),consolidado!D:D,1,0),0)&gt;0,1,0)</f>
        <v>0</v>
      </c>
      <c r="F259" s="4" t="str">
        <f>VLOOKUP(LEFT(C259,14),consolidado!D:D,1,0)</f>
        <v>#N/A</v>
      </c>
    </row>
    <row r="260" ht="15.75" customHeight="1">
      <c r="B260" s="24" t="s">
        <v>308</v>
      </c>
      <c r="C260" s="4" t="str">
        <f t="shared" si="1"/>
        <v>bookmark_border</v>
      </c>
      <c r="D260" s="22">
        <f t="shared" si="2"/>
        <v>15</v>
      </c>
      <c r="E260" s="4">
        <f>IF(IFERROR(VLOOKUP(LEFT(C260,14),consolidado!D:D,1,0),0)&gt;0,1,0)</f>
        <v>0</v>
      </c>
      <c r="F260" s="4" t="str">
        <f>VLOOKUP(LEFT(C260,14),consolidado!D:D,1,0)</f>
        <v>#N/A</v>
      </c>
    </row>
    <row r="261" ht="15.75" customHeight="1">
      <c r="B261" s="24" t="s">
        <v>309</v>
      </c>
      <c r="C261" s="4" t="str">
        <f t="shared" si="1"/>
        <v>share</v>
      </c>
      <c r="D261" s="22">
        <f t="shared" si="2"/>
        <v>5</v>
      </c>
      <c r="E261" s="4">
        <f>IF(IFERROR(VLOOKUP(LEFT(C261,14),consolidado!D:D,1,0),0)&gt;0,1,0)</f>
        <v>0</v>
      </c>
      <c r="F261" s="4" t="str">
        <f>VLOOKUP(LEFT(C261,14),consolidado!D:D,1,0)</f>
        <v>#N/A</v>
      </c>
    </row>
    <row r="262" ht="15.75" customHeight="1">
      <c r="B262" s="30" t="s">
        <v>328</v>
      </c>
      <c r="C262" s="4" t="str">
        <f t="shared" si="1"/>
        <v>more_vert</v>
      </c>
      <c r="D262" s="22">
        <f t="shared" si="2"/>
        <v>9</v>
      </c>
      <c r="E262" s="4">
        <f>IF(IFERROR(VLOOKUP(LEFT(C262,14),consolidado!D:D,1,0),0)&gt;0,1,0)</f>
        <v>0</v>
      </c>
      <c r="F262" s="4" t="str">
        <f>VLOOKUP(LEFT(C262,14),consolidado!D:D,1,0)</f>
        <v>#N/A</v>
      </c>
    </row>
    <row r="263" ht="15.75" customHeight="1">
      <c r="B263" s="21" t="s">
        <v>105</v>
      </c>
      <c r="C263" s="4" t="str">
        <f t="shared" si="1"/>
        <v>El Pingüino</v>
      </c>
      <c r="D263" s="22">
        <f t="shared" si="2"/>
        <v>11</v>
      </c>
      <c r="E263" s="4">
        <f>IF(IFERROR(VLOOKUP(LEFT(C263,14),consolidado!D:D,1,0),0)&gt;0,1,0)</f>
        <v>0</v>
      </c>
      <c r="F263" s="4" t="str">
        <f>VLOOKUP(LEFT(C263,14),consolidado!D:D,1,0)</f>
        <v>#N/A</v>
      </c>
    </row>
    <row r="264" ht="15.75" customHeight="1">
      <c r="B264" s="23" t="s">
        <v>329</v>
      </c>
      <c r="C264" s="4" t="str">
        <f t="shared" si="1"/>
        <v>Requisitos para ser parlamentario</v>
      </c>
      <c r="D264" s="22">
        <f t="shared" si="2"/>
        <v>33</v>
      </c>
      <c r="E264" s="4">
        <f>IF(IFERROR(VLOOKUP(LEFT(C264,14),consolidado!D:D,1,0),0)&gt;0,1,0)</f>
        <v>1</v>
      </c>
      <c r="F264" s="4" t="str">
        <f>VLOOKUP(LEFT(C264,14),consolidado!D:D,1,0)</f>
        <v>Requisitos par</v>
      </c>
    </row>
    <row r="265" ht="15.75" customHeight="1">
      <c r="B265" s="24" t="s">
        <v>307</v>
      </c>
      <c r="C265" s="4" t="str">
        <f t="shared" si="1"/>
        <v>Hace 16 días</v>
      </c>
      <c r="D265" s="22">
        <f t="shared" si="2"/>
        <v>12</v>
      </c>
      <c r="E265" s="4">
        <f>IF(IFERROR(VLOOKUP(LEFT(C265,14),consolidado!D:D,1,0),0)&gt;0,1,0)</f>
        <v>0</v>
      </c>
      <c r="F265" s="4" t="str">
        <f>VLOOKUP(LEFT(C265,14),consolidado!D:D,1,0)</f>
        <v>#N/A</v>
      </c>
    </row>
    <row r="266" ht="15.75" customHeight="1">
      <c r="B266" s="24" t="s">
        <v>308</v>
      </c>
      <c r="C266" s="4" t="str">
        <f t="shared" si="1"/>
        <v>bookmark_border</v>
      </c>
      <c r="D266" s="22">
        <f t="shared" si="2"/>
        <v>15</v>
      </c>
      <c r="E266" s="4">
        <f>IF(IFERROR(VLOOKUP(LEFT(C266,14),consolidado!D:D,1,0),0)&gt;0,1,0)</f>
        <v>0</v>
      </c>
      <c r="F266" s="4" t="str">
        <f>VLOOKUP(LEFT(C266,14),consolidado!D:D,1,0)</f>
        <v>#N/A</v>
      </c>
    </row>
    <row r="267" ht="15.75" customHeight="1">
      <c r="B267" s="24" t="s">
        <v>309</v>
      </c>
      <c r="C267" s="4" t="str">
        <f t="shared" si="1"/>
        <v>share</v>
      </c>
      <c r="D267" s="22">
        <f t="shared" si="2"/>
        <v>5</v>
      </c>
      <c r="E267" s="4">
        <f>IF(IFERROR(VLOOKUP(LEFT(C267,14),consolidado!D:D,1,0),0)&gt;0,1,0)</f>
        <v>0</v>
      </c>
      <c r="F267" s="4" t="str">
        <f>VLOOKUP(LEFT(C267,14),consolidado!D:D,1,0)</f>
        <v>#N/A</v>
      </c>
    </row>
    <row r="268" ht="15.75" customHeight="1">
      <c r="B268" s="28"/>
      <c r="C268" s="4" t="str">
        <f t="shared" si="1"/>
        <v>more_vert</v>
      </c>
      <c r="D268" s="22">
        <f t="shared" si="2"/>
        <v>9</v>
      </c>
      <c r="E268" s="4">
        <f>IF(IFERROR(VLOOKUP(LEFT(C268,14),consolidado!D:D,1,0),0)&gt;0,1,0)</f>
        <v>0</v>
      </c>
      <c r="F268" s="4" t="str">
        <f>VLOOKUP(LEFT(C268,14),consolidado!D:D,1,0)</f>
        <v>#N/A</v>
      </c>
    </row>
    <row r="269" ht="15.75" customHeight="1">
      <c r="B269" s="30" t="s">
        <v>315</v>
      </c>
      <c r="C269" s="4" t="str">
        <f t="shared" si="1"/>
        <v/>
      </c>
      <c r="D269" s="22">
        <f t="shared" si="2"/>
        <v>0</v>
      </c>
      <c r="E269" s="4">
        <f>IF(IFERROR(VLOOKUP(LEFT(C269,14),consolidado!D:D,1,0),0)&gt;0,1,0)</f>
        <v>1</v>
      </c>
      <c r="F269" s="4" t="str">
        <f>VLOOKUP(LEFT(C269,14),consolidado!D:D,1,0)</f>
        <v/>
      </c>
    </row>
    <row r="270" ht="15.75" customHeight="1">
      <c r="B270" s="21" t="s">
        <v>74</v>
      </c>
      <c r="C270" s="4" t="str">
        <f t="shared" si="1"/>
        <v>BioBioChile</v>
      </c>
      <c r="D270" s="22">
        <f t="shared" si="2"/>
        <v>11</v>
      </c>
      <c r="E270" s="4">
        <f>IF(IFERROR(VLOOKUP(LEFT(C270,14),consolidado!D:D,1,0),0)&gt;0,1,0)</f>
        <v>0</v>
      </c>
      <c r="F270" s="4" t="str">
        <f>VLOOKUP(LEFT(C270,14),consolidado!D:D,1,0)</f>
        <v>#N/A</v>
      </c>
    </row>
    <row r="271" ht="15.75" customHeight="1">
      <c r="B271" s="29">
        <v>44790.0</v>
      </c>
      <c r="C271" s="4" t="str">
        <f t="shared" si="1"/>
        <v>Diputada Riquelme (Ind-FA) piensa no realizarse test de drogas: acusa "vulneración de derechos"</v>
      </c>
      <c r="D271" s="22">
        <f t="shared" si="2"/>
        <v>95</v>
      </c>
      <c r="E271" s="4">
        <f>IF(IFERROR(VLOOKUP(LEFT(C271,14),consolidado!D:D,1,0),0)&gt;0,1,0)</f>
        <v>1</v>
      </c>
      <c r="F271" s="4" t="str">
        <f>VLOOKUP(LEFT(C271,14),consolidado!D:D,1,0)</f>
        <v>Diputada Rique</v>
      </c>
    </row>
    <row r="272" ht="15.75" customHeight="1">
      <c r="B272" s="24" t="s">
        <v>307</v>
      </c>
      <c r="C272" s="4" t="str">
        <f t="shared" si="1"/>
        <v>44790</v>
      </c>
      <c r="D272" s="22">
        <f t="shared" si="2"/>
        <v>5</v>
      </c>
      <c r="E272" s="4">
        <f>IF(IFERROR(VLOOKUP(LEFT(C272,14),consolidado!D:D,1,0),0)&gt;0,1,0)</f>
        <v>0</v>
      </c>
      <c r="F272" s="4" t="str">
        <f>VLOOKUP(LEFT(C272,14),consolidado!D:D,1,0)</f>
        <v>#N/A</v>
      </c>
    </row>
    <row r="273" ht="15.75" customHeight="1">
      <c r="B273" s="24" t="s">
        <v>308</v>
      </c>
      <c r="C273" s="4" t="str">
        <f t="shared" si="1"/>
        <v>bookmark_border</v>
      </c>
      <c r="D273" s="22">
        <f t="shared" si="2"/>
        <v>15</v>
      </c>
      <c r="E273" s="4">
        <f>IF(IFERROR(VLOOKUP(LEFT(C273,14),consolidado!D:D,1,0),0)&gt;0,1,0)</f>
        <v>0</v>
      </c>
      <c r="F273" s="4" t="str">
        <f>VLOOKUP(LEFT(C273,14),consolidado!D:D,1,0)</f>
        <v>#N/A</v>
      </c>
    </row>
    <row r="274" ht="15.75" customHeight="1">
      <c r="B274" s="24" t="s">
        <v>309</v>
      </c>
      <c r="C274" s="4" t="str">
        <f t="shared" si="1"/>
        <v>share</v>
      </c>
      <c r="D274" s="22">
        <f t="shared" si="2"/>
        <v>5</v>
      </c>
      <c r="E274" s="4">
        <f>IF(IFERROR(VLOOKUP(LEFT(C274,14),consolidado!D:D,1,0),0)&gt;0,1,0)</f>
        <v>0</v>
      </c>
      <c r="F274" s="4" t="str">
        <f>VLOOKUP(LEFT(C274,14),consolidado!D:D,1,0)</f>
        <v>#N/A</v>
      </c>
    </row>
    <row r="275" ht="15.75" customHeight="1">
      <c r="B275" s="28"/>
      <c r="C275" s="4" t="str">
        <f t="shared" si="1"/>
        <v>more_vert</v>
      </c>
      <c r="D275" s="22">
        <f t="shared" si="2"/>
        <v>9</v>
      </c>
      <c r="E275" s="4">
        <f>IF(IFERROR(VLOOKUP(LEFT(C275,14),consolidado!D:D,1,0),0)&gt;0,1,0)</f>
        <v>0</v>
      </c>
      <c r="F275" s="4" t="str">
        <f>VLOOKUP(LEFT(C275,14),consolidado!D:D,1,0)</f>
        <v>#N/A</v>
      </c>
    </row>
    <row r="276" ht="15.75" customHeight="1">
      <c r="B276" s="30" t="s">
        <v>316</v>
      </c>
      <c r="C276" s="4" t="str">
        <f t="shared" si="1"/>
        <v/>
      </c>
      <c r="D276" s="22">
        <f t="shared" si="2"/>
        <v>0</v>
      </c>
      <c r="E276" s="4">
        <f>IF(IFERROR(VLOOKUP(LEFT(C276,14),consolidado!D:D,1,0),0)&gt;0,1,0)</f>
        <v>1</v>
      </c>
      <c r="F276" s="4" t="str">
        <f>VLOOKUP(LEFT(C276,14),consolidado!D:D,1,0)</f>
        <v/>
      </c>
    </row>
    <row r="277" ht="15.75" customHeight="1">
      <c r="B277" s="21" t="s">
        <v>68</v>
      </c>
      <c r="C277" s="4" t="str">
        <f t="shared" si="1"/>
        <v>El Mostrador</v>
      </c>
      <c r="D277" s="22">
        <f t="shared" si="2"/>
        <v>12</v>
      </c>
      <c r="E277" s="4">
        <f>IF(IFERROR(VLOOKUP(LEFT(C277,14),consolidado!D:D,1,0),0)&gt;0,1,0)</f>
        <v>0</v>
      </c>
      <c r="F277" s="4" t="str">
        <f>VLOOKUP(LEFT(C277,14),consolidado!D:D,1,0)</f>
        <v>#N/A</v>
      </c>
    </row>
    <row r="278" ht="15.75" customHeight="1">
      <c r="B278" s="29">
        <v>44834.0</v>
      </c>
      <c r="C278" s="4" t="str">
        <f t="shared" si="1"/>
        <v>Informe expone accionar de la ultraderecha en Twitter para magnificar resultados del test de droga a Diputados</v>
      </c>
      <c r="D278" s="22">
        <f t="shared" si="2"/>
        <v>110</v>
      </c>
      <c r="E278" s="4">
        <f>IF(IFERROR(VLOOKUP(LEFT(C278,14),consolidado!D:D,1,0),0)&gt;0,1,0)</f>
        <v>1</v>
      </c>
      <c r="F278" s="4" t="str">
        <f>VLOOKUP(LEFT(C278,14),consolidado!D:D,1,0)</f>
        <v>Informe expone</v>
      </c>
    </row>
    <row r="279" ht="15.75" customHeight="1">
      <c r="B279" s="24" t="s">
        <v>307</v>
      </c>
      <c r="C279" s="4" t="str">
        <f t="shared" si="1"/>
        <v>44834</v>
      </c>
      <c r="D279" s="22">
        <f t="shared" si="2"/>
        <v>5</v>
      </c>
      <c r="E279" s="4">
        <f>IF(IFERROR(VLOOKUP(LEFT(C279,14),consolidado!D:D,1,0),0)&gt;0,1,0)</f>
        <v>0</v>
      </c>
      <c r="F279" s="4" t="str">
        <f>VLOOKUP(LEFT(C279,14),consolidado!D:D,1,0)</f>
        <v>#N/A</v>
      </c>
    </row>
    <row r="280" ht="15.75" customHeight="1">
      <c r="B280" s="24" t="s">
        <v>308</v>
      </c>
      <c r="C280" s="4" t="str">
        <f t="shared" si="1"/>
        <v>bookmark_border</v>
      </c>
      <c r="D280" s="22">
        <f t="shared" si="2"/>
        <v>15</v>
      </c>
      <c r="E280" s="4">
        <f>IF(IFERROR(VLOOKUP(LEFT(C280,14),consolidado!D:D,1,0),0)&gt;0,1,0)</f>
        <v>0</v>
      </c>
      <c r="F280" s="4" t="str">
        <f>VLOOKUP(LEFT(C280,14),consolidado!D:D,1,0)</f>
        <v>#N/A</v>
      </c>
    </row>
    <row r="281" ht="15.75" customHeight="1">
      <c r="B281" s="24" t="s">
        <v>309</v>
      </c>
      <c r="C281" s="4" t="str">
        <f t="shared" si="1"/>
        <v>share</v>
      </c>
      <c r="D281" s="22">
        <f t="shared" si="2"/>
        <v>5</v>
      </c>
      <c r="E281" s="4">
        <f>IF(IFERROR(VLOOKUP(LEFT(C281,14),consolidado!D:D,1,0),0)&gt;0,1,0)</f>
        <v>0</v>
      </c>
      <c r="F281" s="4" t="str">
        <f>VLOOKUP(LEFT(C281,14),consolidado!D:D,1,0)</f>
        <v>#N/A</v>
      </c>
    </row>
    <row r="282" ht="15.75" customHeight="1">
      <c r="B282" s="28"/>
      <c r="C282" s="4" t="str">
        <f t="shared" si="1"/>
        <v>more_vert</v>
      </c>
      <c r="D282" s="22">
        <f t="shared" si="2"/>
        <v>9</v>
      </c>
      <c r="E282" s="4">
        <f>IF(IFERROR(VLOOKUP(LEFT(C282,14),consolidado!D:D,1,0),0)&gt;0,1,0)</f>
        <v>0</v>
      </c>
      <c r="F282" s="4" t="str">
        <f>VLOOKUP(LEFT(C282,14),consolidado!D:D,1,0)</f>
        <v>#N/A</v>
      </c>
    </row>
    <row r="283" ht="15.75" customHeight="1">
      <c r="B283" s="30" t="s">
        <v>315</v>
      </c>
      <c r="C283" s="4" t="str">
        <f t="shared" si="1"/>
        <v/>
      </c>
      <c r="D283" s="22">
        <f t="shared" si="2"/>
        <v>0</v>
      </c>
      <c r="E283" s="4">
        <f>IF(IFERROR(VLOOKUP(LEFT(C283,14),consolidado!D:D,1,0),0)&gt;0,1,0)</f>
        <v>1</v>
      </c>
      <c r="F283" s="4" t="str">
        <f>VLOOKUP(LEFT(C283,14),consolidado!D:D,1,0)</f>
        <v/>
      </c>
    </row>
    <row r="284" ht="15.75" customHeight="1">
      <c r="B284" s="21" t="s">
        <v>110</v>
      </c>
      <c r="C284" s="4" t="str">
        <f t="shared" si="1"/>
        <v>BioBioChile</v>
      </c>
      <c r="D284" s="22">
        <f t="shared" si="2"/>
        <v>11</v>
      </c>
      <c r="E284" s="4">
        <f>IF(IFERROR(VLOOKUP(LEFT(C284,14),consolidado!D:D,1,0),0)&gt;0,1,0)</f>
        <v>0</v>
      </c>
      <c r="F284" s="4" t="str">
        <f>VLOOKUP(LEFT(C284,14),consolidado!D:D,1,0)</f>
        <v>#N/A</v>
      </c>
    </row>
    <row r="285" ht="15.75" customHeight="1">
      <c r="B285" s="29">
        <v>44804.0</v>
      </c>
      <c r="C285" s="4" t="str">
        <f t="shared" si="1"/>
        <v>Diputado Barria pide aplicar "test psiquiátrico" a parlamentarios tras agresión de De la Carrera</v>
      </c>
      <c r="D285" s="22">
        <f t="shared" si="2"/>
        <v>96</v>
      </c>
      <c r="E285" s="4">
        <f>IF(IFERROR(VLOOKUP(LEFT(C285,14),consolidado!D:D,1,0),0)&gt;0,1,0)</f>
        <v>1</v>
      </c>
      <c r="F285" s="4" t="str">
        <f>VLOOKUP(LEFT(C285,14),consolidado!D:D,1,0)</f>
        <v>Diputado Barri</v>
      </c>
    </row>
    <row r="286" ht="15.75" customHeight="1">
      <c r="B286" s="24" t="s">
        <v>307</v>
      </c>
      <c r="C286" s="4" t="str">
        <f t="shared" si="1"/>
        <v>44804</v>
      </c>
      <c r="D286" s="22">
        <f t="shared" si="2"/>
        <v>5</v>
      </c>
      <c r="E286" s="4">
        <f>IF(IFERROR(VLOOKUP(LEFT(C286,14),consolidado!D:D,1,0),0)&gt;0,1,0)</f>
        <v>0</v>
      </c>
      <c r="F286" s="4" t="str">
        <f>VLOOKUP(LEFT(C286,14),consolidado!D:D,1,0)</f>
        <v>#N/A</v>
      </c>
    </row>
    <row r="287" ht="15.75" customHeight="1">
      <c r="B287" s="24" t="s">
        <v>308</v>
      </c>
      <c r="C287" s="4" t="str">
        <f t="shared" si="1"/>
        <v>bookmark_border</v>
      </c>
      <c r="D287" s="22">
        <f t="shared" si="2"/>
        <v>15</v>
      </c>
      <c r="E287" s="4">
        <f>IF(IFERROR(VLOOKUP(LEFT(C287,14),consolidado!D:D,1,0),0)&gt;0,1,0)</f>
        <v>0</v>
      </c>
      <c r="F287" s="4" t="str">
        <f>VLOOKUP(LEFT(C287,14),consolidado!D:D,1,0)</f>
        <v>#N/A</v>
      </c>
    </row>
    <row r="288" ht="15.75" customHeight="1">
      <c r="B288" s="24" t="s">
        <v>309</v>
      </c>
      <c r="C288" s="4" t="str">
        <f t="shared" si="1"/>
        <v>share</v>
      </c>
      <c r="D288" s="22">
        <f t="shared" si="2"/>
        <v>5</v>
      </c>
      <c r="E288" s="4">
        <f>IF(IFERROR(VLOOKUP(LEFT(C288,14),consolidado!D:D,1,0),0)&gt;0,1,0)</f>
        <v>0</v>
      </c>
      <c r="F288" s="4" t="str">
        <f>VLOOKUP(LEFT(C288,14),consolidado!D:D,1,0)</f>
        <v>#N/A</v>
      </c>
    </row>
    <row r="289" ht="15.75" customHeight="1">
      <c r="B289" s="28"/>
      <c r="C289" s="4" t="str">
        <f t="shared" si="1"/>
        <v>more_vert</v>
      </c>
      <c r="D289" s="22">
        <f t="shared" si="2"/>
        <v>9</v>
      </c>
      <c r="E289" s="4">
        <f>IF(IFERROR(VLOOKUP(LEFT(C289,14),consolidado!D:D,1,0),0)&gt;0,1,0)</f>
        <v>0</v>
      </c>
      <c r="F289" s="4" t="str">
        <f>VLOOKUP(LEFT(C289,14),consolidado!D:D,1,0)</f>
        <v>#N/A</v>
      </c>
    </row>
    <row r="290" ht="15.75" customHeight="1">
      <c r="B290" s="32"/>
      <c r="C290" s="4" t="str">
        <f t="shared" si="1"/>
        <v/>
      </c>
      <c r="D290" s="22">
        <f t="shared" si="2"/>
        <v>0</v>
      </c>
      <c r="E290" s="4">
        <f>IF(IFERROR(VLOOKUP(LEFT(C290,14),consolidado!D:D,1,0),0)&gt;0,1,0)</f>
        <v>1</v>
      </c>
      <c r="F290" s="4" t="str">
        <f>VLOOKUP(LEFT(C290,14),consolidado!D:D,1,0)</f>
        <v/>
      </c>
    </row>
    <row r="291" ht="15.75" customHeight="1">
      <c r="B291" s="21" t="s">
        <v>87</v>
      </c>
      <c r="C291" s="4" t="str">
        <f t="shared" si="1"/>
        <v/>
      </c>
      <c r="D291" s="22">
        <f t="shared" si="2"/>
        <v>0</v>
      </c>
      <c r="E291" s="4">
        <f>IF(IFERROR(VLOOKUP(LEFT(C291,14),consolidado!D:D,1,0),0)&gt;0,1,0)</f>
        <v>1</v>
      </c>
      <c r="F291" s="4" t="str">
        <f>VLOOKUP(LEFT(C291,14),consolidado!D:D,1,0)</f>
        <v/>
      </c>
    </row>
    <row r="292" ht="15.75" customHeight="1">
      <c r="B292" s="29">
        <v>44832.0</v>
      </c>
      <c r="C292" s="4" t="str">
        <f t="shared" si="1"/>
        <v>Los diputados chilenos dieron negativo en el test de drogas</v>
      </c>
      <c r="D292" s="22">
        <f t="shared" si="2"/>
        <v>59</v>
      </c>
      <c r="E292" s="4">
        <f>IF(IFERROR(VLOOKUP(LEFT(C292,14),consolidado!D:D,1,0),0)&gt;0,1,0)</f>
        <v>1</v>
      </c>
      <c r="F292" s="4" t="str">
        <f>VLOOKUP(LEFT(C292,14),consolidado!D:D,1,0)</f>
        <v>Los diputados </v>
      </c>
    </row>
    <row r="293" ht="15.75" customHeight="1">
      <c r="B293" s="24" t="s">
        <v>307</v>
      </c>
      <c r="C293" s="4" t="str">
        <f t="shared" si="1"/>
        <v>44832</v>
      </c>
      <c r="D293" s="22">
        <f t="shared" si="2"/>
        <v>5</v>
      </c>
      <c r="E293" s="4">
        <f>IF(IFERROR(VLOOKUP(LEFT(C293,14),consolidado!D:D,1,0),0)&gt;0,1,0)</f>
        <v>0</v>
      </c>
      <c r="F293" s="4" t="str">
        <f>VLOOKUP(LEFT(C293,14),consolidado!D:D,1,0)</f>
        <v>#N/A</v>
      </c>
    </row>
    <row r="294" ht="15.75" customHeight="1">
      <c r="B294" s="24" t="s">
        <v>308</v>
      </c>
      <c r="C294" s="4" t="str">
        <f t="shared" si="1"/>
        <v>bookmark_border</v>
      </c>
      <c r="D294" s="22">
        <f t="shared" si="2"/>
        <v>15</v>
      </c>
      <c r="E294" s="4">
        <f>IF(IFERROR(VLOOKUP(LEFT(C294,14),consolidado!D:D,1,0),0)&gt;0,1,0)</f>
        <v>0</v>
      </c>
      <c r="F294" s="4" t="str">
        <f>VLOOKUP(LEFT(C294,14),consolidado!D:D,1,0)</f>
        <v>#N/A</v>
      </c>
    </row>
    <row r="295" ht="15.75" customHeight="1">
      <c r="B295" s="24" t="s">
        <v>309</v>
      </c>
      <c r="C295" s="4" t="str">
        <f t="shared" si="1"/>
        <v>share</v>
      </c>
      <c r="D295" s="22">
        <f t="shared" si="2"/>
        <v>5</v>
      </c>
      <c r="E295" s="4">
        <f>IF(IFERROR(VLOOKUP(LEFT(C295,14),consolidado!D:D,1,0),0)&gt;0,1,0)</f>
        <v>0</v>
      </c>
      <c r="F295" s="4" t="str">
        <f>VLOOKUP(LEFT(C295,14),consolidado!D:D,1,0)</f>
        <v>#N/A</v>
      </c>
    </row>
    <row r="296" ht="15.75" customHeight="1">
      <c r="B296" s="28"/>
      <c r="C296" s="4" t="str">
        <f t="shared" si="1"/>
        <v>more_vert</v>
      </c>
      <c r="D296" s="22">
        <f t="shared" si="2"/>
        <v>9</v>
      </c>
      <c r="E296" s="4">
        <f>IF(IFERROR(VLOOKUP(LEFT(C296,14),consolidado!D:D,1,0),0)&gt;0,1,0)</f>
        <v>0</v>
      </c>
      <c r="F296" s="4" t="str">
        <f>VLOOKUP(LEFT(C296,14),consolidado!D:D,1,0)</f>
        <v>#N/A</v>
      </c>
    </row>
    <row r="297" ht="15.75" customHeight="1">
      <c r="B297" s="32"/>
      <c r="C297" s="4" t="str">
        <f t="shared" si="1"/>
        <v/>
      </c>
      <c r="D297" s="22">
        <f t="shared" si="2"/>
        <v>0</v>
      </c>
      <c r="E297" s="4">
        <f>IF(IFERROR(VLOOKUP(LEFT(C297,14),consolidado!D:D,1,0),0)&gt;0,1,0)</f>
        <v>1</v>
      </c>
      <c r="F297" s="4" t="str">
        <f>VLOOKUP(LEFT(C297,14),consolidado!D:D,1,0)</f>
        <v/>
      </c>
    </row>
    <row r="298" ht="15.75" customHeight="1">
      <c r="B298" s="21" t="s">
        <v>97</v>
      </c>
      <c r="C298" s="4" t="str">
        <f t="shared" si="1"/>
        <v/>
      </c>
      <c r="D298" s="22">
        <f t="shared" si="2"/>
        <v>0</v>
      </c>
      <c r="E298" s="4">
        <f>IF(IFERROR(VLOOKUP(LEFT(C298,14),consolidado!D:D,1,0),0)&gt;0,1,0)</f>
        <v>1</v>
      </c>
      <c r="F298" s="4" t="str">
        <f>VLOOKUP(LEFT(C298,14),consolidado!D:D,1,0)</f>
        <v/>
      </c>
    </row>
    <row r="299" ht="15.75" customHeight="1">
      <c r="B299" s="29">
        <v>44845.0</v>
      </c>
      <c r="C299" s="4" t="str">
        <f t="shared" si="1"/>
        <v>Proponen realizar test de drogas y alcohol a personas que trabajan con menores de edad</v>
      </c>
      <c r="D299" s="22">
        <f t="shared" si="2"/>
        <v>86</v>
      </c>
      <c r="E299" s="4">
        <f>IF(IFERROR(VLOOKUP(LEFT(C299,14),consolidado!D:D,1,0),0)&gt;0,1,0)</f>
        <v>1</v>
      </c>
      <c r="F299" s="4" t="str">
        <f>VLOOKUP(LEFT(C299,14),consolidado!D:D,1,0)</f>
        <v>Proponen reali</v>
      </c>
    </row>
    <row r="300" ht="15.75" customHeight="1">
      <c r="B300" s="24" t="s">
        <v>307</v>
      </c>
      <c r="C300" s="4" t="str">
        <f t="shared" si="1"/>
        <v>44845</v>
      </c>
      <c r="D300" s="22">
        <f t="shared" si="2"/>
        <v>5</v>
      </c>
      <c r="E300" s="4">
        <f>IF(IFERROR(VLOOKUP(LEFT(C300,14),consolidado!D:D,1,0),0)&gt;0,1,0)</f>
        <v>0</v>
      </c>
      <c r="F300" s="4" t="str">
        <f>VLOOKUP(LEFT(C300,14),consolidado!D:D,1,0)</f>
        <v>#N/A</v>
      </c>
    </row>
    <row r="301" ht="15.75" customHeight="1">
      <c r="B301" s="24" t="s">
        <v>308</v>
      </c>
      <c r="C301" s="4" t="str">
        <f t="shared" si="1"/>
        <v>bookmark_border</v>
      </c>
      <c r="D301" s="22">
        <f t="shared" si="2"/>
        <v>15</v>
      </c>
      <c r="E301" s="4">
        <f>IF(IFERROR(VLOOKUP(LEFT(C301,14),consolidado!D:D,1,0),0)&gt;0,1,0)</f>
        <v>0</v>
      </c>
      <c r="F301" s="4" t="str">
        <f>VLOOKUP(LEFT(C301,14),consolidado!D:D,1,0)</f>
        <v>#N/A</v>
      </c>
    </row>
    <row r="302" ht="15.75" customHeight="1">
      <c r="B302" s="24" t="s">
        <v>309</v>
      </c>
      <c r="C302" s="4" t="str">
        <f t="shared" si="1"/>
        <v>share</v>
      </c>
      <c r="D302" s="22">
        <f t="shared" si="2"/>
        <v>5</v>
      </c>
      <c r="E302" s="4">
        <f>IF(IFERROR(VLOOKUP(LEFT(C302,14),consolidado!D:D,1,0),0)&gt;0,1,0)</f>
        <v>0</v>
      </c>
      <c r="F302" s="4" t="str">
        <f>VLOOKUP(LEFT(C302,14),consolidado!D:D,1,0)</f>
        <v>#N/A</v>
      </c>
    </row>
    <row r="303" ht="15.75" customHeight="1">
      <c r="B303" s="28"/>
      <c r="C303" s="4" t="str">
        <f t="shared" si="1"/>
        <v>more_vert</v>
      </c>
      <c r="D303" s="22">
        <f t="shared" si="2"/>
        <v>9</v>
      </c>
      <c r="E303" s="4">
        <f>IF(IFERROR(VLOOKUP(LEFT(C303,14),consolidado!D:D,1,0),0)&gt;0,1,0)</f>
        <v>0</v>
      </c>
      <c r="F303" s="4" t="str">
        <f>VLOOKUP(LEFT(C303,14),consolidado!D:D,1,0)</f>
        <v>#N/A</v>
      </c>
    </row>
    <row r="304" ht="15.75" customHeight="1">
      <c r="B304" s="30" t="s">
        <v>325</v>
      </c>
      <c r="C304" s="4" t="str">
        <f t="shared" si="1"/>
        <v/>
      </c>
      <c r="D304" s="22">
        <f t="shared" si="2"/>
        <v>0</v>
      </c>
      <c r="E304" s="4">
        <f>IF(IFERROR(VLOOKUP(LEFT(C304,14),consolidado!D:D,1,0),0)&gt;0,1,0)</f>
        <v>1</v>
      </c>
      <c r="F304" s="4" t="str">
        <f>VLOOKUP(LEFT(C304,14),consolidado!D:D,1,0)</f>
        <v/>
      </c>
    </row>
    <row r="305" ht="15.75" customHeight="1">
      <c r="B305" s="21" t="s">
        <v>78</v>
      </c>
      <c r="C305" s="4" t="str">
        <f t="shared" si="1"/>
        <v>El Desconcierto</v>
      </c>
      <c r="D305" s="22">
        <f t="shared" si="2"/>
        <v>15</v>
      </c>
      <c r="E305" s="4">
        <f>IF(IFERROR(VLOOKUP(LEFT(C305,14),consolidado!D:D,1,0),0)&gt;0,1,0)</f>
        <v>0</v>
      </c>
      <c r="F305" s="4" t="str">
        <f>VLOOKUP(LEFT(C305,14),consolidado!D:D,1,0)</f>
        <v>#N/A</v>
      </c>
    </row>
    <row r="306" ht="15.75" customHeight="1">
      <c r="B306" s="29">
        <v>44843.0</v>
      </c>
      <c r="C306" s="4" t="str">
        <f t="shared" si="1"/>
        <v>Test de drogas a diputados y cambios al uso recreacional de la marihuana prenden el debate</v>
      </c>
      <c r="D306" s="22">
        <f t="shared" si="2"/>
        <v>90</v>
      </c>
      <c r="E306" s="4">
        <f>IF(IFERROR(VLOOKUP(LEFT(C306,14),consolidado!D:D,1,0),0)&gt;0,1,0)</f>
        <v>1</v>
      </c>
      <c r="F306" s="4" t="str">
        <f>VLOOKUP(LEFT(C306,14),consolidado!D:D,1,0)</f>
        <v>Test de drogas</v>
      </c>
    </row>
    <row r="307" ht="15.75" customHeight="1">
      <c r="B307" s="24" t="s">
        <v>307</v>
      </c>
      <c r="C307" s="4" t="str">
        <f t="shared" si="1"/>
        <v>44843</v>
      </c>
      <c r="D307" s="22">
        <f t="shared" si="2"/>
        <v>5</v>
      </c>
      <c r="E307" s="4">
        <f>IF(IFERROR(VLOOKUP(LEFT(C307,14),consolidado!D:D,1,0),0)&gt;0,1,0)</f>
        <v>0</v>
      </c>
      <c r="F307" s="4" t="str">
        <f>VLOOKUP(LEFT(C307,14),consolidado!D:D,1,0)</f>
        <v>#N/A</v>
      </c>
    </row>
    <row r="308" ht="15.75" customHeight="1">
      <c r="B308" s="24" t="s">
        <v>308</v>
      </c>
      <c r="C308" s="4" t="str">
        <f t="shared" si="1"/>
        <v>bookmark_border</v>
      </c>
      <c r="D308" s="22">
        <f t="shared" si="2"/>
        <v>15</v>
      </c>
      <c r="E308" s="4">
        <f>IF(IFERROR(VLOOKUP(LEFT(C308,14),consolidado!D:D,1,0),0)&gt;0,1,0)</f>
        <v>0</v>
      </c>
      <c r="F308" s="4" t="str">
        <f>VLOOKUP(LEFT(C308,14),consolidado!D:D,1,0)</f>
        <v>#N/A</v>
      </c>
    </row>
    <row r="309" ht="15.75" customHeight="1">
      <c r="B309" s="24" t="s">
        <v>309</v>
      </c>
      <c r="C309" s="4" t="str">
        <f t="shared" si="1"/>
        <v>share</v>
      </c>
      <c r="D309" s="22">
        <f t="shared" si="2"/>
        <v>5</v>
      </c>
      <c r="E309" s="4">
        <f>IF(IFERROR(VLOOKUP(LEFT(C309,14),consolidado!D:D,1,0),0)&gt;0,1,0)</f>
        <v>0</v>
      </c>
      <c r="F309" s="4" t="str">
        <f>VLOOKUP(LEFT(C309,14),consolidado!D:D,1,0)</f>
        <v>#N/A</v>
      </c>
    </row>
    <row r="310" ht="15.75" customHeight="1">
      <c r="B310" s="28"/>
      <c r="C310" s="4" t="str">
        <f t="shared" si="1"/>
        <v>more_vert</v>
      </c>
      <c r="D310" s="22">
        <f t="shared" si="2"/>
        <v>9</v>
      </c>
      <c r="E310" s="4">
        <f>IF(IFERROR(VLOOKUP(LEFT(C310,14),consolidado!D:D,1,0),0)&gt;0,1,0)</f>
        <v>0</v>
      </c>
      <c r="F310" s="4" t="str">
        <f>VLOOKUP(LEFT(C310,14),consolidado!D:D,1,0)</f>
        <v>#N/A</v>
      </c>
    </row>
    <row r="311" ht="15.75" customHeight="1">
      <c r="B311" s="30" t="s">
        <v>326</v>
      </c>
      <c r="C311" s="4" t="str">
        <f t="shared" si="1"/>
        <v/>
      </c>
      <c r="D311" s="22">
        <f t="shared" si="2"/>
        <v>0</v>
      </c>
      <c r="E311" s="4">
        <f>IF(IFERROR(VLOOKUP(LEFT(C311,14),consolidado!D:D,1,0),0)&gt;0,1,0)</f>
        <v>1</v>
      </c>
      <c r="F311" s="4" t="str">
        <f>VLOOKUP(LEFT(C311,14),consolidado!D:D,1,0)</f>
        <v/>
      </c>
    </row>
    <row r="312" ht="15.75" customHeight="1">
      <c r="B312" s="21" t="s">
        <v>108</v>
      </c>
      <c r="C312" s="31" t="str">
        <f t="shared" si="1"/>
        <v>24Horas.cl</v>
      </c>
      <c r="D312" s="22">
        <f t="shared" si="2"/>
        <v>10</v>
      </c>
      <c r="E312" s="4">
        <f>IF(IFERROR(VLOOKUP(LEFT(C312,14),consolidado!D:D,1,0),0)&gt;0,1,0)</f>
        <v>0</v>
      </c>
      <c r="F312" s="4" t="str">
        <f>VLOOKUP(LEFT(C312,14),consolidado!D:D,1,0)</f>
        <v>#N/A</v>
      </c>
    </row>
    <row r="313" ht="15.75" customHeight="1">
      <c r="B313" s="29">
        <v>44741.0</v>
      </c>
      <c r="C313" s="4" t="str">
        <f t="shared" si="1"/>
        <v>Ana María Gazmuri por proyecto de test de drogas en Cámara; "Va en la dirección equivocada"</v>
      </c>
      <c r="D313" s="22">
        <f t="shared" si="2"/>
        <v>91</v>
      </c>
      <c r="E313" s="4">
        <f>IF(IFERROR(VLOOKUP(LEFT(C313,14),consolidado!D:D,1,0),0)&gt;0,1,0)</f>
        <v>1</v>
      </c>
      <c r="F313" s="4" t="str">
        <f>VLOOKUP(LEFT(C313,14),consolidado!D:D,1,0)</f>
        <v>Ana María Gazm</v>
      </c>
    </row>
    <row r="314" ht="15.75" customHeight="1">
      <c r="B314" s="24" t="s">
        <v>307</v>
      </c>
      <c r="C314" s="4" t="str">
        <f t="shared" si="1"/>
        <v>44741</v>
      </c>
      <c r="D314" s="22">
        <f t="shared" si="2"/>
        <v>5</v>
      </c>
      <c r="E314" s="4">
        <f>IF(IFERROR(VLOOKUP(LEFT(C314,14),consolidado!D:D,1,0),0)&gt;0,1,0)</f>
        <v>0</v>
      </c>
      <c r="F314" s="4" t="str">
        <f>VLOOKUP(LEFT(C314,14),consolidado!D:D,1,0)</f>
        <v>#N/A</v>
      </c>
    </row>
    <row r="315" ht="15.75" customHeight="1">
      <c r="B315" s="24" t="s">
        <v>308</v>
      </c>
      <c r="C315" s="4" t="str">
        <f t="shared" si="1"/>
        <v>bookmark_border</v>
      </c>
      <c r="D315" s="22">
        <f t="shared" si="2"/>
        <v>15</v>
      </c>
      <c r="E315" s="4">
        <f>IF(IFERROR(VLOOKUP(LEFT(C315,14),consolidado!D:D,1,0),0)&gt;0,1,0)</f>
        <v>0</v>
      </c>
      <c r="F315" s="4" t="str">
        <f>VLOOKUP(LEFT(C315,14),consolidado!D:D,1,0)</f>
        <v>#N/A</v>
      </c>
    </row>
    <row r="316" ht="15.75" customHeight="1">
      <c r="B316" s="24" t="s">
        <v>309</v>
      </c>
      <c r="C316" s="4" t="str">
        <f t="shared" si="1"/>
        <v>share</v>
      </c>
      <c r="D316" s="22">
        <f t="shared" si="2"/>
        <v>5</v>
      </c>
      <c r="E316" s="4">
        <f>IF(IFERROR(VLOOKUP(LEFT(C316,14),consolidado!D:D,1,0),0)&gt;0,1,0)</f>
        <v>0</v>
      </c>
      <c r="F316" s="4" t="str">
        <f>VLOOKUP(LEFT(C316,14),consolidado!D:D,1,0)</f>
        <v>#N/A</v>
      </c>
    </row>
    <row r="317" ht="15.75" customHeight="1">
      <c r="B317" s="28"/>
      <c r="C317" s="4" t="str">
        <f t="shared" si="1"/>
        <v>more_vert</v>
      </c>
      <c r="D317" s="22">
        <f t="shared" si="2"/>
        <v>9</v>
      </c>
      <c r="E317" s="4">
        <f>IF(IFERROR(VLOOKUP(LEFT(C317,14),consolidado!D:D,1,0),0)&gt;0,1,0)</f>
        <v>0</v>
      </c>
      <c r="F317" s="4" t="str">
        <f>VLOOKUP(LEFT(C317,14),consolidado!D:D,1,0)</f>
        <v>#N/A</v>
      </c>
    </row>
    <row r="318" ht="15.75" customHeight="1">
      <c r="B318" s="30" t="s">
        <v>325</v>
      </c>
      <c r="C318" s="4" t="str">
        <f t="shared" si="1"/>
        <v/>
      </c>
      <c r="D318" s="22">
        <f t="shared" si="2"/>
        <v>0</v>
      </c>
      <c r="E318" s="4">
        <f>IF(IFERROR(VLOOKUP(LEFT(C318,14),consolidado!D:D,1,0),0)&gt;0,1,0)</f>
        <v>1</v>
      </c>
      <c r="F318" s="4" t="str">
        <f>VLOOKUP(LEFT(C318,14),consolidado!D:D,1,0)</f>
        <v/>
      </c>
    </row>
    <row r="319" ht="15.75" customHeight="1">
      <c r="B319" s="21" t="s">
        <v>80</v>
      </c>
      <c r="C319" s="4" t="str">
        <f t="shared" si="1"/>
        <v>El Desconcierto</v>
      </c>
      <c r="D319" s="22">
        <f t="shared" si="2"/>
        <v>15</v>
      </c>
      <c r="E319" s="4">
        <f>IF(IFERROR(VLOOKUP(LEFT(C319,14),consolidado!D:D,1,0),0)&gt;0,1,0)</f>
        <v>0</v>
      </c>
      <c r="F319" s="4" t="str">
        <f>VLOOKUP(LEFT(C319,14),consolidado!D:D,1,0)</f>
        <v>#N/A</v>
      </c>
    </row>
    <row r="320" ht="15.75" customHeight="1">
      <c r="B320" s="29">
        <v>44831.0</v>
      </c>
      <c r="C320" s="4" t="str">
        <f t="shared" si="1"/>
        <v>Test de drogas en el Congreso: Corte de Apelaciones da golpe a diputadas oficialistas</v>
      </c>
      <c r="D320" s="22">
        <f t="shared" si="2"/>
        <v>85</v>
      </c>
      <c r="E320" s="4">
        <f>IF(IFERROR(VLOOKUP(LEFT(C320,14),consolidado!D:D,1,0),0)&gt;0,1,0)</f>
        <v>1</v>
      </c>
      <c r="F320" s="4" t="str">
        <f>VLOOKUP(LEFT(C320,14),consolidado!D:D,1,0)</f>
        <v>Test de drogas</v>
      </c>
    </row>
    <row r="321" ht="15.75" customHeight="1">
      <c r="B321" s="24" t="s">
        <v>307</v>
      </c>
      <c r="C321" s="4" t="str">
        <f t="shared" si="1"/>
        <v>44831</v>
      </c>
      <c r="D321" s="22">
        <f t="shared" si="2"/>
        <v>5</v>
      </c>
      <c r="E321" s="4">
        <f>IF(IFERROR(VLOOKUP(LEFT(C321,14),consolidado!D:D,1,0),0)&gt;0,1,0)</f>
        <v>0</v>
      </c>
      <c r="F321" s="4" t="str">
        <f>VLOOKUP(LEFT(C321,14),consolidado!D:D,1,0)</f>
        <v>#N/A</v>
      </c>
    </row>
    <row r="322" ht="15.75" customHeight="1">
      <c r="B322" s="24" t="s">
        <v>308</v>
      </c>
      <c r="C322" s="4" t="str">
        <f t="shared" si="1"/>
        <v>bookmark_border</v>
      </c>
      <c r="D322" s="22">
        <f t="shared" si="2"/>
        <v>15</v>
      </c>
      <c r="E322" s="4">
        <f>IF(IFERROR(VLOOKUP(LEFT(C322,14),consolidado!D:D,1,0),0)&gt;0,1,0)</f>
        <v>0</v>
      </c>
      <c r="F322" s="4" t="str">
        <f>VLOOKUP(LEFT(C322,14),consolidado!D:D,1,0)</f>
        <v>#N/A</v>
      </c>
    </row>
    <row r="323" ht="15.75" customHeight="1">
      <c r="B323" s="24" t="s">
        <v>309</v>
      </c>
      <c r="C323" s="4" t="str">
        <f t="shared" si="1"/>
        <v>share</v>
      </c>
      <c r="D323" s="22">
        <f t="shared" si="2"/>
        <v>5</v>
      </c>
      <c r="E323" s="4">
        <f>IF(IFERROR(VLOOKUP(LEFT(C323,14),consolidado!D:D,1,0),0)&gt;0,1,0)</f>
        <v>0</v>
      </c>
      <c r="F323" s="4" t="str">
        <f>VLOOKUP(LEFT(C323,14),consolidado!D:D,1,0)</f>
        <v>#N/A</v>
      </c>
    </row>
    <row r="324" ht="15.75" customHeight="1">
      <c r="B324" s="28"/>
      <c r="C324" s="4" t="str">
        <f t="shared" si="1"/>
        <v>more_vert</v>
      </c>
      <c r="D324" s="22">
        <f t="shared" si="2"/>
        <v>9</v>
      </c>
      <c r="E324" s="4">
        <f>IF(IFERROR(VLOOKUP(LEFT(C324,14),consolidado!D:D,1,0),0)&gt;0,1,0)</f>
        <v>0</v>
      </c>
      <c r="F324" s="4" t="str">
        <f>VLOOKUP(LEFT(C324,14),consolidado!D:D,1,0)</f>
        <v>#N/A</v>
      </c>
    </row>
    <row r="325" ht="15.75" customHeight="1">
      <c r="B325" s="32"/>
      <c r="C325" s="4" t="str">
        <f t="shared" si="1"/>
        <v/>
      </c>
      <c r="D325" s="22">
        <f t="shared" si="2"/>
        <v>0</v>
      </c>
      <c r="E325" s="4">
        <f>IF(IFERROR(VLOOKUP(LEFT(C325,14),consolidado!D:D,1,0),0)&gt;0,1,0)</f>
        <v>1</v>
      </c>
      <c r="F325" s="4" t="str">
        <f>VLOOKUP(LEFT(C325,14),consolidado!D:D,1,0)</f>
        <v/>
      </c>
    </row>
    <row r="326" ht="15.75" customHeight="1">
      <c r="B326" s="21" t="s">
        <v>127</v>
      </c>
      <c r="C326" s="4" t="str">
        <f t="shared" si="1"/>
        <v/>
      </c>
      <c r="D326" s="22">
        <f t="shared" si="2"/>
        <v>0</v>
      </c>
      <c r="E326" s="4">
        <f>IF(IFERROR(VLOOKUP(LEFT(C326,14),consolidado!D:D,1,0),0)&gt;0,1,0)</f>
        <v>1</v>
      </c>
      <c r="F326" s="4" t="str">
        <f>VLOOKUP(LEFT(C326,14),consolidado!D:D,1,0)</f>
        <v/>
      </c>
    </row>
    <row r="327" ht="15.75" customHeight="1">
      <c r="B327" s="29">
        <v>44841.0</v>
      </c>
      <c r="C327" s="4" t="str">
        <f t="shared" si="1"/>
        <v>Doctora Cordero cuestionó test de drogas a parlamentarios: “Está todo arreglado”</v>
      </c>
      <c r="D327" s="22">
        <f t="shared" si="2"/>
        <v>82</v>
      </c>
      <c r="E327" s="4">
        <f>IF(IFERROR(VLOOKUP(LEFT(C327,14),consolidado!D:D,1,0),0)&gt;0,1,0)</f>
        <v>1</v>
      </c>
      <c r="F327" s="4" t="str">
        <f>VLOOKUP(LEFT(C327,14),consolidado!D:D,1,0)</f>
        <v>Doctora Corder</v>
      </c>
    </row>
    <row r="328" ht="15.75" customHeight="1">
      <c r="B328" s="24" t="s">
        <v>307</v>
      </c>
      <c r="C328" s="4" t="str">
        <f t="shared" si="1"/>
        <v>44841</v>
      </c>
      <c r="D328" s="22">
        <f t="shared" si="2"/>
        <v>5</v>
      </c>
      <c r="E328" s="4">
        <f>IF(IFERROR(VLOOKUP(LEFT(C328,14),consolidado!D:D,1,0),0)&gt;0,1,0)</f>
        <v>0</v>
      </c>
      <c r="F328" s="4" t="str">
        <f>VLOOKUP(LEFT(C328,14),consolidado!D:D,1,0)</f>
        <v>#N/A</v>
      </c>
    </row>
    <row r="329" ht="15.75" customHeight="1">
      <c r="B329" s="24" t="s">
        <v>308</v>
      </c>
      <c r="C329" s="4" t="str">
        <f t="shared" si="1"/>
        <v>bookmark_border</v>
      </c>
      <c r="D329" s="22">
        <f t="shared" si="2"/>
        <v>15</v>
      </c>
      <c r="E329" s="4">
        <f>IF(IFERROR(VLOOKUP(LEFT(C329,14),consolidado!D:D,1,0),0)&gt;0,1,0)</f>
        <v>0</v>
      </c>
      <c r="F329" s="4" t="str">
        <f>VLOOKUP(LEFT(C329,14),consolidado!D:D,1,0)</f>
        <v>#N/A</v>
      </c>
    </row>
    <row r="330" ht="15.75" customHeight="1">
      <c r="B330" s="24" t="s">
        <v>309</v>
      </c>
      <c r="C330" s="4" t="str">
        <f t="shared" si="1"/>
        <v>share</v>
      </c>
      <c r="D330" s="22">
        <f t="shared" si="2"/>
        <v>5</v>
      </c>
      <c r="E330" s="4">
        <f>IF(IFERROR(VLOOKUP(LEFT(C330,14),consolidado!D:D,1,0),0)&gt;0,1,0)</f>
        <v>0</v>
      </c>
      <c r="F330" s="4" t="str">
        <f>VLOOKUP(LEFT(C330,14),consolidado!D:D,1,0)</f>
        <v>#N/A</v>
      </c>
    </row>
    <row r="331" ht="15.75" customHeight="1">
      <c r="B331" s="28"/>
      <c r="C331" s="4" t="str">
        <f t="shared" si="1"/>
        <v>more_vert</v>
      </c>
      <c r="D331" s="22">
        <f t="shared" si="2"/>
        <v>9</v>
      </c>
      <c r="E331" s="4">
        <f>IF(IFERROR(VLOOKUP(LEFT(C331,14),consolidado!D:D,1,0),0)&gt;0,1,0)</f>
        <v>0</v>
      </c>
      <c r="F331" s="4" t="str">
        <f>VLOOKUP(LEFT(C331,14),consolidado!D:D,1,0)</f>
        <v>#N/A</v>
      </c>
    </row>
    <row r="332" ht="15.75" customHeight="1">
      <c r="B332" s="32"/>
      <c r="C332" s="4" t="str">
        <f t="shared" si="1"/>
        <v/>
      </c>
      <c r="D332" s="22">
        <f t="shared" si="2"/>
        <v>0</v>
      </c>
      <c r="E332" s="4">
        <f>IF(IFERROR(VLOOKUP(LEFT(C332,14),consolidado!D:D,1,0),0)&gt;0,1,0)</f>
        <v>1</v>
      </c>
      <c r="F332" s="4" t="str">
        <f>VLOOKUP(LEFT(C332,14),consolidado!D:D,1,0)</f>
        <v/>
      </c>
    </row>
    <row r="333" ht="15.75" customHeight="1">
      <c r="B333" s="21" t="s">
        <v>123</v>
      </c>
      <c r="C333" s="4" t="str">
        <f t="shared" si="1"/>
        <v/>
      </c>
      <c r="D333" s="22">
        <f t="shared" si="2"/>
        <v>0</v>
      </c>
      <c r="E333" s="4">
        <f>IF(IFERROR(VLOOKUP(LEFT(C333,14),consolidado!D:D,1,0),0)&gt;0,1,0)</f>
        <v>1</v>
      </c>
      <c r="F333" s="4" t="str">
        <f>VLOOKUP(LEFT(C333,14),consolidado!D:D,1,0)</f>
        <v/>
      </c>
    </row>
    <row r="334" ht="15.75" customHeight="1">
      <c r="B334" s="29">
        <v>44732.0</v>
      </c>
      <c r="C334" s="4" t="str">
        <f t="shared" si="1"/>
        <v>Diputado Felipe Donoso exige al Gobierno que se aplique test de drogas a funcionarios del poder Legislativo y Ejecutivo</v>
      </c>
      <c r="D334" s="22">
        <f t="shared" si="2"/>
        <v>119</v>
      </c>
      <c r="E334" s="4">
        <f>IF(IFERROR(VLOOKUP(LEFT(C334,14),consolidado!D:D,1,0),0)&gt;0,1,0)</f>
        <v>1</v>
      </c>
      <c r="F334" s="4" t="str">
        <f>VLOOKUP(LEFT(C334,14),consolidado!D:D,1,0)</f>
        <v>Diputado Felip</v>
      </c>
    </row>
    <row r="335" ht="15.75" customHeight="1">
      <c r="B335" s="24" t="s">
        <v>307</v>
      </c>
      <c r="C335" s="4" t="str">
        <f t="shared" si="1"/>
        <v>44732</v>
      </c>
      <c r="D335" s="22">
        <f t="shared" si="2"/>
        <v>5</v>
      </c>
      <c r="E335" s="4">
        <f>IF(IFERROR(VLOOKUP(LEFT(C335,14),consolidado!D:D,1,0),0)&gt;0,1,0)</f>
        <v>0</v>
      </c>
      <c r="F335" s="4" t="str">
        <f>VLOOKUP(LEFT(C335,14),consolidado!D:D,1,0)</f>
        <v>#N/A</v>
      </c>
    </row>
    <row r="336" ht="15.75" customHeight="1">
      <c r="B336" s="24" t="s">
        <v>308</v>
      </c>
      <c r="C336" s="4" t="str">
        <f t="shared" si="1"/>
        <v>bookmark_border</v>
      </c>
      <c r="D336" s="22">
        <f t="shared" si="2"/>
        <v>15</v>
      </c>
      <c r="E336" s="4">
        <f>IF(IFERROR(VLOOKUP(LEFT(C336,14),consolidado!D:D,1,0),0)&gt;0,1,0)</f>
        <v>0</v>
      </c>
      <c r="F336" s="4" t="str">
        <f>VLOOKUP(LEFT(C336,14),consolidado!D:D,1,0)</f>
        <v>#N/A</v>
      </c>
    </row>
    <row r="337" ht="15.75" customHeight="1">
      <c r="B337" s="24" t="s">
        <v>309</v>
      </c>
      <c r="C337" s="4" t="str">
        <f t="shared" si="1"/>
        <v>share</v>
      </c>
      <c r="D337" s="22">
        <f t="shared" si="2"/>
        <v>5</v>
      </c>
      <c r="E337" s="4">
        <f>IF(IFERROR(VLOOKUP(LEFT(C337,14),consolidado!D:D,1,0),0)&gt;0,1,0)</f>
        <v>0</v>
      </c>
      <c r="F337" s="4" t="str">
        <f>VLOOKUP(LEFT(C337,14),consolidado!D:D,1,0)</f>
        <v>#N/A</v>
      </c>
    </row>
    <row r="338" ht="15.75" customHeight="1">
      <c r="B338" s="28"/>
      <c r="C338" s="4" t="str">
        <f t="shared" si="1"/>
        <v>more_vert</v>
      </c>
      <c r="D338" s="22">
        <f t="shared" si="2"/>
        <v>9</v>
      </c>
      <c r="E338" s="4">
        <f>IF(IFERROR(VLOOKUP(LEFT(C338,14),consolidado!D:D,1,0),0)&gt;0,1,0)</f>
        <v>0</v>
      </c>
      <c r="F338" s="4" t="str">
        <f>VLOOKUP(LEFT(C338,14),consolidado!D:D,1,0)</f>
        <v>#N/A</v>
      </c>
    </row>
    <row r="339" ht="15.75" customHeight="1">
      <c r="B339" s="30" t="s">
        <v>330</v>
      </c>
      <c r="C339" s="4" t="str">
        <f t="shared" si="1"/>
        <v/>
      </c>
      <c r="D339" s="22">
        <f t="shared" si="2"/>
        <v>0</v>
      </c>
      <c r="E339" s="4">
        <f>IF(IFERROR(VLOOKUP(LEFT(C339,14),consolidado!D:D,1,0),0)&gt;0,1,0)</f>
        <v>1</v>
      </c>
      <c r="F339" s="4" t="str">
        <f>VLOOKUP(LEFT(C339,14),consolidado!D:D,1,0)</f>
        <v/>
      </c>
    </row>
    <row r="340" ht="15.75" customHeight="1">
      <c r="B340" s="21" t="s">
        <v>121</v>
      </c>
      <c r="C340" s="4" t="str">
        <f t="shared" si="1"/>
        <v>AdPrensa</v>
      </c>
      <c r="D340" s="22">
        <f t="shared" si="2"/>
        <v>8</v>
      </c>
      <c r="E340" s="4">
        <f>IF(IFERROR(VLOOKUP(LEFT(C340,14),consolidado!D:D,1,0),0)&gt;0,1,0)</f>
        <v>0</v>
      </c>
      <c r="F340" s="4" t="str">
        <f>VLOOKUP(LEFT(C340,14),consolidado!D:D,1,0)</f>
        <v>#N/A</v>
      </c>
    </row>
    <row r="341" ht="15.75" customHeight="1">
      <c r="B341" s="29">
        <v>44793.0</v>
      </c>
      <c r="C341" s="4" t="str">
        <f t="shared" si="1"/>
        <v>Diputada Paula Labra (RN-IND) se ofrece voluntaria a hacer el test de droga ante negativa de algunos parlamentarios de cumplir con requerimiento</v>
      </c>
      <c r="D341" s="22">
        <f t="shared" si="2"/>
        <v>144</v>
      </c>
      <c r="E341" s="4">
        <f>IF(IFERROR(VLOOKUP(LEFT(C341,14),consolidado!D:D,1,0),0)&gt;0,1,0)</f>
        <v>1</v>
      </c>
      <c r="F341" s="4" t="str">
        <f>VLOOKUP(LEFT(C341,14),consolidado!D:D,1,0)</f>
        <v>Diputada Paula</v>
      </c>
    </row>
    <row r="342" ht="15.75" customHeight="1">
      <c r="B342" s="24" t="s">
        <v>307</v>
      </c>
      <c r="C342" s="4" t="str">
        <f t="shared" si="1"/>
        <v>44793</v>
      </c>
      <c r="D342" s="22">
        <f t="shared" si="2"/>
        <v>5</v>
      </c>
      <c r="E342" s="4">
        <f>IF(IFERROR(VLOOKUP(LEFT(C342,14),consolidado!D:D,1,0),0)&gt;0,1,0)</f>
        <v>0</v>
      </c>
      <c r="F342" s="4" t="str">
        <f>VLOOKUP(LEFT(C342,14),consolidado!D:D,1,0)</f>
        <v>#N/A</v>
      </c>
    </row>
    <row r="343" ht="15.75" customHeight="1">
      <c r="B343" s="24" t="s">
        <v>308</v>
      </c>
      <c r="C343" s="4" t="str">
        <f t="shared" si="1"/>
        <v>bookmark_border</v>
      </c>
      <c r="D343" s="22">
        <f t="shared" si="2"/>
        <v>15</v>
      </c>
      <c r="E343" s="4">
        <f>IF(IFERROR(VLOOKUP(LEFT(C343,14),consolidado!D:D,1,0),0)&gt;0,1,0)</f>
        <v>0</v>
      </c>
      <c r="F343" s="4" t="str">
        <f>VLOOKUP(LEFT(C343,14),consolidado!D:D,1,0)</f>
        <v>#N/A</v>
      </c>
    </row>
    <row r="344" ht="15.75" customHeight="1">
      <c r="B344" s="24" t="s">
        <v>309</v>
      </c>
      <c r="C344" s="4" t="str">
        <f t="shared" si="1"/>
        <v>share</v>
      </c>
      <c r="D344" s="22">
        <f t="shared" si="2"/>
        <v>5</v>
      </c>
      <c r="E344" s="4">
        <f>IF(IFERROR(VLOOKUP(LEFT(C344,14),consolidado!D:D,1,0),0)&gt;0,1,0)</f>
        <v>0</v>
      </c>
      <c r="F344" s="4" t="str">
        <f>VLOOKUP(LEFT(C344,14),consolidado!D:D,1,0)</f>
        <v>#N/A</v>
      </c>
    </row>
    <row r="345" ht="15.75" customHeight="1">
      <c r="B345" s="28"/>
      <c r="C345" s="4" t="str">
        <f t="shared" si="1"/>
        <v>more_vert</v>
      </c>
      <c r="D345" s="22">
        <f t="shared" si="2"/>
        <v>9</v>
      </c>
      <c r="E345" s="4">
        <f>IF(IFERROR(VLOOKUP(LEFT(C345,14),consolidado!D:D,1,0),0)&gt;0,1,0)</f>
        <v>0</v>
      </c>
      <c r="F345" s="4" t="str">
        <f>VLOOKUP(LEFT(C345,14),consolidado!D:D,1,0)</f>
        <v>#N/A</v>
      </c>
    </row>
    <row r="346" ht="15.75" customHeight="1">
      <c r="B346" s="32"/>
      <c r="C346" s="4" t="str">
        <f t="shared" si="1"/>
        <v/>
      </c>
      <c r="D346" s="22">
        <f t="shared" si="2"/>
        <v>0</v>
      </c>
      <c r="E346" s="4">
        <f>IF(IFERROR(VLOOKUP(LEFT(C346,14),consolidado!D:D,1,0),0)&gt;0,1,0)</f>
        <v>1</v>
      </c>
      <c r="F346" s="4" t="str">
        <f>VLOOKUP(LEFT(C346,14),consolidado!D:D,1,0)</f>
        <v/>
      </c>
    </row>
    <row r="347" ht="15.75" customHeight="1">
      <c r="B347" s="21" t="s">
        <v>115</v>
      </c>
      <c r="C347" s="4" t="str">
        <f t="shared" si="1"/>
        <v/>
      </c>
      <c r="D347" s="22">
        <f t="shared" si="2"/>
        <v>0</v>
      </c>
      <c r="E347" s="4">
        <f>IF(IFERROR(VLOOKUP(LEFT(C347,14),consolidado!D:D,1,0),0)&gt;0,1,0)</f>
        <v>1</v>
      </c>
      <c r="F347" s="4" t="str">
        <f>VLOOKUP(LEFT(C347,14),consolidado!D:D,1,0)</f>
        <v/>
      </c>
    </row>
    <row r="348" ht="15.75" customHeight="1">
      <c r="B348" s="29">
        <v>44790.0</v>
      </c>
      <c r="C348" s="4" t="str">
        <f t="shared" si="1"/>
        <v>“No hagan la cimarra”: De la Carrera y su provocador tuit a diputados frenteamplistas tras ser sorteados a test de drogas</v>
      </c>
      <c r="D348" s="22">
        <f t="shared" si="2"/>
        <v>123</v>
      </c>
      <c r="E348" s="4">
        <f>IF(IFERROR(VLOOKUP(LEFT(C348,14),consolidado!D:D,1,0),0)&gt;0,1,0)</f>
        <v>1</v>
      </c>
      <c r="F348" s="4" t="str">
        <f>VLOOKUP(LEFT(C348,14),consolidado!D:D,1,0)</f>
        <v>“No hagan la c</v>
      </c>
    </row>
    <row r="349" ht="15.75" customHeight="1">
      <c r="B349" s="24" t="s">
        <v>307</v>
      </c>
      <c r="C349" s="4" t="str">
        <f t="shared" si="1"/>
        <v>44790</v>
      </c>
      <c r="D349" s="22">
        <f t="shared" si="2"/>
        <v>5</v>
      </c>
      <c r="E349" s="4">
        <f>IF(IFERROR(VLOOKUP(LEFT(C349,14),consolidado!D:D,1,0),0)&gt;0,1,0)</f>
        <v>0</v>
      </c>
      <c r="F349" s="4" t="str">
        <f>VLOOKUP(LEFT(C349,14),consolidado!D:D,1,0)</f>
        <v>#N/A</v>
      </c>
    </row>
    <row r="350" ht="15.75" customHeight="1">
      <c r="B350" s="24" t="s">
        <v>308</v>
      </c>
      <c r="C350" s="4" t="str">
        <f t="shared" si="1"/>
        <v>bookmark_border</v>
      </c>
      <c r="D350" s="22">
        <f t="shared" si="2"/>
        <v>15</v>
      </c>
      <c r="E350" s="4">
        <f>IF(IFERROR(VLOOKUP(LEFT(C350,14),consolidado!D:D,1,0),0)&gt;0,1,0)</f>
        <v>0</v>
      </c>
      <c r="F350" s="4" t="str">
        <f>VLOOKUP(LEFT(C350,14),consolidado!D:D,1,0)</f>
        <v>#N/A</v>
      </c>
    </row>
    <row r="351" ht="15.75" customHeight="1">
      <c r="B351" s="24" t="s">
        <v>309</v>
      </c>
      <c r="C351" s="4" t="str">
        <f t="shared" si="1"/>
        <v>share</v>
      </c>
      <c r="D351" s="22">
        <f t="shared" si="2"/>
        <v>5</v>
      </c>
      <c r="E351" s="4">
        <f>IF(IFERROR(VLOOKUP(LEFT(C351,14),consolidado!D:D,1,0),0)&gt;0,1,0)</f>
        <v>0</v>
      </c>
      <c r="F351" s="4" t="str">
        <f>VLOOKUP(LEFT(C351,14),consolidado!D:D,1,0)</f>
        <v>#N/A</v>
      </c>
    </row>
    <row r="352" ht="15.75" customHeight="1">
      <c r="B352" s="28"/>
      <c r="C352" s="4" t="str">
        <f t="shared" si="1"/>
        <v>more_vert</v>
      </c>
      <c r="D352" s="22">
        <f t="shared" si="2"/>
        <v>9</v>
      </c>
      <c r="E352" s="4">
        <f>IF(IFERROR(VLOOKUP(LEFT(C352,14),consolidado!D:D,1,0),0)&gt;0,1,0)</f>
        <v>0</v>
      </c>
      <c r="F352" s="4" t="str">
        <f>VLOOKUP(LEFT(C352,14),consolidado!D:D,1,0)</f>
        <v>#N/A</v>
      </c>
    </row>
    <row r="353" ht="15.75" customHeight="1">
      <c r="B353" s="30" t="s">
        <v>381</v>
      </c>
      <c r="C353" s="4" t="str">
        <f t="shared" si="1"/>
        <v/>
      </c>
      <c r="D353" s="22">
        <f t="shared" si="2"/>
        <v>0</v>
      </c>
      <c r="E353" s="4">
        <f>IF(IFERROR(VLOOKUP(LEFT(C353,14),consolidado!D:D,1,0),0)&gt;0,1,0)</f>
        <v>1</v>
      </c>
      <c r="F353" s="4" t="str">
        <f>VLOOKUP(LEFT(C353,14),consolidado!D:D,1,0)</f>
        <v/>
      </c>
    </row>
    <row r="354" ht="15.75" customHeight="1">
      <c r="B354" s="21" t="s">
        <v>275</v>
      </c>
      <c r="C354" s="4" t="str">
        <f t="shared" si="1"/>
        <v>La Prensa Austral</v>
      </c>
      <c r="D354" s="22">
        <f t="shared" si="2"/>
        <v>17</v>
      </c>
      <c r="E354" s="4">
        <f>IF(IFERROR(VLOOKUP(LEFT(C354,14),consolidado!D:D,1,0),0)&gt;0,1,0)</f>
        <v>0</v>
      </c>
      <c r="F354" s="4" t="str">
        <f>VLOOKUP(LEFT(C354,14),consolidado!D:D,1,0)</f>
        <v>#N/A</v>
      </c>
    </row>
    <row r="355" ht="15.75" customHeight="1">
      <c r="B355" s="23" t="s">
        <v>382</v>
      </c>
      <c r="C355" s="4" t="str">
        <f t="shared" si="1"/>
        <v>Segundo grupo de diputados dio negativo a test de drogas</v>
      </c>
      <c r="D355" s="22">
        <f t="shared" si="2"/>
        <v>56</v>
      </c>
      <c r="E355" s="4">
        <f>IF(IFERROR(VLOOKUP(LEFT(C355,14),consolidado!D:D,1,0),0)&gt;0,1,0)</f>
        <v>1</v>
      </c>
      <c r="F355" s="4" t="str">
        <f>VLOOKUP(LEFT(C355,14),consolidado!D:D,1,0)</f>
        <v>Segundo grupo </v>
      </c>
    </row>
    <row r="356" ht="15.75" customHeight="1">
      <c r="B356" s="24" t="s">
        <v>307</v>
      </c>
      <c r="C356" s="4" t="str">
        <f t="shared" si="1"/>
        <v>Hace 13 días</v>
      </c>
      <c r="D356" s="22">
        <f t="shared" si="2"/>
        <v>12</v>
      </c>
      <c r="E356" s="4">
        <f>IF(IFERROR(VLOOKUP(LEFT(C356,14),consolidado!D:D,1,0),0)&gt;0,1,0)</f>
        <v>0</v>
      </c>
      <c r="F356" s="4" t="str">
        <f>VLOOKUP(LEFT(C356,14),consolidado!D:D,1,0)</f>
        <v>#N/A</v>
      </c>
    </row>
    <row r="357" ht="15.75" customHeight="1">
      <c r="B357" s="24" t="s">
        <v>308</v>
      </c>
      <c r="C357" s="4" t="str">
        <f t="shared" si="1"/>
        <v>bookmark_border</v>
      </c>
      <c r="D357" s="22">
        <f t="shared" si="2"/>
        <v>15</v>
      </c>
      <c r="E357" s="4">
        <f>IF(IFERROR(VLOOKUP(LEFT(C357,14),consolidado!D:D,1,0),0)&gt;0,1,0)</f>
        <v>0</v>
      </c>
      <c r="F357" s="4" t="str">
        <f>VLOOKUP(LEFT(C357,14),consolidado!D:D,1,0)</f>
        <v>#N/A</v>
      </c>
    </row>
    <row r="358" ht="15.75" customHeight="1">
      <c r="B358" s="24" t="s">
        <v>309</v>
      </c>
      <c r="C358" s="4" t="str">
        <f t="shared" si="1"/>
        <v>share</v>
      </c>
      <c r="D358" s="22">
        <f t="shared" si="2"/>
        <v>5</v>
      </c>
      <c r="E358" s="4">
        <f>IF(IFERROR(VLOOKUP(LEFT(C358,14),consolidado!D:D,1,0),0)&gt;0,1,0)</f>
        <v>0</v>
      </c>
      <c r="F358" s="4" t="str">
        <f>VLOOKUP(LEFT(C358,14),consolidado!D:D,1,0)</f>
        <v>#N/A</v>
      </c>
    </row>
    <row r="359" ht="15.75" customHeight="1">
      <c r="B359" s="28"/>
      <c r="C359" s="4" t="str">
        <f t="shared" si="1"/>
        <v>more_vert</v>
      </c>
      <c r="D359" s="22">
        <f t="shared" si="2"/>
        <v>9</v>
      </c>
      <c r="E359" s="4">
        <f>IF(IFERROR(VLOOKUP(LEFT(C359,14),consolidado!D:D,1,0),0)&gt;0,1,0)</f>
        <v>0</v>
      </c>
      <c r="F359" s="4" t="str">
        <f>VLOOKUP(LEFT(C359,14),consolidado!D:D,1,0)</f>
        <v>#N/A</v>
      </c>
    </row>
    <row r="360" ht="15.75" customHeight="1">
      <c r="B360" s="30" t="s">
        <v>315</v>
      </c>
      <c r="C360" s="4" t="str">
        <f t="shared" si="1"/>
        <v/>
      </c>
      <c r="D360" s="22">
        <f t="shared" si="2"/>
        <v>0</v>
      </c>
      <c r="E360" s="4">
        <f>IF(IFERROR(VLOOKUP(LEFT(C360,14),consolidado!D:D,1,0),0)&gt;0,1,0)</f>
        <v>1</v>
      </c>
      <c r="F360" s="4" t="str">
        <f>VLOOKUP(LEFT(C360,14),consolidado!D:D,1,0)</f>
        <v/>
      </c>
    </row>
    <row r="361" ht="15.75" customHeight="1">
      <c r="B361" s="21" t="s">
        <v>117</v>
      </c>
      <c r="C361" s="4" t="str">
        <f t="shared" si="1"/>
        <v>BioBioChile</v>
      </c>
      <c r="D361" s="22">
        <f t="shared" si="2"/>
        <v>11</v>
      </c>
      <c r="E361" s="4">
        <f>IF(IFERROR(VLOOKUP(LEFT(C361,14),consolidado!D:D,1,0),0)&gt;0,1,0)</f>
        <v>0</v>
      </c>
      <c r="F361" s="4" t="str">
        <f>VLOOKUP(LEFT(C361,14),consolidado!D:D,1,0)</f>
        <v>#N/A</v>
      </c>
    </row>
    <row r="362" ht="15.75" customHeight="1">
      <c r="B362" s="29">
        <v>44824.0</v>
      </c>
      <c r="C362" s="4" t="str">
        <f t="shared" si="1"/>
        <v>Urruticoechea tilda de "imprudente" recurso presentado por diputadas en contra de test de drogas</v>
      </c>
      <c r="D362" s="22">
        <f t="shared" si="2"/>
        <v>96</v>
      </c>
      <c r="E362" s="4">
        <f>IF(IFERROR(VLOOKUP(LEFT(C362,14),consolidado!D:D,1,0),0)&gt;0,1,0)</f>
        <v>1</v>
      </c>
      <c r="F362" s="4" t="str">
        <f>VLOOKUP(LEFT(C362,14),consolidado!D:D,1,0)</f>
        <v>Urruticoechea </v>
      </c>
    </row>
    <row r="363" ht="15.75" customHeight="1">
      <c r="B363" s="24" t="s">
        <v>307</v>
      </c>
      <c r="C363" s="4" t="str">
        <f t="shared" si="1"/>
        <v>44824</v>
      </c>
      <c r="D363" s="22">
        <f t="shared" si="2"/>
        <v>5</v>
      </c>
      <c r="E363" s="4">
        <f>IF(IFERROR(VLOOKUP(LEFT(C363,14),consolidado!D:D,1,0),0)&gt;0,1,0)</f>
        <v>0</v>
      </c>
      <c r="F363" s="4" t="str">
        <f>VLOOKUP(LEFT(C363,14),consolidado!D:D,1,0)</f>
        <v>#N/A</v>
      </c>
    </row>
    <row r="364" ht="15.75" customHeight="1">
      <c r="B364" s="24" t="s">
        <v>308</v>
      </c>
      <c r="C364" s="4" t="str">
        <f t="shared" si="1"/>
        <v>bookmark_border</v>
      </c>
      <c r="D364" s="22">
        <f t="shared" si="2"/>
        <v>15</v>
      </c>
      <c r="E364" s="4">
        <f>IF(IFERROR(VLOOKUP(LEFT(C364,14),consolidado!D:D,1,0),0)&gt;0,1,0)</f>
        <v>0</v>
      </c>
      <c r="F364" s="4" t="str">
        <f>VLOOKUP(LEFT(C364,14),consolidado!D:D,1,0)</f>
        <v>#N/A</v>
      </c>
    </row>
    <row r="365" ht="15.75" customHeight="1">
      <c r="B365" s="24" t="s">
        <v>309</v>
      </c>
      <c r="C365" s="4" t="str">
        <f t="shared" si="1"/>
        <v>share</v>
      </c>
      <c r="D365" s="22">
        <f t="shared" si="2"/>
        <v>5</v>
      </c>
      <c r="E365" s="4">
        <f>IF(IFERROR(VLOOKUP(LEFT(C365,14),consolidado!D:D,1,0),0)&gt;0,1,0)</f>
        <v>0</v>
      </c>
      <c r="F365" s="4" t="str">
        <f>VLOOKUP(LEFT(C365,14),consolidado!D:D,1,0)</f>
        <v>#N/A</v>
      </c>
    </row>
    <row r="366" ht="15.75" customHeight="1">
      <c r="B366" s="28"/>
      <c r="C366" s="4" t="str">
        <f t="shared" si="1"/>
        <v>more_vert</v>
      </c>
      <c r="D366" s="22">
        <f t="shared" si="2"/>
        <v>9</v>
      </c>
      <c r="E366" s="4">
        <f>IF(IFERROR(VLOOKUP(LEFT(C366,14),consolidado!D:D,1,0),0)&gt;0,1,0)</f>
        <v>0</v>
      </c>
      <c r="F366" s="4" t="str">
        <f>VLOOKUP(LEFT(C366,14),consolidado!D:D,1,0)</f>
        <v>#N/A</v>
      </c>
    </row>
    <row r="367" ht="15.75" customHeight="1">
      <c r="B367" s="32"/>
      <c r="C367" s="4" t="str">
        <f t="shared" si="1"/>
        <v/>
      </c>
      <c r="D367" s="22">
        <f t="shared" si="2"/>
        <v>0</v>
      </c>
      <c r="E367" s="4">
        <f>IF(IFERROR(VLOOKUP(LEFT(C367,14),consolidado!D:D,1,0),0)&gt;0,1,0)</f>
        <v>1</v>
      </c>
      <c r="F367" s="4" t="str">
        <f>VLOOKUP(LEFT(C367,14),consolidado!D:D,1,0)</f>
        <v/>
      </c>
    </row>
    <row r="368" ht="15.75" customHeight="1">
      <c r="B368" s="21" t="s">
        <v>112</v>
      </c>
      <c r="C368" s="4" t="str">
        <f t="shared" si="1"/>
        <v/>
      </c>
      <c r="D368" s="22">
        <f t="shared" si="2"/>
        <v>0</v>
      </c>
      <c r="E368" s="4">
        <f>IF(IFERROR(VLOOKUP(LEFT(C368,14),consolidado!D:D,1,0),0)&gt;0,1,0)</f>
        <v>1</v>
      </c>
      <c r="F368" s="4" t="str">
        <f>VLOOKUP(LEFT(C368,14),consolidado!D:D,1,0)</f>
        <v/>
      </c>
    </row>
    <row r="369" ht="15.75" customHeight="1">
      <c r="B369" s="29">
        <v>44831.0</v>
      </c>
      <c r="C369" s="4" t="str">
        <f t="shared" si="1"/>
        <v>Corte de Valparaíso rechaza solicitud de dictar orden de no innovar por test de drogas a diputados. - Diario Constitucional</v>
      </c>
      <c r="D369" s="22">
        <f t="shared" si="2"/>
        <v>123</v>
      </c>
      <c r="E369" s="4">
        <f>IF(IFERROR(VLOOKUP(LEFT(C369,14),consolidado!D:D,1,0),0)&gt;0,1,0)</f>
        <v>1</v>
      </c>
      <c r="F369" s="4" t="str">
        <f>VLOOKUP(LEFT(C369,14),consolidado!D:D,1,0)</f>
        <v>Corte de Valpa</v>
      </c>
    </row>
    <row r="370" ht="15.75" customHeight="1">
      <c r="B370" s="24" t="s">
        <v>307</v>
      </c>
      <c r="C370" s="4" t="str">
        <f t="shared" si="1"/>
        <v>44831</v>
      </c>
      <c r="D370" s="22">
        <f t="shared" si="2"/>
        <v>5</v>
      </c>
      <c r="E370" s="4">
        <f>IF(IFERROR(VLOOKUP(LEFT(C370,14),consolidado!D:D,1,0),0)&gt;0,1,0)</f>
        <v>0</v>
      </c>
      <c r="F370" s="4" t="str">
        <f>VLOOKUP(LEFT(C370,14),consolidado!D:D,1,0)</f>
        <v>#N/A</v>
      </c>
    </row>
    <row r="371" ht="15.75" customHeight="1">
      <c r="B371" s="24" t="s">
        <v>308</v>
      </c>
      <c r="C371" s="4" t="str">
        <f t="shared" si="1"/>
        <v>bookmark_border</v>
      </c>
      <c r="D371" s="22">
        <f t="shared" si="2"/>
        <v>15</v>
      </c>
      <c r="E371" s="4">
        <f>IF(IFERROR(VLOOKUP(LEFT(C371,14),consolidado!D:D,1,0),0)&gt;0,1,0)</f>
        <v>0</v>
      </c>
      <c r="F371" s="4" t="str">
        <f>VLOOKUP(LEFT(C371,14),consolidado!D:D,1,0)</f>
        <v>#N/A</v>
      </c>
    </row>
    <row r="372" ht="15.75" customHeight="1">
      <c r="B372" s="24" t="s">
        <v>309</v>
      </c>
      <c r="C372" s="4" t="str">
        <f t="shared" si="1"/>
        <v>share</v>
      </c>
      <c r="D372" s="22">
        <f t="shared" si="2"/>
        <v>5</v>
      </c>
      <c r="E372" s="4">
        <f>IF(IFERROR(VLOOKUP(LEFT(C372,14),consolidado!D:D,1,0),0)&gt;0,1,0)</f>
        <v>0</v>
      </c>
      <c r="F372" s="4" t="str">
        <f>VLOOKUP(LEFT(C372,14),consolidado!D:D,1,0)</f>
        <v>#N/A</v>
      </c>
    </row>
    <row r="373" ht="15.75" customHeight="1">
      <c r="B373" s="28"/>
      <c r="C373" s="4" t="str">
        <f t="shared" si="1"/>
        <v>more_vert</v>
      </c>
      <c r="D373" s="22">
        <f t="shared" si="2"/>
        <v>9</v>
      </c>
      <c r="E373" s="4">
        <f>IF(IFERROR(VLOOKUP(LEFT(C373,14),consolidado!D:D,1,0),0)&gt;0,1,0)</f>
        <v>0</v>
      </c>
      <c r="F373" s="4" t="str">
        <f>VLOOKUP(LEFT(C373,14),consolidado!D:D,1,0)</f>
        <v>#N/A</v>
      </c>
    </row>
    <row r="374" ht="15.75" customHeight="1">
      <c r="B374" s="32"/>
      <c r="C374" s="4" t="str">
        <f t="shared" si="1"/>
        <v/>
      </c>
      <c r="D374" s="22">
        <f t="shared" si="2"/>
        <v>0</v>
      </c>
      <c r="E374" s="4">
        <f>IF(IFERROR(VLOOKUP(LEFT(C374,14),consolidado!D:D,1,0),0)&gt;0,1,0)</f>
        <v>1</v>
      </c>
      <c r="F374" s="4" t="str">
        <f>VLOOKUP(LEFT(C374,14),consolidado!D:D,1,0)</f>
        <v/>
      </c>
    </row>
    <row r="375" ht="15.75" customHeight="1">
      <c r="B375" s="21" t="s">
        <v>147</v>
      </c>
      <c r="C375" s="4" t="str">
        <f t="shared" si="1"/>
        <v/>
      </c>
      <c r="D375" s="22">
        <f t="shared" si="2"/>
        <v>0</v>
      </c>
      <c r="E375" s="4">
        <f>IF(IFERROR(VLOOKUP(LEFT(C375,14),consolidado!D:D,1,0),0)&gt;0,1,0)</f>
        <v>1</v>
      </c>
      <c r="F375" s="4" t="str">
        <f>VLOOKUP(LEFT(C375,14),consolidado!D:D,1,0)</f>
        <v/>
      </c>
    </row>
    <row r="376" ht="15.75" customHeight="1">
      <c r="B376" s="29">
        <v>44791.0</v>
      </c>
      <c r="C376" s="4" t="str">
        <f t="shared" si="1"/>
        <v>Cámara sortea a los primeros parlamentarios para iniciar test de drogas. - Diario Constitucional</v>
      </c>
      <c r="D376" s="22">
        <f t="shared" si="2"/>
        <v>96</v>
      </c>
      <c r="E376" s="4">
        <f>IF(IFERROR(VLOOKUP(LEFT(C376,14),consolidado!D:D,1,0),0)&gt;0,1,0)</f>
        <v>1</v>
      </c>
      <c r="F376" s="4" t="str">
        <f>VLOOKUP(LEFT(C376,14),consolidado!D:D,1,0)</f>
        <v>Cámara sortea </v>
      </c>
    </row>
    <row r="377" ht="15.75" customHeight="1">
      <c r="B377" s="24" t="s">
        <v>307</v>
      </c>
      <c r="C377" s="4" t="str">
        <f t="shared" si="1"/>
        <v>44791</v>
      </c>
      <c r="D377" s="22">
        <f t="shared" si="2"/>
        <v>5</v>
      </c>
      <c r="E377" s="4">
        <f>IF(IFERROR(VLOOKUP(LEFT(C377,14),consolidado!D:D,1,0),0)&gt;0,1,0)</f>
        <v>0</v>
      </c>
      <c r="F377" s="4" t="str">
        <f>VLOOKUP(LEFT(C377,14),consolidado!D:D,1,0)</f>
        <v>#N/A</v>
      </c>
    </row>
    <row r="378" ht="15.75" customHeight="1">
      <c r="B378" s="24" t="s">
        <v>308</v>
      </c>
      <c r="C378" s="4" t="str">
        <f t="shared" si="1"/>
        <v>bookmark_border</v>
      </c>
      <c r="D378" s="22">
        <f t="shared" si="2"/>
        <v>15</v>
      </c>
      <c r="E378" s="4">
        <f>IF(IFERROR(VLOOKUP(LEFT(C378,14),consolidado!D:D,1,0),0)&gt;0,1,0)</f>
        <v>0</v>
      </c>
      <c r="F378" s="4" t="str">
        <f>VLOOKUP(LEFT(C378,14),consolidado!D:D,1,0)</f>
        <v>#N/A</v>
      </c>
    </row>
    <row r="379" ht="15.75" customHeight="1">
      <c r="B379" s="24" t="s">
        <v>309</v>
      </c>
      <c r="C379" s="4" t="str">
        <f t="shared" si="1"/>
        <v>share</v>
      </c>
      <c r="D379" s="22">
        <f t="shared" si="2"/>
        <v>5</v>
      </c>
      <c r="E379" s="4">
        <f>IF(IFERROR(VLOOKUP(LEFT(C379,14),consolidado!D:D,1,0),0)&gt;0,1,0)</f>
        <v>0</v>
      </c>
      <c r="F379" s="4" t="str">
        <f>VLOOKUP(LEFT(C379,14),consolidado!D:D,1,0)</f>
        <v>#N/A</v>
      </c>
    </row>
    <row r="380" ht="15.75" customHeight="1">
      <c r="B380" s="28"/>
      <c r="C380" s="4" t="str">
        <f t="shared" si="1"/>
        <v>more_vert</v>
      </c>
      <c r="D380" s="22">
        <f t="shared" si="2"/>
        <v>9</v>
      </c>
      <c r="E380" s="4">
        <f>IF(IFERROR(VLOOKUP(LEFT(C380,14),consolidado!D:D,1,0),0)&gt;0,1,0)</f>
        <v>0</v>
      </c>
      <c r="F380" s="4" t="str">
        <f>VLOOKUP(LEFT(C380,14),consolidado!D:D,1,0)</f>
        <v>#N/A</v>
      </c>
    </row>
    <row r="381" ht="15.75" customHeight="1">
      <c r="B381" s="30" t="s">
        <v>333</v>
      </c>
      <c r="C381" s="4" t="str">
        <f t="shared" si="1"/>
        <v/>
      </c>
      <c r="D381" s="22">
        <f t="shared" si="2"/>
        <v>0</v>
      </c>
      <c r="E381" s="4">
        <f>IF(IFERROR(VLOOKUP(LEFT(C381,14),consolidado!D:D,1,0),0)&gt;0,1,0)</f>
        <v>1</v>
      </c>
      <c r="F381" s="4" t="str">
        <f>VLOOKUP(LEFT(C381,14),consolidado!D:D,1,0)</f>
        <v/>
      </c>
    </row>
    <row r="382" ht="15.75" customHeight="1">
      <c r="B382" s="21" t="s">
        <v>135</v>
      </c>
      <c r="C382" s="4" t="str">
        <f t="shared" si="1"/>
        <v>G5noticias</v>
      </c>
      <c r="D382" s="22">
        <f t="shared" si="2"/>
        <v>10</v>
      </c>
      <c r="E382" s="4">
        <f>IF(IFERROR(VLOOKUP(LEFT(C382,14),consolidado!D:D,1,0),0)&gt;0,1,0)</f>
        <v>0</v>
      </c>
      <c r="F382" s="4" t="str">
        <f>VLOOKUP(LEFT(C382,14),consolidado!D:D,1,0)</f>
        <v>#N/A</v>
      </c>
    </row>
    <row r="383" ht="15.75" customHeight="1">
      <c r="B383" s="29">
        <v>44755.0</v>
      </c>
      <c r="C383" s="4" t="str">
        <f t="shared" si="1"/>
        <v>Diputado Gaspar Rivas (PDG) critica posturas de los sectores políticos de la Cámara acerca del test de drogas</v>
      </c>
      <c r="D383" s="22">
        <f t="shared" si="2"/>
        <v>109</v>
      </c>
      <c r="E383" s="4">
        <f>IF(IFERROR(VLOOKUP(LEFT(C383,14),consolidado!D:D,1,0),0)&gt;0,1,0)</f>
        <v>1</v>
      </c>
      <c r="F383" s="4" t="str">
        <f>VLOOKUP(LEFT(C383,14),consolidado!D:D,1,0)</f>
        <v>Diputado Gaspa</v>
      </c>
    </row>
    <row r="384" ht="15.75" customHeight="1">
      <c r="B384" s="24" t="s">
        <v>307</v>
      </c>
      <c r="C384" s="4" t="str">
        <f t="shared" si="1"/>
        <v>44755</v>
      </c>
      <c r="D384" s="22">
        <f t="shared" si="2"/>
        <v>5</v>
      </c>
      <c r="E384" s="4">
        <f>IF(IFERROR(VLOOKUP(LEFT(C384,14),consolidado!D:D,1,0),0)&gt;0,1,0)</f>
        <v>0</v>
      </c>
      <c r="F384" s="4" t="str">
        <f>VLOOKUP(LEFT(C384,14),consolidado!D:D,1,0)</f>
        <v>#N/A</v>
      </c>
    </row>
    <row r="385" ht="15.75" customHeight="1">
      <c r="B385" s="24" t="s">
        <v>308</v>
      </c>
      <c r="C385" s="4" t="str">
        <f t="shared" si="1"/>
        <v>bookmark_border</v>
      </c>
      <c r="D385" s="22">
        <f t="shared" si="2"/>
        <v>15</v>
      </c>
      <c r="E385" s="4">
        <f>IF(IFERROR(VLOOKUP(LEFT(C385,14),consolidado!D:D,1,0),0)&gt;0,1,0)</f>
        <v>0</v>
      </c>
      <c r="F385" s="4" t="str">
        <f>VLOOKUP(LEFT(C385,14),consolidado!D:D,1,0)</f>
        <v>#N/A</v>
      </c>
    </row>
    <row r="386" ht="15.75" customHeight="1">
      <c r="B386" s="24" t="s">
        <v>309</v>
      </c>
      <c r="C386" s="4" t="str">
        <f t="shared" si="1"/>
        <v>share</v>
      </c>
      <c r="D386" s="22">
        <f t="shared" si="2"/>
        <v>5</v>
      </c>
      <c r="E386" s="4">
        <f>IF(IFERROR(VLOOKUP(LEFT(C386,14),consolidado!D:D,1,0),0)&gt;0,1,0)</f>
        <v>0</v>
      </c>
      <c r="F386" s="4" t="str">
        <f>VLOOKUP(LEFT(C386,14),consolidado!D:D,1,0)</f>
        <v>#N/A</v>
      </c>
    </row>
    <row r="387" ht="15.75" customHeight="1">
      <c r="B387" s="28"/>
      <c r="C387" s="4" t="str">
        <f t="shared" si="1"/>
        <v>more_vert</v>
      </c>
      <c r="D387" s="22">
        <f t="shared" si="2"/>
        <v>9</v>
      </c>
      <c r="E387" s="4">
        <f>IF(IFERROR(VLOOKUP(LEFT(C387,14),consolidado!D:D,1,0),0)&gt;0,1,0)</f>
        <v>0</v>
      </c>
      <c r="F387" s="4" t="str">
        <f>VLOOKUP(LEFT(C387,14),consolidado!D:D,1,0)</f>
        <v>#N/A</v>
      </c>
    </row>
    <row r="388" ht="15.75" customHeight="1">
      <c r="B388" s="30" t="s">
        <v>334</v>
      </c>
      <c r="C388" s="4" t="str">
        <f t="shared" si="1"/>
        <v/>
      </c>
      <c r="D388" s="22">
        <f t="shared" si="2"/>
        <v>0</v>
      </c>
      <c r="E388" s="4">
        <f>IF(IFERROR(VLOOKUP(LEFT(C388,14),consolidado!D:D,1,0),0)&gt;0,1,0)</f>
        <v>1</v>
      </c>
      <c r="F388" s="4" t="str">
        <f>VLOOKUP(LEFT(C388,14),consolidado!D:D,1,0)</f>
        <v/>
      </c>
    </row>
    <row r="389" ht="15.75" customHeight="1">
      <c r="B389" s="21" t="s">
        <v>137</v>
      </c>
      <c r="C389" s="4" t="str">
        <f t="shared" si="1"/>
        <v>El Ciudadano</v>
      </c>
      <c r="D389" s="22">
        <f t="shared" si="2"/>
        <v>12</v>
      </c>
      <c r="E389" s="4">
        <f>IF(IFERROR(VLOOKUP(LEFT(C389,14),consolidado!D:D,1,0),0)&gt;0,1,0)</f>
        <v>0</v>
      </c>
      <c r="F389" s="4" t="str">
        <f>VLOOKUP(LEFT(C389,14),consolidado!D:D,1,0)</f>
        <v>#N/A</v>
      </c>
    </row>
    <row r="390" ht="15.75" customHeight="1">
      <c r="B390" s="29">
        <v>44833.0</v>
      </c>
      <c r="C390" s="4" t="str">
        <f t="shared" si="1"/>
        <v>Ciber acoso y hostigamiento a diputadas por test de Drogas: ¿Cuál es el límite de la persecución anti narcóticos dentro de la Cámara?</v>
      </c>
      <c r="D390" s="22">
        <f t="shared" si="2"/>
        <v>133</v>
      </c>
      <c r="E390" s="4">
        <f>IF(IFERROR(VLOOKUP(LEFT(C390,14),consolidado!D:D,1,0),0)&gt;0,1,0)</f>
        <v>1</v>
      </c>
      <c r="F390" s="4" t="str">
        <f>VLOOKUP(LEFT(C390,14),consolidado!D:D,1,0)</f>
        <v>Ciber acoso y </v>
      </c>
    </row>
    <row r="391" ht="15.75" customHeight="1">
      <c r="B391" s="24" t="s">
        <v>307</v>
      </c>
      <c r="C391" s="4" t="str">
        <f t="shared" si="1"/>
        <v>44833</v>
      </c>
      <c r="D391" s="22">
        <f t="shared" si="2"/>
        <v>5</v>
      </c>
      <c r="E391" s="4">
        <f>IF(IFERROR(VLOOKUP(LEFT(C391,14),consolidado!D:D,1,0),0)&gt;0,1,0)</f>
        <v>0</v>
      </c>
      <c r="F391" s="4" t="str">
        <f>VLOOKUP(LEFT(C391,14),consolidado!D:D,1,0)</f>
        <v>#N/A</v>
      </c>
    </row>
    <row r="392" ht="15.75" customHeight="1">
      <c r="B392" s="24" t="s">
        <v>308</v>
      </c>
      <c r="C392" s="4" t="str">
        <f t="shared" si="1"/>
        <v>bookmark_border</v>
      </c>
      <c r="D392" s="22">
        <f t="shared" si="2"/>
        <v>15</v>
      </c>
      <c r="E392" s="4">
        <f>IF(IFERROR(VLOOKUP(LEFT(C392,14),consolidado!D:D,1,0),0)&gt;0,1,0)</f>
        <v>0</v>
      </c>
      <c r="F392" s="4" t="str">
        <f>VLOOKUP(LEFT(C392,14),consolidado!D:D,1,0)</f>
        <v>#N/A</v>
      </c>
    </row>
    <row r="393" ht="15.75" customHeight="1">
      <c r="B393" s="24" t="s">
        <v>309</v>
      </c>
      <c r="C393" s="4" t="str">
        <f t="shared" si="1"/>
        <v>share</v>
      </c>
      <c r="D393" s="22">
        <f t="shared" si="2"/>
        <v>5</v>
      </c>
      <c r="E393" s="4">
        <f>IF(IFERROR(VLOOKUP(LEFT(C393,14),consolidado!D:D,1,0),0)&gt;0,1,0)</f>
        <v>0</v>
      </c>
      <c r="F393" s="4" t="str">
        <f>VLOOKUP(LEFT(C393,14),consolidado!D:D,1,0)</f>
        <v>#N/A</v>
      </c>
    </row>
    <row r="394" ht="15.75" customHeight="1">
      <c r="B394" s="28"/>
      <c r="C394" s="4" t="str">
        <f t="shared" si="1"/>
        <v>more_vert</v>
      </c>
      <c r="D394" s="22">
        <f t="shared" si="2"/>
        <v>9</v>
      </c>
      <c r="E394" s="4">
        <f>IF(IFERROR(VLOOKUP(LEFT(C394,14),consolidado!D:D,1,0),0)&gt;0,1,0)</f>
        <v>0</v>
      </c>
      <c r="F394" s="4" t="str">
        <f>VLOOKUP(LEFT(C394,14),consolidado!D:D,1,0)</f>
        <v>#N/A</v>
      </c>
    </row>
    <row r="395" ht="15.75" customHeight="1">
      <c r="B395" s="19" t="s">
        <v>303</v>
      </c>
      <c r="C395" s="4" t="str">
        <f t="shared" si="1"/>
        <v/>
      </c>
      <c r="D395" s="22">
        <f t="shared" si="2"/>
        <v>0</v>
      </c>
      <c r="E395" s="4">
        <f>IF(IFERROR(VLOOKUP(LEFT(C395,14),consolidado!D:D,1,0),0)&gt;0,1,0)</f>
        <v>1</v>
      </c>
      <c r="F395" s="4" t="str">
        <f>VLOOKUP(LEFT(C395,14),consolidado!D:D,1,0)</f>
        <v/>
      </c>
    </row>
    <row r="396" ht="15.75" customHeight="1">
      <c r="B396" s="21" t="s">
        <v>131</v>
      </c>
      <c r="C396" s="4" t="str">
        <f t="shared" si="1"/>
        <v>La Tercera</v>
      </c>
      <c r="D396" s="22">
        <f t="shared" si="2"/>
        <v>10</v>
      </c>
      <c r="E396" s="4">
        <f>IF(IFERROR(VLOOKUP(LEFT(C396,14),consolidado!D:D,1,0),0)&gt;0,1,0)</f>
        <v>0</v>
      </c>
      <c r="F396" s="4" t="str">
        <f>VLOOKUP(LEFT(C396,14),consolidado!D:D,1,0)</f>
        <v>#N/A</v>
      </c>
    </row>
    <row r="397" ht="15.75" customHeight="1">
      <c r="B397" s="29">
        <v>44764.0</v>
      </c>
      <c r="C397" s="4" t="str">
        <f t="shared" si="1"/>
        <v>Cristian Camargo, director del Laboratorio de Análisis Antidoping : “Alguien que es adicto a una droga es fácil de corromper”</v>
      </c>
      <c r="D397" s="22">
        <f t="shared" si="2"/>
        <v>127</v>
      </c>
      <c r="E397" s="4">
        <f>IF(IFERROR(VLOOKUP(LEFT(C397,14),consolidado!D:D,1,0),0)&gt;0,1,0)</f>
        <v>1</v>
      </c>
      <c r="F397" s="4" t="str">
        <f>VLOOKUP(LEFT(C397,14),consolidado!D:D,1,0)</f>
        <v>Cristian Camar</v>
      </c>
    </row>
    <row r="398" ht="15.75" customHeight="1">
      <c r="B398" s="24" t="s">
        <v>307</v>
      </c>
      <c r="C398" s="4" t="str">
        <f t="shared" si="1"/>
        <v>44764</v>
      </c>
      <c r="D398" s="22">
        <f t="shared" si="2"/>
        <v>5</v>
      </c>
      <c r="E398" s="4">
        <f>IF(IFERROR(VLOOKUP(LEFT(C398,14),consolidado!D:D,1,0),0)&gt;0,1,0)</f>
        <v>0</v>
      </c>
      <c r="F398" s="4" t="str">
        <f>VLOOKUP(LEFT(C398,14),consolidado!D:D,1,0)</f>
        <v>#N/A</v>
      </c>
    </row>
    <row r="399" ht="15.75" customHeight="1">
      <c r="B399" s="24" t="s">
        <v>308</v>
      </c>
      <c r="C399" s="4" t="str">
        <f t="shared" si="1"/>
        <v>bookmark_border</v>
      </c>
      <c r="D399" s="22">
        <f t="shared" si="2"/>
        <v>15</v>
      </c>
      <c r="E399" s="4">
        <f>IF(IFERROR(VLOOKUP(LEFT(C399,14),consolidado!D:D,1,0),0)&gt;0,1,0)</f>
        <v>0</v>
      </c>
      <c r="F399" s="4" t="str">
        <f>VLOOKUP(LEFT(C399,14),consolidado!D:D,1,0)</f>
        <v>#N/A</v>
      </c>
    </row>
    <row r="400" ht="15.75" customHeight="1">
      <c r="B400" s="24" t="s">
        <v>309</v>
      </c>
      <c r="C400" s="4" t="str">
        <f t="shared" si="1"/>
        <v>share</v>
      </c>
      <c r="D400" s="22">
        <f t="shared" si="2"/>
        <v>5</v>
      </c>
      <c r="E400" s="4">
        <f>IF(IFERROR(VLOOKUP(LEFT(C400,14),consolidado!D:D,1,0),0)&gt;0,1,0)</f>
        <v>0</v>
      </c>
      <c r="F400" s="4" t="str">
        <f>VLOOKUP(LEFT(C400,14),consolidado!D:D,1,0)</f>
        <v>#N/A</v>
      </c>
    </row>
    <row r="401" ht="15.75" customHeight="1">
      <c r="B401" s="28"/>
      <c r="C401" s="4" t="str">
        <f t="shared" si="1"/>
        <v>more_vert</v>
      </c>
      <c r="D401" s="22">
        <f t="shared" si="2"/>
        <v>9</v>
      </c>
      <c r="E401" s="4">
        <f>IF(IFERROR(VLOOKUP(LEFT(C401,14),consolidado!D:D,1,0),0)&gt;0,1,0)</f>
        <v>0</v>
      </c>
      <c r="F401" s="4" t="str">
        <f>VLOOKUP(LEFT(C401,14),consolidado!D:D,1,0)</f>
        <v>#N/A</v>
      </c>
    </row>
    <row r="402" ht="15.75" customHeight="1">
      <c r="B402" s="30" t="s">
        <v>335</v>
      </c>
      <c r="C402" s="4" t="str">
        <f t="shared" si="1"/>
        <v/>
      </c>
      <c r="D402" s="22">
        <f t="shared" si="2"/>
        <v>0</v>
      </c>
      <c r="E402" s="4">
        <f>IF(IFERROR(VLOOKUP(LEFT(C402,14),consolidado!D:D,1,0),0)&gt;0,1,0)</f>
        <v>1</v>
      </c>
      <c r="F402" s="4" t="str">
        <f>VLOOKUP(LEFT(C402,14),consolidado!D:D,1,0)</f>
        <v/>
      </c>
    </row>
    <row r="403" ht="15.75" customHeight="1">
      <c r="B403" s="21" t="s">
        <v>140</v>
      </c>
      <c r="C403" s="4" t="str">
        <f t="shared" si="1"/>
        <v>Noticias Universidad Andrés Bello</v>
      </c>
      <c r="D403" s="22">
        <f t="shared" si="2"/>
        <v>33</v>
      </c>
      <c r="E403" s="4">
        <f>IF(IFERROR(VLOOKUP(LEFT(C403,14),consolidado!D:D,1,0),0)&gt;0,1,0)</f>
        <v>0</v>
      </c>
      <c r="F403" s="4" t="str">
        <f>VLOOKUP(LEFT(C403,14),consolidado!D:D,1,0)</f>
        <v>#N/A</v>
      </c>
    </row>
    <row r="404" ht="15.75" customHeight="1">
      <c r="B404" s="29">
        <v>44761.0</v>
      </c>
      <c r="C404" s="4" t="str">
        <f t="shared" si="1"/>
        <v>Radio Bío Bío | Entrevista a Aleida Kulikoff, académica y toxicóloga de la Escuela de Química y Farmacia UNAB</v>
      </c>
      <c r="D404" s="22">
        <f t="shared" si="2"/>
        <v>109</v>
      </c>
      <c r="E404" s="4">
        <f>IF(IFERROR(VLOOKUP(LEFT(C404,14),consolidado!D:D,1,0),0)&gt;0,1,0)</f>
        <v>1</v>
      </c>
      <c r="F404" s="4" t="str">
        <f>VLOOKUP(LEFT(C404,14),consolidado!D:D,1,0)</f>
        <v>Radio Bío Bío </v>
      </c>
    </row>
    <row r="405" ht="15.75" customHeight="1">
      <c r="B405" s="24" t="s">
        <v>307</v>
      </c>
      <c r="C405" s="4" t="str">
        <f t="shared" si="1"/>
        <v>44761</v>
      </c>
      <c r="D405" s="22">
        <f t="shared" si="2"/>
        <v>5</v>
      </c>
      <c r="E405" s="4">
        <f>IF(IFERROR(VLOOKUP(LEFT(C405,14),consolidado!D:D,1,0),0)&gt;0,1,0)</f>
        <v>0</v>
      </c>
      <c r="F405" s="4" t="str">
        <f>VLOOKUP(LEFT(C405,14),consolidado!D:D,1,0)</f>
        <v>#N/A</v>
      </c>
    </row>
    <row r="406" ht="15.75" customHeight="1">
      <c r="B406" s="24" t="s">
        <v>308</v>
      </c>
      <c r="C406" s="4" t="str">
        <f t="shared" si="1"/>
        <v>bookmark_border</v>
      </c>
      <c r="D406" s="22">
        <f t="shared" si="2"/>
        <v>15</v>
      </c>
      <c r="E406" s="4">
        <f>IF(IFERROR(VLOOKUP(LEFT(C406,14),consolidado!D:D,1,0),0)&gt;0,1,0)</f>
        <v>0</v>
      </c>
      <c r="F406" s="4" t="str">
        <f>VLOOKUP(LEFT(C406,14),consolidado!D:D,1,0)</f>
        <v>#N/A</v>
      </c>
    </row>
    <row r="407" ht="15.75" customHeight="1">
      <c r="B407" s="24" t="s">
        <v>309</v>
      </c>
      <c r="C407" s="4" t="str">
        <f t="shared" si="1"/>
        <v>share</v>
      </c>
      <c r="D407" s="22">
        <f t="shared" si="2"/>
        <v>5</v>
      </c>
      <c r="E407" s="4">
        <f>IF(IFERROR(VLOOKUP(LEFT(C407,14),consolidado!D:D,1,0),0)&gt;0,1,0)</f>
        <v>0</v>
      </c>
      <c r="F407" s="4" t="str">
        <f>VLOOKUP(LEFT(C407,14),consolidado!D:D,1,0)</f>
        <v>#N/A</v>
      </c>
    </row>
    <row r="408" ht="15.75" customHeight="1">
      <c r="B408" s="28"/>
      <c r="C408" s="4" t="str">
        <f t="shared" si="1"/>
        <v>more_vert</v>
      </c>
      <c r="D408" s="22">
        <f t="shared" si="2"/>
        <v>9</v>
      </c>
      <c r="E408" s="4">
        <f>IF(IFERROR(VLOOKUP(LEFT(C408,14),consolidado!D:D,1,0),0)&gt;0,1,0)</f>
        <v>0</v>
      </c>
      <c r="F408" s="4" t="str">
        <f>VLOOKUP(LEFT(C408,14),consolidado!D:D,1,0)</f>
        <v>#N/A</v>
      </c>
    </row>
    <row r="409" ht="15.75" customHeight="1">
      <c r="B409" s="30" t="s">
        <v>315</v>
      </c>
      <c r="C409" s="4" t="str">
        <f t="shared" si="1"/>
        <v/>
      </c>
      <c r="D409" s="22">
        <f t="shared" si="2"/>
        <v>0</v>
      </c>
      <c r="E409" s="4">
        <f>IF(IFERROR(VLOOKUP(LEFT(C409,14),consolidado!D:D,1,0),0)&gt;0,1,0)</f>
        <v>1</v>
      </c>
      <c r="F409" s="4" t="str">
        <f>VLOOKUP(LEFT(C409,14),consolidado!D:D,1,0)</f>
        <v/>
      </c>
    </row>
    <row r="410" ht="15.75" customHeight="1">
      <c r="B410" s="21" t="s">
        <v>129</v>
      </c>
      <c r="C410" s="4" t="str">
        <f t="shared" si="1"/>
        <v>BioBioChile</v>
      </c>
      <c r="D410" s="22">
        <f t="shared" si="2"/>
        <v>11</v>
      </c>
      <c r="E410" s="4">
        <f>IF(IFERROR(VLOOKUP(LEFT(C410,14),consolidado!D:D,1,0),0)&gt;0,1,0)</f>
        <v>0</v>
      </c>
      <c r="F410" s="4" t="str">
        <f>VLOOKUP(LEFT(C410,14),consolidado!D:D,1,0)</f>
        <v>#N/A</v>
      </c>
    </row>
    <row r="411" ht="15.75" customHeight="1">
      <c r="B411" s="29">
        <v>44756.0</v>
      </c>
      <c r="C411" s="4" t="str">
        <f t="shared" si="1"/>
        <v>Diputada Pamela Jiles: "No puede haber plata mejor gastada que para saber si tenemos narcodiputados"</v>
      </c>
      <c r="D411" s="22">
        <f t="shared" si="2"/>
        <v>100</v>
      </c>
      <c r="E411" s="4">
        <f>IF(IFERROR(VLOOKUP(LEFT(C411,14),consolidado!D:D,1,0),0)&gt;0,1,0)</f>
        <v>1</v>
      </c>
      <c r="F411" s="4" t="str">
        <f>VLOOKUP(LEFT(C411,14),consolidado!D:D,1,0)</f>
        <v>Diputada Pamel</v>
      </c>
    </row>
    <row r="412" ht="15.75" customHeight="1">
      <c r="B412" s="24" t="s">
        <v>307</v>
      </c>
      <c r="C412" s="4" t="str">
        <f t="shared" si="1"/>
        <v>44756</v>
      </c>
      <c r="D412" s="22">
        <f t="shared" si="2"/>
        <v>5</v>
      </c>
      <c r="E412" s="4">
        <f>IF(IFERROR(VLOOKUP(LEFT(C412,14),consolidado!D:D,1,0),0)&gt;0,1,0)</f>
        <v>0</v>
      </c>
      <c r="F412" s="4" t="str">
        <f>VLOOKUP(LEFT(C412,14),consolidado!D:D,1,0)</f>
        <v>#N/A</v>
      </c>
    </row>
    <row r="413" ht="15.75" customHeight="1">
      <c r="B413" s="24" t="s">
        <v>308</v>
      </c>
      <c r="C413" s="4" t="str">
        <f t="shared" si="1"/>
        <v>bookmark_border</v>
      </c>
      <c r="D413" s="22">
        <f t="shared" si="2"/>
        <v>15</v>
      </c>
      <c r="E413" s="4">
        <f>IF(IFERROR(VLOOKUP(LEFT(C413,14),consolidado!D:D,1,0),0)&gt;0,1,0)</f>
        <v>0</v>
      </c>
      <c r="F413" s="4" t="str">
        <f>VLOOKUP(LEFT(C413,14),consolidado!D:D,1,0)</f>
        <v>#N/A</v>
      </c>
    </row>
    <row r="414" ht="15.75" customHeight="1">
      <c r="B414" s="24" t="s">
        <v>309</v>
      </c>
      <c r="C414" s="4" t="str">
        <f t="shared" si="1"/>
        <v>share</v>
      </c>
      <c r="D414" s="22">
        <f t="shared" si="2"/>
        <v>5</v>
      </c>
      <c r="E414" s="4">
        <f>IF(IFERROR(VLOOKUP(LEFT(C414,14),consolidado!D:D,1,0),0)&gt;0,1,0)</f>
        <v>0</v>
      </c>
      <c r="F414" s="4" t="str">
        <f>VLOOKUP(LEFT(C414,14),consolidado!D:D,1,0)</f>
        <v>#N/A</v>
      </c>
    </row>
    <row r="415" ht="15.75" customHeight="1">
      <c r="B415" s="30" t="s">
        <v>330</v>
      </c>
      <c r="C415" s="4" t="str">
        <f t="shared" si="1"/>
        <v>more_vert</v>
      </c>
      <c r="D415" s="22">
        <f t="shared" si="2"/>
        <v>9</v>
      </c>
      <c r="E415" s="4">
        <f>IF(IFERROR(VLOOKUP(LEFT(C415,14),consolidado!D:D,1,0),0)&gt;0,1,0)</f>
        <v>0</v>
      </c>
      <c r="F415" s="4" t="str">
        <f>VLOOKUP(LEFT(C415,14),consolidado!D:D,1,0)</f>
        <v>#N/A</v>
      </c>
    </row>
    <row r="416" ht="15.75" customHeight="1">
      <c r="B416" s="21" t="s">
        <v>119</v>
      </c>
      <c r="C416" s="4" t="str">
        <f t="shared" si="1"/>
        <v>AdPrensa</v>
      </c>
      <c r="D416" s="22">
        <f t="shared" si="2"/>
        <v>8</v>
      </c>
      <c r="E416" s="4">
        <f>IF(IFERROR(VLOOKUP(LEFT(C416,14),consolidado!D:D,1,0),0)&gt;0,1,0)</f>
        <v>0</v>
      </c>
      <c r="F416" s="4" t="str">
        <f>VLOOKUP(LEFT(C416,14),consolidado!D:D,1,0)</f>
        <v>#N/A</v>
      </c>
    </row>
    <row r="417" ht="15.75" customHeight="1">
      <c r="B417" s="23" t="s">
        <v>331</v>
      </c>
      <c r="C417" s="4" t="str">
        <f t="shared" si="1"/>
        <v>Diputados UDI: "El INDH se transformó en un problema para la democracia cuando fue capturado por el PC y el FA"</v>
      </c>
      <c r="D417" s="22">
        <f t="shared" si="2"/>
        <v>111</v>
      </c>
      <c r="E417" s="4">
        <f>IF(IFERROR(VLOOKUP(LEFT(C417,14),consolidado!D:D,1,0),0)&gt;0,1,0)</f>
        <v>1</v>
      </c>
      <c r="F417" s="4" t="str">
        <f>VLOOKUP(LEFT(C417,14),consolidado!D:D,1,0)</f>
        <v>Diputados UDI:</v>
      </c>
    </row>
    <row r="418" ht="15.75" customHeight="1">
      <c r="B418" s="24" t="s">
        <v>307</v>
      </c>
      <c r="C418" s="4" t="str">
        <f t="shared" si="1"/>
        <v>Hace 10 días</v>
      </c>
      <c r="D418" s="22">
        <f t="shared" si="2"/>
        <v>12</v>
      </c>
      <c r="E418" s="4">
        <f>IF(IFERROR(VLOOKUP(LEFT(C418,14),consolidado!D:D,1,0),0)&gt;0,1,0)</f>
        <v>0</v>
      </c>
      <c r="F418" s="4" t="str">
        <f>VLOOKUP(LEFT(C418,14),consolidado!D:D,1,0)</f>
        <v>#N/A</v>
      </c>
    </row>
    <row r="419" ht="15.75" customHeight="1">
      <c r="B419" s="24" t="s">
        <v>308</v>
      </c>
      <c r="C419" s="4" t="str">
        <f t="shared" si="1"/>
        <v>bookmark_border</v>
      </c>
      <c r="D419" s="22">
        <f t="shared" si="2"/>
        <v>15</v>
      </c>
      <c r="E419" s="4">
        <f>IF(IFERROR(VLOOKUP(LEFT(C419,14),consolidado!D:D,1,0),0)&gt;0,1,0)</f>
        <v>0</v>
      </c>
      <c r="F419" s="4" t="str">
        <f>VLOOKUP(LEFT(C419,14),consolidado!D:D,1,0)</f>
        <v>#N/A</v>
      </c>
    </row>
    <row r="420" ht="15.75" customHeight="1">
      <c r="B420" s="24" t="s">
        <v>309</v>
      </c>
      <c r="C420" s="4" t="str">
        <f t="shared" si="1"/>
        <v>share</v>
      </c>
      <c r="D420" s="22">
        <f t="shared" si="2"/>
        <v>5</v>
      </c>
      <c r="E420" s="4">
        <f>IF(IFERROR(VLOOKUP(LEFT(C420,14),consolidado!D:D,1,0),0)&gt;0,1,0)</f>
        <v>0</v>
      </c>
      <c r="F420" s="4" t="str">
        <f>VLOOKUP(LEFT(C420,14),consolidado!D:D,1,0)</f>
        <v>#N/A</v>
      </c>
    </row>
    <row r="421" ht="15.75" customHeight="1">
      <c r="B421" s="28"/>
      <c r="C421" s="4" t="str">
        <f t="shared" si="1"/>
        <v>more_vert</v>
      </c>
      <c r="D421" s="22">
        <f t="shared" si="2"/>
        <v>9</v>
      </c>
      <c r="E421" s="4">
        <f>IF(IFERROR(VLOOKUP(LEFT(C421,14),consolidado!D:D,1,0),0)&gt;0,1,0)</f>
        <v>0</v>
      </c>
      <c r="F421" s="4" t="str">
        <f>VLOOKUP(LEFT(C421,14),consolidado!D:D,1,0)</f>
        <v>#N/A</v>
      </c>
    </row>
    <row r="422" ht="15.75" customHeight="1">
      <c r="B422" s="32"/>
      <c r="C422" s="4" t="str">
        <f t="shared" si="1"/>
        <v/>
      </c>
      <c r="D422" s="22">
        <f t="shared" si="2"/>
        <v>0</v>
      </c>
      <c r="E422" s="4">
        <f>IF(IFERROR(VLOOKUP(LEFT(C422,14),consolidado!D:D,1,0),0)&gt;0,1,0)</f>
        <v>1</v>
      </c>
      <c r="F422" s="4" t="str">
        <f>VLOOKUP(LEFT(C422,14),consolidado!D:D,1,0)</f>
        <v/>
      </c>
    </row>
    <row r="423" ht="15.75" customHeight="1">
      <c r="B423" s="21" t="s">
        <v>125</v>
      </c>
      <c r="C423" s="4" t="str">
        <f t="shared" si="1"/>
        <v/>
      </c>
      <c r="D423" s="22">
        <f t="shared" si="2"/>
        <v>0</v>
      </c>
      <c r="E423" s="4">
        <f>IF(IFERROR(VLOOKUP(LEFT(C423,14),consolidado!D:D,1,0),0)&gt;0,1,0)</f>
        <v>1</v>
      </c>
      <c r="F423" s="4" t="str">
        <f>VLOOKUP(LEFT(C423,14),consolidado!D:D,1,0)</f>
        <v/>
      </c>
    </row>
    <row r="424" ht="15.75" customHeight="1">
      <c r="B424" s="29">
        <v>44791.0</v>
      </c>
      <c r="C424" s="4" t="str">
        <f t="shared" si="1"/>
        <v>“Le rogaría que me explicara…”: la dura pregunta que José Luis Repenning le arrojó a Camila Flores por debate sobre test de drogas a diputados</v>
      </c>
      <c r="D424" s="22">
        <f t="shared" si="2"/>
        <v>145</v>
      </c>
      <c r="E424" s="4">
        <f>IF(IFERROR(VLOOKUP(LEFT(C424,14),consolidado!D:D,1,0),0)&gt;0,1,0)</f>
        <v>1</v>
      </c>
      <c r="F424" s="4" t="str">
        <f>VLOOKUP(LEFT(C424,14),consolidado!D:D,1,0)</f>
        <v>“Le rogaría qu</v>
      </c>
    </row>
    <row r="425" ht="15.75" customHeight="1">
      <c r="B425" s="24" t="s">
        <v>307</v>
      </c>
      <c r="C425" s="4" t="str">
        <f t="shared" si="1"/>
        <v>44791</v>
      </c>
      <c r="D425" s="22">
        <f t="shared" si="2"/>
        <v>5</v>
      </c>
      <c r="E425" s="4">
        <f>IF(IFERROR(VLOOKUP(LEFT(C425,14),consolidado!D:D,1,0),0)&gt;0,1,0)</f>
        <v>0</v>
      </c>
      <c r="F425" s="4" t="str">
        <f>VLOOKUP(LEFT(C425,14),consolidado!D:D,1,0)</f>
        <v>#N/A</v>
      </c>
    </row>
    <row r="426" ht="15.75" customHeight="1">
      <c r="B426" s="24" t="s">
        <v>308</v>
      </c>
      <c r="C426" s="4" t="str">
        <f t="shared" si="1"/>
        <v>bookmark_border</v>
      </c>
      <c r="D426" s="22">
        <f t="shared" si="2"/>
        <v>15</v>
      </c>
      <c r="E426" s="4">
        <f>IF(IFERROR(VLOOKUP(LEFT(C426,14),consolidado!D:D,1,0),0)&gt;0,1,0)</f>
        <v>0</v>
      </c>
      <c r="F426" s="4" t="str">
        <f>VLOOKUP(LEFT(C426,14),consolidado!D:D,1,0)</f>
        <v>#N/A</v>
      </c>
    </row>
    <row r="427" ht="15.75" customHeight="1">
      <c r="B427" s="24" t="s">
        <v>309</v>
      </c>
      <c r="C427" s="4" t="str">
        <f t="shared" si="1"/>
        <v>share</v>
      </c>
      <c r="D427" s="22">
        <f t="shared" si="2"/>
        <v>5</v>
      </c>
      <c r="E427" s="4">
        <f>IF(IFERROR(VLOOKUP(LEFT(C427,14),consolidado!D:D,1,0),0)&gt;0,1,0)</f>
        <v>0</v>
      </c>
      <c r="F427" s="4" t="str">
        <f>VLOOKUP(LEFT(C427,14),consolidado!D:D,1,0)</f>
        <v>#N/A</v>
      </c>
    </row>
    <row r="428" ht="15.75" customHeight="1">
      <c r="B428" s="28"/>
      <c r="C428" s="4" t="str">
        <f t="shared" si="1"/>
        <v>more_vert</v>
      </c>
      <c r="D428" s="22">
        <f t="shared" si="2"/>
        <v>9</v>
      </c>
      <c r="E428" s="4">
        <f>IF(IFERROR(VLOOKUP(LEFT(C428,14),consolidado!D:D,1,0),0)&gt;0,1,0)</f>
        <v>0</v>
      </c>
      <c r="F428" s="4" t="str">
        <f>VLOOKUP(LEFT(C428,14),consolidado!D:D,1,0)</f>
        <v>#N/A</v>
      </c>
    </row>
    <row r="429" ht="15.75" customHeight="1">
      <c r="B429" s="32"/>
      <c r="C429" s="4" t="str">
        <f t="shared" si="1"/>
        <v/>
      </c>
      <c r="D429" s="22">
        <f t="shared" si="2"/>
        <v>0</v>
      </c>
      <c r="E429" s="4">
        <f>IF(IFERROR(VLOOKUP(LEFT(C429,14),consolidado!D:D,1,0),0)&gt;0,1,0)</f>
        <v>1</v>
      </c>
      <c r="F429" s="4" t="str">
        <f>VLOOKUP(LEFT(C429,14),consolidado!D:D,1,0)</f>
        <v/>
      </c>
    </row>
    <row r="430" ht="15.75" customHeight="1">
      <c r="B430" s="21" t="s">
        <v>149</v>
      </c>
      <c r="C430" s="4" t="str">
        <f t="shared" si="1"/>
        <v/>
      </c>
      <c r="D430" s="22">
        <f t="shared" si="2"/>
        <v>0</v>
      </c>
      <c r="E430" s="4">
        <f>IF(IFERROR(VLOOKUP(LEFT(C430,14),consolidado!D:D,1,0),0)&gt;0,1,0)</f>
        <v>1</v>
      </c>
      <c r="F430" s="4" t="str">
        <f>VLOOKUP(LEFT(C430,14),consolidado!D:D,1,0)</f>
        <v/>
      </c>
    </row>
    <row r="431" ht="15.75" customHeight="1">
      <c r="B431" s="29">
        <v>44858.0</v>
      </c>
      <c r="C431" s="4" t="str">
        <f t="shared" si="1"/>
        <v>Emilia Schneider se refirió a su adicción a las drogas en la adolescencia: "Consumí muchas sustancias pelig...</v>
      </c>
      <c r="D431" s="22">
        <f t="shared" si="2"/>
        <v>110</v>
      </c>
      <c r="E431" s="4">
        <f>IF(IFERROR(VLOOKUP(LEFT(C431,14),consolidado!D:D,1,0),0)&gt;0,1,0)</f>
        <v>1</v>
      </c>
      <c r="F431" s="4" t="str">
        <f>VLOOKUP(LEFT(C431,14),consolidado!D:D,1,0)</f>
        <v>Emilia Schneid</v>
      </c>
    </row>
    <row r="432" ht="15.75" customHeight="1">
      <c r="B432" s="24" t="s">
        <v>307</v>
      </c>
      <c r="C432" s="4" t="str">
        <f t="shared" si="1"/>
        <v>44858</v>
      </c>
      <c r="D432" s="22">
        <f t="shared" si="2"/>
        <v>5</v>
      </c>
      <c r="E432" s="4">
        <f>IF(IFERROR(VLOOKUP(LEFT(C432,14),consolidado!D:D,1,0),0)&gt;0,1,0)</f>
        <v>0</v>
      </c>
      <c r="F432" s="4" t="str">
        <f>VLOOKUP(LEFT(C432,14),consolidado!D:D,1,0)</f>
        <v>#N/A</v>
      </c>
    </row>
    <row r="433" ht="15.75" customHeight="1">
      <c r="B433" s="24" t="s">
        <v>308</v>
      </c>
      <c r="C433" s="4" t="str">
        <f t="shared" si="1"/>
        <v>bookmark_border</v>
      </c>
      <c r="D433" s="22">
        <f t="shared" si="2"/>
        <v>15</v>
      </c>
      <c r="E433" s="4">
        <f>IF(IFERROR(VLOOKUP(LEFT(C433,14),consolidado!D:D,1,0),0)&gt;0,1,0)</f>
        <v>0</v>
      </c>
      <c r="F433" s="4" t="str">
        <f>VLOOKUP(LEFT(C433,14),consolidado!D:D,1,0)</f>
        <v>#N/A</v>
      </c>
    </row>
    <row r="434" ht="15.75" customHeight="1">
      <c r="B434" s="24" t="s">
        <v>309</v>
      </c>
      <c r="C434" s="4" t="str">
        <f t="shared" si="1"/>
        <v>share</v>
      </c>
      <c r="D434" s="22">
        <f t="shared" si="2"/>
        <v>5</v>
      </c>
      <c r="E434" s="4">
        <f>IF(IFERROR(VLOOKUP(LEFT(C434,14),consolidado!D:D,1,0),0)&gt;0,1,0)</f>
        <v>0</v>
      </c>
      <c r="F434" s="4" t="str">
        <f>VLOOKUP(LEFT(C434,14),consolidado!D:D,1,0)</f>
        <v>#N/A</v>
      </c>
    </row>
    <row r="435" ht="15.75" customHeight="1">
      <c r="B435" s="28"/>
      <c r="C435" s="4" t="str">
        <f t="shared" si="1"/>
        <v>more_vert</v>
      </c>
      <c r="D435" s="22">
        <f t="shared" si="2"/>
        <v>9</v>
      </c>
      <c r="E435" s="4">
        <f>IF(IFERROR(VLOOKUP(LEFT(C435,14),consolidado!D:D,1,0),0)&gt;0,1,0)</f>
        <v>0</v>
      </c>
      <c r="F435" s="4" t="str">
        <f>VLOOKUP(LEFT(C435,14),consolidado!D:D,1,0)</f>
        <v>#N/A</v>
      </c>
    </row>
    <row r="436" ht="15.75" customHeight="1">
      <c r="B436" s="32"/>
      <c r="C436" s="4" t="str">
        <f t="shared" si="1"/>
        <v/>
      </c>
      <c r="D436" s="22">
        <f t="shared" si="2"/>
        <v>0</v>
      </c>
      <c r="E436" s="4">
        <f>IF(IFERROR(VLOOKUP(LEFT(C436,14),consolidado!D:D,1,0),0)&gt;0,1,0)</f>
        <v>1</v>
      </c>
      <c r="F436" s="4" t="str">
        <f>VLOOKUP(LEFT(C436,14),consolidado!D:D,1,0)</f>
        <v/>
      </c>
    </row>
    <row r="437" ht="15.75" customHeight="1">
      <c r="B437" s="21" t="s">
        <v>155</v>
      </c>
      <c r="C437" s="4" t="str">
        <f t="shared" si="1"/>
        <v/>
      </c>
      <c r="D437" s="22">
        <f t="shared" si="2"/>
        <v>0</v>
      </c>
      <c r="E437" s="4">
        <f>IF(IFERROR(VLOOKUP(LEFT(C437,14),consolidado!D:D,1,0),0)&gt;0,1,0)</f>
        <v>1</v>
      </c>
      <c r="F437" s="4" t="str">
        <f>VLOOKUP(LEFT(C437,14),consolidado!D:D,1,0)</f>
        <v/>
      </c>
    </row>
    <row r="438" ht="15.75" customHeight="1">
      <c r="B438" s="29">
        <v>44773.0</v>
      </c>
      <c r="C438" s="4" t="str">
        <f t="shared" si="1"/>
        <v>La polémica entre Kast y Sáez por el consumo de marihuana del diputado RD</v>
      </c>
      <c r="D438" s="22">
        <f t="shared" si="2"/>
        <v>73</v>
      </c>
      <c r="E438" s="4">
        <f>IF(IFERROR(VLOOKUP(LEFT(C438,14),consolidado!D:D,1,0),0)&gt;0,1,0)</f>
        <v>1</v>
      </c>
      <c r="F438" s="4" t="str">
        <f>VLOOKUP(LEFT(C438,14),consolidado!D:D,1,0)</f>
        <v>La polémica en</v>
      </c>
    </row>
    <row r="439" ht="15.75" customHeight="1">
      <c r="B439" s="24" t="s">
        <v>307</v>
      </c>
      <c r="C439" s="4" t="str">
        <f t="shared" si="1"/>
        <v>44773</v>
      </c>
      <c r="D439" s="22">
        <f t="shared" si="2"/>
        <v>5</v>
      </c>
      <c r="E439" s="4">
        <f>IF(IFERROR(VLOOKUP(LEFT(C439,14),consolidado!D:D,1,0),0)&gt;0,1,0)</f>
        <v>0</v>
      </c>
      <c r="F439" s="4" t="str">
        <f>VLOOKUP(LEFT(C439,14),consolidado!D:D,1,0)</f>
        <v>#N/A</v>
      </c>
    </row>
    <row r="440" ht="15.75" customHeight="1">
      <c r="B440" s="24" t="s">
        <v>308</v>
      </c>
      <c r="C440" s="4" t="str">
        <f t="shared" si="1"/>
        <v>bookmark_border</v>
      </c>
      <c r="D440" s="22">
        <f t="shared" si="2"/>
        <v>15</v>
      </c>
      <c r="E440" s="4">
        <f>IF(IFERROR(VLOOKUP(LEFT(C440,14),consolidado!D:D,1,0),0)&gt;0,1,0)</f>
        <v>0</v>
      </c>
      <c r="F440" s="4" t="str">
        <f>VLOOKUP(LEFT(C440,14),consolidado!D:D,1,0)</f>
        <v>#N/A</v>
      </c>
    </row>
    <row r="441" ht="15.75" customHeight="1">
      <c r="B441" s="24" t="s">
        <v>309</v>
      </c>
      <c r="C441" s="4" t="str">
        <f t="shared" si="1"/>
        <v>share</v>
      </c>
      <c r="D441" s="22">
        <f t="shared" si="2"/>
        <v>5</v>
      </c>
      <c r="E441" s="4">
        <f>IF(IFERROR(VLOOKUP(LEFT(C441,14),consolidado!D:D,1,0),0)&gt;0,1,0)</f>
        <v>0</v>
      </c>
      <c r="F441" s="4" t="str">
        <f>VLOOKUP(LEFT(C441,14),consolidado!D:D,1,0)</f>
        <v>#N/A</v>
      </c>
    </row>
    <row r="442" ht="15.75" customHeight="1">
      <c r="B442" s="28"/>
      <c r="C442" s="4" t="str">
        <f t="shared" si="1"/>
        <v>more_vert</v>
      </c>
      <c r="D442" s="22">
        <f t="shared" si="2"/>
        <v>9</v>
      </c>
      <c r="E442" s="4">
        <f>IF(IFERROR(VLOOKUP(LEFT(C442,14),consolidado!D:D,1,0),0)&gt;0,1,0)</f>
        <v>0</v>
      </c>
      <c r="F442" s="4" t="str">
        <f>VLOOKUP(LEFT(C442,14),consolidado!D:D,1,0)</f>
        <v>#N/A</v>
      </c>
    </row>
    <row r="443" ht="15.75" customHeight="1">
      <c r="B443" s="32"/>
      <c r="C443" s="4" t="str">
        <f t="shared" si="1"/>
        <v/>
      </c>
      <c r="D443" s="22">
        <f t="shared" si="2"/>
        <v>0</v>
      </c>
      <c r="E443" s="4">
        <f>IF(IFERROR(VLOOKUP(LEFT(C443,14),consolidado!D:D,1,0),0)&gt;0,1,0)</f>
        <v>1</v>
      </c>
      <c r="F443" s="4" t="str">
        <f>VLOOKUP(LEFT(C443,14),consolidado!D:D,1,0)</f>
        <v/>
      </c>
    </row>
    <row r="444" ht="15.75" customHeight="1">
      <c r="B444" s="21" t="s">
        <v>166</v>
      </c>
      <c r="C444" s="4" t="str">
        <f t="shared" si="1"/>
        <v/>
      </c>
      <c r="D444" s="22">
        <f t="shared" si="2"/>
        <v>0</v>
      </c>
      <c r="E444" s="4">
        <f>IF(IFERROR(VLOOKUP(LEFT(C444,14),consolidado!D:D,1,0),0)&gt;0,1,0)</f>
        <v>1</v>
      </c>
      <c r="F444" s="4" t="str">
        <f>VLOOKUP(LEFT(C444,14),consolidado!D:D,1,0)</f>
        <v/>
      </c>
    </row>
    <row r="445" ht="15.75" customHeight="1">
      <c r="B445" s="33">
        <v>43998.0</v>
      </c>
      <c r="C445" s="4" t="str">
        <f t="shared" si="1"/>
        <v>El Senado vetó los controles de droga como los que pide Vox para no ofender a los parlamentarios</v>
      </c>
      <c r="D445" s="22">
        <f t="shared" si="2"/>
        <v>96</v>
      </c>
      <c r="E445" s="4">
        <f>IF(IFERROR(VLOOKUP(LEFT(C445,14),consolidado!D:D,1,0),0)&gt;0,1,0)</f>
        <v>1</v>
      </c>
      <c r="F445" s="4" t="str">
        <f>VLOOKUP(LEFT(C445,14),consolidado!D:D,1,0)</f>
        <v>El Senado vetó</v>
      </c>
    </row>
    <row r="446" ht="15.75" customHeight="1">
      <c r="B446" s="24" t="s">
        <v>307</v>
      </c>
      <c r="C446" s="4" t="str">
        <f t="shared" si="1"/>
        <v>43998</v>
      </c>
      <c r="D446" s="22">
        <f t="shared" si="2"/>
        <v>5</v>
      </c>
      <c r="E446" s="4">
        <f>IF(IFERROR(VLOOKUP(LEFT(C446,14),consolidado!D:D,1,0),0)&gt;0,1,0)</f>
        <v>0</v>
      </c>
      <c r="F446" s="4" t="str">
        <f>VLOOKUP(LEFT(C446,14),consolidado!D:D,1,0)</f>
        <v>#N/A</v>
      </c>
    </row>
    <row r="447" ht="15.75" customHeight="1">
      <c r="B447" s="24" t="s">
        <v>308</v>
      </c>
      <c r="C447" s="4" t="str">
        <f t="shared" si="1"/>
        <v>bookmark_border</v>
      </c>
      <c r="D447" s="22">
        <f t="shared" si="2"/>
        <v>15</v>
      </c>
      <c r="E447" s="4">
        <f>IF(IFERROR(VLOOKUP(LEFT(C447,14),consolidado!D:D,1,0),0)&gt;0,1,0)</f>
        <v>0</v>
      </c>
      <c r="F447" s="4" t="str">
        <f>VLOOKUP(LEFT(C447,14),consolidado!D:D,1,0)</f>
        <v>#N/A</v>
      </c>
    </row>
    <row r="448" ht="15.75" customHeight="1">
      <c r="B448" s="24" t="s">
        <v>309</v>
      </c>
      <c r="C448" s="4" t="str">
        <f t="shared" si="1"/>
        <v>share</v>
      </c>
      <c r="D448" s="22">
        <f t="shared" si="2"/>
        <v>5</v>
      </c>
      <c r="E448" s="4">
        <f>IF(IFERROR(VLOOKUP(LEFT(C448,14),consolidado!D:D,1,0),0)&gt;0,1,0)</f>
        <v>0</v>
      </c>
      <c r="F448" s="4" t="str">
        <f>VLOOKUP(LEFT(C448,14),consolidado!D:D,1,0)</f>
        <v>#N/A</v>
      </c>
    </row>
    <row r="449" ht="15.75" customHeight="1">
      <c r="B449" s="28"/>
      <c r="C449" s="4" t="str">
        <f t="shared" si="1"/>
        <v>more_vert</v>
      </c>
      <c r="D449" s="22">
        <f t="shared" si="2"/>
        <v>9</v>
      </c>
      <c r="E449" s="4">
        <f>IF(IFERROR(VLOOKUP(LEFT(C449,14),consolidado!D:D,1,0),0)&gt;0,1,0)</f>
        <v>0</v>
      </c>
      <c r="F449" s="4" t="str">
        <f>VLOOKUP(LEFT(C449,14),consolidado!D:D,1,0)</f>
        <v>#N/A</v>
      </c>
    </row>
    <row r="450" ht="15.75" customHeight="1">
      <c r="B450" s="32"/>
      <c r="C450" s="4" t="str">
        <f t="shared" si="1"/>
        <v/>
      </c>
      <c r="D450" s="22">
        <f t="shared" si="2"/>
        <v>0</v>
      </c>
      <c r="E450" s="4">
        <f>IF(IFERROR(VLOOKUP(LEFT(C450,14),consolidado!D:D,1,0),0)&gt;0,1,0)</f>
        <v>1</v>
      </c>
      <c r="F450" s="4" t="str">
        <f>VLOOKUP(LEFT(C450,14),consolidado!D:D,1,0)</f>
        <v/>
      </c>
    </row>
    <row r="451" ht="15.75" customHeight="1">
      <c r="B451" s="21" t="s">
        <v>151</v>
      </c>
      <c r="C451" s="4" t="str">
        <f t="shared" si="1"/>
        <v/>
      </c>
      <c r="D451" s="22">
        <f t="shared" si="2"/>
        <v>0</v>
      </c>
      <c r="E451" s="4">
        <f>IF(IFERROR(VLOOKUP(LEFT(C451,14),consolidado!D:D,1,0),0)&gt;0,1,0)</f>
        <v>1</v>
      </c>
      <c r="F451" s="4" t="str">
        <f>VLOOKUP(LEFT(C451,14),consolidado!D:D,1,0)</f>
        <v/>
      </c>
    </row>
    <row r="452" ht="15.75" customHeight="1">
      <c r="B452" s="29">
        <v>44728.0</v>
      </c>
      <c r="C452" s="4" t="str">
        <f t="shared" si="1"/>
        <v>"No voy a satanizar el consumo de drogas": José Antonio Neme admitió haber probado marihuana</v>
      </c>
      <c r="D452" s="22">
        <f t="shared" si="2"/>
        <v>92</v>
      </c>
      <c r="E452" s="4">
        <f>IF(IFERROR(VLOOKUP(LEFT(C452,14),consolidado!D:D,1,0),0)&gt;0,1,0)</f>
        <v>1</v>
      </c>
      <c r="F452" s="4" t="str">
        <f>VLOOKUP(LEFT(C452,14),consolidado!D:D,1,0)</f>
        <v>"No voy a sata</v>
      </c>
    </row>
    <row r="453" ht="15.75" customHeight="1">
      <c r="B453" s="24" t="s">
        <v>307</v>
      </c>
      <c r="C453" s="4" t="str">
        <f t="shared" si="1"/>
        <v>44728</v>
      </c>
      <c r="D453" s="22">
        <f t="shared" si="2"/>
        <v>5</v>
      </c>
      <c r="E453" s="4">
        <f>IF(IFERROR(VLOOKUP(LEFT(C453,14),consolidado!D:D,1,0),0)&gt;0,1,0)</f>
        <v>0</v>
      </c>
      <c r="F453" s="4" t="str">
        <f>VLOOKUP(LEFT(C453,14),consolidado!D:D,1,0)</f>
        <v>#N/A</v>
      </c>
    </row>
    <row r="454" ht="15.75" customHeight="1">
      <c r="B454" s="24" t="s">
        <v>308</v>
      </c>
      <c r="C454" s="4" t="str">
        <f t="shared" si="1"/>
        <v>bookmark_border</v>
      </c>
      <c r="D454" s="22">
        <f t="shared" si="2"/>
        <v>15</v>
      </c>
      <c r="E454" s="4">
        <f>IF(IFERROR(VLOOKUP(LEFT(C454,14),consolidado!D:D,1,0),0)&gt;0,1,0)</f>
        <v>0</v>
      </c>
      <c r="F454" s="4" t="str">
        <f>VLOOKUP(LEFT(C454,14),consolidado!D:D,1,0)</f>
        <v>#N/A</v>
      </c>
    </row>
    <row r="455" ht="15.75" customHeight="1">
      <c r="B455" s="24" t="s">
        <v>309</v>
      </c>
      <c r="C455" s="4" t="str">
        <f t="shared" si="1"/>
        <v>share</v>
      </c>
      <c r="D455" s="22">
        <f t="shared" si="2"/>
        <v>5</v>
      </c>
      <c r="E455" s="4">
        <f>IF(IFERROR(VLOOKUP(LEFT(C455,14),consolidado!D:D,1,0),0)&gt;0,1,0)</f>
        <v>0</v>
      </c>
      <c r="F455" s="4" t="str">
        <f>VLOOKUP(LEFT(C455,14),consolidado!D:D,1,0)</f>
        <v>#N/A</v>
      </c>
    </row>
    <row r="456" ht="15.75" customHeight="1">
      <c r="B456" s="28"/>
      <c r="C456" s="4" t="str">
        <f t="shared" si="1"/>
        <v>more_vert</v>
      </c>
      <c r="D456" s="22">
        <f t="shared" si="2"/>
        <v>9</v>
      </c>
      <c r="E456" s="4">
        <f>IF(IFERROR(VLOOKUP(LEFT(C456,14),consolidado!D:D,1,0),0)&gt;0,1,0)</f>
        <v>0</v>
      </c>
      <c r="F456" s="4" t="str">
        <f>VLOOKUP(LEFT(C456,14),consolidado!D:D,1,0)</f>
        <v>#N/A</v>
      </c>
    </row>
    <row r="457" ht="15.75" customHeight="1">
      <c r="B457" s="32"/>
      <c r="C457" s="4" t="str">
        <f t="shared" si="1"/>
        <v/>
      </c>
      <c r="D457" s="22">
        <f t="shared" si="2"/>
        <v>0</v>
      </c>
      <c r="E457" s="4">
        <f>IF(IFERROR(VLOOKUP(LEFT(C457,14),consolidado!D:D,1,0),0)&gt;0,1,0)</f>
        <v>1</v>
      </c>
      <c r="F457" s="4" t="str">
        <f>VLOOKUP(LEFT(C457,14),consolidado!D:D,1,0)</f>
        <v/>
      </c>
    </row>
    <row r="458" ht="15.75" customHeight="1">
      <c r="B458" s="21" t="s">
        <v>145</v>
      </c>
      <c r="C458" s="4" t="str">
        <f t="shared" si="1"/>
        <v/>
      </c>
      <c r="D458" s="22">
        <f t="shared" si="2"/>
        <v>0</v>
      </c>
      <c r="E458" s="4">
        <f>IF(IFERROR(VLOOKUP(LEFT(C458,14),consolidado!D:D,1,0),0)&gt;0,1,0)</f>
        <v>1</v>
      </c>
      <c r="F458" s="4" t="str">
        <f>VLOOKUP(LEFT(C458,14),consolidado!D:D,1,0)</f>
        <v/>
      </c>
    </row>
    <row r="459" ht="15.75" customHeight="1">
      <c r="B459" s="29">
        <v>44791.0</v>
      </c>
      <c r="C459" s="4" t="str">
        <f t="shared" si="1"/>
        <v>¿Qué dice la ley (y el reglamento de la Cámara) sobre el consumo de alcohol en el trabajo?</v>
      </c>
      <c r="D459" s="22">
        <f t="shared" si="2"/>
        <v>90</v>
      </c>
      <c r="E459" s="4">
        <f>IF(IFERROR(VLOOKUP(LEFT(C459,14),consolidado!D:D,1,0),0)&gt;0,1,0)</f>
        <v>1</v>
      </c>
      <c r="F459" s="4" t="str">
        <f>VLOOKUP(LEFT(C459,14),consolidado!D:D,1,0)</f>
        <v>¿Qué dice la l</v>
      </c>
    </row>
    <row r="460" ht="15.75" customHeight="1">
      <c r="B460" s="24" t="s">
        <v>307</v>
      </c>
      <c r="C460" s="4" t="str">
        <f t="shared" si="1"/>
        <v>44791</v>
      </c>
      <c r="D460" s="22">
        <f t="shared" si="2"/>
        <v>5</v>
      </c>
      <c r="E460" s="4">
        <f>IF(IFERROR(VLOOKUP(LEFT(C460,14),consolidado!D:D,1,0),0)&gt;0,1,0)</f>
        <v>0</v>
      </c>
      <c r="F460" s="4" t="str">
        <f>VLOOKUP(LEFT(C460,14),consolidado!D:D,1,0)</f>
        <v>#N/A</v>
      </c>
    </row>
    <row r="461" ht="15.75" customHeight="1">
      <c r="B461" s="24" t="s">
        <v>308</v>
      </c>
      <c r="C461" s="4" t="str">
        <f t="shared" si="1"/>
        <v>bookmark_border</v>
      </c>
      <c r="D461" s="22">
        <f t="shared" si="2"/>
        <v>15</v>
      </c>
      <c r="E461" s="4">
        <f>IF(IFERROR(VLOOKUP(LEFT(C461,14),consolidado!D:D,1,0),0)&gt;0,1,0)</f>
        <v>0</v>
      </c>
      <c r="F461" s="4" t="str">
        <f>VLOOKUP(LEFT(C461,14),consolidado!D:D,1,0)</f>
        <v>#N/A</v>
      </c>
    </row>
    <row r="462" ht="15.75" customHeight="1">
      <c r="B462" s="24" t="s">
        <v>309</v>
      </c>
      <c r="C462" s="4" t="str">
        <f t="shared" si="1"/>
        <v>share</v>
      </c>
      <c r="D462" s="22">
        <f t="shared" si="2"/>
        <v>5</v>
      </c>
      <c r="E462" s="4">
        <f>IF(IFERROR(VLOOKUP(LEFT(C462,14),consolidado!D:D,1,0),0)&gt;0,1,0)</f>
        <v>0</v>
      </c>
      <c r="F462" s="4" t="str">
        <f>VLOOKUP(LEFT(C462,14),consolidado!D:D,1,0)</f>
        <v>#N/A</v>
      </c>
    </row>
    <row r="463" ht="15.75" customHeight="1">
      <c r="B463" s="28"/>
      <c r="C463" s="4" t="str">
        <f t="shared" si="1"/>
        <v>more_vert</v>
      </c>
      <c r="D463" s="22">
        <f t="shared" si="2"/>
        <v>9</v>
      </c>
      <c r="E463" s="4">
        <f>IF(IFERROR(VLOOKUP(LEFT(C463,14),consolidado!D:D,1,0),0)&gt;0,1,0)</f>
        <v>0</v>
      </c>
      <c r="F463" s="4" t="str">
        <f>VLOOKUP(LEFT(C463,14),consolidado!D:D,1,0)</f>
        <v>#N/A</v>
      </c>
    </row>
    <row r="464" ht="15.75" customHeight="1">
      <c r="B464" s="32"/>
      <c r="C464" s="4" t="str">
        <f t="shared" si="1"/>
        <v/>
      </c>
      <c r="D464" s="22">
        <f t="shared" si="2"/>
        <v>0</v>
      </c>
      <c r="E464" s="4">
        <f>IF(IFERROR(VLOOKUP(LEFT(C464,14),consolidado!D:D,1,0),0)&gt;0,1,0)</f>
        <v>1</v>
      </c>
      <c r="F464" s="4" t="str">
        <f>VLOOKUP(LEFT(C464,14),consolidado!D:D,1,0)</f>
        <v/>
      </c>
    </row>
    <row r="465" ht="15.75" customHeight="1">
      <c r="B465" s="21" t="s">
        <v>153</v>
      </c>
      <c r="C465" s="4" t="str">
        <f t="shared" si="1"/>
        <v/>
      </c>
      <c r="D465" s="22">
        <f t="shared" si="2"/>
        <v>0</v>
      </c>
      <c r="E465" s="4">
        <f>IF(IFERROR(VLOOKUP(LEFT(C465,14),consolidado!D:D,1,0),0)&gt;0,1,0)</f>
        <v>1</v>
      </c>
      <c r="F465" s="4" t="str">
        <f>VLOOKUP(LEFT(C465,14),consolidado!D:D,1,0)</f>
        <v/>
      </c>
    </row>
    <row r="466" ht="15.75" customHeight="1">
      <c r="B466" s="29">
        <v>44797.0</v>
      </c>
      <c r="C466" s="4" t="str">
        <f t="shared" si="1"/>
        <v>Francisco Pulgar es el primer diputado del Maule que se someterse al test de drogas</v>
      </c>
      <c r="D466" s="22">
        <f t="shared" si="2"/>
        <v>83</v>
      </c>
      <c r="E466" s="4">
        <f>IF(IFERROR(VLOOKUP(LEFT(C466,14),consolidado!D:D,1,0),0)&gt;0,1,0)</f>
        <v>1</v>
      </c>
      <c r="F466" s="4" t="str">
        <f>VLOOKUP(LEFT(C466,14),consolidado!D:D,1,0)</f>
        <v>Francisco Pulg</v>
      </c>
    </row>
    <row r="467" ht="15.75" customHeight="1">
      <c r="B467" s="24" t="s">
        <v>307</v>
      </c>
      <c r="C467" s="4" t="str">
        <f t="shared" si="1"/>
        <v>44797</v>
      </c>
      <c r="D467" s="22">
        <f t="shared" si="2"/>
        <v>5</v>
      </c>
      <c r="E467" s="4">
        <f>IF(IFERROR(VLOOKUP(LEFT(C467,14),consolidado!D:D,1,0),0)&gt;0,1,0)</f>
        <v>0</v>
      </c>
      <c r="F467" s="4" t="str">
        <f>VLOOKUP(LEFT(C467,14),consolidado!D:D,1,0)</f>
        <v>#N/A</v>
      </c>
    </row>
    <row r="468" ht="15.75" customHeight="1">
      <c r="B468" s="24" t="s">
        <v>308</v>
      </c>
      <c r="C468" s="4" t="str">
        <f t="shared" si="1"/>
        <v>bookmark_border</v>
      </c>
      <c r="D468" s="22">
        <f t="shared" si="2"/>
        <v>15</v>
      </c>
      <c r="E468" s="4">
        <f>IF(IFERROR(VLOOKUP(LEFT(C468,14),consolidado!D:D,1,0),0)&gt;0,1,0)</f>
        <v>0</v>
      </c>
      <c r="F468" s="4" t="str">
        <f>VLOOKUP(LEFT(C468,14),consolidado!D:D,1,0)</f>
        <v>#N/A</v>
      </c>
    </row>
    <row r="469" ht="15.75" customHeight="1">
      <c r="B469" s="24" t="s">
        <v>309</v>
      </c>
      <c r="C469" s="4" t="str">
        <f t="shared" si="1"/>
        <v>share</v>
      </c>
      <c r="D469" s="22">
        <f t="shared" si="2"/>
        <v>5</v>
      </c>
      <c r="E469" s="4">
        <f>IF(IFERROR(VLOOKUP(LEFT(C469,14),consolidado!D:D,1,0),0)&gt;0,1,0)</f>
        <v>0</v>
      </c>
      <c r="F469" s="4" t="str">
        <f>VLOOKUP(LEFT(C469,14),consolidado!D:D,1,0)</f>
        <v>#N/A</v>
      </c>
    </row>
    <row r="470" ht="15.75" customHeight="1">
      <c r="B470" s="28"/>
      <c r="C470" s="4" t="str">
        <f t="shared" si="1"/>
        <v>more_vert</v>
      </c>
      <c r="D470" s="22">
        <f t="shared" si="2"/>
        <v>9</v>
      </c>
      <c r="E470" s="4">
        <f>IF(IFERROR(VLOOKUP(LEFT(C470,14),consolidado!D:D,1,0),0)&gt;0,1,0)</f>
        <v>0</v>
      </c>
      <c r="F470" s="4" t="str">
        <f>VLOOKUP(LEFT(C470,14),consolidado!D:D,1,0)</f>
        <v>#N/A</v>
      </c>
    </row>
    <row r="471" ht="15.75" customHeight="1">
      <c r="B471" s="30" t="s">
        <v>338</v>
      </c>
      <c r="C471" s="4" t="str">
        <f t="shared" si="1"/>
        <v/>
      </c>
      <c r="D471" s="22">
        <f t="shared" si="2"/>
        <v>0</v>
      </c>
      <c r="E471" s="4">
        <f>IF(IFERROR(VLOOKUP(LEFT(C471,14),consolidado!D:D,1,0),0)&gt;0,1,0)</f>
        <v>1</v>
      </c>
      <c r="F471" s="4" t="str">
        <f>VLOOKUP(LEFT(C471,14),consolidado!D:D,1,0)</f>
        <v/>
      </c>
    </row>
    <row r="472" ht="15.75" customHeight="1">
      <c r="B472" s="21" t="s">
        <v>168</v>
      </c>
      <c r="C472" s="4" t="str">
        <f t="shared" si="1"/>
        <v>CNN Chile</v>
      </c>
      <c r="D472" s="22">
        <f t="shared" si="2"/>
        <v>9</v>
      </c>
      <c r="E472" s="4">
        <f>IF(IFERROR(VLOOKUP(LEFT(C472,14),consolidado!D:D,1,0),0)&gt;0,1,0)</f>
        <v>0</v>
      </c>
      <c r="F472" s="4" t="str">
        <f>VLOOKUP(LEFT(C472,14),consolidado!D:D,1,0)</f>
        <v>#N/A</v>
      </c>
    </row>
    <row r="473" ht="15.75" customHeight="1">
      <c r="B473" s="33">
        <v>43591.0</v>
      </c>
      <c r="C473" s="4" t="str">
        <f t="shared" si="1"/>
        <v>63 diputados confesaron que consumieron algún tipo de drogas alguna vez</v>
      </c>
      <c r="D473" s="22">
        <f t="shared" si="2"/>
        <v>71</v>
      </c>
      <c r="E473" s="4">
        <f>IF(IFERROR(VLOOKUP(LEFT(C473,14),consolidado!D:D,1,0),0)&gt;0,1,0)</f>
        <v>1</v>
      </c>
      <c r="F473" s="4" t="str">
        <f>VLOOKUP(LEFT(C473,14),consolidado!D:D,1,0)</f>
        <v>63 diputados c</v>
      </c>
    </row>
    <row r="474" ht="15.75" customHeight="1">
      <c r="B474" s="24" t="s">
        <v>307</v>
      </c>
      <c r="C474" s="4" t="str">
        <f t="shared" si="1"/>
        <v>43591</v>
      </c>
      <c r="D474" s="22">
        <f t="shared" si="2"/>
        <v>5</v>
      </c>
      <c r="E474" s="4">
        <f>IF(IFERROR(VLOOKUP(LEFT(C474,14),consolidado!D:D,1,0),0)&gt;0,1,0)</f>
        <v>0</v>
      </c>
      <c r="F474" s="4" t="str">
        <f>VLOOKUP(LEFT(C474,14),consolidado!D:D,1,0)</f>
        <v>#N/A</v>
      </c>
    </row>
    <row r="475" ht="15.75" customHeight="1">
      <c r="B475" s="24" t="s">
        <v>308</v>
      </c>
      <c r="C475" s="4" t="str">
        <f t="shared" si="1"/>
        <v>bookmark_border</v>
      </c>
      <c r="D475" s="22">
        <f t="shared" si="2"/>
        <v>15</v>
      </c>
      <c r="E475" s="4">
        <f>IF(IFERROR(VLOOKUP(LEFT(C475,14),consolidado!D:D,1,0),0)&gt;0,1,0)</f>
        <v>0</v>
      </c>
      <c r="F475" s="4" t="str">
        <f>VLOOKUP(LEFT(C475,14),consolidado!D:D,1,0)</f>
        <v>#N/A</v>
      </c>
    </row>
    <row r="476" ht="15.75" customHeight="1">
      <c r="B476" s="24" t="s">
        <v>309</v>
      </c>
      <c r="C476" s="4" t="str">
        <f t="shared" si="1"/>
        <v>share</v>
      </c>
      <c r="D476" s="22">
        <f t="shared" si="2"/>
        <v>5</v>
      </c>
      <c r="E476" s="4">
        <f>IF(IFERROR(VLOOKUP(LEFT(C476,14),consolidado!D:D,1,0),0)&gt;0,1,0)</f>
        <v>0</v>
      </c>
      <c r="F476" s="4" t="str">
        <f>VLOOKUP(LEFT(C476,14),consolidado!D:D,1,0)</f>
        <v>#N/A</v>
      </c>
    </row>
    <row r="477" ht="15.75" customHeight="1">
      <c r="B477" s="28"/>
      <c r="C477" s="4" t="str">
        <f t="shared" si="1"/>
        <v>more_vert</v>
      </c>
      <c r="D477" s="22">
        <f t="shared" si="2"/>
        <v>9</v>
      </c>
      <c r="E477" s="4">
        <f>IF(IFERROR(VLOOKUP(LEFT(C477,14),consolidado!D:D,1,0),0)&gt;0,1,0)</f>
        <v>0</v>
      </c>
      <c r="F477" s="4" t="str">
        <f>VLOOKUP(LEFT(C477,14),consolidado!D:D,1,0)</f>
        <v>#N/A</v>
      </c>
    </row>
    <row r="478" ht="15.75" customHeight="1">
      <c r="B478" s="30" t="s">
        <v>332</v>
      </c>
      <c r="C478" s="4" t="str">
        <f t="shared" si="1"/>
        <v/>
      </c>
      <c r="D478" s="22">
        <f t="shared" si="2"/>
        <v>0</v>
      </c>
      <c r="E478" s="4">
        <f>IF(IFERROR(VLOOKUP(LEFT(C478,14),consolidado!D:D,1,0),0)&gt;0,1,0)</f>
        <v>1</v>
      </c>
      <c r="F478" s="4" t="str">
        <f>VLOOKUP(LEFT(C478,14),consolidado!D:D,1,0)</f>
        <v/>
      </c>
    </row>
    <row r="479" ht="15.75" customHeight="1">
      <c r="B479" s="21" t="s">
        <v>133</v>
      </c>
      <c r="C479" s="4" t="str">
        <f t="shared" si="1"/>
        <v>Revista De Frente</v>
      </c>
      <c r="D479" s="22">
        <f t="shared" si="2"/>
        <v>17</v>
      </c>
      <c r="E479" s="4">
        <f>IF(IFERROR(VLOOKUP(LEFT(C479,14),consolidado!D:D,1,0),0)&gt;0,1,0)</f>
        <v>0</v>
      </c>
      <c r="F479" s="4" t="str">
        <f>VLOOKUP(LEFT(C479,14),consolidado!D:D,1,0)</f>
        <v>#N/A</v>
      </c>
    </row>
    <row r="480" ht="15.75" customHeight="1">
      <c r="B480" s="29">
        <v>44820.0</v>
      </c>
      <c r="C480" s="4" t="str">
        <f t="shared" si="1"/>
        <v>Corte Suprema admite recurso contra Test de Drogas en la Cámara de Diputadas y Diputados</v>
      </c>
      <c r="D480" s="22">
        <f t="shared" si="2"/>
        <v>88</v>
      </c>
      <c r="E480" s="4">
        <f>IF(IFERROR(VLOOKUP(LEFT(C480,14),consolidado!D:D,1,0),0)&gt;0,1,0)</f>
        <v>1</v>
      </c>
      <c r="F480" s="4" t="str">
        <f>VLOOKUP(LEFT(C480,14),consolidado!D:D,1,0)</f>
        <v>Corte Suprema </v>
      </c>
    </row>
    <row r="481" ht="15.75" customHeight="1">
      <c r="B481" s="24" t="s">
        <v>307</v>
      </c>
      <c r="C481" s="4" t="str">
        <f t="shared" si="1"/>
        <v>44820</v>
      </c>
      <c r="D481" s="22">
        <f t="shared" si="2"/>
        <v>5</v>
      </c>
      <c r="E481" s="4">
        <f>IF(IFERROR(VLOOKUP(LEFT(C481,14),consolidado!D:D,1,0),0)&gt;0,1,0)</f>
        <v>0</v>
      </c>
      <c r="F481" s="4" t="str">
        <f>VLOOKUP(LEFT(C481,14),consolidado!D:D,1,0)</f>
        <v>#N/A</v>
      </c>
    </row>
    <row r="482" ht="15.75" customHeight="1">
      <c r="B482" s="24" t="s">
        <v>308</v>
      </c>
      <c r="C482" s="4" t="str">
        <f t="shared" si="1"/>
        <v>bookmark_border</v>
      </c>
      <c r="D482" s="22">
        <f t="shared" si="2"/>
        <v>15</v>
      </c>
      <c r="E482" s="4">
        <f>IF(IFERROR(VLOOKUP(LEFT(C482,14),consolidado!D:D,1,0),0)&gt;0,1,0)</f>
        <v>0</v>
      </c>
      <c r="F482" s="4" t="str">
        <f>VLOOKUP(LEFT(C482,14),consolidado!D:D,1,0)</f>
        <v>#N/A</v>
      </c>
    </row>
    <row r="483" ht="15.75" customHeight="1">
      <c r="B483" s="24" t="s">
        <v>309</v>
      </c>
      <c r="C483" s="4" t="str">
        <f t="shared" si="1"/>
        <v>share</v>
      </c>
      <c r="D483" s="22">
        <f t="shared" si="2"/>
        <v>5</v>
      </c>
      <c r="E483" s="4">
        <f>IF(IFERROR(VLOOKUP(LEFT(C483,14),consolidado!D:D,1,0),0)&gt;0,1,0)</f>
        <v>0</v>
      </c>
      <c r="F483" s="4" t="str">
        <f>VLOOKUP(LEFT(C483,14),consolidado!D:D,1,0)</f>
        <v>#N/A</v>
      </c>
    </row>
    <row r="484" ht="15.75" customHeight="1">
      <c r="B484" s="28"/>
      <c r="C484" s="4" t="str">
        <f t="shared" si="1"/>
        <v>more_vert</v>
      </c>
      <c r="D484" s="22">
        <f t="shared" si="2"/>
        <v>9</v>
      </c>
      <c r="E484" s="4">
        <f>IF(IFERROR(VLOOKUP(LEFT(C484,14),consolidado!D:D,1,0),0)&gt;0,1,0)</f>
        <v>0</v>
      </c>
      <c r="F484" s="4" t="str">
        <f>VLOOKUP(LEFT(C484,14),consolidado!D:D,1,0)</f>
        <v>#N/A</v>
      </c>
    </row>
    <row r="485" ht="15.75" customHeight="1">
      <c r="B485" s="32"/>
      <c r="C485" s="4" t="str">
        <f t="shared" si="1"/>
        <v/>
      </c>
      <c r="D485" s="22">
        <f t="shared" si="2"/>
        <v>0</v>
      </c>
      <c r="E485" s="4">
        <f>IF(IFERROR(VLOOKUP(LEFT(C485,14),consolidado!D:D,1,0),0)&gt;0,1,0)</f>
        <v>1</v>
      </c>
      <c r="F485" s="4" t="str">
        <f>VLOOKUP(LEFT(C485,14),consolidado!D:D,1,0)</f>
        <v/>
      </c>
    </row>
    <row r="486" ht="15.75" customHeight="1">
      <c r="B486" s="21" t="s">
        <v>143</v>
      </c>
      <c r="C486" s="4" t="str">
        <f t="shared" si="1"/>
        <v/>
      </c>
      <c r="D486" s="22">
        <f t="shared" si="2"/>
        <v>0</v>
      </c>
      <c r="E486" s="4">
        <f>IF(IFERROR(VLOOKUP(LEFT(C486,14),consolidado!D:D,1,0),0)&gt;0,1,0)</f>
        <v>1</v>
      </c>
      <c r="F486" s="4" t="str">
        <f>VLOOKUP(LEFT(C486,14),consolidado!D:D,1,0)</f>
        <v/>
      </c>
    </row>
    <row r="487" ht="15.75" customHeight="1">
      <c r="B487" s="29">
        <v>44832.0</v>
      </c>
      <c r="C487" s="4" t="str">
        <f t="shared" si="1"/>
        <v>«Evitamos bajar a los genitales»: la singular anécdota del diputado Romero al tomarse muestra de pelo para el examen de drogas</v>
      </c>
      <c r="D487" s="22">
        <f t="shared" si="2"/>
        <v>126</v>
      </c>
      <c r="E487" s="4">
        <f>IF(IFERROR(VLOOKUP(LEFT(C487,14),consolidado!D:D,1,0),0)&gt;0,1,0)</f>
        <v>1</v>
      </c>
      <c r="F487" s="4" t="str">
        <f>VLOOKUP(LEFT(C487,14),consolidado!D:D,1,0)</f>
        <v>«Evitamos baja</v>
      </c>
    </row>
    <row r="488" ht="15.75" customHeight="1">
      <c r="B488" s="24" t="s">
        <v>307</v>
      </c>
      <c r="C488" s="4" t="str">
        <f t="shared" si="1"/>
        <v>44832</v>
      </c>
      <c r="D488" s="22">
        <f t="shared" si="2"/>
        <v>5</v>
      </c>
      <c r="E488" s="4">
        <f>IF(IFERROR(VLOOKUP(LEFT(C488,14),consolidado!D:D,1,0),0)&gt;0,1,0)</f>
        <v>0</v>
      </c>
      <c r="F488" s="4" t="str">
        <f>VLOOKUP(LEFT(C488,14),consolidado!D:D,1,0)</f>
        <v>#N/A</v>
      </c>
    </row>
    <row r="489" ht="15.75" customHeight="1">
      <c r="B489" s="24" t="s">
        <v>308</v>
      </c>
      <c r="C489" s="4" t="str">
        <f t="shared" si="1"/>
        <v>bookmark_border</v>
      </c>
      <c r="D489" s="22">
        <f t="shared" si="2"/>
        <v>15</v>
      </c>
      <c r="E489" s="4">
        <f>IF(IFERROR(VLOOKUP(LEFT(C489,14),consolidado!D:D,1,0),0)&gt;0,1,0)</f>
        <v>0</v>
      </c>
      <c r="F489" s="4" t="str">
        <f>VLOOKUP(LEFT(C489,14),consolidado!D:D,1,0)</f>
        <v>#N/A</v>
      </c>
    </row>
    <row r="490" ht="15.75" customHeight="1">
      <c r="B490" s="24" t="s">
        <v>309</v>
      </c>
      <c r="C490" s="4" t="str">
        <f t="shared" si="1"/>
        <v>share</v>
      </c>
      <c r="D490" s="22">
        <f t="shared" si="2"/>
        <v>5</v>
      </c>
      <c r="E490" s="4">
        <f>IF(IFERROR(VLOOKUP(LEFT(C490,14),consolidado!D:D,1,0),0)&gt;0,1,0)</f>
        <v>0</v>
      </c>
      <c r="F490" s="4" t="str">
        <f>VLOOKUP(LEFT(C490,14),consolidado!D:D,1,0)</f>
        <v>#N/A</v>
      </c>
    </row>
    <row r="491" ht="15.75" customHeight="1">
      <c r="B491" s="28"/>
      <c r="C491" s="4" t="str">
        <f t="shared" si="1"/>
        <v>more_vert</v>
      </c>
      <c r="D491" s="22">
        <f t="shared" si="2"/>
        <v>9</v>
      </c>
      <c r="E491" s="4">
        <f>IF(IFERROR(VLOOKUP(LEFT(C491,14),consolidado!D:D,1,0),0)&gt;0,1,0)</f>
        <v>0</v>
      </c>
      <c r="F491" s="4" t="str">
        <f>VLOOKUP(LEFT(C491,14),consolidado!D:D,1,0)</f>
        <v>#N/A</v>
      </c>
    </row>
    <row r="492" ht="15.75" customHeight="1">
      <c r="B492" s="30" t="s">
        <v>303</v>
      </c>
      <c r="C492" s="4" t="str">
        <f t="shared" si="1"/>
        <v/>
      </c>
      <c r="D492" s="22">
        <f t="shared" si="2"/>
        <v>0</v>
      </c>
      <c r="E492" s="4">
        <f>IF(IFERROR(VLOOKUP(LEFT(C492,14),consolidado!D:D,1,0),0)&gt;0,1,0)</f>
        <v>1</v>
      </c>
      <c r="F492" s="4" t="str">
        <f>VLOOKUP(LEFT(C492,14),consolidado!D:D,1,0)</f>
        <v/>
      </c>
    </row>
    <row r="493" ht="15.75" customHeight="1">
      <c r="B493" s="21" t="s">
        <v>189</v>
      </c>
      <c r="C493" s="4" t="str">
        <f t="shared" si="1"/>
        <v>La Tercera</v>
      </c>
      <c r="D493" s="22">
        <f t="shared" si="2"/>
        <v>10</v>
      </c>
      <c r="E493" s="4">
        <f>IF(IFERROR(VLOOKUP(LEFT(C493,14),consolidado!D:D,1,0),0)&gt;0,1,0)</f>
        <v>0</v>
      </c>
      <c r="F493" s="4" t="str">
        <f>VLOOKUP(LEFT(C493,14),consolidado!D:D,1,0)</f>
        <v>#N/A</v>
      </c>
    </row>
    <row r="494" ht="15.75" customHeight="1">
      <c r="B494" s="33">
        <v>43753.0</v>
      </c>
      <c r="C494" s="4" t="str">
        <f t="shared" si="1"/>
        <v>Los otros políticos que han vinculado a parlamentarios con el consumo de drogas</v>
      </c>
      <c r="D494" s="22">
        <f t="shared" si="2"/>
        <v>79</v>
      </c>
      <c r="E494" s="4">
        <f>IF(IFERROR(VLOOKUP(LEFT(C494,14),consolidado!D:D,1,0),0)&gt;0,1,0)</f>
        <v>1</v>
      </c>
      <c r="F494" s="4" t="str">
        <f>VLOOKUP(LEFT(C494,14),consolidado!D:D,1,0)</f>
        <v>Los otros polí</v>
      </c>
    </row>
    <row r="495" ht="15.75" customHeight="1">
      <c r="B495" s="24" t="s">
        <v>307</v>
      </c>
      <c r="C495" s="4" t="str">
        <f t="shared" si="1"/>
        <v>43753</v>
      </c>
      <c r="D495" s="22">
        <f t="shared" si="2"/>
        <v>5</v>
      </c>
      <c r="E495" s="4">
        <f>IF(IFERROR(VLOOKUP(LEFT(C495,14),consolidado!D:D,1,0),0)&gt;0,1,0)</f>
        <v>0</v>
      </c>
      <c r="F495" s="4" t="str">
        <f>VLOOKUP(LEFT(C495,14),consolidado!D:D,1,0)</f>
        <v>#N/A</v>
      </c>
    </row>
    <row r="496" ht="15.75" customHeight="1">
      <c r="B496" s="24" t="s">
        <v>308</v>
      </c>
      <c r="C496" s="4" t="str">
        <f t="shared" si="1"/>
        <v>bookmark_border</v>
      </c>
      <c r="D496" s="22">
        <f t="shared" si="2"/>
        <v>15</v>
      </c>
      <c r="E496" s="4">
        <f>IF(IFERROR(VLOOKUP(LEFT(C496,14),consolidado!D:D,1,0),0)&gt;0,1,0)</f>
        <v>0</v>
      </c>
      <c r="F496" s="4" t="str">
        <f>VLOOKUP(LEFT(C496,14),consolidado!D:D,1,0)</f>
        <v>#N/A</v>
      </c>
    </row>
    <row r="497" ht="15.75" customHeight="1">
      <c r="B497" s="24" t="s">
        <v>309</v>
      </c>
      <c r="C497" s="4" t="str">
        <f t="shared" si="1"/>
        <v>share</v>
      </c>
      <c r="D497" s="22">
        <f t="shared" si="2"/>
        <v>5</v>
      </c>
      <c r="E497" s="4">
        <f>IF(IFERROR(VLOOKUP(LEFT(C497,14),consolidado!D:D,1,0),0)&gt;0,1,0)</f>
        <v>0</v>
      </c>
      <c r="F497" s="4" t="str">
        <f>VLOOKUP(LEFT(C497,14),consolidado!D:D,1,0)</f>
        <v>#N/A</v>
      </c>
    </row>
    <row r="498" ht="15.75" customHeight="1">
      <c r="B498" s="28"/>
      <c r="C498" s="4" t="str">
        <f t="shared" si="1"/>
        <v>more_vert</v>
      </c>
      <c r="D498" s="22">
        <f t="shared" si="2"/>
        <v>9</v>
      </c>
      <c r="E498" s="4">
        <f>IF(IFERROR(VLOOKUP(LEFT(C498,14),consolidado!D:D,1,0),0)&gt;0,1,0)</f>
        <v>0</v>
      </c>
      <c r="F498" s="4" t="str">
        <f>VLOOKUP(LEFT(C498,14),consolidado!D:D,1,0)</f>
        <v>#N/A</v>
      </c>
    </row>
    <row r="499" ht="15.75" customHeight="1">
      <c r="B499" s="32"/>
      <c r="C499" s="4" t="str">
        <f t="shared" si="1"/>
        <v/>
      </c>
      <c r="D499" s="22">
        <f t="shared" si="2"/>
        <v>0</v>
      </c>
      <c r="E499" s="4">
        <f>IF(IFERROR(VLOOKUP(LEFT(C499,14),consolidado!D:D,1,0),0)&gt;0,1,0)</f>
        <v>1</v>
      </c>
      <c r="F499" s="4" t="str">
        <f>VLOOKUP(LEFT(C499,14),consolidado!D:D,1,0)</f>
        <v/>
      </c>
    </row>
    <row r="500" ht="15.75" customHeight="1">
      <c r="B500" s="21" t="s">
        <v>181</v>
      </c>
      <c r="C500" s="4" t="str">
        <f t="shared" si="1"/>
        <v/>
      </c>
      <c r="D500" s="22">
        <f t="shared" si="2"/>
        <v>0</v>
      </c>
      <c r="E500" s="4">
        <f>IF(IFERROR(VLOOKUP(LEFT(C500,14),consolidado!D:D,1,0),0)&gt;0,1,0)</f>
        <v>1</v>
      </c>
      <c r="F500" s="4" t="str">
        <f>VLOOKUP(LEFT(C500,14),consolidado!D:D,1,0)</f>
        <v/>
      </c>
    </row>
    <row r="501" ht="15.75" customHeight="1">
      <c r="B501" s="29">
        <v>44832.0</v>
      </c>
      <c r="C501" s="4" t="str">
        <f t="shared" si="1"/>
        <v>Debía vigilar a narcos y era uno de ellos: así operaba funcionario de gobierno condenado por tráfico</v>
      </c>
      <c r="D501" s="22">
        <f t="shared" si="2"/>
        <v>100</v>
      </c>
      <c r="E501" s="4">
        <f>IF(IFERROR(VLOOKUP(LEFT(C501,14),consolidado!D:D,1,0),0)&gt;0,1,0)</f>
        <v>1</v>
      </c>
      <c r="F501" s="4" t="str">
        <f>VLOOKUP(LEFT(C501,14),consolidado!D:D,1,0)</f>
        <v>Debía vigilar </v>
      </c>
    </row>
    <row r="502" ht="15.75" customHeight="1">
      <c r="B502" s="24" t="s">
        <v>307</v>
      </c>
      <c r="C502" s="4" t="str">
        <f t="shared" si="1"/>
        <v>44832</v>
      </c>
      <c r="D502" s="22">
        <f t="shared" si="2"/>
        <v>5</v>
      </c>
      <c r="E502" s="4">
        <f>IF(IFERROR(VLOOKUP(LEFT(C502,14),consolidado!D:D,1,0),0)&gt;0,1,0)</f>
        <v>0</v>
      </c>
      <c r="F502" s="4" t="str">
        <f>VLOOKUP(LEFT(C502,14),consolidado!D:D,1,0)</f>
        <v>#N/A</v>
      </c>
    </row>
    <row r="503" ht="15.75" customHeight="1">
      <c r="B503" s="24" t="s">
        <v>308</v>
      </c>
      <c r="C503" s="4" t="str">
        <f t="shared" si="1"/>
        <v>bookmark_border</v>
      </c>
      <c r="D503" s="22">
        <f t="shared" si="2"/>
        <v>15</v>
      </c>
      <c r="E503" s="4">
        <f>IF(IFERROR(VLOOKUP(LEFT(C503,14),consolidado!D:D,1,0),0)&gt;0,1,0)</f>
        <v>0</v>
      </c>
      <c r="F503" s="4" t="str">
        <f>VLOOKUP(LEFT(C503,14),consolidado!D:D,1,0)</f>
        <v>#N/A</v>
      </c>
    </row>
    <row r="504" ht="15.75" customHeight="1">
      <c r="B504" s="24" t="s">
        <v>309</v>
      </c>
      <c r="C504" s="4" t="str">
        <f t="shared" si="1"/>
        <v>share</v>
      </c>
      <c r="D504" s="22">
        <f t="shared" si="2"/>
        <v>5</v>
      </c>
      <c r="E504" s="4">
        <f>IF(IFERROR(VLOOKUP(LEFT(C504,14),consolidado!D:D,1,0),0)&gt;0,1,0)</f>
        <v>0</v>
      </c>
      <c r="F504" s="4" t="str">
        <f>VLOOKUP(LEFT(C504,14),consolidado!D:D,1,0)</f>
        <v>#N/A</v>
      </c>
    </row>
    <row r="505" ht="15.75" customHeight="1">
      <c r="B505" s="28"/>
      <c r="C505" s="4" t="str">
        <f t="shared" si="1"/>
        <v>more_vert</v>
      </c>
      <c r="D505" s="22">
        <f t="shared" si="2"/>
        <v>9</v>
      </c>
      <c r="E505" s="4">
        <f>IF(IFERROR(VLOOKUP(LEFT(C505,14),consolidado!D:D,1,0),0)&gt;0,1,0)</f>
        <v>0</v>
      </c>
      <c r="F505" s="4" t="str">
        <f>VLOOKUP(LEFT(C505,14),consolidado!D:D,1,0)</f>
        <v>#N/A</v>
      </c>
    </row>
    <row r="506" ht="15.75" customHeight="1">
      <c r="B506" s="30" t="s">
        <v>326</v>
      </c>
      <c r="C506" s="4" t="str">
        <f t="shared" si="1"/>
        <v/>
      </c>
      <c r="D506" s="22">
        <f t="shared" si="2"/>
        <v>0</v>
      </c>
      <c r="E506" s="4">
        <f>IF(IFERROR(VLOOKUP(LEFT(C506,14),consolidado!D:D,1,0),0)&gt;0,1,0)</f>
        <v>1</v>
      </c>
      <c r="F506" s="4" t="str">
        <f>VLOOKUP(LEFT(C506,14),consolidado!D:D,1,0)</f>
        <v/>
      </c>
    </row>
    <row r="507" ht="15.75" customHeight="1">
      <c r="B507" s="21" t="s">
        <v>159</v>
      </c>
      <c r="C507" s="31" t="str">
        <f t="shared" si="1"/>
        <v>24Horas.cl</v>
      </c>
      <c r="D507" s="22">
        <f t="shared" si="2"/>
        <v>10</v>
      </c>
      <c r="E507" s="4">
        <f>IF(IFERROR(VLOOKUP(LEFT(C507,14),consolidado!D:D,1,0),0)&gt;0,1,0)</f>
        <v>0</v>
      </c>
      <c r="F507" s="4" t="str">
        <f>VLOOKUP(LEFT(C507,14),consolidado!D:D,1,0)</f>
        <v>#N/A</v>
      </c>
    </row>
    <row r="508" ht="15.75" customHeight="1">
      <c r="B508" s="29">
        <v>44732.0</v>
      </c>
      <c r="C508" s="4" t="str">
        <f t="shared" si="1"/>
        <v>Juan Antonio Coloma (UDI): "Quisimos agregar una reforma que obligue a los ministro y al Presidente a realizarse el test de droga"</v>
      </c>
      <c r="D508" s="22">
        <f t="shared" si="2"/>
        <v>130</v>
      </c>
      <c r="E508" s="4">
        <f>IF(IFERROR(VLOOKUP(LEFT(C508,14),consolidado!D:D,1,0),0)&gt;0,1,0)</f>
        <v>1</v>
      </c>
      <c r="F508" s="4" t="str">
        <f>VLOOKUP(LEFT(C508,14),consolidado!D:D,1,0)</f>
        <v>Juan Antonio C</v>
      </c>
    </row>
    <row r="509" ht="15.75" customHeight="1">
      <c r="B509" s="24" t="s">
        <v>307</v>
      </c>
      <c r="C509" s="4" t="str">
        <f t="shared" si="1"/>
        <v>44732</v>
      </c>
      <c r="D509" s="22">
        <f t="shared" si="2"/>
        <v>5</v>
      </c>
      <c r="E509" s="4">
        <f>IF(IFERROR(VLOOKUP(LEFT(C509,14),consolidado!D:D,1,0),0)&gt;0,1,0)</f>
        <v>0</v>
      </c>
      <c r="F509" s="4" t="str">
        <f>VLOOKUP(LEFT(C509,14),consolidado!D:D,1,0)</f>
        <v>#N/A</v>
      </c>
    </row>
    <row r="510" ht="15.75" customHeight="1">
      <c r="B510" s="24" t="s">
        <v>308</v>
      </c>
      <c r="C510" s="4" t="str">
        <f t="shared" si="1"/>
        <v>bookmark_border</v>
      </c>
      <c r="D510" s="22">
        <f t="shared" si="2"/>
        <v>15</v>
      </c>
      <c r="E510" s="4">
        <f>IF(IFERROR(VLOOKUP(LEFT(C510,14),consolidado!D:D,1,0),0)&gt;0,1,0)</f>
        <v>0</v>
      </c>
      <c r="F510" s="4" t="str">
        <f>VLOOKUP(LEFT(C510,14),consolidado!D:D,1,0)</f>
        <v>#N/A</v>
      </c>
    </row>
    <row r="511" ht="15.75" customHeight="1">
      <c r="B511" s="24" t="s">
        <v>309</v>
      </c>
      <c r="C511" s="4" t="str">
        <f t="shared" si="1"/>
        <v>share</v>
      </c>
      <c r="D511" s="22">
        <f t="shared" si="2"/>
        <v>5</v>
      </c>
      <c r="E511" s="4">
        <f>IF(IFERROR(VLOOKUP(LEFT(C511,14),consolidado!D:D,1,0),0)&gt;0,1,0)</f>
        <v>0</v>
      </c>
      <c r="F511" s="4" t="str">
        <f>VLOOKUP(LEFT(C511,14),consolidado!D:D,1,0)</f>
        <v>#N/A</v>
      </c>
    </row>
    <row r="512" ht="15.75" customHeight="1">
      <c r="B512" s="28"/>
      <c r="C512" s="4" t="str">
        <f t="shared" si="1"/>
        <v>more_vert</v>
      </c>
      <c r="D512" s="22">
        <f t="shared" si="2"/>
        <v>9</v>
      </c>
      <c r="E512" s="4">
        <f>IF(IFERROR(VLOOKUP(LEFT(C512,14),consolidado!D:D,1,0),0)&gt;0,1,0)</f>
        <v>0</v>
      </c>
      <c r="F512" s="4" t="str">
        <f>VLOOKUP(LEFT(C512,14),consolidado!D:D,1,0)</f>
        <v>#N/A</v>
      </c>
    </row>
    <row r="513" ht="15.75" customHeight="1">
      <c r="B513" s="32"/>
      <c r="C513" s="4" t="str">
        <f t="shared" si="1"/>
        <v/>
      </c>
      <c r="D513" s="22">
        <f t="shared" si="2"/>
        <v>0</v>
      </c>
      <c r="E513" s="4">
        <f>IF(IFERROR(VLOOKUP(LEFT(C513,14),consolidado!D:D,1,0),0)&gt;0,1,0)</f>
        <v>1</v>
      </c>
      <c r="F513" s="4" t="str">
        <f>VLOOKUP(LEFT(C513,14),consolidado!D:D,1,0)</f>
        <v/>
      </c>
    </row>
    <row r="514" ht="15.75" customHeight="1">
      <c r="B514" s="21" t="s">
        <v>170</v>
      </c>
      <c r="C514" s="4" t="str">
        <f t="shared" si="1"/>
        <v/>
      </c>
      <c r="D514" s="22">
        <f t="shared" si="2"/>
        <v>0</v>
      </c>
      <c r="E514" s="4">
        <f>IF(IFERROR(VLOOKUP(LEFT(C514,14),consolidado!D:D,1,0),0)&gt;0,1,0)</f>
        <v>1</v>
      </c>
      <c r="F514" s="4" t="str">
        <f>VLOOKUP(LEFT(C514,14),consolidado!D:D,1,0)</f>
        <v/>
      </c>
    </row>
    <row r="515" ht="15.75" customHeight="1">
      <c r="B515" s="29">
        <v>44796.0</v>
      </c>
      <c r="C515" s="4" t="str">
        <f t="shared" si="1"/>
        <v>Vendían en el persa Biobío: Detienen a narcotraficantes que importaban droga desde Cali</v>
      </c>
      <c r="D515" s="22">
        <f t="shared" si="2"/>
        <v>87</v>
      </c>
      <c r="E515" s="4">
        <f>IF(IFERROR(VLOOKUP(LEFT(C515,14),consolidado!D:D,1,0),0)&gt;0,1,0)</f>
        <v>1</v>
      </c>
      <c r="F515" s="4" t="str">
        <f>VLOOKUP(LEFT(C515,14),consolidado!D:D,1,0)</f>
        <v>Vendían en el </v>
      </c>
    </row>
    <row r="516" ht="15.75" customHeight="1">
      <c r="B516" s="24" t="s">
        <v>307</v>
      </c>
      <c r="C516" s="4" t="str">
        <f t="shared" si="1"/>
        <v>44796</v>
      </c>
      <c r="D516" s="22">
        <f t="shared" si="2"/>
        <v>5</v>
      </c>
      <c r="E516" s="4">
        <f>IF(IFERROR(VLOOKUP(LEFT(C516,14),consolidado!D:D,1,0),0)&gt;0,1,0)</f>
        <v>0</v>
      </c>
      <c r="F516" s="4" t="str">
        <f>VLOOKUP(LEFT(C516,14),consolidado!D:D,1,0)</f>
        <v>#N/A</v>
      </c>
    </row>
    <row r="517" ht="15.75" customHeight="1">
      <c r="B517" s="24" t="s">
        <v>308</v>
      </c>
      <c r="C517" s="4" t="str">
        <f t="shared" si="1"/>
        <v>bookmark_border</v>
      </c>
      <c r="D517" s="22">
        <f t="shared" si="2"/>
        <v>15</v>
      </c>
      <c r="E517" s="4">
        <f>IF(IFERROR(VLOOKUP(LEFT(C517,14),consolidado!D:D,1,0),0)&gt;0,1,0)</f>
        <v>0</v>
      </c>
      <c r="F517" s="4" t="str">
        <f>VLOOKUP(LEFT(C517,14),consolidado!D:D,1,0)</f>
        <v>#N/A</v>
      </c>
    </row>
    <row r="518" ht="15.75" customHeight="1">
      <c r="B518" s="24" t="s">
        <v>309</v>
      </c>
      <c r="C518" s="4" t="str">
        <f t="shared" si="1"/>
        <v>share</v>
      </c>
      <c r="D518" s="22">
        <f t="shared" si="2"/>
        <v>5</v>
      </c>
      <c r="E518" s="4">
        <f>IF(IFERROR(VLOOKUP(LEFT(C518,14),consolidado!D:D,1,0),0)&gt;0,1,0)</f>
        <v>0</v>
      </c>
      <c r="F518" s="4" t="str">
        <f>VLOOKUP(LEFT(C518,14),consolidado!D:D,1,0)</f>
        <v>#N/A</v>
      </c>
    </row>
    <row r="519" ht="15.75" customHeight="1">
      <c r="B519" s="28"/>
      <c r="C519" s="4" t="str">
        <f t="shared" si="1"/>
        <v>more_vert</v>
      </c>
      <c r="D519" s="22">
        <f t="shared" si="2"/>
        <v>9</v>
      </c>
      <c r="E519" s="4">
        <f>IF(IFERROR(VLOOKUP(LEFT(C519,14),consolidado!D:D,1,0),0)&gt;0,1,0)</f>
        <v>0</v>
      </c>
      <c r="F519" s="4" t="str">
        <f>VLOOKUP(LEFT(C519,14),consolidado!D:D,1,0)</f>
        <v>#N/A</v>
      </c>
    </row>
    <row r="520" ht="15.75" customHeight="1">
      <c r="B520" s="30" t="s">
        <v>339</v>
      </c>
      <c r="C520" s="4" t="str">
        <f t="shared" si="1"/>
        <v/>
      </c>
      <c r="D520" s="22">
        <f t="shared" si="2"/>
        <v>0</v>
      </c>
      <c r="E520" s="4">
        <f>IF(IFERROR(VLOOKUP(LEFT(C520,14),consolidado!D:D,1,0),0)&gt;0,1,0)</f>
        <v>1</v>
      </c>
      <c r="F520" s="4" t="str">
        <f>VLOOKUP(LEFT(C520,14),consolidado!D:D,1,0)</f>
        <v/>
      </c>
    </row>
    <row r="521" ht="15.75" customHeight="1">
      <c r="B521" s="21" t="s">
        <v>175</v>
      </c>
      <c r="C521" s="4" t="str">
        <f t="shared" si="1"/>
        <v>Partido Republicano</v>
      </c>
      <c r="D521" s="22">
        <f t="shared" si="2"/>
        <v>19</v>
      </c>
      <c r="E521" s="4">
        <f>IF(IFERROR(VLOOKUP(LEFT(C521,14),consolidado!D:D,1,0),0)&gt;0,1,0)</f>
        <v>0</v>
      </c>
      <c r="F521" s="4" t="str">
        <f>VLOOKUP(LEFT(C521,14),consolidado!D:D,1,0)</f>
        <v>#N/A</v>
      </c>
    </row>
    <row r="522" ht="15.75" customHeight="1">
      <c r="B522" s="29">
        <v>44791.0</v>
      </c>
      <c r="C522" s="4" t="str">
        <f t="shared" si="1"/>
        <v>Jefe de la Bancada Republicana y llamado de Vallejo a que oposición se ponga de acuerdo por Plebiscito: "Dejen de intervenir en un proceso democrático que nos pertenece a todos"</v>
      </c>
      <c r="D522" s="22">
        <f t="shared" si="2"/>
        <v>177</v>
      </c>
      <c r="E522" s="4">
        <f>IF(IFERROR(VLOOKUP(LEFT(C522,14),consolidado!D:D,1,0),0)&gt;0,1,0)</f>
        <v>1</v>
      </c>
      <c r="F522" s="4" t="str">
        <f>VLOOKUP(LEFT(C522,14),consolidado!D:D,1,0)</f>
        <v>Jefe de la Ban</v>
      </c>
    </row>
    <row r="523" ht="15.75" customHeight="1">
      <c r="B523" s="24" t="s">
        <v>307</v>
      </c>
      <c r="C523" s="4" t="str">
        <f t="shared" si="1"/>
        <v>44791</v>
      </c>
      <c r="D523" s="22">
        <f t="shared" si="2"/>
        <v>5</v>
      </c>
      <c r="E523" s="4">
        <f>IF(IFERROR(VLOOKUP(LEFT(C523,14),consolidado!D:D,1,0),0)&gt;0,1,0)</f>
        <v>0</v>
      </c>
      <c r="F523" s="4" t="str">
        <f>VLOOKUP(LEFT(C523,14),consolidado!D:D,1,0)</f>
        <v>#N/A</v>
      </c>
    </row>
    <row r="524" ht="15.75" customHeight="1">
      <c r="B524" s="24" t="s">
        <v>308</v>
      </c>
      <c r="C524" s="4" t="str">
        <f t="shared" si="1"/>
        <v>bookmark_border</v>
      </c>
      <c r="D524" s="22">
        <f t="shared" si="2"/>
        <v>15</v>
      </c>
      <c r="E524" s="4">
        <f>IF(IFERROR(VLOOKUP(LEFT(C524,14),consolidado!D:D,1,0),0)&gt;0,1,0)</f>
        <v>0</v>
      </c>
      <c r="F524" s="4" t="str">
        <f>VLOOKUP(LEFT(C524,14),consolidado!D:D,1,0)</f>
        <v>#N/A</v>
      </c>
    </row>
    <row r="525" ht="15.75" customHeight="1">
      <c r="B525" s="24" t="s">
        <v>309</v>
      </c>
      <c r="C525" s="4" t="str">
        <f t="shared" si="1"/>
        <v>share</v>
      </c>
      <c r="D525" s="22">
        <f t="shared" si="2"/>
        <v>5</v>
      </c>
      <c r="E525" s="4">
        <f>IF(IFERROR(VLOOKUP(LEFT(C525,14),consolidado!D:D,1,0),0)&gt;0,1,0)</f>
        <v>0</v>
      </c>
      <c r="F525" s="4" t="str">
        <f>VLOOKUP(LEFT(C525,14),consolidado!D:D,1,0)</f>
        <v>#N/A</v>
      </c>
    </row>
    <row r="526" ht="15.75" customHeight="1">
      <c r="B526" s="28"/>
      <c r="C526" s="4" t="str">
        <f t="shared" si="1"/>
        <v>more_vert</v>
      </c>
      <c r="D526" s="22">
        <f t="shared" si="2"/>
        <v>9</v>
      </c>
      <c r="E526" s="4">
        <f>IF(IFERROR(VLOOKUP(LEFT(C526,14),consolidado!D:D,1,0),0)&gt;0,1,0)</f>
        <v>0</v>
      </c>
      <c r="F526" s="4" t="str">
        <f>VLOOKUP(LEFT(C526,14),consolidado!D:D,1,0)</f>
        <v>#N/A</v>
      </c>
    </row>
    <row r="527" ht="15.75" customHeight="1">
      <c r="B527" s="32"/>
      <c r="C527" s="4" t="str">
        <f t="shared" si="1"/>
        <v/>
      </c>
      <c r="D527" s="22">
        <f t="shared" si="2"/>
        <v>0</v>
      </c>
      <c r="E527" s="4">
        <f>IF(IFERROR(VLOOKUP(LEFT(C527,14),consolidado!D:D,1,0),0)&gt;0,1,0)</f>
        <v>1</v>
      </c>
      <c r="F527" s="4" t="str">
        <f>VLOOKUP(LEFT(C527,14),consolidado!D:D,1,0)</f>
        <v/>
      </c>
    </row>
    <row r="528" ht="15.75" customHeight="1">
      <c r="B528" s="21" t="s">
        <v>198</v>
      </c>
      <c r="C528" s="4" t="str">
        <f t="shared" si="1"/>
        <v/>
      </c>
      <c r="D528" s="22">
        <f t="shared" si="2"/>
        <v>0</v>
      </c>
      <c r="E528" s="4">
        <f>IF(IFERROR(VLOOKUP(LEFT(C528,14),consolidado!D:D,1,0),0)&gt;0,1,0)</f>
        <v>1</v>
      </c>
      <c r="F528" s="4" t="str">
        <f>VLOOKUP(LEFT(C528,14),consolidado!D:D,1,0)</f>
        <v/>
      </c>
    </row>
    <row r="529" ht="15.75" customHeight="1">
      <c r="B529" s="23" t="s">
        <v>340</v>
      </c>
      <c r="C529" s="4" t="str">
        <f t="shared" si="1"/>
        <v>Organización Mundial de la salud le asignó un nuevo nombre a la Viruela del Mono para evitar burlas y comentarios racistas</v>
      </c>
      <c r="D529" s="22">
        <f t="shared" si="2"/>
        <v>122</v>
      </c>
      <c r="E529" s="4">
        <f>IF(IFERROR(VLOOKUP(LEFT(C529,14),consolidado!D:D,1,0),0)&gt;0,1,0)</f>
        <v>1</v>
      </c>
      <c r="F529" s="4" t="str">
        <f>VLOOKUP(LEFT(C529,14),consolidado!D:D,1,0)</f>
        <v>Organización M</v>
      </c>
    </row>
    <row r="530" ht="15.75" customHeight="1">
      <c r="B530" s="24" t="s">
        <v>307</v>
      </c>
      <c r="C530" s="4" t="str">
        <f t="shared" si="1"/>
        <v>Hace 20 horas</v>
      </c>
      <c r="D530" s="22">
        <f t="shared" si="2"/>
        <v>13</v>
      </c>
      <c r="E530" s="4">
        <f>IF(IFERROR(VLOOKUP(LEFT(C530,14),consolidado!D:D,1,0),0)&gt;0,1,0)</f>
        <v>0</v>
      </c>
      <c r="F530" s="4" t="str">
        <f>VLOOKUP(LEFT(C530,14),consolidado!D:D,1,0)</f>
        <v>#N/A</v>
      </c>
    </row>
    <row r="531" ht="15.75" customHeight="1">
      <c r="B531" s="24" t="s">
        <v>308</v>
      </c>
      <c r="C531" s="4" t="str">
        <f t="shared" si="1"/>
        <v>bookmark_border</v>
      </c>
      <c r="D531" s="22">
        <f t="shared" si="2"/>
        <v>15</v>
      </c>
      <c r="E531" s="4">
        <f>IF(IFERROR(VLOOKUP(LEFT(C531,14),consolidado!D:D,1,0),0)&gt;0,1,0)</f>
        <v>0</v>
      </c>
      <c r="F531" s="4" t="str">
        <f>VLOOKUP(LEFT(C531,14),consolidado!D:D,1,0)</f>
        <v>#N/A</v>
      </c>
    </row>
    <row r="532" ht="15.75" customHeight="1">
      <c r="B532" s="24" t="s">
        <v>309</v>
      </c>
      <c r="C532" s="4" t="str">
        <f t="shared" si="1"/>
        <v>share</v>
      </c>
      <c r="D532" s="22">
        <f t="shared" si="2"/>
        <v>5</v>
      </c>
      <c r="E532" s="4">
        <f>IF(IFERROR(VLOOKUP(LEFT(C532,14),consolidado!D:D,1,0),0)&gt;0,1,0)</f>
        <v>0</v>
      </c>
      <c r="F532" s="4" t="str">
        <f>VLOOKUP(LEFT(C532,14),consolidado!D:D,1,0)</f>
        <v>#N/A</v>
      </c>
    </row>
    <row r="533" ht="15.75" customHeight="1">
      <c r="B533" s="28"/>
      <c r="C533" s="4" t="str">
        <f t="shared" si="1"/>
        <v>more_vert</v>
      </c>
      <c r="D533" s="22">
        <f t="shared" si="2"/>
        <v>9</v>
      </c>
      <c r="E533" s="4">
        <f>IF(IFERROR(VLOOKUP(LEFT(C533,14),consolidado!D:D,1,0),0)&gt;0,1,0)</f>
        <v>0</v>
      </c>
      <c r="F533" s="4" t="str">
        <f>VLOOKUP(LEFT(C533,14),consolidado!D:D,1,0)</f>
        <v>#N/A</v>
      </c>
    </row>
    <row r="534" ht="15.75" customHeight="1">
      <c r="B534" s="32"/>
      <c r="C534" s="4" t="str">
        <f t="shared" si="1"/>
        <v/>
      </c>
      <c r="D534" s="22">
        <f t="shared" si="2"/>
        <v>0</v>
      </c>
      <c r="E534" s="4">
        <f>IF(IFERROR(VLOOKUP(LEFT(C534,14),consolidado!D:D,1,0),0)&gt;0,1,0)</f>
        <v>1</v>
      </c>
      <c r="F534" s="4" t="str">
        <f>VLOOKUP(LEFT(C534,14),consolidado!D:D,1,0)</f>
        <v/>
      </c>
    </row>
    <row r="535" ht="15.75" customHeight="1">
      <c r="B535" s="21" t="s">
        <v>183</v>
      </c>
      <c r="C535" s="4" t="str">
        <f t="shared" si="1"/>
        <v/>
      </c>
      <c r="D535" s="22">
        <f t="shared" si="2"/>
        <v>0</v>
      </c>
      <c r="E535" s="4">
        <f>IF(IFERROR(VLOOKUP(LEFT(C535,14),consolidado!D:D,1,0),0)&gt;0,1,0)</f>
        <v>1</v>
      </c>
      <c r="F535" s="4" t="str">
        <f>VLOOKUP(LEFT(C535,14),consolidado!D:D,1,0)</f>
        <v/>
      </c>
    </row>
    <row r="536" ht="15.75" customHeight="1">
      <c r="B536" s="29">
        <v>44746.0</v>
      </c>
      <c r="C536" s="4" t="str">
        <f t="shared" si="1"/>
        <v>El tenso cruce entre Karol Cariola y Pamela Jiles</v>
      </c>
      <c r="D536" s="22">
        <f t="shared" si="2"/>
        <v>49</v>
      </c>
      <c r="E536" s="4">
        <f>IF(IFERROR(VLOOKUP(LEFT(C536,14),consolidado!D:D,1,0),0)&gt;0,1,0)</f>
        <v>1</v>
      </c>
      <c r="F536" s="4" t="str">
        <f>VLOOKUP(LEFT(C536,14),consolidado!D:D,1,0)</f>
        <v>El tenso cruce</v>
      </c>
    </row>
    <row r="537" ht="15.75" customHeight="1">
      <c r="B537" s="24" t="s">
        <v>307</v>
      </c>
      <c r="C537" s="4" t="str">
        <f t="shared" si="1"/>
        <v>44746</v>
      </c>
      <c r="D537" s="22">
        <f t="shared" si="2"/>
        <v>5</v>
      </c>
      <c r="E537" s="4">
        <f>IF(IFERROR(VLOOKUP(LEFT(C537,14),consolidado!D:D,1,0),0)&gt;0,1,0)</f>
        <v>0</v>
      </c>
      <c r="F537" s="4" t="str">
        <f>VLOOKUP(LEFT(C537,14),consolidado!D:D,1,0)</f>
        <v>#N/A</v>
      </c>
    </row>
    <row r="538" ht="15.75" customHeight="1">
      <c r="B538" s="24" t="s">
        <v>308</v>
      </c>
      <c r="C538" s="4" t="str">
        <f t="shared" si="1"/>
        <v>bookmark_border</v>
      </c>
      <c r="D538" s="22">
        <f t="shared" si="2"/>
        <v>15</v>
      </c>
      <c r="E538" s="4">
        <f>IF(IFERROR(VLOOKUP(LEFT(C538,14),consolidado!D:D,1,0),0)&gt;0,1,0)</f>
        <v>0</v>
      </c>
      <c r="F538" s="4" t="str">
        <f>VLOOKUP(LEFT(C538,14),consolidado!D:D,1,0)</f>
        <v>#N/A</v>
      </c>
    </row>
    <row r="539" ht="15.75" customHeight="1">
      <c r="B539" s="24" t="s">
        <v>309</v>
      </c>
      <c r="C539" s="4" t="str">
        <f t="shared" si="1"/>
        <v>share</v>
      </c>
      <c r="D539" s="22">
        <f t="shared" si="2"/>
        <v>5</v>
      </c>
      <c r="E539" s="4">
        <f>IF(IFERROR(VLOOKUP(LEFT(C539,14),consolidado!D:D,1,0),0)&gt;0,1,0)</f>
        <v>0</v>
      </c>
      <c r="F539" s="4" t="str">
        <f>VLOOKUP(LEFT(C539,14),consolidado!D:D,1,0)</f>
        <v>#N/A</v>
      </c>
    </row>
    <row r="540" ht="15.75" customHeight="1">
      <c r="B540" s="28"/>
      <c r="C540" s="4" t="str">
        <f t="shared" si="1"/>
        <v>more_vert</v>
      </c>
      <c r="D540" s="22">
        <f t="shared" si="2"/>
        <v>9</v>
      </c>
      <c r="E540" s="4">
        <f>IF(IFERROR(VLOOKUP(LEFT(C540,14),consolidado!D:D,1,0),0)&gt;0,1,0)</f>
        <v>0</v>
      </c>
      <c r="F540" s="4" t="str">
        <f>VLOOKUP(LEFT(C540,14),consolidado!D:D,1,0)</f>
        <v>#N/A</v>
      </c>
    </row>
    <row r="541" ht="15.75" customHeight="1">
      <c r="B541" s="32"/>
      <c r="C541" s="4" t="str">
        <f t="shared" si="1"/>
        <v/>
      </c>
      <c r="D541" s="22">
        <f t="shared" si="2"/>
        <v>0</v>
      </c>
      <c r="E541" s="4">
        <f>IF(IFERROR(VLOOKUP(LEFT(C541,14),consolidado!D:D,1,0),0)&gt;0,1,0)</f>
        <v>1</v>
      </c>
      <c r="F541" s="4" t="str">
        <f>VLOOKUP(LEFT(C541,14),consolidado!D:D,1,0)</f>
        <v/>
      </c>
    </row>
    <row r="542" ht="15.75" customHeight="1">
      <c r="B542" s="21" t="s">
        <v>202</v>
      </c>
      <c r="C542" s="4" t="str">
        <f t="shared" si="1"/>
        <v/>
      </c>
      <c r="D542" s="22">
        <f t="shared" si="2"/>
        <v>0</v>
      </c>
      <c r="E542" s="4">
        <f>IF(IFERROR(VLOOKUP(LEFT(C542,14),consolidado!D:D,1,0),0)&gt;0,1,0)</f>
        <v>1</v>
      </c>
      <c r="F542" s="4" t="str">
        <f>VLOOKUP(LEFT(C542,14),consolidado!D:D,1,0)</f>
        <v/>
      </c>
    </row>
    <row r="543" ht="15.75" customHeight="1">
      <c r="B543" s="23" t="s">
        <v>344</v>
      </c>
      <c r="C543" s="4" t="str">
        <f t="shared" si="1"/>
        <v>COVID-19: Casos confirmados disminuyen 16% en los últimos 7 días. Este domingo se reportaron 4.077 nuevos contagios y 20 fallecidos</v>
      </c>
      <c r="D543" s="22">
        <f t="shared" si="2"/>
        <v>131</v>
      </c>
      <c r="E543" s="4">
        <f>IF(IFERROR(VLOOKUP(LEFT(C543,14),consolidado!D:D,1,0),0)&gt;0,1,0)</f>
        <v>1</v>
      </c>
      <c r="F543" s="4" t="str">
        <f>VLOOKUP(LEFT(C543,14),consolidado!D:D,1,0)</f>
        <v>COVID-19: Caso</v>
      </c>
    </row>
    <row r="544" ht="15.75" customHeight="1">
      <c r="B544" s="24" t="s">
        <v>307</v>
      </c>
      <c r="C544" s="4" t="str">
        <f t="shared" si="1"/>
        <v>Ayer</v>
      </c>
      <c r="D544" s="22">
        <f t="shared" si="2"/>
        <v>4</v>
      </c>
      <c r="E544" s="4">
        <f>IF(IFERROR(VLOOKUP(LEFT(C544,14),consolidado!D:D,1,0),0)&gt;0,1,0)</f>
        <v>0</v>
      </c>
      <c r="F544" s="4" t="str">
        <f>VLOOKUP(LEFT(C544,14),consolidado!D:D,1,0)</f>
        <v>#N/A</v>
      </c>
    </row>
    <row r="545" ht="15.75" customHeight="1">
      <c r="B545" s="24" t="s">
        <v>308</v>
      </c>
      <c r="C545" s="4" t="str">
        <f t="shared" si="1"/>
        <v>bookmark_border</v>
      </c>
      <c r="D545" s="22">
        <f t="shared" si="2"/>
        <v>15</v>
      </c>
      <c r="E545" s="4">
        <f>IF(IFERROR(VLOOKUP(LEFT(C545,14),consolidado!D:D,1,0),0)&gt;0,1,0)</f>
        <v>0</v>
      </c>
      <c r="F545" s="4" t="str">
        <f>VLOOKUP(LEFT(C545,14),consolidado!D:D,1,0)</f>
        <v>#N/A</v>
      </c>
    </row>
    <row r="546" ht="15.75" customHeight="1">
      <c r="B546" s="24" t="s">
        <v>309</v>
      </c>
      <c r="C546" s="4" t="str">
        <f t="shared" si="1"/>
        <v>share</v>
      </c>
      <c r="D546" s="22">
        <f t="shared" si="2"/>
        <v>5</v>
      </c>
      <c r="E546" s="4">
        <f>IF(IFERROR(VLOOKUP(LEFT(C546,14),consolidado!D:D,1,0),0)&gt;0,1,0)</f>
        <v>0</v>
      </c>
      <c r="F546" s="4" t="str">
        <f>VLOOKUP(LEFT(C546,14),consolidado!D:D,1,0)</f>
        <v>#N/A</v>
      </c>
    </row>
    <row r="547" ht="15.75" customHeight="1">
      <c r="B547" s="28"/>
      <c r="C547" s="4" t="str">
        <f t="shared" si="1"/>
        <v>more_vert</v>
      </c>
      <c r="D547" s="22">
        <f t="shared" si="2"/>
        <v>9</v>
      </c>
      <c r="E547" s="4">
        <f>IF(IFERROR(VLOOKUP(LEFT(C547,14),consolidado!D:D,1,0),0)&gt;0,1,0)</f>
        <v>0</v>
      </c>
      <c r="F547" s="4" t="str">
        <f>VLOOKUP(LEFT(C547,14),consolidado!D:D,1,0)</f>
        <v>#N/A</v>
      </c>
    </row>
    <row r="548" ht="15.75" customHeight="1">
      <c r="B548" s="30" t="s">
        <v>303</v>
      </c>
      <c r="C548" s="4" t="str">
        <f t="shared" si="1"/>
        <v/>
      </c>
      <c r="D548" s="22">
        <f t="shared" si="2"/>
        <v>0</v>
      </c>
      <c r="E548" s="4">
        <f>IF(IFERROR(VLOOKUP(LEFT(C548,14),consolidado!D:D,1,0),0)&gt;0,1,0)</f>
        <v>1</v>
      </c>
      <c r="F548" s="4" t="str">
        <f>VLOOKUP(LEFT(C548,14),consolidado!D:D,1,0)</f>
        <v/>
      </c>
    </row>
    <row r="549" ht="15.75" customHeight="1">
      <c r="B549" s="21" t="s">
        <v>211</v>
      </c>
      <c r="C549" s="4" t="str">
        <f t="shared" si="1"/>
        <v>La Tercera</v>
      </c>
      <c r="D549" s="22">
        <f t="shared" si="2"/>
        <v>10</v>
      </c>
      <c r="E549" s="4">
        <f>IF(IFERROR(VLOOKUP(LEFT(C549,14),consolidado!D:D,1,0),0)&gt;0,1,0)</f>
        <v>0</v>
      </c>
      <c r="F549" s="4" t="str">
        <f>VLOOKUP(LEFT(C549,14),consolidado!D:D,1,0)</f>
        <v>#N/A</v>
      </c>
    </row>
    <row r="550" ht="15.75" customHeight="1">
      <c r="B550" s="33">
        <v>43559.0</v>
      </c>
      <c r="C550" s="4" t="str">
        <f t="shared" si="1"/>
        <v>Florcita, drogas y prejuicios: "Piensan que la gente de izquierda se mete cualquier cosa a la boca"</v>
      </c>
      <c r="D550" s="22">
        <f t="shared" si="2"/>
        <v>99</v>
      </c>
      <c r="E550" s="4">
        <f>IF(IFERROR(VLOOKUP(LEFT(C550,14),consolidado!D:D,1,0),0)&gt;0,1,0)</f>
        <v>1</v>
      </c>
      <c r="F550" s="4" t="str">
        <f>VLOOKUP(LEFT(C550,14),consolidado!D:D,1,0)</f>
        <v>Florcita, drog</v>
      </c>
    </row>
    <row r="551" ht="15.75" customHeight="1">
      <c r="B551" s="24" t="s">
        <v>307</v>
      </c>
      <c r="C551" s="4" t="str">
        <f t="shared" si="1"/>
        <v>43559</v>
      </c>
      <c r="D551" s="22">
        <f t="shared" si="2"/>
        <v>5</v>
      </c>
      <c r="E551" s="4">
        <f>IF(IFERROR(VLOOKUP(LEFT(C551,14),consolidado!D:D,1,0),0)&gt;0,1,0)</f>
        <v>0</v>
      </c>
      <c r="F551" s="4" t="str">
        <f>VLOOKUP(LEFT(C551,14),consolidado!D:D,1,0)</f>
        <v>#N/A</v>
      </c>
    </row>
    <row r="552" ht="15.75" customHeight="1">
      <c r="B552" s="24" t="s">
        <v>308</v>
      </c>
      <c r="C552" s="4" t="str">
        <f t="shared" si="1"/>
        <v>bookmark_border</v>
      </c>
      <c r="D552" s="22">
        <f t="shared" si="2"/>
        <v>15</v>
      </c>
      <c r="E552" s="4">
        <f>IF(IFERROR(VLOOKUP(LEFT(C552,14),consolidado!D:D,1,0),0)&gt;0,1,0)</f>
        <v>0</v>
      </c>
      <c r="F552" s="4" t="str">
        <f>VLOOKUP(LEFT(C552,14),consolidado!D:D,1,0)</f>
        <v>#N/A</v>
      </c>
    </row>
    <row r="553" ht="15.75" customHeight="1">
      <c r="B553" s="24" t="s">
        <v>309</v>
      </c>
      <c r="C553" s="4" t="str">
        <f t="shared" si="1"/>
        <v>share</v>
      </c>
      <c r="D553" s="22">
        <f t="shared" si="2"/>
        <v>5</v>
      </c>
      <c r="E553" s="4">
        <f>IF(IFERROR(VLOOKUP(LEFT(C553,14),consolidado!D:D,1,0),0)&gt;0,1,0)</f>
        <v>0</v>
      </c>
      <c r="F553" s="4" t="str">
        <f>VLOOKUP(LEFT(C553,14),consolidado!D:D,1,0)</f>
        <v>#N/A</v>
      </c>
    </row>
    <row r="554" ht="15.75" customHeight="1">
      <c r="B554" s="28"/>
      <c r="C554" s="4" t="str">
        <f t="shared" si="1"/>
        <v>more_vert</v>
      </c>
      <c r="D554" s="22">
        <f t="shared" si="2"/>
        <v>9</v>
      </c>
      <c r="E554" s="4">
        <f>IF(IFERROR(VLOOKUP(LEFT(C554,14),consolidado!D:D,1,0),0)&gt;0,1,0)</f>
        <v>0</v>
      </c>
      <c r="F554" s="4" t="str">
        <f>VLOOKUP(LEFT(C554,14),consolidado!D:D,1,0)</f>
        <v>#N/A</v>
      </c>
    </row>
    <row r="555" ht="15.75" customHeight="1">
      <c r="B555" s="32"/>
      <c r="C555" s="4" t="str">
        <f t="shared" si="1"/>
        <v/>
      </c>
      <c r="D555" s="22">
        <f t="shared" si="2"/>
        <v>0</v>
      </c>
      <c r="E555" s="4">
        <f>IF(IFERROR(VLOOKUP(LEFT(C555,14),consolidado!D:D,1,0),0)&gt;0,1,0)</f>
        <v>1</v>
      </c>
      <c r="F555" s="4" t="str">
        <f>VLOOKUP(LEFT(C555,14),consolidado!D:D,1,0)</f>
        <v/>
      </c>
    </row>
    <row r="556" ht="15.75" customHeight="1">
      <c r="B556" s="21" t="s">
        <v>208</v>
      </c>
      <c r="C556" s="4" t="str">
        <f t="shared" si="1"/>
        <v/>
      </c>
      <c r="D556" s="22">
        <f t="shared" si="2"/>
        <v>0</v>
      </c>
      <c r="E556" s="4">
        <f>IF(IFERROR(VLOOKUP(LEFT(C556,14),consolidado!D:D,1,0),0)&gt;0,1,0)</f>
        <v>1</v>
      </c>
      <c r="F556" s="4" t="str">
        <f>VLOOKUP(LEFT(C556,14),consolidado!D:D,1,0)</f>
        <v/>
      </c>
    </row>
    <row r="557" ht="15.75" customHeight="1">
      <c r="B557" s="29">
        <v>44835.0</v>
      </c>
      <c r="C557" s="4" t="str">
        <f t="shared" si="1"/>
        <v>Nelson Ávila, agricultor y escritor: “Fui tildado como el niño símbolo de la cannabis, pero las veces que consumí fueron muy esporádicas”</v>
      </c>
      <c r="D557" s="22">
        <f t="shared" si="2"/>
        <v>139</v>
      </c>
      <c r="E557" s="4">
        <f>IF(IFERROR(VLOOKUP(LEFT(C557,14),consolidado!D:D,1,0),0)&gt;0,1,0)</f>
        <v>1</v>
      </c>
      <c r="F557" s="4" t="str">
        <f>VLOOKUP(LEFT(C557,14),consolidado!D:D,1,0)</f>
        <v>Nelson Ávila, </v>
      </c>
    </row>
    <row r="558" ht="15.75" customHeight="1">
      <c r="B558" s="24" t="s">
        <v>307</v>
      </c>
      <c r="C558" s="4" t="str">
        <f t="shared" si="1"/>
        <v>44835</v>
      </c>
      <c r="D558" s="22">
        <f t="shared" si="2"/>
        <v>5</v>
      </c>
      <c r="E558" s="4">
        <f>IF(IFERROR(VLOOKUP(LEFT(C558,14),consolidado!D:D,1,0),0)&gt;0,1,0)</f>
        <v>0</v>
      </c>
      <c r="F558" s="4" t="str">
        <f>VLOOKUP(LEFT(C558,14),consolidado!D:D,1,0)</f>
        <v>#N/A</v>
      </c>
    </row>
    <row r="559" ht="15.75" customHeight="1">
      <c r="B559" s="24" t="s">
        <v>308</v>
      </c>
      <c r="C559" s="4" t="str">
        <f t="shared" si="1"/>
        <v>bookmark_border</v>
      </c>
      <c r="D559" s="22">
        <f t="shared" si="2"/>
        <v>15</v>
      </c>
      <c r="E559" s="4">
        <f>IF(IFERROR(VLOOKUP(LEFT(C559,14),consolidado!D:D,1,0),0)&gt;0,1,0)</f>
        <v>0</v>
      </c>
      <c r="F559" s="4" t="str">
        <f>VLOOKUP(LEFT(C559,14),consolidado!D:D,1,0)</f>
        <v>#N/A</v>
      </c>
    </row>
    <row r="560" ht="15.75" customHeight="1">
      <c r="B560" s="24" t="s">
        <v>309</v>
      </c>
      <c r="C560" s="4" t="str">
        <f t="shared" si="1"/>
        <v>share</v>
      </c>
      <c r="D560" s="22">
        <f t="shared" si="2"/>
        <v>5</v>
      </c>
      <c r="E560" s="4">
        <f>IF(IFERROR(VLOOKUP(LEFT(C560,14),consolidado!D:D,1,0),0)&gt;0,1,0)</f>
        <v>0</v>
      </c>
      <c r="F560" s="4" t="str">
        <f>VLOOKUP(LEFT(C560,14),consolidado!D:D,1,0)</f>
        <v>#N/A</v>
      </c>
    </row>
    <row r="561" ht="15.75" customHeight="1">
      <c r="B561" s="28"/>
      <c r="C561" s="4" t="str">
        <f t="shared" si="1"/>
        <v>more_vert</v>
      </c>
      <c r="D561" s="22">
        <f t="shared" si="2"/>
        <v>9</v>
      </c>
      <c r="E561" s="4">
        <f>IF(IFERROR(VLOOKUP(LEFT(C561,14),consolidado!D:D,1,0),0)&gt;0,1,0)</f>
        <v>0</v>
      </c>
      <c r="F561" s="4" t="str">
        <f>VLOOKUP(LEFT(C561,14),consolidado!D:D,1,0)</f>
        <v>#N/A</v>
      </c>
    </row>
    <row r="562" ht="15.75" customHeight="1">
      <c r="B562" s="32"/>
      <c r="C562" s="4" t="str">
        <f t="shared" si="1"/>
        <v/>
      </c>
      <c r="D562" s="22">
        <f t="shared" si="2"/>
        <v>0</v>
      </c>
      <c r="E562" s="4">
        <f>IF(IFERROR(VLOOKUP(LEFT(C562,14),consolidado!D:D,1,0),0)&gt;0,1,0)</f>
        <v>1</v>
      </c>
      <c r="F562" s="4" t="str">
        <f>VLOOKUP(LEFT(C562,14),consolidado!D:D,1,0)</f>
        <v/>
      </c>
    </row>
    <row r="563" ht="15.75" customHeight="1">
      <c r="B563" s="21" t="s">
        <v>220</v>
      </c>
      <c r="C563" s="4" t="str">
        <f t="shared" si="1"/>
        <v/>
      </c>
      <c r="D563" s="22">
        <f t="shared" si="2"/>
        <v>0</v>
      </c>
      <c r="E563" s="4">
        <f>IF(IFERROR(VLOOKUP(LEFT(C563,14),consolidado!D:D,1,0),0)&gt;0,1,0)</f>
        <v>1</v>
      </c>
      <c r="F563" s="4" t="str">
        <f>VLOOKUP(LEFT(C563,14),consolidado!D:D,1,0)</f>
        <v/>
      </c>
    </row>
    <row r="564" ht="15.75" customHeight="1">
      <c r="B564" s="23" t="s">
        <v>340</v>
      </c>
      <c r="C564" s="4" t="str">
        <f t="shared" si="1"/>
        <v>Ipsos: Confianza de los consumidores chilenos vuelve a bajar durante noviembre</v>
      </c>
      <c r="D564" s="22">
        <f t="shared" si="2"/>
        <v>78</v>
      </c>
      <c r="E564" s="4">
        <f>IF(IFERROR(VLOOKUP(LEFT(C564,14),consolidado!D:D,1,0),0)&gt;0,1,0)</f>
        <v>1</v>
      </c>
      <c r="F564" s="4" t="str">
        <f>VLOOKUP(LEFT(C564,14),consolidado!D:D,1,0)</f>
        <v>Ipsos: Confian</v>
      </c>
    </row>
    <row r="565" ht="15.75" customHeight="1">
      <c r="B565" s="24" t="s">
        <v>307</v>
      </c>
      <c r="C565" s="4" t="str">
        <f t="shared" si="1"/>
        <v>Hace 20 horas</v>
      </c>
      <c r="D565" s="22">
        <f t="shared" si="2"/>
        <v>13</v>
      </c>
      <c r="E565" s="4">
        <f>IF(IFERROR(VLOOKUP(LEFT(C565,14),consolidado!D:D,1,0),0)&gt;0,1,0)</f>
        <v>0</v>
      </c>
      <c r="F565" s="4" t="str">
        <f>VLOOKUP(LEFT(C565,14),consolidado!D:D,1,0)</f>
        <v>#N/A</v>
      </c>
    </row>
    <row r="566" ht="15.75" customHeight="1">
      <c r="B566" s="24" t="s">
        <v>308</v>
      </c>
      <c r="C566" s="4" t="str">
        <f t="shared" si="1"/>
        <v>bookmark_border</v>
      </c>
      <c r="D566" s="22">
        <f t="shared" si="2"/>
        <v>15</v>
      </c>
      <c r="E566" s="4">
        <f>IF(IFERROR(VLOOKUP(LEFT(C566,14),consolidado!D:D,1,0),0)&gt;0,1,0)</f>
        <v>0</v>
      </c>
      <c r="F566" s="4" t="str">
        <f>VLOOKUP(LEFT(C566,14),consolidado!D:D,1,0)</f>
        <v>#N/A</v>
      </c>
    </row>
    <row r="567" ht="15.75" customHeight="1">
      <c r="B567" s="24" t="s">
        <v>309</v>
      </c>
      <c r="C567" s="4" t="str">
        <f t="shared" si="1"/>
        <v>share</v>
      </c>
      <c r="D567" s="22">
        <f t="shared" si="2"/>
        <v>5</v>
      </c>
      <c r="E567" s="4">
        <f>IF(IFERROR(VLOOKUP(LEFT(C567,14),consolidado!D:D,1,0),0)&gt;0,1,0)</f>
        <v>0</v>
      </c>
      <c r="F567" s="4" t="str">
        <f>VLOOKUP(LEFT(C567,14),consolidado!D:D,1,0)</f>
        <v>#N/A</v>
      </c>
    </row>
    <row r="568" ht="15.75" customHeight="1">
      <c r="B568" s="28"/>
      <c r="C568" s="4" t="str">
        <f t="shared" si="1"/>
        <v>more_vert</v>
      </c>
      <c r="D568" s="22">
        <f t="shared" si="2"/>
        <v>9</v>
      </c>
      <c r="E568" s="4">
        <f>IF(IFERROR(VLOOKUP(LEFT(C568,14),consolidado!D:D,1,0),0)&gt;0,1,0)</f>
        <v>0</v>
      </c>
      <c r="F568" s="4" t="str">
        <f>VLOOKUP(LEFT(C568,14),consolidado!D:D,1,0)</f>
        <v>#N/A</v>
      </c>
    </row>
    <row r="569" ht="15.75" customHeight="1">
      <c r="B569" s="32"/>
      <c r="C569" s="4" t="str">
        <f t="shared" si="1"/>
        <v/>
      </c>
      <c r="D569" s="22">
        <f t="shared" si="2"/>
        <v>0</v>
      </c>
      <c r="E569" s="4">
        <f>IF(IFERROR(VLOOKUP(LEFT(C569,14),consolidado!D:D,1,0),0)&gt;0,1,0)</f>
        <v>1</v>
      </c>
      <c r="F569" s="4" t="str">
        <f>VLOOKUP(LEFT(C569,14),consolidado!D:D,1,0)</f>
        <v/>
      </c>
    </row>
    <row r="570" ht="15.75" customHeight="1">
      <c r="B570" s="21" t="s">
        <v>278</v>
      </c>
      <c r="C570" s="4" t="str">
        <f t="shared" si="1"/>
        <v/>
      </c>
      <c r="D570" s="22">
        <f t="shared" si="2"/>
        <v>0</v>
      </c>
      <c r="E570" s="4">
        <f>IF(IFERROR(VLOOKUP(LEFT(C570,14),consolidado!D:D,1,0),0)&gt;0,1,0)</f>
        <v>1</v>
      </c>
      <c r="F570" s="4" t="str">
        <f>VLOOKUP(LEFT(C570,14),consolidado!D:D,1,0)</f>
        <v/>
      </c>
    </row>
    <row r="571" ht="15.75" customHeight="1">
      <c r="B571" s="29">
        <v>44832.0</v>
      </c>
      <c r="C571" s="4" t="str">
        <f t="shared" si="1"/>
        <v>Hackeo al EMCO: Consejo para la Transparencia da 10 días hábiles para entregar antecedentes</v>
      </c>
      <c r="D571" s="22">
        <f t="shared" si="2"/>
        <v>91</v>
      </c>
      <c r="E571" s="4">
        <f>IF(IFERROR(VLOOKUP(LEFT(C571,14),consolidado!D:D,1,0),0)&gt;0,1,0)</f>
        <v>1</v>
      </c>
      <c r="F571" s="4" t="str">
        <f>VLOOKUP(LEFT(C571,14),consolidado!D:D,1,0)</f>
        <v>Hackeo al EMCO</v>
      </c>
    </row>
    <row r="572" ht="15.75" customHeight="1">
      <c r="B572" s="24" t="s">
        <v>307</v>
      </c>
      <c r="C572" s="4" t="str">
        <f t="shared" si="1"/>
        <v>44832</v>
      </c>
      <c r="D572" s="22">
        <f t="shared" si="2"/>
        <v>5</v>
      </c>
      <c r="E572" s="4">
        <f>IF(IFERROR(VLOOKUP(LEFT(C572,14),consolidado!D:D,1,0),0)&gt;0,1,0)</f>
        <v>0</v>
      </c>
      <c r="F572" s="4" t="str">
        <f>VLOOKUP(LEFT(C572,14),consolidado!D:D,1,0)</f>
        <v>#N/A</v>
      </c>
    </row>
    <row r="573" ht="15.75" customHeight="1">
      <c r="B573" s="24" t="s">
        <v>308</v>
      </c>
      <c r="C573" s="4" t="str">
        <f t="shared" si="1"/>
        <v>bookmark_border</v>
      </c>
      <c r="D573" s="22">
        <f t="shared" si="2"/>
        <v>15</v>
      </c>
      <c r="E573" s="4">
        <f>IF(IFERROR(VLOOKUP(LEFT(C573,14),consolidado!D:D,1,0),0)&gt;0,1,0)</f>
        <v>0</v>
      </c>
      <c r="F573" s="4" t="str">
        <f>VLOOKUP(LEFT(C573,14),consolidado!D:D,1,0)</f>
        <v>#N/A</v>
      </c>
    </row>
    <row r="574" ht="15.75" customHeight="1">
      <c r="B574" s="24" t="s">
        <v>309</v>
      </c>
      <c r="C574" s="4" t="str">
        <f t="shared" si="1"/>
        <v>share</v>
      </c>
      <c r="D574" s="22">
        <f t="shared" si="2"/>
        <v>5</v>
      </c>
      <c r="E574" s="4">
        <f>IF(IFERROR(VLOOKUP(LEFT(C574,14),consolidado!D:D,1,0),0)&gt;0,1,0)</f>
        <v>0</v>
      </c>
      <c r="F574" s="4" t="str">
        <f>VLOOKUP(LEFT(C574,14),consolidado!D:D,1,0)</f>
        <v>#N/A</v>
      </c>
    </row>
    <row r="575" ht="15.75" customHeight="1">
      <c r="B575" s="28"/>
      <c r="C575" s="4" t="str">
        <f t="shared" si="1"/>
        <v>more_vert</v>
      </c>
      <c r="D575" s="22">
        <f t="shared" si="2"/>
        <v>9</v>
      </c>
      <c r="E575" s="4">
        <f>IF(IFERROR(VLOOKUP(LEFT(C575,14),consolidado!D:D,1,0),0)&gt;0,1,0)</f>
        <v>0</v>
      </c>
      <c r="F575" s="4" t="str">
        <f>VLOOKUP(LEFT(C575,14),consolidado!D:D,1,0)</f>
        <v>#N/A</v>
      </c>
    </row>
    <row r="576" ht="15.75" customHeight="1">
      <c r="B576" s="30" t="s">
        <v>316</v>
      </c>
      <c r="C576" s="4" t="str">
        <f t="shared" si="1"/>
        <v/>
      </c>
      <c r="D576" s="22">
        <f t="shared" si="2"/>
        <v>0</v>
      </c>
      <c r="E576" s="4">
        <f>IF(IFERROR(VLOOKUP(LEFT(C576,14),consolidado!D:D,1,0),0)&gt;0,1,0)</f>
        <v>1</v>
      </c>
      <c r="F576" s="4" t="str">
        <f>VLOOKUP(LEFT(C576,14),consolidado!D:D,1,0)</f>
        <v/>
      </c>
    </row>
    <row r="577" ht="15.75" customHeight="1">
      <c r="B577" s="21" t="s">
        <v>280</v>
      </c>
      <c r="C577" s="4" t="str">
        <f t="shared" si="1"/>
        <v>El Mostrador</v>
      </c>
      <c r="D577" s="22">
        <f t="shared" si="2"/>
        <v>12</v>
      </c>
      <c r="E577" s="4">
        <f>IF(IFERROR(VLOOKUP(LEFT(C577,14),consolidado!D:D,1,0),0)&gt;0,1,0)</f>
        <v>0</v>
      </c>
      <c r="F577" s="4" t="str">
        <f>VLOOKUP(LEFT(C577,14),consolidado!D:D,1,0)</f>
        <v>#N/A</v>
      </c>
    </row>
    <row r="578" ht="15.75" customHeight="1">
      <c r="B578" s="29">
        <v>44795.0</v>
      </c>
      <c r="C578" s="4" t="str">
        <f t="shared" si="1"/>
        <v>Diputado Soto por dichos de Presidente Boric sobre “redundancia” de plebiscito de entrada ante eventual triunfo del Rechazo: “Ninguno puede imponer su posición”</v>
      </c>
      <c r="D578" s="22">
        <f t="shared" si="2"/>
        <v>164</v>
      </c>
      <c r="E578" s="4">
        <f>IF(IFERROR(VLOOKUP(LEFT(C578,14),consolidado!D:D,1,0),0)&gt;0,1,0)</f>
        <v>1</v>
      </c>
      <c r="F578" s="4" t="str">
        <f>VLOOKUP(LEFT(C578,14),consolidado!D:D,1,0)</f>
        <v>Diputado Soto </v>
      </c>
    </row>
    <row r="579" ht="15.75" customHeight="1">
      <c r="B579" s="24" t="s">
        <v>307</v>
      </c>
      <c r="C579" s="4" t="str">
        <f t="shared" si="1"/>
        <v>44795</v>
      </c>
      <c r="D579" s="22">
        <f t="shared" si="2"/>
        <v>5</v>
      </c>
      <c r="E579" s="4">
        <f>IF(IFERROR(VLOOKUP(LEFT(C579,14),consolidado!D:D,1,0),0)&gt;0,1,0)</f>
        <v>0</v>
      </c>
      <c r="F579" s="4" t="str">
        <f>VLOOKUP(LEFT(C579,14),consolidado!D:D,1,0)</f>
        <v>#N/A</v>
      </c>
    </row>
    <row r="580" ht="15.75" customHeight="1">
      <c r="B580" s="24" t="s">
        <v>308</v>
      </c>
      <c r="C580" s="4" t="str">
        <f t="shared" si="1"/>
        <v>bookmark_border</v>
      </c>
      <c r="D580" s="22">
        <f t="shared" si="2"/>
        <v>15</v>
      </c>
      <c r="E580" s="4">
        <f>IF(IFERROR(VLOOKUP(LEFT(C580,14),consolidado!D:D,1,0),0)&gt;0,1,0)</f>
        <v>0</v>
      </c>
      <c r="F580" s="4" t="str">
        <f>VLOOKUP(LEFT(C580,14),consolidado!D:D,1,0)</f>
        <v>#N/A</v>
      </c>
    </row>
    <row r="581" ht="15.75" customHeight="1">
      <c r="B581" s="24" t="s">
        <v>309</v>
      </c>
      <c r="C581" s="4" t="str">
        <f t="shared" si="1"/>
        <v>share</v>
      </c>
      <c r="D581" s="22">
        <f t="shared" si="2"/>
        <v>5</v>
      </c>
      <c r="E581" s="4">
        <f>IF(IFERROR(VLOOKUP(LEFT(C581,14),consolidado!D:D,1,0),0)&gt;0,1,0)</f>
        <v>0</v>
      </c>
      <c r="F581" s="4" t="str">
        <f>VLOOKUP(LEFT(C581,14),consolidado!D:D,1,0)</f>
        <v>#N/A</v>
      </c>
    </row>
    <row r="582" ht="15.75" customHeight="1">
      <c r="B582" s="28"/>
      <c r="C582" s="4" t="str">
        <f t="shared" si="1"/>
        <v>more_vert</v>
      </c>
      <c r="D582" s="22">
        <f t="shared" si="2"/>
        <v>9</v>
      </c>
      <c r="E582" s="4">
        <f>IF(IFERROR(VLOOKUP(LEFT(C582,14),consolidado!D:D,1,0),0)&gt;0,1,0)</f>
        <v>0</v>
      </c>
      <c r="F582" s="4" t="str">
        <f>VLOOKUP(LEFT(C582,14),consolidado!D:D,1,0)</f>
        <v>#N/A</v>
      </c>
    </row>
    <row r="583" ht="15.75" customHeight="1">
      <c r="B583" s="30" t="s">
        <v>383</v>
      </c>
      <c r="C583" s="4" t="str">
        <f t="shared" si="1"/>
        <v/>
      </c>
      <c r="D583" s="22">
        <f t="shared" si="2"/>
        <v>0</v>
      </c>
      <c r="E583" s="4">
        <f>IF(IFERROR(VLOOKUP(LEFT(C583,14),consolidado!D:D,1,0),0)&gt;0,1,0)</f>
        <v>1</v>
      </c>
      <c r="F583" s="4" t="str">
        <f>VLOOKUP(LEFT(C583,14),consolidado!D:D,1,0)</f>
        <v/>
      </c>
    </row>
    <row r="584" ht="15.75" customHeight="1">
      <c r="B584" s="21" t="s">
        <v>283</v>
      </c>
      <c r="C584" s="4" t="str">
        <f t="shared" si="1"/>
        <v>Radio Futuro</v>
      </c>
      <c r="D584" s="22">
        <f t="shared" si="2"/>
        <v>12</v>
      </c>
      <c r="E584" s="4">
        <f>IF(IFERROR(VLOOKUP(LEFT(C584,14),consolidado!D:D,1,0),0)&gt;0,1,0)</f>
        <v>0</v>
      </c>
      <c r="F584" s="4" t="str">
        <f>VLOOKUP(LEFT(C584,14),consolidado!D:D,1,0)</f>
        <v>#N/A</v>
      </c>
    </row>
    <row r="585" ht="15.75" customHeight="1">
      <c r="B585" s="29">
        <v>44833.0</v>
      </c>
      <c r="C585" s="4" t="str">
        <f t="shared" si="1"/>
        <v>Marihuana y cocaína: Estudio revela aumento en el consumo de estas drogas</v>
      </c>
      <c r="D585" s="22">
        <f t="shared" si="2"/>
        <v>73</v>
      </c>
      <c r="E585" s="4">
        <f>IF(IFERROR(VLOOKUP(LEFT(C585,14),consolidado!D:D,1,0),0)&gt;0,1,0)</f>
        <v>1</v>
      </c>
      <c r="F585" s="4" t="str">
        <f>VLOOKUP(LEFT(C585,14),consolidado!D:D,1,0)</f>
        <v>Marihuana y co</v>
      </c>
    </row>
    <row r="586" ht="15.75" customHeight="1">
      <c r="B586" s="24" t="s">
        <v>307</v>
      </c>
      <c r="C586" s="4" t="str">
        <f t="shared" si="1"/>
        <v>44833</v>
      </c>
      <c r="D586" s="22">
        <f t="shared" si="2"/>
        <v>5</v>
      </c>
      <c r="E586" s="4">
        <f>IF(IFERROR(VLOOKUP(LEFT(C586,14),consolidado!D:D,1,0),0)&gt;0,1,0)</f>
        <v>0</v>
      </c>
      <c r="F586" s="4" t="str">
        <f>VLOOKUP(LEFT(C586,14),consolidado!D:D,1,0)</f>
        <v>#N/A</v>
      </c>
    </row>
    <row r="587" ht="15.75" customHeight="1">
      <c r="B587" s="24" t="s">
        <v>308</v>
      </c>
      <c r="C587" s="4" t="str">
        <f t="shared" si="1"/>
        <v>bookmark_border</v>
      </c>
      <c r="D587" s="22">
        <f t="shared" si="2"/>
        <v>15</v>
      </c>
      <c r="E587" s="4">
        <f>IF(IFERROR(VLOOKUP(LEFT(C587,14),consolidado!D:D,1,0),0)&gt;0,1,0)</f>
        <v>0</v>
      </c>
      <c r="F587" s="4" t="str">
        <f>VLOOKUP(LEFT(C587,14),consolidado!D:D,1,0)</f>
        <v>#N/A</v>
      </c>
    </row>
    <row r="588" ht="15.75" customHeight="1">
      <c r="B588" s="24" t="s">
        <v>309</v>
      </c>
      <c r="C588" s="4" t="str">
        <f t="shared" si="1"/>
        <v>share</v>
      </c>
      <c r="D588" s="22">
        <f t="shared" si="2"/>
        <v>5</v>
      </c>
      <c r="E588" s="4">
        <f>IF(IFERROR(VLOOKUP(LEFT(C588,14),consolidado!D:D,1,0),0)&gt;0,1,0)</f>
        <v>0</v>
      </c>
      <c r="F588" s="4" t="str">
        <f>VLOOKUP(LEFT(C588,14),consolidado!D:D,1,0)</f>
        <v>#N/A</v>
      </c>
    </row>
    <row r="589" ht="15.75" customHeight="1">
      <c r="B589" s="28"/>
      <c r="C589" s="4" t="str">
        <f t="shared" si="1"/>
        <v>more_vert</v>
      </c>
      <c r="D589" s="22">
        <f t="shared" si="2"/>
        <v>9</v>
      </c>
      <c r="E589" s="4">
        <f>IF(IFERROR(VLOOKUP(LEFT(C589,14),consolidado!D:D,1,0),0)&gt;0,1,0)</f>
        <v>0</v>
      </c>
      <c r="F589" s="4" t="str">
        <f>VLOOKUP(LEFT(C589,14),consolidado!D:D,1,0)</f>
        <v>#N/A</v>
      </c>
    </row>
    <row r="590" ht="15.75" customHeight="1">
      <c r="B590" s="32"/>
      <c r="C590" s="4" t="str">
        <f t="shared" si="1"/>
        <v/>
      </c>
      <c r="D590" s="22">
        <f t="shared" si="2"/>
        <v>0</v>
      </c>
      <c r="E590" s="4">
        <f>IF(IFERROR(VLOOKUP(LEFT(C590,14),consolidado!D:D,1,0),0)&gt;0,1,0)</f>
        <v>1</v>
      </c>
      <c r="F590" s="4" t="str">
        <f>VLOOKUP(LEFT(C590,14),consolidado!D:D,1,0)</f>
        <v/>
      </c>
    </row>
    <row r="591" ht="15.75" customHeight="1">
      <c r="B591" s="21" t="s">
        <v>177</v>
      </c>
      <c r="C591" s="4" t="str">
        <f t="shared" si="1"/>
        <v/>
      </c>
      <c r="D591" s="22">
        <f t="shared" si="2"/>
        <v>0</v>
      </c>
      <c r="E591" s="4">
        <f>IF(IFERROR(VLOOKUP(LEFT(C591,14),consolidado!D:D,1,0),0)&gt;0,1,0)</f>
        <v>1</v>
      </c>
      <c r="F591" s="4" t="str">
        <f>VLOOKUP(LEFT(C591,14),consolidado!D:D,1,0)</f>
        <v/>
      </c>
    </row>
    <row r="592" ht="15.75" customHeight="1">
      <c r="B592" s="23" t="s">
        <v>340</v>
      </c>
      <c r="C592" s="4" t="str">
        <f t="shared" si="1"/>
        <v>Debutó este lunes la rendición de la PAES en todo Chile, examen que reemplaza a la PDT de transición y a la antigua PSU</v>
      </c>
      <c r="D592" s="22">
        <f t="shared" si="2"/>
        <v>119</v>
      </c>
      <c r="E592" s="4">
        <f>IF(IFERROR(VLOOKUP(LEFT(C592,14),consolidado!D:D,1,0),0)&gt;0,1,0)</f>
        <v>1</v>
      </c>
      <c r="F592" s="4" t="str">
        <f>VLOOKUP(LEFT(C592,14),consolidado!D:D,1,0)</f>
        <v>Debutó este lu</v>
      </c>
    </row>
    <row r="593" ht="15.75" customHeight="1">
      <c r="B593" s="24" t="s">
        <v>307</v>
      </c>
      <c r="C593" s="4" t="str">
        <f t="shared" si="1"/>
        <v>Hace 20 horas</v>
      </c>
      <c r="D593" s="22">
        <f t="shared" si="2"/>
        <v>13</v>
      </c>
      <c r="E593" s="4">
        <f>IF(IFERROR(VLOOKUP(LEFT(C593,14),consolidado!D:D,1,0),0)&gt;0,1,0)</f>
        <v>0</v>
      </c>
      <c r="F593" s="4" t="str">
        <f>VLOOKUP(LEFT(C593,14),consolidado!D:D,1,0)</f>
        <v>#N/A</v>
      </c>
    </row>
    <row r="594" ht="15.75" customHeight="1">
      <c r="B594" s="24" t="s">
        <v>308</v>
      </c>
      <c r="C594" s="4" t="str">
        <f t="shared" si="1"/>
        <v>bookmark_border</v>
      </c>
      <c r="D594" s="22">
        <f t="shared" si="2"/>
        <v>15</v>
      </c>
      <c r="E594" s="4">
        <f>IF(IFERROR(VLOOKUP(LEFT(C594,14),consolidado!D:D,1,0),0)&gt;0,1,0)</f>
        <v>0</v>
      </c>
      <c r="F594" s="4" t="str">
        <f>VLOOKUP(LEFT(C594,14),consolidado!D:D,1,0)</f>
        <v>#N/A</v>
      </c>
    </row>
    <row r="595" ht="15.75" customHeight="1">
      <c r="B595" s="24" t="s">
        <v>309</v>
      </c>
      <c r="C595" s="4" t="str">
        <f t="shared" si="1"/>
        <v>share</v>
      </c>
      <c r="D595" s="22">
        <f t="shared" si="2"/>
        <v>5</v>
      </c>
      <c r="E595" s="4">
        <f>IF(IFERROR(VLOOKUP(LEFT(C595,14),consolidado!D:D,1,0),0)&gt;0,1,0)</f>
        <v>0</v>
      </c>
      <c r="F595" s="4" t="str">
        <f>VLOOKUP(LEFT(C595,14),consolidado!D:D,1,0)</f>
        <v>#N/A</v>
      </c>
    </row>
    <row r="596" ht="15.75" customHeight="1">
      <c r="B596" s="28"/>
      <c r="C596" s="4" t="str">
        <f t="shared" si="1"/>
        <v>more_vert</v>
      </c>
      <c r="D596" s="22">
        <f t="shared" si="2"/>
        <v>9</v>
      </c>
      <c r="E596" s="4">
        <f>IF(IFERROR(VLOOKUP(LEFT(C596,14),consolidado!D:D,1,0),0)&gt;0,1,0)</f>
        <v>0</v>
      </c>
      <c r="F596" s="4" t="str">
        <f>VLOOKUP(LEFT(C596,14),consolidado!D:D,1,0)</f>
        <v>#N/A</v>
      </c>
    </row>
    <row r="597" ht="15.75" customHeight="1">
      <c r="B597" s="32"/>
      <c r="C597" s="4" t="str">
        <f t="shared" si="1"/>
        <v/>
      </c>
      <c r="D597" s="22">
        <f t="shared" si="2"/>
        <v>0</v>
      </c>
      <c r="E597" s="4">
        <f>IF(IFERROR(VLOOKUP(LEFT(C597,14),consolidado!D:D,1,0),0)&gt;0,1,0)</f>
        <v>1</v>
      </c>
      <c r="F597" s="4" t="str">
        <f>VLOOKUP(LEFT(C597,14),consolidado!D:D,1,0)</f>
        <v/>
      </c>
    </row>
    <row r="598" ht="15.75" customHeight="1">
      <c r="B598" s="21" t="s">
        <v>285</v>
      </c>
      <c r="C598" s="4" t="str">
        <f t="shared" si="1"/>
        <v/>
      </c>
      <c r="D598" s="22">
        <f t="shared" si="2"/>
        <v>0</v>
      </c>
      <c r="E598" s="4">
        <f>IF(IFERROR(VLOOKUP(LEFT(C598,14),consolidado!D:D,1,0),0)&gt;0,1,0)</f>
        <v>1</v>
      </c>
      <c r="F598" s="4" t="str">
        <f>VLOOKUP(LEFT(C598,14),consolidado!D:D,1,0)</f>
        <v/>
      </c>
    </row>
    <row r="599" ht="15.75" customHeight="1">
      <c r="B599" s="29">
        <v>44845.0</v>
      </c>
      <c r="C599" s="4" t="str">
        <f t="shared" si="1"/>
        <v>Gobierno ingresa proyecto para expulsar a extranjeros condenados por ley de drogas</v>
      </c>
      <c r="D599" s="22">
        <f t="shared" si="2"/>
        <v>82</v>
      </c>
      <c r="E599" s="4">
        <f>IF(IFERROR(VLOOKUP(LEFT(C599,14),consolidado!D:D,1,0),0)&gt;0,1,0)</f>
        <v>1</v>
      </c>
      <c r="F599" s="4" t="str">
        <f>VLOOKUP(LEFT(C599,14),consolidado!D:D,1,0)</f>
        <v>Gobierno ingre</v>
      </c>
    </row>
    <row r="600" ht="15.75" customHeight="1">
      <c r="B600" s="24" t="s">
        <v>307</v>
      </c>
      <c r="C600" s="4" t="str">
        <f t="shared" si="1"/>
        <v>44845</v>
      </c>
      <c r="D600" s="22">
        <f t="shared" si="2"/>
        <v>5</v>
      </c>
      <c r="E600" s="4">
        <f>IF(IFERROR(VLOOKUP(LEFT(C600,14),consolidado!D:D,1,0),0)&gt;0,1,0)</f>
        <v>0</v>
      </c>
      <c r="F600" s="4" t="str">
        <f>VLOOKUP(LEFT(C600,14),consolidado!D:D,1,0)</f>
        <v>#N/A</v>
      </c>
    </row>
    <row r="601" ht="15.75" customHeight="1">
      <c r="B601" s="24" t="s">
        <v>308</v>
      </c>
      <c r="C601" s="4" t="str">
        <f t="shared" si="1"/>
        <v>bookmark_border</v>
      </c>
      <c r="D601" s="22">
        <f t="shared" si="2"/>
        <v>15</v>
      </c>
      <c r="E601" s="4">
        <f>IF(IFERROR(VLOOKUP(LEFT(C601,14),consolidado!D:D,1,0),0)&gt;0,1,0)</f>
        <v>0</v>
      </c>
      <c r="F601" s="4" t="str">
        <f>VLOOKUP(LEFT(C601,14),consolidado!D:D,1,0)</f>
        <v>#N/A</v>
      </c>
    </row>
    <row r="602" ht="15.75" customHeight="1">
      <c r="B602" s="24" t="s">
        <v>309</v>
      </c>
      <c r="C602" s="4" t="str">
        <f t="shared" si="1"/>
        <v>share</v>
      </c>
      <c r="D602" s="22">
        <f t="shared" si="2"/>
        <v>5</v>
      </c>
      <c r="E602" s="4">
        <f>IF(IFERROR(VLOOKUP(LEFT(C602,14),consolidado!D:D,1,0),0)&gt;0,1,0)</f>
        <v>0</v>
      </c>
      <c r="F602" s="4" t="str">
        <f>VLOOKUP(LEFT(C602,14),consolidado!D:D,1,0)</f>
        <v>#N/A</v>
      </c>
    </row>
    <row r="603" ht="15.75" customHeight="1">
      <c r="B603" s="28"/>
      <c r="C603" s="4" t="str">
        <f t="shared" si="1"/>
        <v>more_vert</v>
      </c>
      <c r="D603" s="22">
        <f t="shared" si="2"/>
        <v>9</v>
      </c>
      <c r="E603" s="4">
        <f>IF(IFERROR(VLOOKUP(LEFT(C603,14),consolidado!D:D,1,0),0)&gt;0,1,0)</f>
        <v>0</v>
      </c>
      <c r="F603" s="4" t="str">
        <f>VLOOKUP(LEFT(C603,14),consolidado!D:D,1,0)</f>
        <v>#N/A</v>
      </c>
    </row>
    <row r="604" ht="15.75" customHeight="1">
      <c r="B604" s="32"/>
      <c r="C604" s="4" t="str">
        <f t="shared" si="1"/>
        <v/>
      </c>
      <c r="D604" s="22">
        <f t="shared" si="2"/>
        <v>0</v>
      </c>
      <c r="E604" s="4">
        <f>IF(IFERROR(VLOOKUP(LEFT(C604,14),consolidado!D:D,1,0),0)&gt;0,1,0)</f>
        <v>1</v>
      </c>
      <c r="F604" s="4" t="str">
        <f>VLOOKUP(LEFT(C604,14),consolidado!D:D,1,0)</f>
        <v/>
      </c>
    </row>
    <row r="605" ht="15.75" customHeight="1">
      <c r="B605" s="21" t="s">
        <v>264</v>
      </c>
      <c r="C605" s="4" t="str">
        <f t="shared" si="1"/>
        <v/>
      </c>
      <c r="D605" s="22">
        <f t="shared" si="2"/>
        <v>0</v>
      </c>
      <c r="E605" s="4">
        <f>IF(IFERROR(VLOOKUP(LEFT(C605,14),consolidado!D:D,1,0),0)&gt;0,1,0)</f>
        <v>1</v>
      </c>
      <c r="F605" s="4" t="str">
        <f>VLOOKUP(LEFT(C605,14),consolidado!D:D,1,0)</f>
        <v/>
      </c>
    </row>
    <row r="606" ht="15.75" customHeight="1">
      <c r="B606" s="29">
        <v>44792.0</v>
      </c>
      <c r="C606" s="4" t="str">
        <f t="shared" si="1"/>
        <v>La primera ministra de Finlandia se somete a un test de drogas para "limpiar su reputación"</v>
      </c>
      <c r="D606" s="22">
        <f t="shared" si="2"/>
        <v>91</v>
      </c>
      <c r="E606" s="4">
        <f>IF(IFERROR(VLOOKUP(LEFT(C606,14),consolidado!D:D,1,0),0)&gt;0,1,0)</f>
        <v>1</v>
      </c>
      <c r="F606" s="4" t="str">
        <f>VLOOKUP(LEFT(C606,14),consolidado!D:D,1,0)</f>
        <v>La primera min</v>
      </c>
    </row>
    <row r="607" ht="15.75" customHeight="1">
      <c r="B607" s="24" t="s">
        <v>307</v>
      </c>
      <c r="C607" s="4" t="str">
        <f t="shared" si="1"/>
        <v>44792</v>
      </c>
      <c r="D607" s="22">
        <f t="shared" si="2"/>
        <v>5</v>
      </c>
      <c r="E607" s="4">
        <f>IF(IFERROR(VLOOKUP(LEFT(C607,14),consolidado!D:D,1,0),0)&gt;0,1,0)</f>
        <v>0</v>
      </c>
      <c r="F607" s="4" t="str">
        <f>VLOOKUP(LEFT(C607,14),consolidado!D:D,1,0)</f>
        <v>#N/A</v>
      </c>
    </row>
    <row r="608" ht="15.75" customHeight="1">
      <c r="B608" s="24" t="s">
        <v>308</v>
      </c>
      <c r="C608" s="4" t="str">
        <f t="shared" si="1"/>
        <v>bookmark_border</v>
      </c>
      <c r="D608" s="22">
        <f t="shared" si="2"/>
        <v>15</v>
      </c>
      <c r="E608" s="4">
        <f>IF(IFERROR(VLOOKUP(LEFT(C608,14),consolidado!D:D,1,0),0)&gt;0,1,0)</f>
        <v>0</v>
      </c>
      <c r="F608" s="4" t="str">
        <f>VLOOKUP(LEFT(C608,14),consolidado!D:D,1,0)</f>
        <v>#N/A</v>
      </c>
    </row>
    <row r="609" ht="15.75" customHeight="1">
      <c r="B609" s="24" t="s">
        <v>309</v>
      </c>
      <c r="C609" s="4" t="str">
        <f t="shared" si="1"/>
        <v>share</v>
      </c>
      <c r="D609" s="22">
        <f t="shared" si="2"/>
        <v>5</v>
      </c>
      <c r="E609" s="4">
        <f>IF(IFERROR(VLOOKUP(LEFT(C609,14),consolidado!D:D,1,0),0)&gt;0,1,0)</f>
        <v>0</v>
      </c>
      <c r="F609" s="4" t="str">
        <f>VLOOKUP(LEFT(C609,14),consolidado!D:D,1,0)</f>
        <v>#N/A</v>
      </c>
    </row>
    <row r="610" ht="15.75" customHeight="1">
      <c r="B610" s="28"/>
      <c r="C610" s="4" t="str">
        <f t="shared" si="1"/>
        <v>more_vert</v>
      </c>
      <c r="D610" s="22">
        <f t="shared" si="2"/>
        <v>9</v>
      </c>
      <c r="E610" s="4">
        <f>IF(IFERROR(VLOOKUP(LEFT(C610,14),consolidado!D:D,1,0),0)&gt;0,1,0)</f>
        <v>0</v>
      </c>
      <c r="F610" s="4" t="str">
        <f>VLOOKUP(LEFT(C610,14),consolidado!D:D,1,0)</f>
        <v>#N/A</v>
      </c>
    </row>
    <row r="611" ht="15.75" customHeight="1">
      <c r="B611" s="30" t="s">
        <v>341</v>
      </c>
      <c r="C611" s="4" t="str">
        <f t="shared" si="1"/>
        <v/>
      </c>
      <c r="D611" s="22">
        <f t="shared" si="2"/>
        <v>0</v>
      </c>
      <c r="E611" s="4">
        <f>IF(IFERROR(VLOOKUP(LEFT(C611,14),consolidado!D:D,1,0),0)&gt;0,1,0)</f>
        <v>1</v>
      </c>
      <c r="F611" s="4" t="str">
        <f>VLOOKUP(LEFT(C611,14),consolidado!D:D,1,0)</f>
        <v/>
      </c>
    </row>
    <row r="612" ht="15.75" customHeight="1">
      <c r="B612" s="21" t="s">
        <v>195</v>
      </c>
      <c r="C612" s="4" t="str">
        <f t="shared" si="1"/>
        <v>La Discusión</v>
      </c>
      <c r="D612" s="22">
        <f t="shared" si="2"/>
        <v>12</v>
      </c>
      <c r="E612" s="4">
        <f>IF(IFERROR(VLOOKUP(LEFT(C612,14),consolidado!D:D,1,0),0)&gt;0,1,0)</f>
        <v>0</v>
      </c>
      <c r="F612" s="4" t="str">
        <f>VLOOKUP(LEFT(C612,14),consolidado!D:D,1,0)</f>
        <v>#N/A</v>
      </c>
    </row>
    <row r="613" ht="15.75" customHeight="1">
      <c r="B613" s="33">
        <v>44488.0</v>
      </c>
      <c r="C613" s="4" t="str">
        <f t="shared" si="1"/>
        <v>Bulnes: Equipo municipal se sometió a examen de detección de drogas</v>
      </c>
      <c r="D613" s="22">
        <f t="shared" si="2"/>
        <v>67</v>
      </c>
      <c r="E613" s="4">
        <f>IF(IFERROR(VLOOKUP(LEFT(C613,14),consolidado!D:D,1,0),0)&gt;0,1,0)</f>
        <v>1</v>
      </c>
      <c r="F613" s="4" t="str">
        <f>VLOOKUP(LEFT(C613,14),consolidado!D:D,1,0)</f>
        <v>Bulnes: Equipo</v>
      </c>
    </row>
    <row r="614" ht="15.75" customHeight="1">
      <c r="B614" s="24" t="s">
        <v>307</v>
      </c>
      <c r="C614" s="4" t="str">
        <f t="shared" si="1"/>
        <v>44488</v>
      </c>
      <c r="D614" s="22">
        <f t="shared" si="2"/>
        <v>5</v>
      </c>
      <c r="E614" s="4">
        <f>IF(IFERROR(VLOOKUP(LEFT(C614,14),consolidado!D:D,1,0),0)&gt;0,1,0)</f>
        <v>0</v>
      </c>
      <c r="F614" s="4" t="str">
        <f>VLOOKUP(LEFT(C614,14),consolidado!D:D,1,0)</f>
        <v>#N/A</v>
      </c>
    </row>
    <row r="615" ht="15.75" customHeight="1">
      <c r="B615" s="24" t="s">
        <v>308</v>
      </c>
      <c r="C615" s="4" t="str">
        <f t="shared" si="1"/>
        <v>bookmark_border</v>
      </c>
      <c r="D615" s="22">
        <f t="shared" si="2"/>
        <v>15</v>
      </c>
      <c r="E615" s="4">
        <f>IF(IFERROR(VLOOKUP(LEFT(C615,14),consolidado!D:D,1,0),0)&gt;0,1,0)</f>
        <v>0</v>
      </c>
      <c r="F615" s="4" t="str">
        <f>VLOOKUP(LEFT(C615,14),consolidado!D:D,1,0)</f>
        <v>#N/A</v>
      </c>
    </row>
    <row r="616" ht="15.75" customHeight="1">
      <c r="B616" s="24" t="s">
        <v>309</v>
      </c>
      <c r="C616" s="4" t="str">
        <f t="shared" si="1"/>
        <v>share</v>
      </c>
      <c r="D616" s="22">
        <f t="shared" si="2"/>
        <v>5</v>
      </c>
      <c r="E616" s="4">
        <f>IF(IFERROR(VLOOKUP(LEFT(C616,14),consolidado!D:D,1,0),0)&gt;0,1,0)</f>
        <v>0</v>
      </c>
      <c r="F616" s="4" t="str">
        <f>VLOOKUP(LEFT(C616,14),consolidado!D:D,1,0)</f>
        <v>#N/A</v>
      </c>
    </row>
    <row r="617" ht="15.75" customHeight="1">
      <c r="B617" s="28"/>
      <c r="C617" s="4" t="str">
        <f t="shared" si="1"/>
        <v>more_vert</v>
      </c>
      <c r="D617" s="22">
        <f t="shared" si="2"/>
        <v>9</v>
      </c>
      <c r="E617" s="4">
        <f>IF(IFERROR(VLOOKUP(LEFT(C617,14),consolidado!D:D,1,0),0)&gt;0,1,0)</f>
        <v>0</v>
      </c>
      <c r="F617" s="4" t="str">
        <f>VLOOKUP(LEFT(C617,14),consolidado!D:D,1,0)</f>
        <v>#N/A</v>
      </c>
    </row>
    <row r="618" ht="15.75" customHeight="1">
      <c r="B618" s="32"/>
      <c r="C618" s="4" t="str">
        <f t="shared" si="1"/>
        <v/>
      </c>
      <c r="D618" s="22">
        <f t="shared" si="2"/>
        <v>0</v>
      </c>
      <c r="E618" s="4">
        <f>IF(IFERROR(VLOOKUP(LEFT(C618,14),consolidado!D:D,1,0),0)&gt;0,1,0)</f>
        <v>1</v>
      </c>
      <c r="F618" s="4" t="str">
        <f>VLOOKUP(LEFT(C618,14),consolidado!D:D,1,0)</f>
        <v/>
      </c>
    </row>
    <row r="619" ht="15.75" customHeight="1">
      <c r="B619" s="21" t="s">
        <v>187</v>
      </c>
      <c r="C619" s="4" t="str">
        <f t="shared" si="1"/>
        <v/>
      </c>
      <c r="D619" s="22">
        <f t="shared" si="2"/>
        <v>0</v>
      </c>
      <c r="E619" s="4">
        <f>IF(IFERROR(VLOOKUP(LEFT(C619,14),consolidado!D:D,1,0),0)&gt;0,1,0)</f>
        <v>1</v>
      </c>
      <c r="F619" s="4" t="str">
        <f>VLOOKUP(LEFT(C619,14),consolidado!D:D,1,0)</f>
        <v/>
      </c>
    </row>
    <row r="620" ht="15.75" customHeight="1">
      <c r="B620" s="29">
        <v>44815.0</v>
      </c>
      <c r="C620" s="4" t="str">
        <f t="shared" si="1"/>
        <v>Cámara denuncia amenazas contra diputados por continuidad del proceso constituyente</v>
      </c>
      <c r="D620" s="22">
        <f t="shared" si="2"/>
        <v>83</v>
      </c>
      <c r="E620" s="4">
        <f>IF(IFERROR(VLOOKUP(LEFT(C620,14),consolidado!D:D,1,0),0)&gt;0,1,0)</f>
        <v>1</v>
      </c>
      <c r="F620" s="4" t="str">
        <f>VLOOKUP(LEFT(C620,14),consolidado!D:D,1,0)</f>
        <v>Cámara denunci</v>
      </c>
    </row>
    <row r="621" ht="15.75" customHeight="1">
      <c r="B621" s="24" t="s">
        <v>307</v>
      </c>
      <c r="C621" s="4" t="str">
        <f t="shared" si="1"/>
        <v>44815</v>
      </c>
      <c r="D621" s="22">
        <f t="shared" si="2"/>
        <v>5</v>
      </c>
      <c r="E621" s="4">
        <f>IF(IFERROR(VLOOKUP(LEFT(C621,14),consolidado!D:D,1,0),0)&gt;0,1,0)</f>
        <v>0</v>
      </c>
      <c r="F621" s="4" t="str">
        <f>VLOOKUP(LEFT(C621,14),consolidado!D:D,1,0)</f>
        <v>#N/A</v>
      </c>
    </row>
    <row r="622" ht="15.75" customHeight="1">
      <c r="B622" s="24" t="s">
        <v>308</v>
      </c>
      <c r="C622" s="4" t="str">
        <f t="shared" si="1"/>
        <v>bookmark_border</v>
      </c>
      <c r="D622" s="22">
        <f t="shared" si="2"/>
        <v>15</v>
      </c>
      <c r="E622" s="4">
        <f>IF(IFERROR(VLOOKUP(LEFT(C622,14),consolidado!D:D,1,0),0)&gt;0,1,0)</f>
        <v>0</v>
      </c>
      <c r="F622" s="4" t="str">
        <f>VLOOKUP(LEFT(C622,14),consolidado!D:D,1,0)</f>
        <v>#N/A</v>
      </c>
    </row>
    <row r="623" ht="15.75" customHeight="1">
      <c r="B623" s="24" t="s">
        <v>309</v>
      </c>
      <c r="C623" s="4" t="str">
        <f t="shared" si="1"/>
        <v>share</v>
      </c>
      <c r="D623" s="22">
        <f t="shared" si="2"/>
        <v>5</v>
      </c>
      <c r="E623" s="4">
        <f>IF(IFERROR(VLOOKUP(LEFT(C623,14),consolidado!D:D,1,0),0)&gt;0,1,0)</f>
        <v>0</v>
      </c>
      <c r="F623" s="4" t="str">
        <f>VLOOKUP(LEFT(C623,14),consolidado!D:D,1,0)</f>
        <v>#N/A</v>
      </c>
    </row>
    <row r="624" ht="15.75" customHeight="1">
      <c r="B624" s="28"/>
      <c r="C624" s="4" t="str">
        <f t="shared" si="1"/>
        <v>more_vert</v>
      </c>
      <c r="D624" s="22">
        <f t="shared" si="2"/>
        <v>9</v>
      </c>
      <c r="E624" s="4">
        <f>IF(IFERROR(VLOOKUP(LEFT(C624,14),consolidado!D:D,1,0),0)&gt;0,1,0)</f>
        <v>0</v>
      </c>
      <c r="F624" s="4" t="str">
        <f>VLOOKUP(LEFT(C624,14),consolidado!D:D,1,0)</f>
        <v>#N/A</v>
      </c>
    </row>
    <row r="625" ht="15.75" customHeight="1">
      <c r="B625" s="32"/>
      <c r="C625" s="4" t="str">
        <f t="shared" si="1"/>
        <v/>
      </c>
      <c r="D625" s="22">
        <f t="shared" si="2"/>
        <v>0</v>
      </c>
      <c r="E625" s="4">
        <f>IF(IFERROR(VLOOKUP(LEFT(C625,14),consolidado!D:D,1,0),0)&gt;0,1,0)</f>
        <v>1</v>
      </c>
      <c r="F625" s="4" t="str">
        <f>VLOOKUP(LEFT(C625,14),consolidado!D:D,1,0)</f>
        <v/>
      </c>
    </row>
    <row r="626" ht="15.75" customHeight="1">
      <c r="B626" s="21" t="s">
        <v>288</v>
      </c>
      <c r="C626" s="4" t="str">
        <f t="shared" si="1"/>
        <v/>
      </c>
      <c r="D626" s="22">
        <f t="shared" si="2"/>
        <v>0</v>
      </c>
      <c r="E626" s="4">
        <f>IF(IFERROR(VLOOKUP(LEFT(C626,14),consolidado!D:D,1,0),0)&gt;0,1,0)</f>
        <v>1</v>
      </c>
      <c r="F626" s="4" t="str">
        <f>VLOOKUP(LEFT(C626,14),consolidado!D:D,1,0)</f>
        <v/>
      </c>
    </row>
    <row r="627" ht="15.75" customHeight="1">
      <c r="B627" s="23" t="s">
        <v>344</v>
      </c>
      <c r="C627" s="4" t="str">
        <f t="shared" si="1"/>
        <v>Encuesta Criteria: Chilenos se inclinan en un 70% más por la seguridad que por sobre libertad, a la cual le dan sólo un 32% de valor por estos días</v>
      </c>
      <c r="D627" s="22">
        <f t="shared" si="2"/>
        <v>147</v>
      </c>
      <c r="E627" s="4">
        <f>IF(IFERROR(VLOOKUP(LEFT(C627,14),consolidado!D:D,1,0),0)&gt;0,1,0)</f>
        <v>1</v>
      </c>
      <c r="F627" s="4" t="str">
        <f>VLOOKUP(LEFT(C627,14),consolidado!D:D,1,0)</f>
        <v>Encuesta Crite</v>
      </c>
    </row>
    <row r="628" ht="15.75" customHeight="1">
      <c r="B628" s="24" t="s">
        <v>307</v>
      </c>
      <c r="C628" s="4" t="str">
        <f t="shared" si="1"/>
        <v>Ayer</v>
      </c>
      <c r="D628" s="22">
        <f t="shared" si="2"/>
        <v>4</v>
      </c>
      <c r="E628" s="4">
        <f>IF(IFERROR(VLOOKUP(LEFT(C628,14),consolidado!D:D,1,0),0)&gt;0,1,0)</f>
        <v>0</v>
      </c>
      <c r="F628" s="4" t="str">
        <f>VLOOKUP(LEFT(C628,14),consolidado!D:D,1,0)</f>
        <v>#N/A</v>
      </c>
    </row>
    <row r="629" ht="15.75" customHeight="1">
      <c r="B629" s="24" t="s">
        <v>308</v>
      </c>
      <c r="C629" s="4" t="str">
        <f t="shared" si="1"/>
        <v>bookmark_border</v>
      </c>
      <c r="D629" s="22">
        <f t="shared" si="2"/>
        <v>15</v>
      </c>
      <c r="E629" s="4">
        <f>IF(IFERROR(VLOOKUP(LEFT(C629,14),consolidado!D:D,1,0),0)&gt;0,1,0)</f>
        <v>0</v>
      </c>
      <c r="F629" s="4" t="str">
        <f>VLOOKUP(LEFT(C629,14),consolidado!D:D,1,0)</f>
        <v>#N/A</v>
      </c>
    </row>
    <row r="630" ht="15.75" customHeight="1">
      <c r="B630" s="24" t="s">
        <v>309</v>
      </c>
      <c r="C630" s="4" t="str">
        <f t="shared" si="1"/>
        <v>share</v>
      </c>
      <c r="D630" s="22">
        <f t="shared" si="2"/>
        <v>5</v>
      </c>
      <c r="E630" s="4">
        <f>IF(IFERROR(VLOOKUP(LEFT(C630,14),consolidado!D:D,1,0),0)&gt;0,1,0)</f>
        <v>0</v>
      </c>
      <c r="F630" s="4" t="str">
        <f>VLOOKUP(LEFT(C630,14),consolidado!D:D,1,0)</f>
        <v>#N/A</v>
      </c>
    </row>
    <row r="631" ht="15.75" customHeight="1">
      <c r="B631" s="28"/>
      <c r="C631" s="4" t="str">
        <f t="shared" si="1"/>
        <v>more_vert</v>
      </c>
      <c r="D631" s="22">
        <f t="shared" si="2"/>
        <v>9</v>
      </c>
      <c r="E631" s="4">
        <f>IF(IFERROR(VLOOKUP(LEFT(C631,14),consolidado!D:D,1,0),0)&gt;0,1,0)</f>
        <v>0</v>
      </c>
      <c r="F631" s="4" t="str">
        <f>VLOOKUP(LEFT(C631,14),consolidado!D:D,1,0)</f>
        <v>#N/A</v>
      </c>
    </row>
    <row r="632" ht="15.75" customHeight="1">
      <c r="B632" s="32"/>
      <c r="C632" s="4" t="str">
        <f t="shared" si="1"/>
        <v/>
      </c>
      <c r="D632" s="22">
        <f t="shared" si="2"/>
        <v>0</v>
      </c>
      <c r="E632" s="4">
        <f>IF(IFERROR(VLOOKUP(LEFT(C632,14),consolidado!D:D,1,0),0)&gt;0,1,0)</f>
        <v>1</v>
      </c>
      <c r="F632" s="4" t="str">
        <f>VLOOKUP(LEFT(C632,14),consolidado!D:D,1,0)</f>
        <v/>
      </c>
    </row>
    <row r="633" ht="15.75" customHeight="1">
      <c r="B633" s="21" t="s">
        <v>222</v>
      </c>
      <c r="C633" s="4" t="str">
        <f t="shared" si="1"/>
        <v/>
      </c>
      <c r="D633" s="22">
        <f t="shared" si="2"/>
        <v>0</v>
      </c>
      <c r="E633" s="4">
        <f>IF(IFERROR(VLOOKUP(LEFT(C633,14),consolidado!D:D,1,0),0)&gt;0,1,0)</f>
        <v>1</v>
      </c>
      <c r="F633" s="4" t="str">
        <f>VLOOKUP(LEFT(C633,14),consolidado!D:D,1,0)</f>
        <v/>
      </c>
    </row>
    <row r="634" ht="15.75" customHeight="1">
      <c r="B634" s="23" t="s">
        <v>344</v>
      </c>
      <c r="C634" s="4" t="str">
        <f t="shared" si="1"/>
        <v>Paro de camioneros: Fantasma de desabastecimiento o menores productos, sumado a posibles aumentos de precios, intimida transversalmente</v>
      </c>
      <c r="D634" s="22">
        <f t="shared" si="2"/>
        <v>135</v>
      </c>
      <c r="E634" s="4">
        <f>IF(IFERROR(VLOOKUP(LEFT(C634,14),consolidado!D:D,1,0),0)&gt;0,1,0)</f>
        <v>1</v>
      </c>
      <c r="F634" s="4" t="str">
        <f>VLOOKUP(LEFT(C634,14),consolidado!D:D,1,0)</f>
        <v>Paro de camion</v>
      </c>
    </row>
    <row r="635" ht="15.75" customHeight="1">
      <c r="B635" s="24" t="s">
        <v>307</v>
      </c>
      <c r="C635" s="4" t="str">
        <f t="shared" si="1"/>
        <v>Ayer</v>
      </c>
      <c r="D635" s="22">
        <f t="shared" si="2"/>
        <v>4</v>
      </c>
      <c r="E635" s="4">
        <f>IF(IFERROR(VLOOKUP(LEFT(C635,14),consolidado!D:D,1,0),0)&gt;0,1,0)</f>
        <v>0</v>
      </c>
      <c r="F635" s="4" t="str">
        <f>VLOOKUP(LEFT(C635,14),consolidado!D:D,1,0)</f>
        <v>#N/A</v>
      </c>
    </row>
    <row r="636" ht="15.75" customHeight="1">
      <c r="B636" s="24" t="s">
        <v>308</v>
      </c>
      <c r="C636" s="4" t="str">
        <f t="shared" si="1"/>
        <v>bookmark_border</v>
      </c>
      <c r="D636" s="22">
        <f t="shared" si="2"/>
        <v>15</v>
      </c>
      <c r="E636" s="4">
        <f>IF(IFERROR(VLOOKUP(LEFT(C636,14),consolidado!D:D,1,0),0)&gt;0,1,0)</f>
        <v>0</v>
      </c>
      <c r="F636" s="4" t="str">
        <f>VLOOKUP(LEFT(C636,14),consolidado!D:D,1,0)</f>
        <v>#N/A</v>
      </c>
    </row>
    <row r="637" ht="15.75" customHeight="1">
      <c r="B637" s="24" t="s">
        <v>309</v>
      </c>
      <c r="C637" s="4" t="str">
        <f t="shared" si="1"/>
        <v>share</v>
      </c>
      <c r="D637" s="22">
        <f t="shared" si="2"/>
        <v>5</v>
      </c>
      <c r="E637" s="4">
        <f>IF(IFERROR(VLOOKUP(LEFT(C637,14),consolidado!D:D,1,0),0)&gt;0,1,0)</f>
        <v>0</v>
      </c>
      <c r="F637" s="4" t="str">
        <f>VLOOKUP(LEFT(C637,14),consolidado!D:D,1,0)</f>
        <v>#N/A</v>
      </c>
    </row>
    <row r="638" ht="15.75" customHeight="1">
      <c r="B638" s="28"/>
      <c r="C638" s="4" t="str">
        <f t="shared" si="1"/>
        <v>more_vert</v>
      </c>
      <c r="D638" s="22">
        <f t="shared" si="2"/>
        <v>9</v>
      </c>
      <c r="E638" s="4">
        <f>IF(IFERROR(VLOOKUP(LEFT(C638,14),consolidado!D:D,1,0),0)&gt;0,1,0)</f>
        <v>0</v>
      </c>
      <c r="F638" s="4" t="str">
        <f>VLOOKUP(LEFT(C638,14),consolidado!D:D,1,0)</f>
        <v>#N/A</v>
      </c>
    </row>
    <row r="639" ht="15.75" customHeight="1">
      <c r="B639" s="32"/>
      <c r="C639" s="4" t="str">
        <f t="shared" si="1"/>
        <v/>
      </c>
      <c r="D639" s="22">
        <f t="shared" si="2"/>
        <v>0</v>
      </c>
      <c r="E639" s="4">
        <f>IF(IFERROR(VLOOKUP(LEFT(C639,14),consolidado!D:D,1,0),0)&gt;0,1,0)</f>
        <v>1</v>
      </c>
      <c r="F639" s="4" t="str">
        <f>VLOOKUP(LEFT(C639,14),consolidado!D:D,1,0)</f>
        <v/>
      </c>
    </row>
    <row r="640" ht="15.75" customHeight="1">
      <c r="B640" s="21" t="s">
        <v>206</v>
      </c>
      <c r="C640" s="4" t="str">
        <f t="shared" si="1"/>
        <v/>
      </c>
      <c r="D640" s="22">
        <f t="shared" si="2"/>
        <v>0</v>
      </c>
      <c r="E640" s="4">
        <f>IF(IFERROR(VLOOKUP(LEFT(C640,14),consolidado!D:D,1,0),0)&gt;0,1,0)</f>
        <v>1</v>
      </c>
      <c r="F640" s="4" t="str">
        <f>VLOOKUP(LEFT(C640,14),consolidado!D:D,1,0)</f>
        <v/>
      </c>
    </row>
    <row r="641" ht="15.75" customHeight="1">
      <c r="B641" s="29">
        <v>44832.0</v>
      </c>
      <c r="C641" s="4" t="str">
        <f t="shared" si="1"/>
        <v>Diputado Francisco Pulgar y test de drogas: “Es un gran paso en materia de transparencia”</v>
      </c>
      <c r="D641" s="22">
        <f t="shared" si="2"/>
        <v>91</v>
      </c>
      <c r="E641" s="4">
        <f>IF(IFERROR(VLOOKUP(LEFT(C641,14),consolidado!D:D,1,0),0)&gt;0,1,0)</f>
        <v>1</v>
      </c>
      <c r="F641" s="4" t="str">
        <f>VLOOKUP(LEFT(C641,14),consolidado!D:D,1,0)</f>
        <v>Diputado Franc</v>
      </c>
    </row>
    <row r="642" ht="15.75" customHeight="1">
      <c r="B642" s="24" t="s">
        <v>307</v>
      </c>
      <c r="C642" s="4" t="str">
        <f t="shared" si="1"/>
        <v>44832</v>
      </c>
      <c r="D642" s="22">
        <f t="shared" si="2"/>
        <v>5</v>
      </c>
      <c r="E642" s="4">
        <f>IF(IFERROR(VLOOKUP(LEFT(C642,14),consolidado!D:D,1,0),0)&gt;0,1,0)</f>
        <v>0</v>
      </c>
      <c r="F642" s="4" t="str">
        <f>VLOOKUP(LEFT(C642,14),consolidado!D:D,1,0)</f>
        <v>#N/A</v>
      </c>
    </row>
    <row r="643" ht="15.75" customHeight="1">
      <c r="B643" s="24" t="s">
        <v>308</v>
      </c>
      <c r="C643" s="4" t="str">
        <f t="shared" si="1"/>
        <v>bookmark_border</v>
      </c>
      <c r="D643" s="22">
        <f t="shared" si="2"/>
        <v>15</v>
      </c>
      <c r="E643" s="4">
        <f>IF(IFERROR(VLOOKUP(LEFT(C643,14),consolidado!D:D,1,0),0)&gt;0,1,0)</f>
        <v>0</v>
      </c>
      <c r="F643" s="4" t="str">
        <f>VLOOKUP(LEFT(C643,14),consolidado!D:D,1,0)</f>
        <v>#N/A</v>
      </c>
    </row>
    <row r="644" ht="15.75" customHeight="1">
      <c r="B644" s="24" t="s">
        <v>309</v>
      </c>
      <c r="C644" s="4" t="str">
        <f t="shared" si="1"/>
        <v>share</v>
      </c>
      <c r="D644" s="22">
        <f t="shared" si="2"/>
        <v>5</v>
      </c>
      <c r="E644" s="4">
        <f>IF(IFERROR(VLOOKUP(LEFT(C644,14),consolidado!D:D,1,0),0)&gt;0,1,0)</f>
        <v>0</v>
      </c>
      <c r="F644" s="4" t="str">
        <f>VLOOKUP(LEFT(C644,14),consolidado!D:D,1,0)</f>
        <v>#N/A</v>
      </c>
    </row>
    <row r="645" ht="15.75" customHeight="1">
      <c r="B645" s="28"/>
      <c r="C645" s="4" t="str">
        <f t="shared" si="1"/>
        <v>more_vert</v>
      </c>
      <c r="D645" s="22">
        <f t="shared" si="2"/>
        <v>9</v>
      </c>
      <c r="E645" s="4">
        <f>IF(IFERROR(VLOOKUP(LEFT(C645,14),consolidado!D:D,1,0),0)&gt;0,1,0)</f>
        <v>0</v>
      </c>
      <c r="F645" s="4" t="str">
        <f>VLOOKUP(LEFT(C645,14),consolidado!D:D,1,0)</f>
        <v>#N/A</v>
      </c>
    </row>
    <row r="646" ht="15.75" customHeight="1">
      <c r="B646" s="32"/>
      <c r="C646" s="4" t="str">
        <f t="shared" si="1"/>
        <v/>
      </c>
      <c r="D646" s="22">
        <f t="shared" si="2"/>
        <v>0</v>
      </c>
      <c r="E646" s="4">
        <f>IF(IFERROR(VLOOKUP(LEFT(C646,14),consolidado!D:D,1,0),0)&gt;0,1,0)</f>
        <v>1</v>
      </c>
      <c r="F646" s="4" t="str">
        <f>VLOOKUP(LEFT(C646,14),consolidado!D:D,1,0)</f>
        <v/>
      </c>
    </row>
    <row r="647" ht="15.75" customHeight="1">
      <c r="B647" s="21" t="s">
        <v>226</v>
      </c>
      <c r="C647" s="4" t="str">
        <f t="shared" si="1"/>
        <v/>
      </c>
      <c r="D647" s="22">
        <f t="shared" si="2"/>
        <v>0</v>
      </c>
      <c r="E647" s="4">
        <f>IF(IFERROR(VLOOKUP(LEFT(C647,14),consolidado!D:D,1,0),0)&gt;0,1,0)</f>
        <v>1</v>
      </c>
      <c r="F647" s="4" t="str">
        <f>VLOOKUP(LEFT(C647,14),consolidado!D:D,1,0)</f>
        <v/>
      </c>
    </row>
    <row r="648" ht="15.75" customHeight="1">
      <c r="B648" s="23" t="s">
        <v>346</v>
      </c>
      <c r="C648" s="4" t="str">
        <f t="shared" si="1"/>
        <v>Chile impulsa el primer Foro Anual Sobre Defensoras y Defensores de DDHH en Asuntos Ambientales</v>
      </c>
      <c r="D648" s="22">
        <f t="shared" si="2"/>
        <v>95</v>
      </c>
      <c r="E648" s="4">
        <f>IF(IFERROR(VLOOKUP(LEFT(C648,14),consolidado!D:D,1,0),0)&gt;0,1,0)</f>
        <v>1</v>
      </c>
      <c r="F648" s="4" t="str">
        <f>VLOOKUP(LEFT(C648,14),consolidado!D:D,1,0)</f>
        <v>Chile impulsa </v>
      </c>
    </row>
    <row r="649" ht="15.75" customHeight="1">
      <c r="B649" s="24" t="s">
        <v>307</v>
      </c>
      <c r="C649" s="4" t="str">
        <f t="shared" si="1"/>
        <v>Hace 2 días</v>
      </c>
      <c r="D649" s="22">
        <f t="shared" si="2"/>
        <v>11</v>
      </c>
      <c r="E649" s="4">
        <f>IF(IFERROR(VLOOKUP(LEFT(C649,14),consolidado!D:D,1,0),0)&gt;0,1,0)</f>
        <v>0</v>
      </c>
      <c r="F649" s="4" t="str">
        <f>VLOOKUP(LEFT(C649,14),consolidado!D:D,1,0)</f>
        <v>#N/A</v>
      </c>
    </row>
    <row r="650" ht="15.75" customHeight="1">
      <c r="B650" s="24" t="s">
        <v>308</v>
      </c>
      <c r="C650" s="4" t="str">
        <f t="shared" si="1"/>
        <v>bookmark_border</v>
      </c>
      <c r="D650" s="22">
        <f t="shared" si="2"/>
        <v>15</v>
      </c>
      <c r="E650" s="4">
        <f>IF(IFERROR(VLOOKUP(LEFT(C650,14),consolidado!D:D,1,0),0)&gt;0,1,0)</f>
        <v>0</v>
      </c>
      <c r="F650" s="4" t="str">
        <f>VLOOKUP(LEFT(C650,14),consolidado!D:D,1,0)</f>
        <v>#N/A</v>
      </c>
    </row>
    <row r="651" ht="15.75" customHeight="1">
      <c r="B651" s="24" t="s">
        <v>309</v>
      </c>
      <c r="C651" s="4" t="str">
        <f t="shared" si="1"/>
        <v>share</v>
      </c>
      <c r="D651" s="22">
        <f t="shared" si="2"/>
        <v>5</v>
      </c>
      <c r="E651" s="4">
        <f>IF(IFERROR(VLOOKUP(LEFT(C651,14),consolidado!D:D,1,0),0)&gt;0,1,0)</f>
        <v>0</v>
      </c>
      <c r="F651" s="4" t="str">
        <f>VLOOKUP(LEFT(C651,14),consolidado!D:D,1,0)</f>
        <v>#N/A</v>
      </c>
    </row>
    <row r="652" ht="15.75" customHeight="1">
      <c r="B652" s="28"/>
      <c r="C652" s="4" t="str">
        <f t="shared" si="1"/>
        <v>more_vert</v>
      </c>
      <c r="D652" s="22">
        <f t="shared" si="2"/>
        <v>9</v>
      </c>
      <c r="E652" s="4">
        <f>IF(IFERROR(VLOOKUP(LEFT(C652,14),consolidado!D:D,1,0),0)&gt;0,1,0)</f>
        <v>0</v>
      </c>
      <c r="F652" s="4" t="str">
        <f>VLOOKUP(LEFT(C652,14),consolidado!D:D,1,0)</f>
        <v>#N/A</v>
      </c>
    </row>
    <row r="653" ht="15.75" customHeight="1">
      <c r="B653" s="32"/>
      <c r="C653" s="4" t="str">
        <f t="shared" si="1"/>
        <v/>
      </c>
      <c r="D653" s="22">
        <f t="shared" si="2"/>
        <v>0</v>
      </c>
      <c r="E653" s="4">
        <f>IF(IFERROR(VLOOKUP(LEFT(C653,14),consolidado!D:D,1,0),0)&gt;0,1,0)</f>
        <v>1</v>
      </c>
      <c r="F653" s="4" t="str">
        <f>VLOOKUP(LEFT(C653,14),consolidado!D:D,1,0)</f>
        <v/>
      </c>
    </row>
    <row r="654" ht="15.75" customHeight="1">
      <c r="B654" s="21" t="s">
        <v>204</v>
      </c>
      <c r="C654" s="4" t="str">
        <f t="shared" si="1"/>
        <v/>
      </c>
      <c r="D654" s="22">
        <f t="shared" si="2"/>
        <v>0</v>
      </c>
      <c r="E654" s="4">
        <f>IF(IFERROR(VLOOKUP(LEFT(C654,14),consolidado!D:D,1,0),0)&gt;0,1,0)</f>
        <v>1</v>
      </c>
      <c r="F654" s="4" t="str">
        <f>VLOOKUP(LEFT(C654,14),consolidado!D:D,1,0)</f>
        <v/>
      </c>
    </row>
    <row r="655" ht="15.75" customHeight="1">
      <c r="B655" s="23" t="s">
        <v>344</v>
      </c>
      <c r="C655" s="4" t="str">
        <f t="shared" si="1"/>
        <v>Diputada Camila Flores, reconoce que se sorprendió gratamente con el apoyo de Irina Karamanos, tras sufrir “violencia ginecológica en el parto”, que la tuvo hospitalizada por semanas</v>
      </c>
      <c r="D655" s="22">
        <f t="shared" si="2"/>
        <v>184</v>
      </c>
      <c r="E655" s="4">
        <f>IF(IFERROR(VLOOKUP(LEFT(C655,14),consolidado!D:D,1,0),0)&gt;0,1,0)</f>
        <v>1</v>
      </c>
      <c r="F655" s="4" t="str">
        <f>VLOOKUP(LEFT(C655,14),consolidado!D:D,1,0)</f>
        <v>Diputada Camil</v>
      </c>
    </row>
    <row r="656" ht="15.75" customHeight="1">
      <c r="B656" s="24" t="s">
        <v>307</v>
      </c>
      <c r="C656" s="4" t="str">
        <f t="shared" si="1"/>
        <v>Ayer</v>
      </c>
      <c r="D656" s="22">
        <f t="shared" si="2"/>
        <v>4</v>
      </c>
      <c r="E656" s="4">
        <f>IF(IFERROR(VLOOKUP(LEFT(C656,14),consolidado!D:D,1,0),0)&gt;0,1,0)</f>
        <v>0</v>
      </c>
      <c r="F656" s="4" t="str">
        <f>VLOOKUP(LEFT(C656,14),consolidado!D:D,1,0)</f>
        <v>#N/A</v>
      </c>
    </row>
    <row r="657" ht="15.75" customHeight="1">
      <c r="B657" s="24" t="s">
        <v>308</v>
      </c>
      <c r="C657" s="4" t="str">
        <f t="shared" si="1"/>
        <v>bookmark_border</v>
      </c>
      <c r="D657" s="22">
        <f t="shared" si="2"/>
        <v>15</v>
      </c>
      <c r="E657" s="4">
        <f>IF(IFERROR(VLOOKUP(LEFT(C657,14),consolidado!D:D,1,0),0)&gt;0,1,0)</f>
        <v>0</v>
      </c>
      <c r="F657" s="4" t="str">
        <f>VLOOKUP(LEFT(C657,14),consolidado!D:D,1,0)</f>
        <v>#N/A</v>
      </c>
    </row>
    <row r="658" ht="15.75" customHeight="1">
      <c r="B658" s="24" t="s">
        <v>309</v>
      </c>
      <c r="C658" s="4" t="str">
        <f t="shared" si="1"/>
        <v>share</v>
      </c>
      <c r="D658" s="22">
        <f t="shared" si="2"/>
        <v>5</v>
      </c>
      <c r="E658" s="4">
        <f>IF(IFERROR(VLOOKUP(LEFT(C658,14),consolidado!D:D,1,0),0)&gt;0,1,0)</f>
        <v>0</v>
      </c>
      <c r="F658" s="4" t="str">
        <f>VLOOKUP(LEFT(C658,14),consolidado!D:D,1,0)</f>
        <v>#N/A</v>
      </c>
    </row>
    <row r="659" ht="15.75" customHeight="1">
      <c r="B659" s="28"/>
      <c r="C659" s="4" t="str">
        <f t="shared" si="1"/>
        <v>more_vert</v>
      </c>
      <c r="D659" s="22">
        <f t="shared" si="2"/>
        <v>9</v>
      </c>
      <c r="E659" s="4">
        <f>IF(IFERROR(VLOOKUP(LEFT(C659,14),consolidado!D:D,1,0),0)&gt;0,1,0)</f>
        <v>0</v>
      </c>
      <c r="F659" s="4" t="str">
        <f>VLOOKUP(LEFT(C659,14),consolidado!D:D,1,0)</f>
        <v>#N/A</v>
      </c>
    </row>
    <row r="660" ht="15.75" customHeight="1">
      <c r="B660" s="30" t="s">
        <v>384</v>
      </c>
      <c r="C660" s="4" t="str">
        <f t="shared" si="1"/>
        <v/>
      </c>
      <c r="D660" s="22">
        <f t="shared" si="2"/>
        <v>0</v>
      </c>
      <c r="E660" s="4">
        <f>IF(IFERROR(VLOOKUP(LEFT(C660,14),consolidado!D:D,1,0),0)&gt;0,1,0)</f>
        <v>1</v>
      </c>
      <c r="F660" s="4" t="str">
        <f>VLOOKUP(LEFT(C660,14),consolidado!D:D,1,0)</f>
        <v/>
      </c>
    </row>
    <row r="661" ht="15.75" customHeight="1">
      <c r="B661" s="21" t="s">
        <v>291</v>
      </c>
      <c r="C661" s="4" t="str">
        <f t="shared" si="1"/>
        <v>Pousta</v>
      </c>
      <c r="D661" s="22">
        <f t="shared" si="2"/>
        <v>6</v>
      </c>
      <c r="E661" s="4">
        <f>IF(IFERROR(VLOOKUP(LEFT(C661,14),consolidado!D:D,1,0),0)&gt;0,1,0)</f>
        <v>0</v>
      </c>
      <c r="F661" s="4" t="str">
        <f>VLOOKUP(LEFT(C661,14),consolidado!D:D,1,0)</f>
        <v>#N/A</v>
      </c>
    </row>
    <row r="662" ht="15.75" customHeight="1">
      <c r="B662" s="33">
        <v>42934.0</v>
      </c>
      <c r="C662" s="4" t="str">
        <f t="shared" si="1"/>
        <v>Lily Pérez quiere que políticos y jueces se hagan test de drogas: "No podemos estar sujetos a la presión de un dealer"</v>
      </c>
      <c r="D662" s="22">
        <f t="shared" si="2"/>
        <v>118</v>
      </c>
      <c r="E662" s="4">
        <f>IF(IFERROR(VLOOKUP(LEFT(C662,14),consolidado!D:D,1,0),0)&gt;0,1,0)</f>
        <v>1</v>
      </c>
      <c r="F662" s="4" t="str">
        <f>VLOOKUP(LEFT(C662,14),consolidado!D:D,1,0)</f>
        <v>Lily Pérez qui</v>
      </c>
    </row>
    <row r="663" ht="15.75" customHeight="1">
      <c r="B663" s="24" t="s">
        <v>307</v>
      </c>
      <c r="C663" s="4" t="str">
        <f t="shared" si="1"/>
        <v>42934</v>
      </c>
      <c r="D663" s="22">
        <f t="shared" si="2"/>
        <v>5</v>
      </c>
      <c r="E663" s="4">
        <f>IF(IFERROR(VLOOKUP(LEFT(C663,14),consolidado!D:D,1,0),0)&gt;0,1,0)</f>
        <v>0</v>
      </c>
      <c r="F663" s="4" t="str">
        <f>VLOOKUP(LEFT(C663,14),consolidado!D:D,1,0)</f>
        <v>#N/A</v>
      </c>
    </row>
    <row r="664" ht="15.75" customHeight="1">
      <c r="B664" s="24" t="s">
        <v>308</v>
      </c>
      <c r="C664" s="4" t="str">
        <f t="shared" si="1"/>
        <v>bookmark_border</v>
      </c>
      <c r="D664" s="22">
        <f t="shared" si="2"/>
        <v>15</v>
      </c>
      <c r="E664" s="4">
        <f>IF(IFERROR(VLOOKUP(LEFT(C664,14),consolidado!D:D,1,0),0)&gt;0,1,0)</f>
        <v>0</v>
      </c>
      <c r="F664" s="4" t="str">
        <f>VLOOKUP(LEFT(C664,14),consolidado!D:D,1,0)</f>
        <v>#N/A</v>
      </c>
    </row>
    <row r="665" ht="15.75" customHeight="1">
      <c r="B665" s="24" t="s">
        <v>309</v>
      </c>
      <c r="C665" s="4" t="str">
        <f t="shared" si="1"/>
        <v>share</v>
      </c>
      <c r="D665" s="22">
        <f t="shared" si="2"/>
        <v>5</v>
      </c>
      <c r="E665" s="4">
        <f>IF(IFERROR(VLOOKUP(LEFT(C665,14),consolidado!D:D,1,0),0)&gt;0,1,0)</f>
        <v>0</v>
      </c>
      <c r="F665" s="4" t="str">
        <f>VLOOKUP(LEFT(C665,14),consolidado!D:D,1,0)</f>
        <v>#N/A</v>
      </c>
    </row>
    <row r="666" ht="15.75" customHeight="1">
      <c r="B666" s="28"/>
      <c r="C666" s="4" t="str">
        <f t="shared" si="1"/>
        <v>more_vert</v>
      </c>
      <c r="D666" s="22">
        <f t="shared" si="2"/>
        <v>9</v>
      </c>
      <c r="E666" s="4">
        <f>IF(IFERROR(VLOOKUP(LEFT(C666,14),consolidado!D:D,1,0),0)&gt;0,1,0)</f>
        <v>0</v>
      </c>
      <c r="F666" s="4" t="str">
        <f>VLOOKUP(LEFT(C666,14),consolidado!D:D,1,0)</f>
        <v>#N/A</v>
      </c>
    </row>
    <row r="667" ht="15.75" customHeight="1">
      <c r="B667" s="30" t="s">
        <v>385</v>
      </c>
      <c r="C667" s="4" t="str">
        <f t="shared" si="1"/>
        <v/>
      </c>
      <c r="D667" s="22">
        <f t="shared" si="2"/>
        <v>0</v>
      </c>
      <c r="E667" s="4">
        <f>IF(IFERROR(VLOOKUP(LEFT(C667,14),consolidado!D:D,1,0),0)&gt;0,1,0)</f>
        <v>1</v>
      </c>
      <c r="F667" s="4" t="str">
        <f>VLOOKUP(LEFT(C667,14),consolidado!D:D,1,0)</f>
        <v/>
      </c>
    </row>
    <row r="668" ht="15.75" customHeight="1">
      <c r="B668" s="21" t="s">
        <v>294</v>
      </c>
      <c r="C668" s="4" t="str">
        <f t="shared" si="1"/>
        <v>El Observador</v>
      </c>
      <c r="D668" s="22">
        <f t="shared" si="2"/>
        <v>13</v>
      </c>
      <c r="E668" s="4">
        <f>IF(IFERROR(VLOOKUP(LEFT(C668,14),consolidado!D:D,1,0),0)&gt;0,1,0)</f>
        <v>0</v>
      </c>
      <c r="F668" s="4" t="str">
        <f>VLOOKUP(LEFT(C668,14),consolidado!D:D,1,0)</f>
        <v>#N/A</v>
      </c>
    </row>
    <row r="669" ht="15.75" customHeight="1">
      <c r="B669" s="29">
        <v>44786.0</v>
      </c>
      <c r="C669" s="4" t="str">
        <f t="shared" si="1"/>
        <v>Senado de la República aprueba que una persona pueda plantar en su casa diez matas de marihuana</v>
      </c>
      <c r="D669" s="22">
        <f t="shared" si="2"/>
        <v>95</v>
      </c>
      <c r="E669" s="4">
        <f>IF(IFERROR(VLOOKUP(LEFT(C669,14),consolidado!D:D,1,0),0)&gt;0,1,0)</f>
        <v>1</v>
      </c>
      <c r="F669" s="4" t="str">
        <f>VLOOKUP(LEFT(C669,14),consolidado!D:D,1,0)</f>
        <v>Senado de la R</v>
      </c>
    </row>
    <row r="670" ht="15.75" customHeight="1">
      <c r="B670" s="24" t="s">
        <v>307</v>
      </c>
      <c r="C670" s="4" t="str">
        <f t="shared" si="1"/>
        <v>44786</v>
      </c>
      <c r="D670" s="22">
        <f t="shared" si="2"/>
        <v>5</v>
      </c>
      <c r="E670" s="4">
        <f>IF(IFERROR(VLOOKUP(LEFT(C670,14),consolidado!D:D,1,0),0)&gt;0,1,0)</f>
        <v>0</v>
      </c>
      <c r="F670" s="4" t="str">
        <f>VLOOKUP(LEFT(C670,14),consolidado!D:D,1,0)</f>
        <v>#N/A</v>
      </c>
    </row>
    <row r="671" ht="15.75" customHeight="1">
      <c r="B671" s="24" t="s">
        <v>308</v>
      </c>
      <c r="C671" s="4" t="str">
        <f t="shared" si="1"/>
        <v>bookmark_border</v>
      </c>
      <c r="D671" s="22">
        <f t="shared" si="2"/>
        <v>15</v>
      </c>
      <c r="E671" s="4">
        <f>IF(IFERROR(VLOOKUP(LEFT(C671,14),consolidado!D:D,1,0),0)&gt;0,1,0)</f>
        <v>0</v>
      </c>
      <c r="F671" s="4" t="str">
        <f>VLOOKUP(LEFT(C671,14),consolidado!D:D,1,0)</f>
        <v>#N/A</v>
      </c>
    </row>
    <row r="672" ht="15.75" customHeight="1">
      <c r="B672" s="24" t="s">
        <v>309</v>
      </c>
      <c r="C672" s="4" t="str">
        <f t="shared" si="1"/>
        <v>share</v>
      </c>
      <c r="D672" s="22">
        <f t="shared" si="2"/>
        <v>5</v>
      </c>
      <c r="E672" s="4">
        <f>IF(IFERROR(VLOOKUP(LEFT(C672,14),consolidado!D:D,1,0),0)&gt;0,1,0)</f>
        <v>0</v>
      </c>
      <c r="F672" s="4" t="str">
        <f>VLOOKUP(LEFT(C672,14),consolidado!D:D,1,0)</f>
        <v>#N/A</v>
      </c>
    </row>
    <row r="673" ht="15.75" customHeight="1">
      <c r="B673" s="28"/>
      <c r="C673" s="4" t="str">
        <f t="shared" si="1"/>
        <v>more_vert</v>
      </c>
      <c r="D673" s="22">
        <f t="shared" si="2"/>
        <v>9</v>
      </c>
      <c r="E673" s="4">
        <f>IF(IFERROR(VLOOKUP(LEFT(C673,14),consolidado!D:D,1,0),0)&gt;0,1,0)</f>
        <v>0</v>
      </c>
      <c r="F673" s="4" t="str">
        <f>VLOOKUP(LEFT(C673,14),consolidado!D:D,1,0)</f>
        <v>#N/A</v>
      </c>
    </row>
    <row r="674" ht="15.75" customHeight="1">
      <c r="B674" s="19" t="s">
        <v>303</v>
      </c>
      <c r="C674" s="4" t="str">
        <f t="shared" si="1"/>
        <v/>
      </c>
      <c r="D674" s="22">
        <f t="shared" si="2"/>
        <v>0</v>
      </c>
      <c r="E674" s="4">
        <f>IF(IFERROR(VLOOKUP(LEFT(C674,14),consolidado!D:D,1,0),0)&gt;0,1,0)</f>
        <v>1</v>
      </c>
      <c r="F674" s="4" t="str">
        <f>VLOOKUP(LEFT(C674,14),consolidado!D:D,1,0)</f>
        <v/>
      </c>
    </row>
    <row r="675" ht="15.75" customHeight="1">
      <c r="B675" s="21" t="s">
        <v>185</v>
      </c>
      <c r="C675" s="4" t="str">
        <f t="shared" si="1"/>
        <v>La Tercera</v>
      </c>
      <c r="D675" s="22">
        <f t="shared" si="2"/>
        <v>10</v>
      </c>
      <c r="E675" s="4">
        <f>IF(IFERROR(VLOOKUP(LEFT(C675,14),consolidado!D:D,1,0),0)&gt;0,1,0)</f>
        <v>0</v>
      </c>
      <c r="F675" s="4" t="str">
        <f>VLOOKUP(LEFT(C675,14),consolidado!D:D,1,0)</f>
        <v>#N/A</v>
      </c>
    </row>
    <row r="676" ht="15.75" customHeight="1">
      <c r="B676" s="29">
        <v>44831.0</v>
      </c>
      <c r="C676" s="4" t="str">
        <f t="shared" si="1"/>
        <v>“Como somos mujeres podemos, hemos aprendido a hacer varias cosas a la vez”: la respuesta de Tohá a diputados que reclamaron no ser escuchados en la Cámara</v>
      </c>
      <c r="D676" s="22">
        <f t="shared" si="2"/>
        <v>157</v>
      </c>
      <c r="E676" s="4">
        <f>IF(IFERROR(VLOOKUP(LEFT(C676,14),consolidado!D:D,1,0),0)&gt;0,1,0)</f>
        <v>1</v>
      </c>
      <c r="F676" s="4" t="str">
        <f>VLOOKUP(LEFT(C676,14),consolidado!D:D,1,0)</f>
        <v>“Como somos mu</v>
      </c>
    </row>
    <row r="677" ht="15.75" customHeight="1">
      <c r="B677" s="24" t="s">
        <v>307</v>
      </c>
      <c r="C677" s="4" t="str">
        <f t="shared" si="1"/>
        <v>44831</v>
      </c>
      <c r="D677" s="22">
        <f t="shared" si="2"/>
        <v>5</v>
      </c>
      <c r="E677" s="4">
        <f>IF(IFERROR(VLOOKUP(LEFT(C677,14),consolidado!D:D,1,0),0)&gt;0,1,0)</f>
        <v>0</v>
      </c>
      <c r="F677" s="4" t="str">
        <f>VLOOKUP(LEFT(C677,14),consolidado!D:D,1,0)</f>
        <v>#N/A</v>
      </c>
    </row>
    <row r="678" ht="15.75" customHeight="1">
      <c r="B678" s="24" t="s">
        <v>308</v>
      </c>
      <c r="C678" s="4" t="str">
        <f t="shared" si="1"/>
        <v>bookmark_border</v>
      </c>
      <c r="D678" s="22">
        <f t="shared" si="2"/>
        <v>15</v>
      </c>
      <c r="E678" s="4">
        <f>IF(IFERROR(VLOOKUP(LEFT(C678,14),consolidado!D:D,1,0),0)&gt;0,1,0)</f>
        <v>0</v>
      </c>
      <c r="F678" s="4" t="str">
        <f>VLOOKUP(LEFT(C678,14),consolidado!D:D,1,0)</f>
        <v>#N/A</v>
      </c>
    </row>
    <row r="679" ht="15.75" customHeight="1">
      <c r="B679" s="24" t="s">
        <v>309</v>
      </c>
      <c r="C679" s="4" t="str">
        <f t="shared" si="1"/>
        <v>share</v>
      </c>
      <c r="D679" s="22">
        <f t="shared" si="2"/>
        <v>5</v>
      </c>
      <c r="E679" s="4">
        <f>IF(IFERROR(VLOOKUP(LEFT(C679,14),consolidado!D:D,1,0),0)&gt;0,1,0)</f>
        <v>0</v>
      </c>
      <c r="F679" s="4" t="str">
        <f>VLOOKUP(LEFT(C679,14),consolidado!D:D,1,0)</f>
        <v>#N/A</v>
      </c>
    </row>
    <row r="680" ht="15.75" customHeight="1">
      <c r="B680" s="28"/>
      <c r="C680" s="4" t="str">
        <f t="shared" si="1"/>
        <v>more_vert</v>
      </c>
      <c r="D680" s="22">
        <f t="shared" si="2"/>
        <v>9</v>
      </c>
      <c r="E680" s="4">
        <f>IF(IFERROR(VLOOKUP(LEFT(C680,14),consolidado!D:D,1,0),0)&gt;0,1,0)</f>
        <v>0</v>
      </c>
      <c r="F680" s="4" t="str">
        <f>VLOOKUP(LEFT(C680,14),consolidado!D:D,1,0)</f>
        <v>#N/A</v>
      </c>
    </row>
    <row r="681" ht="15.75" customHeight="1">
      <c r="B681" s="30" t="s">
        <v>316</v>
      </c>
      <c r="C681" s="4" t="str">
        <f t="shared" si="1"/>
        <v/>
      </c>
      <c r="D681" s="22">
        <f t="shared" si="2"/>
        <v>0</v>
      </c>
      <c r="E681" s="4">
        <f>IF(IFERROR(VLOOKUP(LEFT(C681,14),consolidado!D:D,1,0),0)&gt;0,1,0)</f>
        <v>1</v>
      </c>
      <c r="F681" s="4" t="str">
        <f>VLOOKUP(LEFT(C681,14),consolidado!D:D,1,0)</f>
        <v/>
      </c>
    </row>
    <row r="682" ht="15.75" customHeight="1">
      <c r="B682" s="21" t="s">
        <v>173</v>
      </c>
      <c r="C682" s="4" t="str">
        <f t="shared" si="1"/>
        <v>El Mostrador</v>
      </c>
      <c r="D682" s="22">
        <f t="shared" si="2"/>
        <v>12</v>
      </c>
      <c r="E682" s="4">
        <f>IF(IFERROR(VLOOKUP(LEFT(C682,14),consolidado!D:D,1,0),0)&gt;0,1,0)</f>
        <v>0</v>
      </c>
      <c r="F682" s="4" t="str">
        <f>VLOOKUP(LEFT(C682,14),consolidado!D:D,1,0)</f>
        <v>#N/A</v>
      </c>
    </row>
    <row r="683" ht="15.75" customHeight="1">
      <c r="B683" s="29">
        <v>44791.0</v>
      </c>
      <c r="C683" s="4" t="str">
        <f t="shared" si="1"/>
        <v>Por controversiales dichos, diputado Gonzalo de la Carrera será llevado al Tribunal de Ética de la Cámara</v>
      </c>
      <c r="D683" s="22">
        <f t="shared" si="2"/>
        <v>105</v>
      </c>
      <c r="E683" s="4">
        <f>IF(IFERROR(VLOOKUP(LEFT(C683,14),consolidado!D:D,1,0),0)&gt;0,1,0)</f>
        <v>1</v>
      </c>
      <c r="F683" s="4" t="str">
        <f>VLOOKUP(LEFT(C683,14),consolidado!D:D,1,0)</f>
        <v>Por controvers</v>
      </c>
    </row>
    <row r="684" ht="15.75" customHeight="1">
      <c r="B684" s="24" t="s">
        <v>307</v>
      </c>
      <c r="C684" s="4" t="str">
        <f t="shared" si="1"/>
        <v>44791</v>
      </c>
      <c r="D684" s="22">
        <f t="shared" si="2"/>
        <v>5</v>
      </c>
      <c r="E684" s="4">
        <f>IF(IFERROR(VLOOKUP(LEFT(C684,14),consolidado!D:D,1,0),0)&gt;0,1,0)</f>
        <v>0</v>
      </c>
      <c r="F684" s="4" t="str">
        <f>VLOOKUP(LEFT(C684,14),consolidado!D:D,1,0)</f>
        <v>#N/A</v>
      </c>
    </row>
    <row r="685" ht="15.75" customHeight="1">
      <c r="B685" s="24" t="s">
        <v>308</v>
      </c>
      <c r="C685" s="4" t="str">
        <f t="shared" si="1"/>
        <v>bookmark_border</v>
      </c>
      <c r="D685" s="22">
        <f t="shared" si="2"/>
        <v>15</v>
      </c>
      <c r="E685" s="4">
        <f>IF(IFERROR(VLOOKUP(LEFT(C685,14),consolidado!D:D,1,0),0)&gt;0,1,0)</f>
        <v>0</v>
      </c>
      <c r="F685" s="4" t="str">
        <f>VLOOKUP(LEFT(C685,14),consolidado!D:D,1,0)</f>
        <v>#N/A</v>
      </c>
    </row>
    <row r="686" ht="15.75" customHeight="1">
      <c r="B686" s="24" t="s">
        <v>309</v>
      </c>
      <c r="C686" s="4" t="str">
        <f t="shared" si="1"/>
        <v>share</v>
      </c>
      <c r="D686" s="22">
        <f t="shared" si="2"/>
        <v>5</v>
      </c>
      <c r="E686" s="4">
        <f>IF(IFERROR(VLOOKUP(LEFT(C686,14),consolidado!D:D,1,0),0)&gt;0,1,0)</f>
        <v>0</v>
      </c>
      <c r="F686" s="4" t="str">
        <f>VLOOKUP(LEFT(C686,14),consolidado!D:D,1,0)</f>
        <v>#N/A</v>
      </c>
    </row>
    <row r="687" ht="15.75" customHeight="1">
      <c r="B687" s="28"/>
      <c r="C687" s="4" t="str">
        <f t="shared" si="1"/>
        <v>more_vert</v>
      </c>
      <c r="D687" s="22">
        <f t="shared" si="2"/>
        <v>9</v>
      </c>
      <c r="E687" s="4">
        <f>IF(IFERROR(VLOOKUP(LEFT(C687,14),consolidado!D:D,1,0),0)&gt;0,1,0)</f>
        <v>0</v>
      </c>
      <c r="F687" s="4" t="str">
        <f>VLOOKUP(LEFT(C687,14),consolidado!D:D,1,0)</f>
        <v>#N/A</v>
      </c>
    </row>
    <row r="688" ht="15.75" customHeight="1">
      <c r="B688" s="30" t="s">
        <v>386</v>
      </c>
      <c r="C688" s="4" t="str">
        <f t="shared" si="1"/>
        <v/>
      </c>
      <c r="D688" s="22">
        <f t="shared" si="2"/>
        <v>0</v>
      </c>
      <c r="E688" s="4">
        <f>IF(IFERROR(VLOOKUP(LEFT(C688,14),consolidado!D:D,1,0),0)&gt;0,1,0)</f>
        <v>1</v>
      </c>
      <c r="F688" s="4" t="str">
        <f>VLOOKUP(LEFT(C688,14),consolidado!D:D,1,0)</f>
        <v/>
      </c>
    </row>
    <row r="689" ht="15.75" customHeight="1">
      <c r="B689" s="21" t="s">
        <v>297</v>
      </c>
      <c r="C689" s="4" t="str">
        <f t="shared" si="1"/>
        <v>Chilevision</v>
      </c>
      <c r="D689" s="22">
        <f t="shared" si="2"/>
        <v>11</v>
      </c>
      <c r="E689" s="4">
        <f>IF(IFERROR(VLOOKUP(LEFT(C689,14),consolidado!D:D,1,0),0)&gt;0,1,0)</f>
        <v>0</v>
      </c>
      <c r="F689" s="4" t="str">
        <f>VLOOKUP(LEFT(C689,14),consolidado!D:D,1,0)</f>
        <v>#N/A</v>
      </c>
    </row>
    <row r="690" ht="15.75" customHeight="1">
      <c r="B690" s="29">
        <v>44848.0</v>
      </c>
      <c r="C690" s="4" t="str">
        <f t="shared" si="1"/>
        <v>Descontrolada reacción: Gaspar Rivas fue expulsado de la mesa paralela por ataque de furia</v>
      </c>
      <c r="D690" s="22">
        <f t="shared" si="2"/>
        <v>90</v>
      </c>
      <c r="E690" s="4">
        <f>IF(IFERROR(VLOOKUP(LEFT(C690,14),consolidado!D:D,1,0),0)&gt;0,1,0)</f>
        <v>1</v>
      </c>
      <c r="F690" s="4" t="str">
        <f>VLOOKUP(LEFT(C690,14),consolidado!D:D,1,0)</f>
        <v>Descontrolada </v>
      </c>
    </row>
    <row r="691" ht="15.75" customHeight="1">
      <c r="B691" s="24" t="s">
        <v>307</v>
      </c>
      <c r="C691" s="4" t="str">
        <f t="shared" si="1"/>
        <v>44848</v>
      </c>
      <c r="D691" s="22">
        <f t="shared" si="2"/>
        <v>5</v>
      </c>
      <c r="E691" s="4">
        <f>IF(IFERROR(VLOOKUP(LEFT(C691,14),consolidado!D:D,1,0),0)&gt;0,1,0)</f>
        <v>0</v>
      </c>
      <c r="F691" s="4" t="str">
        <f>VLOOKUP(LEFT(C691,14),consolidado!D:D,1,0)</f>
        <v>#N/A</v>
      </c>
    </row>
    <row r="692" ht="15.75" customHeight="1">
      <c r="B692" s="24" t="s">
        <v>308</v>
      </c>
      <c r="C692" s="4" t="str">
        <f t="shared" si="1"/>
        <v>bookmark_border</v>
      </c>
      <c r="D692" s="22">
        <f t="shared" si="2"/>
        <v>15</v>
      </c>
      <c r="E692" s="4">
        <f>IF(IFERROR(VLOOKUP(LEFT(C692,14),consolidado!D:D,1,0),0)&gt;0,1,0)</f>
        <v>0</v>
      </c>
      <c r="F692" s="4" t="str">
        <f>VLOOKUP(LEFT(C692,14),consolidado!D:D,1,0)</f>
        <v>#N/A</v>
      </c>
    </row>
    <row r="693" ht="15.75" customHeight="1">
      <c r="B693" s="24" t="s">
        <v>309</v>
      </c>
      <c r="C693" s="4" t="str">
        <f t="shared" si="1"/>
        <v>share</v>
      </c>
      <c r="D693" s="22">
        <f t="shared" si="2"/>
        <v>5</v>
      </c>
      <c r="E693" s="4">
        <f>IF(IFERROR(VLOOKUP(LEFT(C693,14),consolidado!D:D,1,0),0)&gt;0,1,0)</f>
        <v>0</v>
      </c>
      <c r="F693" s="4" t="str">
        <f>VLOOKUP(LEFT(C693,14),consolidado!D:D,1,0)</f>
        <v>#N/A</v>
      </c>
    </row>
    <row r="694" ht="15.75" customHeight="1">
      <c r="B694" s="28"/>
      <c r="C694" s="4" t="str">
        <f t="shared" si="1"/>
        <v>more_vert</v>
      </c>
      <c r="D694" s="22">
        <f t="shared" si="2"/>
        <v>9</v>
      </c>
      <c r="E694" s="4">
        <f>IF(IFERROR(VLOOKUP(LEFT(C694,14),consolidado!D:D,1,0),0)&gt;0,1,0)</f>
        <v>0</v>
      </c>
      <c r="F694" s="4" t="str">
        <f>VLOOKUP(LEFT(C694,14),consolidado!D:D,1,0)</f>
        <v>#N/A</v>
      </c>
    </row>
    <row r="695" ht="15.75" customHeight="1">
      <c r="B695" s="30" t="s">
        <v>316</v>
      </c>
      <c r="C695" s="4" t="str">
        <f t="shared" si="1"/>
        <v/>
      </c>
      <c r="D695" s="22">
        <f t="shared" si="2"/>
        <v>0</v>
      </c>
      <c r="E695" s="4">
        <f>IF(IFERROR(VLOOKUP(LEFT(C695,14),consolidado!D:D,1,0),0)&gt;0,1,0)</f>
        <v>1</v>
      </c>
      <c r="F695" s="4" t="str">
        <f>VLOOKUP(LEFT(C695,14),consolidado!D:D,1,0)</f>
        <v/>
      </c>
    </row>
    <row r="696" ht="15.75" customHeight="1">
      <c r="B696" s="21" t="s">
        <v>300</v>
      </c>
      <c r="C696" s="4" t="str">
        <f t="shared" si="1"/>
        <v>El Mostrador</v>
      </c>
      <c r="D696" s="22">
        <f t="shared" si="2"/>
        <v>12</v>
      </c>
      <c r="E696" s="4">
        <f>IF(IFERROR(VLOOKUP(LEFT(C696,14),consolidado!D:D,1,0),0)&gt;0,1,0)</f>
        <v>0</v>
      </c>
      <c r="F696" s="4" t="str">
        <f>VLOOKUP(LEFT(C696,14),consolidado!D:D,1,0)</f>
        <v>#N/A</v>
      </c>
    </row>
    <row r="697" ht="15.75" customHeight="1">
      <c r="B697" s="29">
        <v>44796.0</v>
      </c>
      <c r="C697" s="4" t="str">
        <f t="shared" si="1"/>
        <v>Isabel Berríos: la primera mujer entrenadora de fútbol profesional en Chile</v>
      </c>
      <c r="D697" s="22">
        <f t="shared" si="2"/>
        <v>75</v>
      </c>
      <c r="E697" s="4">
        <f>IF(IFERROR(VLOOKUP(LEFT(C697,14),consolidado!D:D,1,0),0)&gt;0,1,0)</f>
        <v>1</v>
      </c>
      <c r="F697" s="4" t="str">
        <f>VLOOKUP(LEFT(C697,14),consolidado!D:D,1,0)</f>
        <v>Isabel Berríos</v>
      </c>
    </row>
    <row r="698" ht="15.75" customHeight="1">
      <c r="B698" s="24" t="s">
        <v>307</v>
      </c>
      <c r="C698" s="4" t="str">
        <f t="shared" si="1"/>
        <v>44796</v>
      </c>
      <c r="D698" s="22">
        <f t="shared" si="2"/>
        <v>5</v>
      </c>
      <c r="E698" s="4">
        <f>IF(IFERROR(VLOOKUP(LEFT(C698,14),consolidado!D:D,1,0),0)&gt;0,1,0)</f>
        <v>0</v>
      </c>
      <c r="F698" s="4" t="str">
        <f>VLOOKUP(LEFT(C698,14),consolidado!D:D,1,0)</f>
        <v>#N/A</v>
      </c>
    </row>
    <row r="699" ht="15.75" customHeight="1">
      <c r="B699" s="24" t="s">
        <v>308</v>
      </c>
      <c r="C699" s="4" t="str">
        <f t="shared" si="1"/>
        <v>bookmark_border</v>
      </c>
      <c r="D699" s="22">
        <f t="shared" si="2"/>
        <v>15</v>
      </c>
      <c r="E699" s="4">
        <f>IF(IFERROR(VLOOKUP(LEFT(C699,14),consolidado!D:D,1,0),0)&gt;0,1,0)</f>
        <v>0</v>
      </c>
      <c r="F699" s="4" t="str">
        <f>VLOOKUP(LEFT(C699,14),consolidado!D:D,1,0)</f>
        <v>#N/A</v>
      </c>
    </row>
    <row r="700" ht="15.75" customHeight="1">
      <c r="B700" s="24" t="s">
        <v>309</v>
      </c>
      <c r="C700" s="4" t="str">
        <f t="shared" si="1"/>
        <v>share</v>
      </c>
      <c r="D700" s="22">
        <f t="shared" si="2"/>
        <v>5</v>
      </c>
      <c r="E700" s="4">
        <f>IF(IFERROR(VLOOKUP(LEFT(C700,14),consolidado!D:D,1,0),0)&gt;0,1,0)</f>
        <v>0</v>
      </c>
      <c r="F700" s="4" t="str">
        <f>VLOOKUP(LEFT(C700,14),consolidado!D:D,1,0)</f>
        <v>#N/A</v>
      </c>
    </row>
    <row r="701" ht="15.75" customHeight="1">
      <c r="B701" s="34"/>
      <c r="C701" s="4" t="str">
        <f t="shared" si="1"/>
        <v>more_vert</v>
      </c>
      <c r="D701" s="22">
        <f t="shared" si="2"/>
        <v>9</v>
      </c>
      <c r="E701" s="4">
        <f>IF(IFERROR(VLOOKUP(LEFT(C701,14),consolidado!D:D,1,0),0)&gt;0,1,0)</f>
        <v>0</v>
      </c>
      <c r="F701" s="4" t="str">
        <f>VLOOKUP(LEFT(C701,14),consolidado!D:D,1,0)</f>
        <v>#N/A</v>
      </c>
    </row>
    <row r="702" ht="15.75" customHeight="1">
      <c r="B702" s="37"/>
      <c r="C702" s="4" t="str">
        <f t="shared" si="1"/>
        <v/>
      </c>
      <c r="D702" s="22"/>
      <c r="F702" s="4" t="str">
        <f>VLOOKUP(LEFT(C702,14),consolidado!D:D,1,0)</f>
        <v/>
      </c>
    </row>
  </sheetData>
  <hyperlinks>
    <hyperlink r:id="rId1" ref="B2"/>
    <hyperlink r:id="rId2" ref="B3"/>
    <hyperlink r:id="rId3" ref="B8"/>
    <hyperlink r:id="rId4" ref="B14"/>
    <hyperlink r:id="rId5" ref="B18"/>
    <hyperlink r:id="rId6" ref="B23"/>
    <hyperlink r:id="rId7" ref="B24"/>
    <hyperlink r:id="rId8" ref="B29"/>
    <hyperlink r:id="rId9" ref="B32"/>
    <hyperlink r:id="rId10" ref="B33"/>
    <hyperlink r:id="rId11" ref="B40"/>
    <hyperlink r:id="rId12" ref="B47"/>
    <hyperlink r:id="rId13" ref="B54"/>
    <hyperlink r:id="rId14" ref="B61"/>
    <hyperlink r:id="rId15" ref="B67"/>
    <hyperlink r:id="rId16" ref="B68"/>
    <hyperlink r:id="rId17" ref="B75"/>
    <hyperlink r:id="rId18" ref="B81"/>
    <hyperlink r:id="rId19" ref="B82"/>
    <hyperlink r:id="rId20" ref="B88"/>
    <hyperlink r:id="rId21" ref="B89"/>
    <hyperlink r:id="rId22" ref="B95"/>
    <hyperlink r:id="rId23" ref="B96"/>
    <hyperlink r:id="rId24" ref="B102"/>
    <hyperlink r:id="rId25" ref="B103"/>
    <hyperlink r:id="rId26" ref="B109"/>
    <hyperlink r:id="rId27" ref="B110"/>
    <hyperlink r:id="rId28" ref="B117"/>
    <hyperlink r:id="rId29" ref="B124"/>
    <hyperlink r:id="rId30" ref="B131"/>
    <hyperlink r:id="rId31" ref="B138"/>
    <hyperlink r:id="rId32" ref="B145"/>
    <hyperlink r:id="rId33" ref="B152"/>
    <hyperlink r:id="rId34" ref="B159"/>
    <hyperlink r:id="rId35" ref="B165"/>
    <hyperlink r:id="rId36" ref="B166"/>
    <hyperlink r:id="rId37" ref="B172"/>
    <hyperlink r:id="rId38" ref="B173"/>
    <hyperlink r:id="rId39" ref="B180"/>
    <hyperlink r:id="rId40" ref="B186"/>
    <hyperlink r:id="rId41" ref="B187"/>
    <hyperlink r:id="rId42" ref="B194"/>
    <hyperlink r:id="rId43" ref="B201"/>
    <hyperlink r:id="rId44" ref="B208"/>
    <hyperlink r:id="rId45" ref="B215"/>
    <hyperlink r:id="rId46" ref="B222"/>
    <hyperlink r:id="rId47" ref="B229"/>
    <hyperlink r:id="rId48" ref="B235"/>
    <hyperlink r:id="rId49" ref="B236"/>
    <hyperlink r:id="rId50" ref="B243"/>
    <hyperlink r:id="rId51" ref="B249"/>
    <hyperlink r:id="rId52" ref="B250"/>
    <hyperlink r:id="rId53" ref="B257"/>
    <hyperlink r:id="rId54" ref="B263"/>
    <hyperlink r:id="rId55" ref="B270"/>
    <hyperlink r:id="rId56" ref="B277"/>
    <hyperlink r:id="rId57" ref="B284"/>
    <hyperlink r:id="rId58" ref="B291"/>
    <hyperlink r:id="rId59" ref="B298"/>
    <hyperlink r:id="rId60" ref="B305"/>
    <hyperlink r:id="rId61" ref="B312"/>
    <hyperlink r:id="rId62" ref="B319"/>
    <hyperlink r:id="rId63" ref="B326"/>
    <hyperlink r:id="rId64" ref="B333"/>
    <hyperlink r:id="rId65" ref="B340"/>
    <hyperlink r:id="rId66" ref="B347"/>
    <hyperlink r:id="rId67" ref="B354"/>
    <hyperlink r:id="rId68" ref="B361"/>
    <hyperlink r:id="rId69" ref="B368"/>
    <hyperlink r:id="rId70" ref="B375"/>
    <hyperlink r:id="rId71" ref="B382"/>
    <hyperlink r:id="rId72" ref="B389"/>
    <hyperlink r:id="rId73" ref="B395"/>
    <hyperlink r:id="rId74" ref="B396"/>
    <hyperlink r:id="rId75" ref="B403"/>
    <hyperlink r:id="rId76" ref="B410"/>
    <hyperlink r:id="rId77" ref="B416"/>
    <hyperlink r:id="rId78" ref="B423"/>
    <hyperlink r:id="rId79" ref="B430"/>
    <hyperlink r:id="rId80" ref="B437"/>
    <hyperlink r:id="rId81" ref="B444"/>
    <hyperlink r:id="rId82" ref="B451"/>
    <hyperlink r:id="rId83" ref="B458"/>
    <hyperlink r:id="rId84" ref="B465"/>
    <hyperlink r:id="rId85" ref="B472"/>
    <hyperlink r:id="rId86" ref="B479"/>
    <hyperlink r:id="rId87" ref="B486"/>
    <hyperlink r:id="rId88" ref="B493"/>
    <hyperlink r:id="rId89" ref="B500"/>
    <hyperlink r:id="rId90" ref="B507"/>
    <hyperlink r:id="rId91" ref="B514"/>
    <hyperlink r:id="rId92" ref="B521"/>
    <hyperlink r:id="rId93" ref="B528"/>
    <hyperlink r:id="rId94" ref="B535"/>
    <hyperlink r:id="rId95" ref="B542"/>
    <hyperlink r:id="rId96" ref="B549"/>
    <hyperlink r:id="rId97" ref="B556"/>
    <hyperlink r:id="rId98" ref="B563"/>
    <hyperlink r:id="rId99" ref="B570"/>
    <hyperlink r:id="rId100" ref="B577"/>
    <hyperlink r:id="rId101" ref="B584"/>
    <hyperlink r:id="rId102" ref="B591"/>
    <hyperlink r:id="rId103" ref="B598"/>
    <hyperlink r:id="rId104" ref="B605"/>
    <hyperlink r:id="rId105" ref="B612"/>
    <hyperlink r:id="rId106" ref="B619"/>
    <hyperlink r:id="rId107" ref="B626"/>
    <hyperlink r:id="rId108" ref="B633"/>
    <hyperlink r:id="rId109" ref="B640"/>
    <hyperlink r:id="rId110" ref="B647"/>
    <hyperlink r:id="rId111" ref="B654"/>
    <hyperlink r:id="rId112" ref="B661"/>
    <hyperlink r:id="rId113" ref="B668"/>
    <hyperlink r:id="rId114" ref="B674"/>
    <hyperlink r:id="rId115" ref="B675"/>
    <hyperlink r:id="rId116" ref="B682"/>
    <hyperlink r:id="rId117" ref="B689"/>
    <hyperlink r:id="rId118" ref="B696"/>
  </hyperlinks>
  <printOptions/>
  <pageMargins bottom="0.75" footer="0.0" header="0.0" left="0.7" right="0.7" top="0.75"/>
  <pageSetup orientation="landscape"/>
  <drawing r:id="rId1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2022-11-29T02:30:11Z</dcterms:created>
  <dc:creator>Andrés González Santa Cruz</dc:creator>
</cp:coreProperties>
</file>