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/>
  </bookViews>
  <sheets>
    <sheet name="Log" sheetId="2" r:id="rId1"/>
    <sheet name="TechRaw_Storage_H" sheetId="6" r:id="rId2"/>
    <sheet name="TechRaw_Storage_E" sheetId="5" r:id="rId3"/>
    <sheet name="TechRaw_ENS_E" sheetId="1" r:id="rId4"/>
    <sheet name="TechRaw_ENS_H" sheetId="4" r:id="rId5"/>
    <sheet name="TechRaw_IE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2" i="3"/>
  <c r="M2" i="4" l="1"/>
  <c r="R2" i="5" l="1"/>
  <c r="R3" i="6"/>
  <c r="N3" i="6"/>
  <c r="H3" i="6"/>
  <c r="H2" i="6"/>
  <c r="R2" i="6" l="1"/>
  <c r="N2" i="6"/>
  <c r="S5" i="4" l="1"/>
  <c r="S4" i="4"/>
  <c r="S3" i="4"/>
  <c r="S2" i="4"/>
  <c r="O2" i="4"/>
  <c r="I3" i="4" l="1"/>
  <c r="I2" i="4"/>
  <c r="O4" i="3" l="1"/>
  <c r="S8" i="1"/>
  <c r="S7" i="1"/>
  <c r="S6" i="1"/>
  <c r="S5" i="1"/>
  <c r="S4" i="1"/>
  <c r="S3" i="1"/>
  <c r="S2" i="1"/>
  <c r="I4" i="3" l="1"/>
  <c r="I3" i="3"/>
  <c r="I2" i="3"/>
  <c r="I4" i="1"/>
  <c r="I3" i="1"/>
  <c r="I2" i="1"/>
  <c r="B4" i="3"/>
  <c r="B3" i="3"/>
  <c r="B2" i="3"/>
</calcChain>
</file>

<file path=xl/sharedStrings.xml><?xml version="1.0" encoding="utf-8"?>
<sst xmlns="http://schemas.openxmlformats.org/spreadsheetml/2006/main" count="292" uniqueCount="104">
  <si>
    <t>FOM/tech</t>
  </si>
  <si>
    <t>FOM/FOM</t>
  </si>
  <si>
    <t>BP_Coal</t>
  </si>
  <si>
    <t>BP_NatGas</t>
  </si>
  <si>
    <t>BP_BioMass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</si>
  <si>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</si>
  <si>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</si>
  <si>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</si>
  <si>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</si>
  <si>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</si>
  <si>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</si>
  <si>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</si>
  <si>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</si>
  <si>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WL</t>
  </si>
  <si>
    <t>WS1</t>
  </si>
  <si>
    <t>WS2</t>
  </si>
  <si>
    <t>Variable</t>
  </si>
  <si>
    <t>Unit</t>
  </si>
  <si>
    <t>FOM</t>
  </si>
  <si>
    <t>EUR/MW_e/y</t>
  </si>
  <si>
    <t>Euro per installed MW electricity generation capacity, per year.</t>
  </si>
  <si>
    <t>Text</t>
  </si>
  <si>
    <t>Sheet in technology data (2020)</t>
  </si>
  <si>
    <t>Sheet in IEA technology data</t>
  </si>
  <si>
    <t>01 Coal CHP</t>
  </si>
  <si>
    <t>05 Gas turb. CC, Back-pressure</t>
  </si>
  <si>
    <t>Coal Fired Power Plants</t>
  </si>
  <si>
    <t>Gas Fired Power Plants</t>
  </si>
  <si>
    <t>Nuclear Power</t>
  </si>
  <si>
    <t>21 Offshore turbines</t>
  </si>
  <si>
    <t>22 Utility-scale PV</t>
  </si>
  <si>
    <t>09b Wood Pellets HOP</t>
  </si>
  <si>
    <t>44 Natural Gas DH Only</t>
  </si>
  <si>
    <t>46 Solar District Heating</t>
  </si>
  <si>
    <t>40 Comp. hp, airsource 10 MW</t>
  </si>
  <si>
    <t>TECH</t>
  </si>
  <si>
    <t>09b Wood Pellets, Large 50 degr</t>
  </si>
  <si>
    <t>20 Onshore turbines</t>
  </si>
  <si>
    <t>21 Near shore turbines</t>
  </si>
  <si>
    <t>OtherMC/OtherMC</t>
  </si>
  <si>
    <t>OtherMC/tech</t>
  </si>
  <si>
    <t>OtherMC</t>
  </si>
  <si>
    <t>EUR/MWh_e</t>
  </si>
  <si>
    <t>Euro per MWh electricity</t>
  </si>
  <si>
    <t>EFF_E/tech</t>
  </si>
  <si>
    <t>EFF_E/EFF_E</t>
  </si>
  <si>
    <t>EFF_E</t>
  </si>
  <si>
    <t>MWh_Out/MWh_Inp</t>
  </si>
  <si>
    <t>FuelMix</t>
  </si>
  <si>
    <t>FuelMix/BFt</t>
  </si>
  <si>
    <t>FuelMix/FuelMix</t>
  </si>
  <si>
    <t>FuelMix/tech</t>
  </si>
  <si>
    <t>Coal</t>
  </si>
  <si>
    <t>NatGas</t>
  </si>
  <si>
    <t>BioMass</t>
  </si>
  <si>
    <t xml:space="preserve">Fuel MWh_Inp/MWh_out </t>
  </si>
  <si>
    <t>Uranium</t>
  </si>
  <si>
    <t>InvestCost/tech</t>
  </si>
  <si>
    <t>InvestCost/InvestCost</t>
  </si>
  <si>
    <t>InvestCost</t>
  </si>
  <si>
    <t>MEUR/MW_e</t>
  </si>
  <si>
    <t>Million euro per MW electricity generating capacity.</t>
  </si>
  <si>
    <t>E2H</t>
  </si>
  <si>
    <t>MWh_E/MWh_H</t>
  </si>
  <si>
    <t>Ratio of electricity to heat for CHP plants</t>
  </si>
  <si>
    <t>E2H/tech</t>
  </si>
  <si>
    <t>E2H/E2H</t>
  </si>
  <si>
    <t>CapFactor</t>
  </si>
  <si>
    <t>#h/8760</t>
  </si>
  <si>
    <t>Average annual full-load hours /8760</t>
  </si>
  <si>
    <t>CapFactor/tech</t>
  </si>
  <si>
    <t>CapFactor/CapFactor</t>
  </si>
  <si>
    <t>TechLifetime/tech</t>
  </si>
  <si>
    <t>TechLifetime/TechLifetime</t>
  </si>
  <si>
    <t>DiscountFactor</t>
  </si>
  <si>
    <t>InvestCost_A/tech</t>
  </si>
  <si>
    <t>InvestCost_A</t>
  </si>
  <si>
    <t>InvestCost_A/InvestCost_A</t>
  </si>
  <si>
    <t>EUR/MW_e/year</t>
  </si>
  <si>
    <t>Yearly amortized investment costs with yearly discount factor 0,03</t>
  </si>
  <si>
    <t>EFF_H/tech</t>
  </si>
  <si>
    <t>EFF_H/EFF_H</t>
  </si>
  <si>
    <t>EFF_H</t>
  </si>
  <si>
    <t>HS_LHWT</t>
  </si>
  <si>
    <t>Sheet in storage data (2020)</t>
  </si>
  <si>
    <t>141 Large hot water tank</t>
  </si>
  <si>
    <t>effC/effC</t>
  </si>
  <si>
    <t>effC/tech</t>
  </si>
  <si>
    <t>effD/effD</t>
  </si>
  <si>
    <t>effD/tech</t>
  </si>
  <si>
    <t>selfDischarge/selfDischarge</t>
  </si>
  <si>
    <t>selfDischarge/tech</t>
  </si>
  <si>
    <t>effC</t>
  </si>
  <si>
    <t>effD</t>
  </si>
  <si>
    <t>Charge efficiency (storage)</t>
  </si>
  <si>
    <t>Discharge efficiency (storage)</t>
  </si>
  <si>
    <t>selfDischarge</t>
  </si>
  <si>
    <t>coefficient</t>
  </si>
  <si>
    <t>Hourly rate of selfdischarge</t>
  </si>
  <si>
    <t>HS_PTES</t>
  </si>
  <si>
    <t>dailyLoss/tech</t>
  </si>
  <si>
    <t>dailyLoss/dailyLoss</t>
  </si>
  <si>
    <t>ES_CAES</t>
  </si>
  <si>
    <t>ES_LIION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</si>
</sst>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0"/>
    <numFmt numFmtId="167" formatCode="_-* #,##0.00000_-;\-* #,##0.000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2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TechnologyCatalogue_Storage.xlsx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0" sqref="B10"/>
    </sheetView>
  </sheetViews>
  <sheetFormatPr defaultRowHeight="15" x14ac:dyDescent="0.25"/>
  <cols>
    <col min="1" max="1" width="14" bestFit="1" customWidth="1"/>
    <col min="2" max="2" width="32.140625" bestFit="1" customWidth="1"/>
    <col min="3" max="3" width="60.85546875" bestFit="1" customWidth="1"/>
    <col min="7" max="7" width="11.5703125" bestFit="1" customWidth="1"/>
    <col min="8" max="8" width="29.7109375" bestFit="1" customWidth="1"/>
    <col min="9" max="9" width="29.7109375" customWidth="1"/>
    <col min="10" max="10" width="26.7109375" bestFit="1" customWidth="1"/>
  </cols>
  <sheetData>
    <row r="1" spans="1:13" x14ac:dyDescent="0.25">
      <c r="A1" s="9"/>
      <c r="B1" s="9"/>
      <c r="C1" s="9"/>
    </row>
    <row r="2" spans="1:13" x14ac:dyDescent="0.25">
      <c r="A2" s="4" t="s">
        <v>16</v>
      </c>
      <c r="B2" s="4" t="s">
        <v>17</v>
      </c>
      <c r="C2" s="4" t="s">
        <v>21</v>
      </c>
      <c r="G2" s="4" t="s">
        <v>35</v>
      </c>
      <c r="H2" s="5" t="s">
        <v>22</v>
      </c>
      <c r="I2" s="5" t="s">
        <v>84</v>
      </c>
      <c r="J2" t="s">
        <v>23</v>
      </c>
      <c r="M2" t="s">
        <v>74</v>
      </c>
    </row>
    <row r="3" spans="1:13" x14ac:dyDescent="0.25">
      <c r="A3" t="s">
        <v>18</v>
      </c>
      <c r="B3" t="s">
        <v>19</v>
      </c>
      <c r="C3" t="s">
        <v>20</v>
      </c>
      <c r="G3" t="s">
        <v>2</v>
      </c>
      <c r="H3" t="s">
        <v>24</v>
      </c>
      <c r="M3">
        <v>0.03</v>
      </c>
    </row>
    <row r="4" spans="1:13" x14ac:dyDescent="0.25">
      <c r="A4" t="s">
        <v>41</v>
      </c>
      <c r="B4" t="s">
        <v>42</v>
      </c>
      <c r="C4" t="s">
        <v>43</v>
      </c>
      <c r="G4" t="s">
        <v>3</v>
      </c>
      <c r="H4" t="s">
        <v>25</v>
      </c>
    </row>
    <row r="5" spans="1:13" x14ac:dyDescent="0.25">
      <c r="A5" t="s">
        <v>46</v>
      </c>
      <c r="B5" t="s">
        <v>47</v>
      </c>
      <c r="G5" t="s">
        <v>4</v>
      </c>
      <c r="H5" t="s">
        <v>36</v>
      </c>
    </row>
    <row r="6" spans="1:13" x14ac:dyDescent="0.25">
      <c r="A6" t="s">
        <v>82</v>
      </c>
      <c r="B6" t="s">
        <v>47</v>
      </c>
      <c r="G6" t="s">
        <v>13</v>
      </c>
      <c r="H6" t="s">
        <v>37</v>
      </c>
    </row>
    <row r="7" spans="1:13" x14ac:dyDescent="0.25">
      <c r="A7" t="s">
        <v>48</v>
      </c>
      <c r="B7" t="s">
        <v>55</v>
      </c>
      <c r="G7" t="s">
        <v>8</v>
      </c>
      <c r="H7" t="s">
        <v>30</v>
      </c>
    </row>
    <row r="8" spans="1:13" x14ac:dyDescent="0.25">
      <c r="A8" t="s">
        <v>59</v>
      </c>
      <c r="B8" t="s">
        <v>60</v>
      </c>
      <c r="C8" t="s">
        <v>61</v>
      </c>
      <c r="G8" t="s">
        <v>14</v>
      </c>
      <c r="H8" t="s">
        <v>29</v>
      </c>
    </row>
    <row r="9" spans="1:13" x14ac:dyDescent="0.25">
      <c r="A9" t="s">
        <v>62</v>
      </c>
      <c r="B9" t="s">
        <v>63</v>
      </c>
      <c r="C9" t="s">
        <v>64</v>
      </c>
      <c r="G9" t="s">
        <v>15</v>
      </c>
      <c r="H9" t="s">
        <v>38</v>
      </c>
      <c r="J9" s="5"/>
    </row>
    <row r="10" spans="1:13" x14ac:dyDescent="0.25">
      <c r="A10" t="s">
        <v>67</v>
      </c>
      <c r="B10" t="s">
        <v>68</v>
      </c>
      <c r="C10" t="s">
        <v>69</v>
      </c>
      <c r="G10" t="s">
        <v>5</v>
      </c>
      <c r="J10" s="5" t="s">
        <v>26</v>
      </c>
    </row>
    <row r="11" spans="1:13" x14ac:dyDescent="0.25">
      <c r="A11" t="s">
        <v>76</v>
      </c>
      <c r="B11" t="s">
        <v>78</v>
      </c>
      <c r="C11" t="s">
        <v>79</v>
      </c>
      <c r="G11" t="s">
        <v>6</v>
      </c>
      <c r="J11" s="5" t="s">
        <v>27</v>
      </c>
    </row>
    <row r="12" spans="1:13" x14ac:dyDescent="0.25">
      <c r="A12" t="s">
        <v>92</v>
      </c>
      <c r="B12" t="s">
        <v>97</v>
      </c>
      <c r="C12" t="s">
        <v>94</v>
      </c>
      <c r="G12" t="s">
        <v>7</v>
      </c>
      <c r="J12" s="5" t="s">
        <v>28</v>
      </c>
    </row>
    <row r="13" spans="1:13" x14ac:dyDescent="0.25">
      <c r="A13" t="s">
        <v>93</v>
      </c>
      <c r="B13" t="s">
        <v>97</v>
      </c>
      <c r="C13" t="s">
        <v>95</v>
      </c>
      <c r="G13" t="s">
        <v>9</v>
      </c>
      <c r="H13" t="s">
        <v>31</v>
      </c>
    </row>
    <row r="14" spans="1:13" x14ac:dyDescent="0.25">
      <c r="A14" t="s">
        <v>96</v>
      </c>
      <c r="B14" t="s">
        <v>97</v>
      </c>
      <c r="C14" t="s">
        <v>98</v>
      </c>
      <c r="G14" t="s">
        <v>10</v>
      </c>
      <c r="H14" t="s">
        <v>32</v>
      </c>
    </row>
    <row r="15" spans="1:13" x14ac:dyDescent="0.25">
      <c r="G15" t="s">
        <v>11</v>
      </c>
      <c r="H15" t="s">
        <v>33</v>
      </c>
    </row>
    <row r="16" spans="1:13" x14ac:dyDescent="0.25">
      <c r="C16" s="5"/>
      <c r="G16" t="s">
        <v>12</v>
      </c>
      <c r="H16" t="s">
        <v>34</v>
      </c>
    </row>
    <row r="17" spans="3:9" x14ac:dyDescent="0.25">
      <c r="C17" s="5"/>
      <c r="G17" t="s">
        <v>83</v>
      </c>
      <c r="I17" t="s">
        <v>85</v>
      </c>
    </row>
  </sheetData>
  <mergeCells count="1">
    <mergeCell ref="A1:C1"/>
  </mergeCells>
  <hyperlinks>
    <hyperlink ref="H2" r:id="rId1"/>
    <hyperlink ref="J10" r:id="rId2" display="https://iea-etsap.org/E-TechDS/PDF/E01-coal-fired-power-GS-AD-gct_FINAL.pdf"/>
    <hyperlink ref="J11" r:id="rId3" display="https://iea-etsap.org/E-TechDS/PDF/E02-gas_fired_power-GS-AD-gct_FINAL.pdf"/>
    <hyperlink ref="J12" r:id="rId4" display="https://iea-etsap.org/E-TechDS/PDF/E03-Nuclear-Power-GS-AD-gct_FINAL.pdf"/>
    <hyperlink ref="I2" r:id="rId5" display="Sheet in technology data (2020)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G2" sqref="G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83</v>
      </c>
      <c r="B2">
        <v>1</v>
      </c>
      <c r="C2" t="s">
        <v>83</v>
      </c>
      <c r="D2">
        <v>1</v>
      </c>
      <c r="E2" t="s">
        <v>83</v>
      </c>
      <c r="F2">
        <v>0.2</v>
      </c>
      <c r="G2" t="s">
        <v>83</v>
      </c>
      <c r="H2" s="7">
        <f>1-(1-F2)^(1/24)</f>
        <v>9.2545584895423749E-3</v>
      </c>
      <c r="I2" t="s">
        <v>83</v>
      </c>
      <c r="J2">
        <v>0</v>
      </c>
      <c r="K2" t="s">
        <v>83</v>
      </c>
      <c r="L2">
        <v>8.6</v>
      </c>
      <c r="M2" t="s">
        <v>83</v>
      </c>
      <c r="N2" s="8">
        <f>2.96478011448194/1000</f>
        <v>2.9647801144819402E-3</v>
      </c>
      <c r="O2" t="s">
        <v>83</v>
      </c>
      <c r="P2">
        <v>40</v>
      </c>
      <c r="Q2" t="s">
        <v>83</v>
      </c>
      <c r="R2" s="3">
        <f>1000000*N2*(Log!$M$3/(1+Log!$M$3))/(1-1/(1+Log!$M$3)^P2)</f>
        <v>124.52760939305585</v>
      </c>
    </row>
    <row r="3" spans="1:18" x14ac:dyDescent="0.25">
      <c r="A3" t="s">
        <v>99</v>
      </c>
      <c r="B3">
        <v>0.95</v>
      </c>
      <c r="C3" t="s">
        <v>99</v>
      </c>
      <c r="D3">
        <v>0.95</v>
      </c>
      <c r="E3" t="s">
        <v>99</v>
      </c>
      <c r="F3">
        <v>0.05</v>
      </c>
      <c r="G3" t="s">
        <v>99</v>
      </c>
      <c r="H3" s="7">
        <f>1-(1-F3)^(1/24)</f>
        <v>2.1349383697015778E-3</v>
      </c>
      <c r="I3" t="s">
        <v>99</v>
      </c>
      <c r="J3">
        <v>0</v>
      </c>
      <c r="K3" t="s">
        <v>99</v>
      </c>
      <c r="L3">
        <v>3</v>
      </c>
      <c r="M3" t="s">
        <v>99</v>
      </c>
      <c r="N3" s="8">
        <f>0.579555555555556/1000</f>
        <v>5.7955555555555603E-4</v>
      </c>
      <c r="O3" t="s">
        <v>99</v>
      </c>
      <c r="P3">
        <v>20</v>
      </c>
      <c r="Q3" t="s">
        <v>99</v>
      </c>
      <c r="R3" s="3">
        <f>1000000*N3*(Log!$M$3/(1+Log!$M$3))/(1-1/(1+Log!$M$3)^P3)</f>
        <v>37.820618211997591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102</v>
      </c>
      <c r="B2">
        <v>0.8</v>
      </c>
      <c r="C2" t="s">
        <v>102</v>
      </c>
      <c r="D2">
        <v>0.69</v>
      </c>
      <c r="E2" t="s">
        <v>102</v>
      </c>
      <c r="F2">
        <v>0</v>
      </c>
      <c r="G2" t="s">
        <v>102</v>
      </c>
      <c r="H2">
        <v>0</v>
      </c>
      <c r="I2" t="s">
        <v>102</v>
      </c>
      <c r="J2">
        <v>2.46</v>
      </c>
      <c r="K2" t="s">
        <v>102</v>
      </c>
      <c r="L2">
        <v>2460</v>
      </c>
      <c r="M2" t="s">
        <v>102</v>
      </c>
      <c r="N2">
        <v>0.65</v>
      </c>
      <c r="O2" t="s">
        <v>102</v>
      </c>
      <c r="P2">
        <v>40</v>
      </c>
      <c r="Q2" t="s">
        <v>102</v>
      </c>
      <c r="R2" s="3">
        <f>1000000*N2*(Log!$M$3/(1+Log!$M$3))/(1-1/(1+Log!$M$3)^P2)</f>
        <v>27301.500610486291</v>
      </c>
    </row>
    <row r="3" spans="1:18" x14ac:dyDescent="0.25">
      <c r="A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3" sqref="B3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2</v>
      </c>
      <c r="B2" s="3">
        <v>31000</v>
      </c>
      <c r="C2" t="s">
        <v>2</v>
      </c>
      <c r="D2">
        <v>2.9</v>
      </c>
      <c r="E2" t="s">
        <v>2</v>
      </c>
      <c r="F2">
        <v>0.48499999999999999</v>
      </c>
      <c r="G2" t="s">
        <v>2</v>
      </c>
      <c r="H2" t="s">
        <v>52</v>
      </c>
      <c r="I2">
        <f>1/F2</f>
        <v>2.061855670103093</v>
      </c>
      <c r="J2" t="s">
        <v>2</v>
      </c>
      <c r="K2" s="1">
        <v>1.9</v>
      </c>
      <c r="L2" t="s">
        <v>2</v>
      </c>
      <c r="M2" s="1">
        <v>0.84</v>
      </c>
      <c r="N2" t="s">
        <v>13</v>
      </c>
      <c r="O2" s="6">
        <v>0.38812785388127852</v>
      </c>
      <c r="P2" t="s">
        <v>2</v>
      </c>
      <c r="Q2">
        <v>25</v>
      </c>
      <c r="R2" t="s">
        <v>2</v>
      </c>
      <c r="S2" s="3">
        <f>1000000*K2*(Log!$M$3/(1+Log!$M$3))/(1-1/(1+Log!$M$3)^Q2)</f>
        <v>105934.90774208044</v>
      </c>
    </row>
    <row r="3" spans="1:19" x14ac:dyDescent="0.25">
      <c r="A3" t="s">
        <v>3</v>
      </c>
      <c r="B3" s="3">
        <v>29300</v>
      </c>
      <c r="C3" t="s">
        <v>3</v>
      </c>
      <c r="D3">
        <v>4.4000000000000004</v>
      </c>
      <c r="E3" t="s">
        <v>3</v>
      </c>
      <c r="F3">
        <v>0.51</v>
      </c>
      <c r="G3" t="s">
        <v>3</v>
      </c>
      <c r="H3" t="s">
        <v>53</v>
      </c>
      <c r="I3">
        <f t="shared" ref="I3:I4" si="0">1/F3</f>
        <v>1.9607843137254901</v>
      </c>
      <c r="J3" t="s">
        <v>3</v>
      </c>
      <c r="K3" s="1">
        <v>1.3</v>
      </c>
      <c r="L3" t="s">
        <v>3</v>
      </c>
      <c r="M3" s="1">
        <v>1.3</v>
      </c>
      <c r="N3" t="s">
        <v>8</v>
      </c>
      <c r="O3" s="6">
        <v>0.15334212328767124</v>
      </c>
      <c r="P3" t="s">
        <v>3</v>
      </c>
      <c r="Q3">
        <v>25</v>
      </c>
      <c r="R3" t="s">
        <v>3</v>
      </c>
      <c r="S3" s="3">
        <f>1000000*K3*(Log!$M$3/(1+Log!$M$3))/(1-1/(1+Log!$M$3)^Q3)</f>
        <v>72481.778981423457</v>
      </c>
    </row>
    <row r="4" spans="1:19" x14ac:dyDescent="0.25">
      <c r="A4" t="s">
        <v>4</v>
      </c>
      <c r="B4" s="3">
        <v>66000</v>
      </c>
      <c r="C4" t="s">
        <v>4</v>
      </c>
      <c r="D4">
        <v>1.726247463</v>
      </c>
      <c r="E4" t="s">
        <v>4</v>
      </c>
      <c r="F4">
        <v>0.3167946391</v>
      </c>
      <c r="G4" t="s">
        <v>4</v>
      </c>
      <c r="H4" t="s">
        <v>54</v>
      </c>
      <c r="I4">
        <f t="shared" si="0"/>
        <v>3.1566190729772359</v>
      </c>
      <c r="J4" t="s">
        <v>4</v>
      </c>
      <c r="K4" s="1">
        <v>2.3784092939999999</v>
      </c>
      <c r="L4" t="s">
        <v>4</v>
      </c>
      <c r="M4" s="1">
        <v>0.48902215799999998</v>
      </c>
      <c r="N4" t="s">
        <v>14</v>
      </c>
      <c r="O4" s="6">
        <v>0.50228310502283102</v>
      </c>
      <c r="P4" t="s">
        <v>4</v>
      </c>
      <c r="Q4">
        <v>25</v>
      </c>
      <c r="R4" t="s">
        <v>4</v>
      </c>
      <c r="S4" s="3">
        <f>1000000*K4*(Log!$M$3/(1+Log!$M$3))/(1-1/(1+Log!$M$3)^Q4)</f>
        <v>132608.72059620876</v>
      </c>
    </row>
    <row r="5" spans="1:19" x14ac:dyDescent="0.25">
      <c r="A5" t="s">
        <v>13</v>
      </c>
      <c r="B5" s="3">
        <v>14000</v>
      </c>
      <c r="C5" t="s">
        <v>13</v>
      </c>
      <c r="D5">
        <v>1.5</v>
      </c>
      <c r="J5" t="s">
        <v>13</v>
      </c>
      <c r="K5" s="1">
        <v>1.1187750000000001</v>
      </c>
      <c r="N5" t="s">
        <v>15</v>
      </c>
      <c r="O5" s="6">
        <v>0.4680365296803653</v>
      </c>
      <c r="P5" t="s">
        <v>13</v>
      </c>
      <c r="Q5">
        <v>27</v>
      </c>
      <c r="R5" t="s">
        <v>13</v>
      </c>
      <c r="S5" s="3">
        <f>1000000*K5*(Log!$M$3/(1+Log!$M$3))/(1-1/(1+Log!$M$3)^Q5)</f>
        <v>59267.062530051473</v>
      </c>
    </row>
    <row r="6" spans="1:19" x14ac:dyDescent="0.25">
      <c r="A6" t="s">
        <v>8</v>
      </c>
      <c r="B6" s="3">
        <v>11300</v>
      </c>
      <c r="C6" t="s">
        <v>8</v>
      </c>
      <c r="D6">
        <v>0</v>
      </c>
      <c r="J6" t="s">
        <v>8</v>
      </c>
      <c r="K6" s="1">
        <v>0.5625</v>
      </c>
      <c r="P6" t="s">
        <v>8</v>
      </c>
      <c r="Q6">
        <v>35</v>
      </c>
      <c r="R6" t="s">
        <v>8</v>
      </c>
      <c r="S6" s="3">
        <f>1000000*K6*(Log!$M$3/(1+Log!$M$3))/(1-1/(1+Log!$M$3)^Q6)</f>
        <v>25415.875250388079</v>
      </c>
    </row>
    <row r="7" spans="1:19" x14ac:dyDescent="0.25">
      <c r="A7" t="s">
        <v>14</v>
      </c>
      <c r="B7" s="3">
        <v>50000</v>
      </c>
      <c r="C7" t="s">
        <v>14</v>
      </c>
      <c r="D7">
        <v>5</v>
      </c>
      <c r="J7" t="s">
        <v>14</v>
      </c>
      <c r="K7" s="1">
        <v>2.11594379195463</v>
      </c>
      <c r="P7" t="s">
        <v>14</v>
      </c>
      <c r="Q7">
        <v>27</v>
      </c>
      <c r="R7" t="s">
        <v>14</v>
      </c>
      <c r="S7" s="3">
        <f>1000000*K7*(Log!$M$3/(1+Log!$M$3))/(1-1/(1+Log!$M$3)^Q7)</f>
        <v>112092.04087314186</v>
      </c>
    </row>
    <row r="8" spans="1:19" x14ac:dyDescent="0.25">
      <c r="A8" t="s">
        <v>15</v>
      </c>
      <c r="B8" s="3">
        <v>50000</v>
      </c>
      <c r="C8" t="s">
        <v>15</v>
      </c>
      <c r="D8">
        <v>5</v>
      </c>
      <c r="J8" t="s">
        <v>15</v>
      </c>
      <c r="K8" s="1">
        <v>1.6998694385012501</v>
      </c>
      <c r="P8" t="s">
        <v>15</v>
      </c>
      <c r="Q8">
        <v>27</v>
      </c>
      <c r="R8" t="s">
        <v>15</v>
      </c>
      <c r="S8" s="3">
        <f>1000000*K8*(Log!$M$3/(1+Log!$M$3))/(1-1/(1+Log!$M$3)^Q8)</f>
        <v>90050.518026034784</v>
      </c>
    </row>
    <row r="9" spans="1:19" x14ac:dyDescent="0.25">
      <c r="B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3" sqref="D3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4" bestFit="1" customWidth="1"/>
    <col min="4" max="4" width="18.42578125" bestFit="1" customWidth="1"/>
    <col min="5" max="5" width="10.7109375" bestFit="1" customWidth="1"/>
    <col min="6" max="6" width="12.4257812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9" bestFit="1" customWidth="1"/>
    <col min="13" max="13" width="8.4257812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80</v>
      </c>
      <c r="F1" s="4" t="s">
        <v>81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9</v>
      </c>
      <c r="B2">
        <v>32700</v>
      </c>
      <c r="C2" t="s">
        <v>9</v>
      </c>
      <c r="D2">
        <v>1.9617378029999999</v>
      </c>
      <c r="E2" t="s">
        <v>9</v>
      </c>
      <c r="F2">
        <v>1.0117112880000001</v>
      </c>
      <c r="G2" t="s">
        <v>9</v>
      </c>
      <c r="H2" t="s">
        <v>54</v>
      </c>
      <c r="I2">
        <f>1/F2</f>
        <v>0.98842427860704063</v>
      </c>
      <c r="J2" t="s">
        <v>9</v>
      </c>
      <c r="K2" s="2">
        <v>0.71461534299999996</v>
      </c>
      <c r="L2" t="s">
        <v>12</v>
      </c>
      <c r="M2">
        <f>-1/F3</f>
        <v>-0.2857142857142857</v>
      </c>
      <c r="N2" t="s">
        <v>11</v>
      </c>
      <c r="O2">
        <f>1316/8760</f>
        <v>0.15022831050228311</v>
      </c>
      <c r="P2" t="s">
        <v>9</v>
      </c>
      <c r="Q2">
        <v>25</v>
      </c>
      <c r="R2" t="s">
        <v>9</v>
      </c>
      <c r="S2" s="3">
        <f>1000000*K2*(Log!$M$3/(1+Log!$M$3))/(1-1/(1+Log!$M$3)^Q2)</f>
        <v>39843.531806200088</v>
      </c>
    </row>
    <row r="3" spans="1:19" x14ac:dyDescent="0.25">
      <c r="A3" t="s">
        <v>12</v>
      </c>
      <c r="B3">
        <v>2000</v>
      </c>
      <c r="C3" t="s">
        <v>12</v>
      </c>
      <c r="D3">
        <v>1.69</v>
      </c>
      <c r="E3" t="s">
        <v>12</v>
      </c>
      <c r="F3">
        <v>3.5</v>
      </c>
      <c r="G3" t="s">
        <v>10</v>
      </c>
      <c r="H3" t="s">
        <v>53</v>
      </c>
      <c r="I3">
        <f>1/F4</f>
        <v>0.95238095238095233</v>
      </c>
      <c r="J3" t="s">
        <v>12</v>
      </c>
      <c r="K3" s="2">
        <v>0.85624674099999998</v>
      </c>
      <c r="P3" t="s">
        <v>12</v>
      </c>
      <c r="Q3">
        <v>25</v>
      </c>
      <c r="R3" t="s">
        <v>12</v>
      </c>
      <c r="S3" s="3">
        <f>1000000*K3*(Log!$M$3/(1+Log!$M$3))/(1-1/(1+Log!$M$3)^Q3)</f>
        <v>47740.220795943176</v>
      </c>
    </row>
    <row r="4" spans="1:19" x14ac:dyDescent="0.25">
      <c r="A4" t="s">
        <v>10</v>
      </c>
      <c r="B4">
        <v>1950</v>
      </c>
      <c r="C4" t="s">
        <v>10</v>
      </c>
      <c r="D4">
        <v>1.1000000000000001</v>
      </c>
      <c r="E4" t="s">
        <v>10</v>
      </c>
      <c r="F4">
        <v>1.05</v>
      </c>
      <c r="J4" t="s">
        <v>10</v>
      </c>
      <c r="K4" s="2">
        <v>0.06</v>
      </c>
      <c r="P4" t="s">
        <v>10</v>
      </c>
      <c r="Q4">
        <v>25</v>
      </c>
      <c r="R4" t="s">
        <v>10</v>
      </c>
      <c r="S4" s="3">
        <f>1000000*K4*(Log!$M$3/(1+Log!$M$3))/(1-1/(1+Log!$M$3)^Q4)</f>
        <v>3345.3128760656982</v>
      </c>
    </row>
    <row r="5" spans="1:19" x14ac:dyDescent="0.25">
      <c r="A5" t="s">
        <v>11</v>
      </c>
      <c r="B5">
        <v>60.808500000000002</v>
      </c>
      <c r="C5" t="s">
        <v>11</v>
      </c>
      <c r="D5">
        <v>0.21</v>
      </c>
      <c r="J5" t="s">
        <v>11</v>
      </c>
      <c r="K5" s="2">
        <v>0.30565490714285698</v>
      </c>
      <c r="P5" t="s">
        <v>11</v>
      </c>
      <c r="Q5">
        <v>30</v>
      </c>
      <c r="R5" t="s">
        <v>11</v>
      </c>
      <c r="S5" s="3">
        <f>1000000*K5*(Log!$M$3/(1+Log!$M$3))/(1-1/(1+Log!$M$3)^Q5)</f>
        <v>15140.084436921501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8.42578125" bestFit="1" customWidth="1"/>
    <col min="5" max="5" width="11.28515625" bestFit="1" customWidth="1"/>
    <col min="6" max="6" width="11.8554687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17.5703125" bestFit="1" customWidth="1"/>
    <col min="13" max="13" width="25.5703125" bestFit="1" customWidth="1"/>
    <col min="14" max="14" width="17.5703125" bestFit="1" customWidth="1"/>
    <col min="15" max="15" width="25.5703125" bestFit="1" customWidth="1"/>
  </cols>
  <sheetData>
    <row r="1" spans="1:15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72</v>
      </c>
      <c r="M1" s="4" t="s">
        <v>73</v>
      </c>
      <c r="N1" s="4" t="s">
        <v>75</v>
      </c>
      <c r="O1" s="4" t="s">
        <v>77</v>
      </c>
    </row>
    <row r="2" spans="1:15" x14ac:dyDescent="0.25">
      <c r="A2" t="s">
        <v>5</v>
      </c>
      <c r="B2" s="3">
        <f>88*1000</f>
        <v>88000</v>
      </c>
      <c r="C2" t="s">
        <v>5</v>
      </c>
      <c r="D2">
        <v>2</v>
      </c>
      <c r="E2" t="s">
        <v>5</v>
      </c>
      <c r="F2">
        <v>0.5</v>
      </c>
      <c r="G2" t="s">
        <v>5</v>
      </c>
      <c r="H2" t="s">
        <v>52</v>
      </c>
      <c r="I2">
        <f>1/F2</f>
        <v>2</v>
      </c>
      <c r="J2" t="s">
        <v>5</v>
      </c>
      <c r="K2">
        <v>2</v>
      </c>
      <c r="L2" t="s">
        <v>5</v>
      </c>
      <c r="M2">
        <v>25</v>
      </c>
      <c r="N2" t="s">
        <v>5</v>
      </c>
      <c r="O2" s="3">
        <f>1000000*K2*(Log!$M$3/(1+Log!$M$3))/(1-1/(1+Log!$M$3)^M2)</f>
        <v>111510.42920218995</v>
      </c>
    </row>
    <row r="3" spans="1:15" x14ac:dyDescent="0.25">
      <c r="A3" t="s">
        <v>6</v>
      </c>
      <c r="B3" s="3">
        <f>30*1000</f>
        <v>30000</v>
      </c>
      <c r="C3" t="s">
        <v>6</v>
      </c>
      <c r="D3">
        <v>2</v>
      </c>
      <c r="E3" t="s">
        <v>6</v>
      </c>
      <c r="F3">
        <v>0.6</v>
      </c>
      <c r="G3" t="s">
        <v>6</v>
      </c>
      <c r="H3" t="s">
        <v>53</v>
      </c>
      <c r="I3">
        <f t="shared" ref="I3:I4" si="0">1/F3</f>
        <v>1.6666666666666667</v>
      </c>
      <c r="J3" t="s">
        <v>6</v>
      </c>
      <c r="K3">
        <v>1</v>
      </c>
      <c r="L3" t="s">
        <v>6</v>
      </c>
      <c r="M3">
        <v>25</v>
      </c>
      <c r="N3" t="s">
        <v>6</v>
      </c>
      <c r="O3" s="3">
        <f>1000000*K3*(Log!$M$3/(1+Log!$M$3))/(1-1/(1+Log!$M$3)^M3)</f>
        <v>55755.214601094973</v>
      </c>
    </row>
    <row r="4" spans="1:15" x14ac:dyDescent="0.25">
      <c r="A4" t="s">
        <v>7</v>
      </c>
      <c r="B4" s="3">
        <f>10*1000</f>
        <v>10000</v>
      </c>
      <c r="C4" t="s">
        <v>7</v>
      </c>
      <c r="D4">
        <v>3</v>
      </c>
      <c r="E4" t="s">
        <v>7</v>
      </c>
      <c r="F4">
        <v>0.5</v>
      </c>
      <c r="G4" t="s">
        <v>7</v>
      </c>
      <c r="H4" t="s">
        <v>56</v>
      </c>
      <c r="I4">
        <f t="shared" si="0"/>
        <v>2</v>
      </c>
      <c r="J4" t="s">
        <v>7</v>
      </c>
      <c r="K4">
        <v>2.5</v>
      </c>
      <c r="L4" t="s">
        <v>7</v>
      </c>
      <c r="M4">
        <v>30</v>
      </c>
      <c r="N4" t="s">
        <v>7</v>
      </c>
      <c r="O4" s="3">
        <f>1000000*K4*(Log!$M$3/(1+Log!$M$3))/(1-1/(1+Log!$M$3)^M4)</f>
        <v>123833.15368993349</v>
      </c>
    </row>
    <row r="5" spans="1:15" x14ac:dyDescent="0.25">
      <c r="B5" s="1"/>
    </row>
    <row r="6" spans="1:15" x14ac:dyDescent="0.25">
      <c r="B6" s="1"/>
    </row>
    <row r="7" spans="1:15" x14ac:dyDescent="0.2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TechRaw_Storage_H</vt:lpstr>
      <vt:lpstr>TechRaw_Storage_E</vt:lpstr>
      <vt:lpstr>TechRaw_ENS_E</vt:lpstr>
      <vt:lpstr>TechRaw_ENS_H</vt:lpstr>
      <vt:lpstr>TechRaw_IEA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2022-08-31T13:05:56Z</dcterms:created>
  <dcterms:modified xsi:type="dcterms:W3CDTF">2022-10-27T14:29:00Z</dcterms:modified>
</cp:coreProperties>
</file>