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Misc\Data\"/>
    </mc:Choice>
  </mc:AlternateContent>
  <bookViews>
    <workbookView xWindow="0" yWindow="0" windowWidth="38400" windowHeight="17700" activeTab="5"/>
  </bookViews>
  <sheets>
    <sheet name="Log" sheetId="2" r:id="rId1"/>
    <sheet name="Fundamentals" sheetId="17" r:id="rId2"/>
    <sheet name="LoadVariables" sheetId="18" r:id="rId3"/>
    <sheet name="LoadMaps" sheetId="19" r:id="rId4"/>
    <sheet name="TransmissionLines" sheetId="20" r:id="rId5"/>
    <sheet name="GeneratorsVariables" sheetId="16" r:id="rId6"/>
    <sheet name="GeneratorsMaps" sheetId="12" r:id="rId7"/>
    <sheet name="StorageVariables" sheetId="24" r:id="rId8"/>
    <sheet name="StorageMaps" sheetId="25" r:id="rId9"/>
    <sheet name="Scalars" sheetId="23" r:id="rId10"/>
  </sheets>
  <externalReferences>
    <externalReference r:id="rId11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4" l="1"/>
  <c r="P2" i="24" l="1"/>
  <c r="L2" i="24"/>
  <c r="F2" i="24"/>
  <c r="O5" i="16" l="1"/>
  <c r="M11" i="16"/>
  <c r="M10" i="16"/>
  <c r="M9" i="16"/>
  <c r="M8" i="16"/>
  <c r="K11" i="16"/>
  <c r="K10" i="16"/>
  <c r="K9" i="16"/>
  <c r="K8" i="16"/>
  <c r="C8" i="16"/>
  <c r="C7" i="16"/>
  <c r="M7" i="16"/>
  <c r="M6" i="16"/>
  <c r="M5" i="16"/>
  <c r="K7" i="16"/>
  <c r="K6" i="16"/>
  <c r="K5" i="16"/>
  <c r="C6" i="16"/>
  <c r="C5" i="16"/>
  <c r="K4" i="16" l="1"/>
  <c r="K3" i="16" l="1"/>
  <c r="K2" i="16"/>
  <c r="M4" i="16"/>
  <c r="M3" i="16"/>
  <c r="M2" i="16"/>
  <c r="C4" i="16"/>
  <c r="C3" i="16"/>
  <c r="C2" i="16" l="1"/>
</calcChain>
</file>

<file path=xl/sharedStrings.xml><?xml version="1.0" encoding="utf-8"?>
<sst xmlns="http://schemas.openxmlformats.org/spreadsheetml/2006/main" count="304" uniqueCount="134">
  <si>
    <t>Coal</t>
  </si>
  <si>
    <t>NatGas</t>
  </si>
  <si>
    <t>UNITS</t>
  </si>
  <si>
    <t>GeneratingCapacity</t>
  </si>
  <si>
    <t>OtherMC</t>
  </si>
  <si>
    <t>OtherMC/id</t>
  </si>
  <si>
    <t>OtherMC/OtherMC</t>
  </si>
  <si>
    <t>id2tech/id</t>
  </si>
  <si>
    <t>id2tech/tech</t>
  </si>
  <si>
    <t>Standard</t>
  </si>
  <si>
    <t>FuelMix</t>
  </si>
  <si>
    <t>GJ</t>
  </si>
  <si>
    <t>EUR/GJ output</t>
  </si>
  <si>
    <t>GJ input / GJ output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</si>
  <si>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</si>
  <si>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</si>
  <si>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</si>
  <si>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</si>
  <si>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</si>
  <si>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</si>
  <si>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</si>
  <si>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g1</t>
  </si>
  <si>
    <t>id2g/id</t>
  </si>
  <si>
    <t>id2g/g</t>
  </si>
  <si>
    <t>FuelMix/id</t>
  </si>
  <si>
    <t>FuelMix/BFt</t>
  </si>
  <si>
    <t>FuelMix/FuelMix</t>
  </si>
  <si>
    <t>E2H/id</t>
  </si>
  <si>
    <t>E2H/E2H</t>
  </si>
  <si>
    <t>01 Coal CHP</t>
  </si>
  <si>
    <t>ID</t>
  </si>
  <si>
    <t>05 Gas turb. CC, Back-pressure</t>
  </si>
  <si>
    <t>Sheet in technology data (2020)</t>
  </si>
  <si>
    <t>09b Wood Pellets, Medium</t>
  </si>
  <si>
    <t>InvestCost/tech</t>
  </si>
  <si>
    <t>BP_Coal</t>
  </si>
  <si>
    <t>BP_NatGas</t>
  </si>
  <si>
    <t>BP_BioMass</t>
  </si>
  <si>
    <t>InvestCost/InvestCost</t>
  </si>
  <si>
    <t>InvestCost</t>
  </si>
  <si>
    <t xml:space="preserve">Million EUR / (GJ/h generating capacity) </t>
  </si>
  <si>
    <t>BP</t>
  </si>
  <si>
    <t>g1_BP_Coal</t>
  </si>
  <si>
    <t>g1_BP_NatGas</t>
  </si>
  <si>
    <t>g1_BP_BioMass</t>
  </si>
  <si>
    <t>g1_CD_Coal</t>
  </si>
  <si>
    <t>Coal Fired Power Plants</t>
  </si>
  <si>
    <t>g1_CD_NatGas</t>
  </si>
  <si>
    <t>Gas Fired Power Plants</t>
  </si>
  <si>
    <t>g1_WS</t>
  </si>
  <si>
    <t>21 Offshore turbines</t>
  </si>
  <si>
    <t>g1_PV</t>
  </si>
  <si>
    <t>22 Utility-scale PV</t>
  </si>
  <si>
    <t>Sheet in IEA technology data</t>
  </si>
  <si>
    <t>CD_Coal</t>
  </si>
  <si>
    <t>CD_NatGas</t>
  </si>
  <si>
    <t>WS</t>
  </si>
  <si>
    <t>g1_BH_BioMass</t>
  </si>
  <si>
    <t>09b Wood Pellets HOP</t>
  </si>
  <si>
    <t>g1_BH_NatGas</t>
  </si>
  <si>
    <t>44 Natural Gas DH Only</t>
  </si>
  <si>
    <t>g1_SH</t>
  </si>
  <si>
    <t>46 Solar District Heating</t>
  </si>
  <si>
    <t>g1_HP</t>
  </si>
  <si>
    <t>40 Comp. hp, airsource 10 MW</t>
  </si>
  <si>
    <t>BH_BioMass</t>
  </si>
  <si>
    <t>BH_NatGas</t>
  </si>
  <si>
    <t>SH</t>
  </si>
  <si>
    <t>HP</t>
  </si>
  <si>
    <t>FuelPrice/BFt</t>
  </si>
  <si>
    <t>FuelPrice/FuelPrice</t>
  </si>
  <si>
    <t>EmissionIntensity/BFt</t>
  </si>
  <si>
    <t>EmissionIntensity/EmissionType</t>
  </si>
  <si>
    <t>EmissionIntensity/EmissionIntensity</t>
  </si>
  <si>
    <t>EmissionTax/EmissionType</t>
  </si>
  <si>
    <t>EmissionTax/EmissionTax</t>
  </si>
  <si>
    <t>CO2</t>
  </si>
  <si>
    <t>FuelPrice</t>
  </si>
  <si>
    <t>EUR/GJ</t>
  </si>
  <si>
    <t>EmissionIntensity</t>
  </si>
  <si>
    <t>T CO2/GJ</t>
  </si>
  <si>
    <t>KG SO2/GJ</t>
  </si>
  <si>
    <t>EmissionTax</t>
  </si>
  <si>
    <t>EUR/TCO2</t>
  </si>
  <si>
    <t>EUR/KGSO2</t>
  </si>
  <si>
    <t>c1</t>
  </si>
  <si>
    <t>Load</t>
  </si>
  <si>
    <t>lineCapacity/g</t>
  </si>
  <si>
    <t>lineCapacity/g_alias</t>
  </si>
  <si>
    <t>lineCapacity/lineCapacity</t>
  </si>
  <si>
    <t>lineMC/g</t>
  </si>
  <si>
    <t>lineMC/g_alias</t>
  </si>
  <si>
    <t>lineMC/lineMC</t>
  </si>
  <si>
    <t>lineFOM/g</t>
  </si>
  <si>
    <t>lineFOM/g_alias</t>
  </si>
  <si>
    <t>lineFOM/lineFOM</t>
  </si>
  <si>
    <t>lineCapacity</t>
  </si>
  <si>
    <t>GJ/h</t>
  </si>
  <si>
    <t>lineMC</t>
  </si>
  <si>
    <t>lineFOM</t>
  </si>
  <si>
    <t>( 1000 EUR / (GJ/h lineCapacity)  )/ year</t>
  </si>
  <si>
    <t>lineLoss</t>
  </si>
  <si>
    <t>tech2modelTech/tech</t>
  </si>
  <si>
    <t>tech2modelTech/modelTech</t>
  </si>
  <si>
    <t>standard_E</t>
  </si>
  <si>
    <t>standard_H</t>
  </si>
  <si>
    <t>GeneratingCap_E/id</t>
  </si>
  <si>
    <t>GeneratingCap_E/GeneratingCap_E</t>
  </si>
  <si>
    <t>GeneratingCap_H/GeneratingCap_H</t>
  </si>
  <si>
    <t>GeneratingCap_H/id</t>
  </si>
  <si>
    <t>MWP_LoadShedding_E</t>
  </si>
  <si>
    <t>MWP_LoadShedding_H</t>
  </si>
  <si>
    <t>Load_E/c_E</t>
  </si>
  <si>
    <t>Load_E/Load_E</t>
  </si>
  <si>
    <t>Load_H/c_H</t>
  </si>
  <si>
    <t>Load_H/Load_H</t>
  </si>
  <si>
    <t>c_E2g/c_E</t>
  </si>
  <si>
    <t>c_E2g/g</t>
  </si>
  <si>
    <t>c_H2g/c_H</t>
  </si>
  <si>
    <t>c_H2g/g</t>
  </si>
  <si>
    <t>g1_HS</t>
  </si>
  <si>
    <t>141 Large hot water tank</t>
  </si>
  <si>
    <t>Sheet in technology data, storage (2020)</t>
  </si>
  <si>
    <t>chargeCap_H/id</t>
  </si>
  <si>
    <t>chargeCap_H/chargeCap_H</t>
  </si>
  <si>
    <t>sCap/id</t>
  </si>
  <si>
    <t>sCap/sCap</t>
  </si>
  <si>
    <t>effC/id</t>
  </si>
  <si>
    <t>effC/effC</t>
  </si>
  <si>
    <t>effD/id</t>
  </si>
  <si>
    <t>effD/effD</t>
  </si>
  <si>
    <t>selfDischarge/id</t>
  </si>
  <si>
    <t>selfDischarge/selfDischarge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</si>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</sst>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0_-;\-* #,##0.00000_-;_-* &quot;-&quot;??_-;_-@_-"/>
    <numFmt numFmtId="165" formatCode="_-* #,##0.000_-;\-* #,##0.00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43" fontId="0" fillId="0" borderId="0" xfId="1" applyFont="1"/>
    <xf numFmtId="0" fontId="3" fillId="0" borderId="0" xfId="2"/>
    <xf numFmtId="2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xj477/Documents/GitHub/EnergyEconomicsE2022/Data/E4_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HS_Variables"/>
      <sheetName val="HS_Maps"/>
    </sheetNames>
    <sheetDataSet>
      <sheetData sheetId="0">
        <row r="7">
          <cell r="B7">
            <v>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ea-etsap.org/E-TechDS/PDF/E02-gas_fired_power-GS-AD-gct_FINAL.pdf" TargetMode="External"/><Relationship Id="rId2" Type="http://schemas.openxmlformats.org/officeDocument/2006/relationships/hyperlink" Target="https://iea-etsap.org/E-TechDS/PDF/E01-coal-fired-power-GS-AD-gct_FINAL.pdf" TargetMode="External"/><Relationship Id="rId1" Type="http://schemas.openxmlformats.org/officeDocument/2006/relationships/hyperlink" Target="TechnologyCatalogue.xls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TechnologyCatalogue_Storage.xls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B26" sqref="B26"/>
    </sheetView>
  </sheetViews>
  <sheetFormatPr defaultRowHeight="15" x14ac:dyDescent="0.25"/>
  <cols>
    <col min="1" max="1" width="19.85546875" bestFit="1" customWidth="1"/>
    <col min="2" max="2" width="65.85546875" bestFit="1" customWidth="1"/>
    <col min="3" max="3" width="65.85546875" customWidth="1"/>
  </cols>
  <sheetData>
    <row r="1" spans="1:2" x14ac:dyDescent="0.25">
      <c r="A1" s="1" t="s">
        <v>2</v>
      </c>
    </row>
    <row r="2" spans="1:2" x14ac:dyDescent="0.25">
      <c r="A2" t="s">
        <v>77</v>
      </c>
      <c r="B2" t="s">
        <v>78</v>
      </c>
    </row>
    <row r="3" spans="1:2" x14ac:dyDescent="0.25">
      <c r="A3" t="s">
        <v>79</v>
      </c>
      <c r="B3" t="s">
        <v>80</v>
      </c>
    </row>
    <row r="4" spans="1:2" x14ac:dyDescent="0.25">
      <c r="A4" t="s">
        <v>79</v>
      </c>
      <c r="B4" t="s">
        <v>81</v>
      </c>
    </row>
    <row r="5" spans="1:2" x14ac:dyDescent="0.25">
      <c r="A5" t="s">
        <v>82</v>
      </c>
      <c r="B5" t="s">
        <v>83</v>
      </c>
    </row>
    <row r="6" spans="1:2" x14ac:dyDescent="0.25">
      <c r="A6" t="s">
        <v>82</v>
      </c>
      <c r="B6" t="s">
        <v>84</v>
      </c>
    </row>
    <row r="7" spans="1:2" x14ac:dyDescent="0.25">
      <c r="A7" t="s">
        <v>86</v>
      </c>
      <c r="B7" t="s">
        <v>11</v>
      </c>
    </row>
    <row r="8" spans="1:2" x14ac:dyDescent="0.25">
      <c r="A8" t="s">
        <v>96</v>
      </c>
      <c r="B8" t="s">
        <v>97</v>
      </c>
    </row>
    <row r="9" spans="1:2" x14ac:dyDescent="0.25">
      <c r="A9" t="s">
        <v>98</v>
      </c>
      <c r="B9" t="s">
        <v>78</v>
      </c>
    </row>
    <row r="10" spans="1:2" x14ac:dyDescent="0.25">
      <c r="A10" t="s">
        <v>99</v>
      </c>
      <c r="B10" t="s">
        <v>100</v>
      </c>
    </row>
    <row r="11" spans="1:2" x14ac:dyDescent="0.25">
      <c r="A11" t="s">
        <v>10</v>
      </c>
      <c r="B11" t="s">
        <v>13</v>
      </c>
    </row>
    <row r="12" spans="1:2" x14ac:dyDescent="0.25">
      <c r="A12" t="s">
        <v>3</v>
      </c>
      <c r="B12" t="s">
        <v>11</v>
      </c>
    </row>
    <row r="13" spans="1:2" x14ac:dyDescent="0.25">
      <c r="A13" t="s">
        <v>4</v>
      </c>
      <c r="B13" t="s">
        <v>12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39</v>
      </c>
      <c r="B15" t="s">
        <v>40</v>
      </c>
    </row>
    <row r="17" spans="1:4" x14ac:dyDescent="0.25">
      <c r="A17" s="1" t="s">
        <v>30</v>
      </c>
      <c r="B17" s="3" t="s">
        <v>32</v>
      </c>
      <c r="C17" s="3" t="s">
        <v>122</v>
      </c>
      <c r="D17" t="s">
        <v>53</v>
      </c>
    </row>
    <row r="18" spans="1:4" x14ac:dyDescent="0.25">
      <c r="A18" t="s">
        <v>42</v>
      </c>
      <c r="B18" t="s">
        <v>29</v>
      </c>
    </row>
    <row r="19" spans="1:4" x14ac:dyDescent="0.25">
      <c r="A19" t="s">
        <v>43</v>
      </c>
      <c r="B19" t="s">
        <v>31</v>
      </c>
    </row>
    <row r="20" spans="1:4" x14ac:dyDescent="0.25">
      <c r="A20" t="s">
        <v>44</v>
      </c>
      <c r="B20" t="s">
        <v>33</v>
      </c>
    </row>
    <row r="21" spans="1:4" x14ac:dyDescent="0.25">
      <c r="A21" t="s">
        <v>45</v>
      </c>
      <c r="D21" s="3" t="s">
        <v>46</v>
      </c>
    </row>
    <row r="22" spans="1:4" x14ac:dyDescent="0.25">
      <c r="A22" t="s">
        <v>47</v>
      </c>
      <c r="D22" s="3" t="s">
        <v>48</v>
      </c>
    </row>
    <row r="23" spans="1:4" x14ac:dyDescent="0.25">
      <c r="A23" t="s">
        <v>49</v>
      </c>
      <c r="B23" t="s">
        <v>50</v>
      </c>
    </row>
    <row r="24" spans="1:4" x14ac:dyDescent="0.25">
      <c r="A24" t="s">
        <v>51</v>
      </c>
      <c r="B24" t="s">
        <v>52</v>
      </c>
    </row>
    <row r="25" spans="1:4" x14ac:dyDescent="0.25">
      <c r="A25" t="s">
        <v>57</v>
      </c>
      <c r="B25" t="s">
        <v>58</v>
      </c>
      <c r="D25" s="3"/>
    </row>
    <row r="26" spans="1:4" x14ac:dyDescent="0.25">
      <c r="A26" t="s">
        <v>59</v>
      </c>
      <c r="B26" t="s">
        <v>60</v>
      </c>
      <c r="D26" s="3"/>
    </row>
    <row r="27" spans="1:4" x14ac:dyDescent="0.25">
      <c r="A27" t="s">
        <v>61</v>
      </c>
      <c r="B27" t="s">
        <v>62</v>
      </c>
    </row>
    <row r="28" spans="1:4" x14ac:dyDescent="0.25">
      <c r="A28" t="s">
        <v>63</v>
      </c>
      <c r="B28" t="s">
        <v>64</v>
      </c>
    </row>
    <row r="29" spans="1:4" x14ac:dyDescent="0.25">
      <c r="A29" t="s">
        <v>120</v>
      </c>
      <c r="C29" t="s">
        <v>121</v>
      </c>
    </row>
  </sheetData>
  <hyperlinks>
    <hyperlink ref="B17" r:id="rId1"/>
    <hyperlink ref="D21" r:id="rId2" display="https://iea-etsap.org/E-TechDS/PDF/E01-coal-fired-power-GS-AD-gct_FINAL.pdf"/>
    <hyperlink ref="D22" r:id="rId3" display="https://iea-etsap.org/E-TechDS/PDF/E02-gas_fired_power-GS-AD-gct_FINAL.pdf"/>
    <hyperlink ref="C17" r:id="rId4" display="Sheet in technology data (2020)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21.5703125" bestFit="1" customWidth="1"/>
  </cols>
  <sheetData>
    <row r="1" spans="1:2" x14ac:dyDescent="0.25">
      <c r="A1" t="s">
        <v>110</v>
      </c>
      <c r="B1">
        <v>50</v>
      </c>
    </row>
    <row r="2" spans="1:2" x14ac:dyDescent="0.25">
      <c r="A2" t="s">
        <v>111</v>
      </c>
      <c r="B2">
        <v>50</v>
      </c>
    </row>
    <row r="3" spans="1:2" x14ac:dyDescent="0.25">
      <c r="A3" t="s">
        <v>101</v>
      </c>
      <c r="B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8" sqref="C8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42578125" bestFit="1" customWidth="1"/>
    <col min="5" max="5" width="34.140625" bestFit="1" customWidth="1"/>
    <col min="6" max="6" width="25.28515625" bestFit="1" customWidth="1"/>
    <col min="7" max="7" width="24" bestFit="1" customWidth="1"/>
  </cols>
  <sheetData>
    <row r="1" spans="1:7" x14ac:dyDescent="0.25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</row>
    <row r="2" spans="1:7" x14ac:dyDescent="0.25">
      <c r="A2" t="s">
        <v>0</v>
      </c>
      <c r="B2" s="4">
        <v>2.3624622108362896</v>
      </c>
      <c r="C2" t="s">
        <v>0</v>
      </c>
      <c r="D2" t="s">
        <v>76</v>
      </c>
      <c r="E2">
        <v>9.4370000000000009E-2</v>
      </c>
      <c r="F2" t="s">
        <v>76</v>
      </c>
      <c r="G2">
        <v>0</v>
      </c>
    </row>
    <row r="3" spans="1:7" x14ac:dyDescent="0.25">
      <c r="A3" t="s">
        <v>1</v>
      </c>
      <c r="B3" s="4">
        <v>5.0462416510206998</v>
      </c>
      <c r="C3" t="s">
        <v>1</v>
      </c>
      <c r="D3" t="s">
        <v>76</v>
      </c>
      <c r="E3">
        <v>5.7000000000000002E-2</v>
      </c>
    </row>
    <row r="4" spans="1:7" x14ac:dyDescent="0.25">
      <c r="A4" t="s">
        <v>14</v>
      </c>
      <c r="B4" s="4">
        <v>10.335570469798657</v>
      </c>
      <c r="C4" t="s">
        <v>14</v>
      </c>
      <c r="D4" t="s">
        <v>76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" sqref="C1"/>
    </sheetView>
  </sheetViews>
  <sheetFormatPr defaultRowHeight="15" x14ac:dyDescent="0.25"/>
  <cols>
    <col min="2" max="2" width="14.28515625" bestFit="1" customWidth="1"/>
    <col min="4" max="4" width="14.85546875" bestFit="1" customWidth="1"/>
  </cols>
  <sheetData>
    <row r="1" spans="1:4" x14ac:dyDescent="0.25">
      <c r="A1" s="1" t="s">
        <v>112</v>
      </c>
      <c r="B1" s="1" t="s">
        <v>113</v>
      </c>
      <c r="C1" s="1" t="s">
        <v>114</v>
      </c>
      <c r="D1" s="1" t="s">
        <v>115</v>
      </c>
    </row>
    <row r="2" spans="1:4" x14ac:dyDescent="0.25">
      <c r="A2" t="s">
        <v>85</v>
      </c>
      <c r="B2">
        <v>100</v>
      </c>
      <c r="C2" t="s">
        <v>85</v>
      </c>
      <c r="D2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R28" sqref="R28"/>
    </sheetView>
  </sheetViews>
  <sheetFormatPr defaultRowHeight="15" x14ac:dyDescent="0.25"/>
  <cols>
    <col min="1" max="1" width="9.5703125" bestFit="1" customWidth="1"/>
  </cols>
  <sheetData>
    <row r="1" spans="1:4" x14ac:dyDescent="0.25">
      <c r="A1" s="1" t="s">
        <v>116</v>
      </c>
      <c r="B1" s="1" t="s">
        <v>117</v>
      </c>
      <c r="C1" s="1" t="s">
        <v>118</v>
      </c>
      <c r="D1" s="1" t="s">
        <v>119</v>
      </c>
    </row>
    <row r="2" spans="1:4" x14ac:dyDescent="0.25">
      <c r="A2" t="s">
        <v>85</v>
      </c>
      <c r="B2" t="s">
        <v>21</v>
      </c>
      <c r="C2" t="s">
        <v>85</v>
      </c>
      <c r="D2" t="s">
        <v>21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RowHeight="15" x14ac:dyDescent="0.25"/>
  <sheetData>
    <row r="1" spans="1:9" x14ac:dyDescent="0.25">
      <c r="A1" s="1" t="s">
        <v>87</v>
      </c>
      <c r="B1" s="1" t="s">
        <v>88</v>
      </c>
      <c r="C1" s="1" t="s">
        <v>89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  <c r="I1" s="1" t="s">
        <v>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zoomScale="115" zoomScaleNormal="115" workbookViewId="0">
      <selection activeCell="I10" sqref="I10"/>
    </sheetView>
  </sheetViews>
  <sheetFormatPr defaultRowHeight="15" x14ac:dyDescent="0.25"/>
  <cols>
    <col min="1" max="1" width="14.7109375" bestFit="1" customWidth="1"/>
    <col min="2" max="2" width="11.85546875" bestFit="1" customWidth="1"/>
    <col min="3" max="3" width="16.5703125" bestFit="1" customWidth="1"/>
    <col min="4" max="4" width="18.140625" bestFit="1" customWidth="1"/>
    <col min="5" max="5" width="31.140625" bestFit="1" customWidth="1"/>
    <col min="6" max="6" width="21.140625" bestFit="1" customWidth="1"/>
    <col min="7" max="7" width="37.28515625" bestFit="1" customWidth="1"/>
    <col min="8" max="8" width="14.7109375" bestFit="1" customWidth="1"/>
    <col min="9" max="9" width="18.140625" bestFit="1" customWidth="1"/>
    <col min="10" max="10" width="14.7109375" bestFit="1" customWidth="1"/>
    <col min="11" max="11" width="10.5703125" bestFit="1" customWidth="1"/>
    <col min="12" max="12" width="15.140625" bestFit="1" customWidth="1"/>
    <col min="13" max="13" width="20.7109375" bestFit="1" customWidth="1"/>
    <col min="14" max="14" width="14.7109375" bestFit="1" customWidth="1"/>
    <col min="15" max="15" width="8.42578125" bestFit="1" customWidth="1"/>
  </cols>
  <sheetData>
    <row r="1" spans="1:15" x14ac:dyDescent="0.25">
      <c r="A1" s="1" t="s">
        <v>24</v>
      </c>
      <c r="B1" s="1" t="s">
        <v>25</v>
      </c>
      <c r="C1" s="1" t="s">
        <v>26</v>
      </c>
      <c r="D1" s="1" t="s">
        <v>106</v>
      </c>
      <c r="E1" s="1" t="s">
        <v>107</v>
      </c>
      <c r="F1" s="1" t="s">
        <v>109</v>
      </c>
      <c r="G1" s="1" t="s">
        <v>108</v>
      </c>
      <c r="H1" s="1" t="s">
        <v>5</v>
      </c>
      <c r="I1" s="1" t="s">
        <v>6</v>
      </c>
      <c r="J1" s="1" t="s">
        <v>17</v>
      </c>
      <c r="K1" s="1" t="s">
        <v>18</v>
      </c>
      <c r="L1" s="1" t="s">
        <v>34</v>
      </c>
      <c r="M1" s="1" t="s">
        <v>38</v>
      </c>
      <c r="N1" s="1" t="s">
        <v>27</v>
      </c>
      <c r="O1" s="1" t="s">
        <v>28</v>
      </c>
    </row>
    <row r="2" spans="1:15" x14ac:dyDescent="0.25">
      <c r="A2" t="s">
        <v>42</v>
      </c>
      <c r="B2" t="s">
        <v>0</v>
      </c>
      <c r="C2">
        <f>1/0.49</f>
        <v>2.0408163265306123</v>
      </c>
      <c r="D2" t="s">
        <v>42</v>
      </c>
      <c r="E2">
        <v>0</v>
      </c>
      <c r="F2" t="s">
        <v>57</v>
      </c>
      <c r="G2">
        <v>55</v>
      </c>
      <c r="H2" t="s">
        <v>42</v>
      </c>
      <c r="I2">
        <v>2.9</v>
      </c>
      <c r="J2" t="s">
        <v>42</v>
      </c>
      <c r="K2" s="2">
        <f>31000/(3.6*1000)</f>
        <v>8.6111111111111107</v>
      </c>
      <c r="L2" t="s">
        <v>35</v>
      </c>
      <c r="M2" s="2">
        <f>1.9/3.6</f>
        <v>0.52777777777777779</v>
      </c>
      <c r="N2" t="s">
        <v>42</v>
      </c>
      <c r="O2">
        <v>0.84</v>
      </c>
    </row>
    <row r="3" spans="1:15" x14ac:dyDescent="0.25">
      <c r="A3" t="s">
        <v>43</v>
      </c>
      <c r="B3" t="s">
        <v>1</v>
      </c>
      <c r="C3">
        <f>1/0.51</f>
        <v>1.9607843137254901</v>
      </c>
      <c r="D3" t="s">
        <v>43</v>
      </c>
      <c r="E3">
        <v>0</v>
      </c>
      <c r="F3" t="s">
        <v>59</v>
      </c>
      <c r="G3">
        <v>55</v>
      </c>
      <c r="H3" t="s">
        <v>43</v>
      </c>
      <c r="I3">
        <v>4.4000000000000004</v>
      </c>
      <c r="J3" t="s">
        <v>43</v>
      </c>
      <c r="K3" s="2">
        <f>29300/(3.6*1000)</f>
        <v>8.1388888888888893</v>
      </c>
      <c r="L3" t="s">
        <v>36</v>
      </c>
      <c r="M3" s="2">
        <f>1.3/3.6</f>
        <v>0.3611111111111111</v>
      </c>
      <c r="N3" t="s">
        <v>43</v>
      </c>
      <c r="O3">
        <v>1.3</v>
      </c>
    </row>
    <row r="4" spans="1:15" x14ac:dyDescent="0.25">
      <c r="A4" t="s">
        <v>44</v>
      </c>
      <c r="B4" t="s">
        <v>14</v>
      </c>
      <c r="C4">
        <f>1/0.31</f>
        <v>3.2258064516129035</v>
      </c>
      <c r="D4" t="s">
        <v>44</v>
      </c>
      <c r="E4">
        <v>0</v>
      </c>
      <c r="F4" t="s">
        <v>61</v>
      </c>
      <c r="G4">
        <v>125</v>
      </c>
      <c r="H4" t="s">
        <v>44</v>
      </c>
      <c r="I4">
        <v>0.56999999999999995</v>
      </c>
      <c r="J4" t="s">
        <v>44</v>
      </c>
      <c r="K4" s="2">
        <f>124000/(3.6*1000)</f>
        <v>34.444444444444443</v>
      </c>
      <c r="L4" t="s">
        <v>37</v>
      </c>
      <c r="M4" s="2">
        <f>3.01/3.6</f>
        <v>0.83611111111111103</v>
      </c>
      <c r="N4" t="s">
        <v>44</v>
      </c>
      <c r="O4">
        <v>0.46</v>
      </c>
    </row>
    <row r="5" spans="1:15" x14ac:dyDescent="0.25">
      <c r="A5" t="s">
        <v>45</v>
      </c>
      <c r="B5" t="s">
        <v>0</v>
      </c>
      <c r="C5">
        <f>1/0.5</f>
        <v>2</v>
      </c>
      <c r="D5" t="s">
        <v>45</v>
      </c>
      <c r="E5">
        <v>40</v>
      </c>
      <c r="F5" t="s">
        <v>63</v>
      </c>
      <c r="G5">
        <v>0</v>
      </c>
      <c r="H5" t="s">
        <v>45</v>
      </c>
      <c r="I5">
        <v>2</v>
      </c>
      <c r="J5" t="s">
        <v>45</v>
      </c>
      <c r="K5" s="2">
        <f>88*1000/(3.6*1000)</f>
        <v>24.444444444444443</v>
      </c>
      <c r="L5" t="s">
        <v>54</v>
      </c>
      <c r="M5" s="2">
        <f>2000*1000/(3.6*1000000)</f>
        <v>0.55555555555555558</v>
      </c>
      <c r="N5" t="s">
        <v>63</v>
      </c>
      <c r="O5">
        <f>-1/3.5</f>
        <v>-0.2857142857142857</v>
      </c>
    </row>
    <row r="6" spans="1:15" x14ac:dyDescent="0.25">
      <c r="A6" t="s">
        <v>47</v>
      </c>
      <c r="B6" t="s">
        <v>1</v>
      </c>
      <c r="C6">
        <f>1/0.6</f>
        <v>1.6666666666666667</v>
      </c>
      <c r="D6" t="s">
        <v>47</v>
      </c>
      <c r="E6">
        <v>40</v>
      </c>
      <c r="H6" t="s">
        <v>47</v>
      </c>
      <c r="I6">
        <v>2</v>
      </c>
      <c r="J6" t="s">
        <v>47</v>
      </c>
      <c r="K6" s="2">
        <f>30*1000/(3.6*1000)</f>
        <v>8.3333333333333339</v>
      </c>
      <c r="L6" t="s">
        <v>55</v>
      </c>
      <c r="M6" s="2">
        <f>1000*1000/(3.6*1000000)</f>
        <v>0.27777777777777779</v>
      </c>
    </row>
    <row r="7" spans="1:15" x14ac:dyDescent="0.25">
      <c r="A7" t="s">
        <v>57</v>
      </c>
      <c r="B7" t="s">
        <v>14</v>
      </c>
      <c r="C7">
        <f>1/1.01</f>
        <v>0.99009900990099009</v>
      </c>
      <c r="D7" t="s">
        <v>49</v>
      </c>
      <c r="E7">
        <v>150</v>
      </c>
      <c r="H7" t="s">
        <v>49</v>
      </c>
      <c r="I7">
        <v>5</v>
      </c>
      <c r="J7" t="s">
        <v>49</v>
      </c>
      <c r="K7" s="2">
        <f>50000/(3.6*1000)</f>
        <v>13.888888888888889</v>
      </c>
      <c r="L7" t="s">
        <v>56</v>
      </c>
      <c r="M7" s="2">
        <f>2.12/3.6</f>
        <v>0.58888888888888891</v>
      </c>
    </row>
    <row r="8" spans="1:15" x14ac:dyDescent="0.25">
      <c r="A8" t="s">
        <v>59</v>
      </c>
      <c r="B8" t="s">
        <v>1</v>
      </c>
      <c r="C8">
        <f>1/1.05</f>
        <v>0.95238095238095233</v>
      </c>
      <c r="H8" t="s">
        <v>57</v>
      </c>
      <c r="I8">
        <v>1.96</v>
      </c>
      <c r="J8" t="s">
        <v>57</v>
      </c>
      <c r="K8" s="2">
        <f>32700/(3.6*1000)</f>
        <v>9.0833333333333339</v>
      </c>
      <c r="L8" t="s">
        <v>65</v>
      </c>
      <c r="M8" s="2">
        <f>0.71/3.6</f>
        <v>0.19722222222222222</v>
      </c>
    </row>
    <row r="9" spans="1:15" x14ac:dyDescent="0.25">
      <c r="H9" t="s">
        <v>59</v>
      </c>
      <c r="I9">
        <v>1.1000000000000001</v>
      </c>
      <c r="J9" t="s">
        <v>59</v>
      </c>
      <c r="K9" s="2">
        <f>1950/(3.6*1000)</f>
        <v>0.54166666666666663</v>
      </c>
      <c r="L9" t="s">
        <v>66</v>
      </c>
      <c r="M9" s="2">
        <f>0.06/3.6</f>
        <v>1.6666666666666666E-2</v>
      </c>
    </row>
    <row r="10" spans="1:15" x14ac:dyDescent="0.25">
      <c r="H10" t="s">
        <v>61</v>
      </c>
      <c r="I10">
        <v>0.21</v>
      </c>
      <c r="J10" t="s">
        <v>61</v>
      </c>
      <c r="K10" s="2">
        <f>60.8/(3.6*1000)</f>
        <v>1.6888888888888887E-2</v>
      </c>
      <c r="L10" t="s">
        <v>67</v>
      </c>
      <c r="M10" s="2">
        <f>0.31/3.6</f>
        <v>8.611111111111111E-2</v>
      </c>
    </row>
    <row r="11" spans="1:15" x14ac:dyDescent="0.25">
      <c r="H11" t="s">
        <v>63</v>
      </c>
      <c r="I11">
        <v>1.69</v>
      </c>
      <c r="J11" t="s">
        <v>63</v>
      </c>
      <c r="K11" s="2">
        <f>2000/(3.6*1000)</f>
        <v>0.55555555555555558</v>
      </c>
      <c r="L11" t="s">
        <v>68</v>
      </c>
      <c r="M11" s="2">
        <f>0.86/3.6</f>
        <v>0.23888888888888887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12" sqref="E12"/>
    </sheetView>
  </sheetViews>
  <sheetFormatPr defaultRowHeight="15" x14ac:dyDescent="0.25"/>
  <cols>
    <col min="1" max="1" width="14.85546875" bestFit="1" customWidth="1"/>
    <col min="2" max="2" width="12.28515625" bestFit="1" customWidth="1"/>
    <col min="3" max="3" width="14.85546875" bestFit="1" customWidth="1"/>
    <col min="4" max="4" width="10.28515625" bestFit="1" customWidth="1"/>
    <col min="5" max="5" width="16.42578125" customWidth="1"/>
    <col min="7" max="7" width="20.7109375" bestFit="1" customWidth="1"/>
    <col min="8" max="8" width="21.425781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22</v>
      </c>
      <c r="F1" s="1" t="s">
        <v>23</v>
      </c>
      <c r="G1" s="1" t="s">
        <v>102</v>
      </c>
      <c r="H1" s="1" t="s">
        <v>103</v>
      </c>
    </row>
    <row r="2" spans="1:8" x14ac:dyDescent="0.25">
      <c r="A2" t="s">
        <v>42</v>
      </c>
      <c r="B2" t="s">
        <v>35</v>
      </c>
      <c r="C2" t="s">
        <v>42</v>
      </c>
      <c r="D2" t="s">
        <v>9</v>
      </c>
      <c r="E2" t="s">
        <v>42</v>
      </c>
      <c r="F2" t="s">
        <v>21</v>
      </c>
      <c r="G2" t="s">
        <v>35</v>
      </c>
      <c r="H2" t="s">
        <v>41</v>
      </c>
    </row>
    <row r="3" spans="1:8" x14ac:dyDescent="0.25">
      <c r="A3" t="s">
        <v>43</v>
      </c>
      <c r="B3" t="s">
        <v>36</v>
      </c>
      <c r="C3" t="s">
        <v>43</v>
      </c>
      <c r="D3" t="s">
        <v>9</v>
      </c>
      <c r="E3" t="s">
        <v>43</v>
      </c>
      <c r="F3" t="s">
        <v>21</v>
      </c>
      <c r="G3" t="s">
        <v>36</v>
      </c>
      <c r="H3" t="s">
        <v>41</v>
      </c>
    </row>
    <row r="4" spans="1:8" x14ac:dyDescent="0.25">
      <c r="A4" t="s">
        <v>44</v>
      </c>
      <c r="B4" t="s">
        <v>37</v>
      </c>
      <c r="C4" t="s">
        <v>44</v>
      </c>
      <c r="D4" t="s">
        <v>9</v>
      </c>
      <c r="E4" t="s">
        <v>44</v>
      </c>
      <c r="F4" t="s">
        <v>21</v>
      </c>
      <c r="G4" t="s">
        <v>37</v>
      </c>
      <c r="H4" t="s">
        <v>41</v>
      </c>
    </row>
    <row r="5" spans="1:8" x14ac:dyDescent="0.25">
      <c r="A5" t="s">
        <v>45</v>
      </c>
      <c r="B5" t="s">
        <v>54</v>
      </c>
      <c r="C5" t="s">
        <v>45</v>
      </c>
      <c r="D5" t="s">
        <v>9</v>
      </c>
      <c r="E5" t="s">
        <v>45</v>
      </c>
      <c r="F5" t="s">
        <v>21</v>
      </c>
      <c r="G5" t="s">
        <v>54</v>
      </c>
      <c r="H5" t="s">
        <v>104</v>
      </c>
    </row>
    <row r="6" spans="1:8" x14ac:dyDescent="0.25">
      <c r="A6" t="s">
        <v>47</v>
      </c>
      <c r="B6" t="s">
        <v>55</v>
      </c>
      <c r="C6" t="s">
        <v>47</v>
      </c>
      <c r="D6" t="s">
        <v>9</v>
      </c>
      <c r="E6" t="s">
        <v>47</v>
      </c>
      <c r="F6" t="s">
        <v>21</v>
      </c>
      <c r="G6" t="s">
        <v>55</v>
      </c>
      <c r="H6" t="s">
        <v>104</v>
      </c>
    </row>
    <row r="7" spans="1:8" x14ac:dyDescent="0.25">
      <c r="A7" t="s">
        <v>49</v>
      </c>
      <c r="B7" t="s">
        <v>56</v>
      </c>
      <c r="C7" t="s">
        <v>49</v>
      </c>
      <c r="D7" t="s">
        <v>49</v>
      </c>
      <c r="E7" t="s">
        <v>49</v>
      </c>
      <c r="F7" t="s">
        <v>21</v>
      </c>
      <c r="G7" t="s">
        <v>56</v>
      </c>
      <c r="H7" t="s">
        <v>104</v>
      </c>
    </row>
    <row r="8" spans="1:8" x14ac:dyDescent="0.25">
      <c r="A8" t="s">
        <v>57</v>
      </c>
      <c r="B8" t="s">
        <v>65</v>
      </c>
      <c r="C8" t="s">
        <v>57</v>
      </c>
      <c r="D8" t="s">
        <v>9</v>
      </c>
      <c r="E8" t="s">
        <v>57</v>
      </c>
      <c r="F8" t="s">
        <v>21</v>
      </c>
      <c r="G8" t="s">
        <v>65</v>
      </c>
      <c r="H8" t="s">
        <v>105</v>
      </c>
    </row>
    <row r="9" spans="1:8" x14ac:dyDescent="0.25">
      <c r="A9" t="s">
        <v>59</v>
      </c>
      <c r="B9" t="s">
        <v>66</v>
      </c>
      <c r="C9" t="s">
        <v>59</v>
      </c>
      <c r="D9" t="s">
        <v>9</v>
      </c>
      <c r="E9" t="s">
        <v>59</v>
      </c>
      <c r="F9" t="s">
        <v>21</v>
      </c>
      <c r="G9" t="s">
        <v>66</v>
      </c>
      <c r="H9" t="s">
        <v>105</v>
      </c>
    </row>
    <row r="10" spans="1:8" x14ac:dyDescent="0.25">
      <c r="A10" t="s">
        <v>61</v>
      </c>
      <c r="B10" t="s">
        <v>67</v>
      </c>
      <c r="C10" t="s">
        <v>61</v>
      </c>
      <c r="D10" t="s">
        <v>61</v>
      </c>
      <c r="E10" t="s">
        <v>61</v>
      </c>
      <c r="F10" t="s">
        <v>21</v>
      </c>
      <c r="G10" t="s">
        <v>67</v>
      </c>
      <c r="H10" t="s">
        <v>105</v>
      </c>
    </row>
    <row r="11" spans="1:8" x14ac:dyDescent="0.25">
      <c r="A11" t="s">
        <v>63</v>
      </c>
      <c r="B11" t="s">
        <v>68</v>
      </c>
      <c r="C11" t="s">
        <v>63</v>
      </c>
      <c r="D11" t="s">
        <v>9</v>
      </c>
      <c r="E11" t="s">
        <v>63</v>
      </c>
      <c r="F11" t="s">
        <v>21</v>
      </c>
      <c r="G11" t="s">
        <v>68</v>
      </c>
      <c r="H11" t="s">
        <v>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workbookViewId="0">
      <selection activeCell="A2" sqref="A2"/>
    </sheetView>
  </sheetViews>
  <sheetFormatPr defaultRowHeight="15" x14ac:dyDescent="0.25"/>
  <cols>
    <col min="1" max="1" width="19.42578125" bestFit="1" customWidth="1"/>
    <col min="2" max="2" width="33.85546875" bestFit="1" customWidth="1"/>
    <col min="8" max="8" width="9.28515625" bestFit="1" customWidth="1"/>
    <col min="9" max="9" width="7.42578125" bestFit="1" customWidth="1"/>
    <col min="10" max="10" width="9.5703125" bestFit="1" customWidth="1"/>
    <col min="11" max="11" width="15.5703125" bestFit="1" customWidth="1"/>
  </cols>
  <sheetData>
    <row r="1" spans="1:18" x14ac:dyDescent="0.25">
      <c r="A1" s="1" t="s">
        <v>109</v>
      </c>
      <c r="B1" s="1" t="s">
        <v>108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5</v>
      </c>
      <c r="N1" s="1" t="s">
        <v>6</v>
      </c>
      <c r="O1" s="1" t="s">
        <v>17</v>
      </c>
      <c r="P1" s="1" t="s">
        <v>18</v>
      </c>
      <c r="Q1" s="1" t="s">
        <v>34</v>
      </c>
      <c r="R1" s="1" t="s">
        <v>38</v>
      </c>
    </row>
    <row r="2" spans="1:18" x14ac:dyDescent="0.25">
      <c r="A2" t="s">
        <v>133</v>
      </c>
      <c r="B2">
        <v>1</v>
      </c>
      <c r="C2" t="s">
        <v>133</v>
      </c>
      <c r="D2">
        <f>B2</f>
        <v>1</v>
      </c>
      <c r="E2" t="s">
        <v>133</v>
      </c>
      <c r="F2" s="5">
        <f>B2*(175/3)/[1]Log!B$7</f>
        <v>9.7222222222222232</v>
      </c>
      <c r="G2" t="s">
        <v>133</v>
      </c>
      <c r="H2">
        <v>1</v>
      </c>
      <c r="I2" t="s">
        <v>133</v>
      </c>
      <c r="J2">
        <v>1</v>
      </c>
      <c r="K2" t="s">
        <v>133</v>
      </c>
      <c r="L2" s="6">
        <f>1-0.98^(1/(24/[1]Log!B$7))</f>
        <v>5.0379436073119122E-3</v>
      </c>
      <c r="M2" t="s">
        <v>133</v>
      </c>
      <c r="N2">
        <v>0</v>
      </c>
      <c r="O2" t="s">
        <v>133</v>
      </c>
      <c r="P2" s="7">
        <f>8.6/(3.6*1000)</f>
        <v>2.3888888888888887E-3</v>
      </c>
      <c r="Q2" t="s">
        <v>133</v>
      </c>
      <c r="R2" s="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zoomScale="130" zoomScaleNormal="130" workbookViewId="0">
      <selection activeCell="E2" sqref="E2"/>
    </sheetView>
  </sheetViews>
  <sheetFormatPr defaultRowHeight="15" x14ac:dyDescent="0.25"/>
  <cols>
    <col min="1" max="1" width="10.140625" bestFit="1" customWidth="1"/>
    <col min="2" max="2" width="12.28515625" bestFit="1" customWidth="1"/>
  </cols>
  <sheetData>
    <row r="1" spans="1:8" x14ac:dyDescent="0.25">
      <c r="A1" s="1" t="s">
        <v>7</v>
      </c>
      <c r="B1" s="1" t="s">
        <v>8</v>
      </c>
      <c r="C1" s="1" t="s">
        <v>15</v>
      </c>
      <c r="D1" s="1" t="s">
        <v>16</v>
      </c>
      <c r="E1" s="1" t="s">
        <v>22</v>
      </c>
      <c r="F1" s="1" t="s">
        <v>23</v>
      </c>
      <c r="G1" s="1" t="s">
        <v>102</v>
      </c>
      <c r="H1" s="1" t="s">
        <v>103</v>
      </c>
    </row>
    <row r="2" spans="1:8" x14ac:dyDescent="0.25">
      <c r="A2" t="s">
        <v>133</v>
      </c>
      <c r="B2" t="s">
        <v>133</v>
      </c>
      <c r="C2" t="s">
        <v>133</v>
      </c>
      <c r="D2" t="s">
        <v>9</v>
      </c>
      <c r="E2" t="s">
        <v>133</v>
      </c>
      <c r="F2" t="s">
        <v>21</v>
      </c>
      <c r="G2" t="s">
        <v>133</v>
      </c>
      <c r="H2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</vt:lpstr>
      <vt:lpstr>Fundamentals</vt:lpstr>
      <vt:lpstr>LoadVariables</vt:lpstr>
      <vt:lpstr>LoadMaps</vt:lpstr>
      <vt:lpstr>TransmissionLines</vt:lpstr>
      <vt:lpstr>GeneratorsVariables</vt:lpstr>
      <vt:lpstr>GeneratorsMaps</vt:lpstr>
      <vt:lpstr>StorageVariables</vt:lpstr>
      <vt:lpstr>StorageMaps</vt:lpstr>
      <vt:lpstr>Scalars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2022-08-22T11:32:30Z</dcterms:modified>
</cp:coreProperties>
</file>