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b957a5f373fa68/Documents/insa lyon/DD/Cours/Hiv 2025/Vérification et validation/projet/Projet_MEC8211_Couette/"/>
    </mc:Choice>
  </mc:AlternateContent>
  <xr:revisionPtr revIDLastSave="26" documentId="8_{CE5E6969-56ED-4D85-86D2-F7300A8CB948}" xr6:coauthVersionLast="47" xr6:coauthVersionMax="47" xr10:uidLastSave="{A8763F02-7CFD-4738-B28D-150DAA0B7866}"/>
  <bookViews>
    <workbookView xWindow="-108" yWindow="-108" windowWidth="23256" windowHeight="12456" xr2:uid="{1B229F5E-783A-4BEB-99B2-B9008BC5F977}"/>
  </bookViews>
  <sheets>
    <sheet name="Feuil1" sheetId="1" r:id="rId1"/>
    <sheet name="Feuil2" sheetId="2" r:id="rId2"/>
  </sheets>
  <definedNames>
    <definedName name="a">Feuil1!$E$13</definedName>
    <definedName name="delta">Feuil1!$E$11</definedName>
    <definedName name="dpdx">Feuil1!$E$13</definedName>
    <definedName name="mu">Feuil1!$E$9</definedName>
    <definedName name="P">Feuil1!$H$9</definedName>
    <definedName name="Re">Feuil1!$E$12</definedName>
    <definedName name="rho">Feuil1!$E$10</definedName>
    <definedName name="U">Feuil1!$H$10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E24" i="1"/>
  <c r="AF24" i="1"/>
  <c r="AG24" i="1"/>
  <c r="AC24" i="1"/>
  <c r="AD21" i="1"/>
  <c r="AE21" i="1"/>
  <c r="AF21" i="1"/>
  <c r="AG21" i="1"/>
  <c r="AC21" i="1"/>
  <c r="AD18" i="1"/>
  <c r="AE18" i="1"/>
  <c r="AF18" i="1"/>
  <c r="AG18" i="1"/>
  <c r="AC18" i="1"/>
  <c r="AC8" i="1"/>
  <c r="X11" i="1"/>
  <c r="Y11" i="1"/>
  <c r="Z11" i="1"/>
  <c r="AA11" i="1"/>
  <c r="W11" i="1"/>
  <c r="W8" i="1"/>
  <c r="O33" i="1"/>
  <c r="N33" i="1"/>
  <c r="M33" i="1"/>
  <c r="L33" i="1"/>
  <c r="O32" i="1"/>
  <c r="O31" i="1"/>
  <c r="N32" i="1"/>
  <c r="N31" i="1"/>
  <c r="M32" i="1"/>
  <c r="M31" i="1"/>
  <c r="L32" i="1"/>
  <c r="L31" i="1"/>
  <c r="E28" i="1"/>
  <c r="F28" i="1"/>
  <c r="G28" i="1"/>
  <c r="H28" i="1"/>
  <c r="D28" i="1"/>
  <c r="E10" i="2"/>
  <c r="F10" i="2"/>
  <c r="G10" i="2"/>
  <c r="H10" i="2"/>
  <c r="D10" i="2"/>
  <c r="E9" i="2"/>
  <c r="F9" i="2"/>
  <c r="G9" i="2"/>
  <c r="H9" i="2"/>
  <c r="D9" i="2"/>
  <c r="R8" i="1" l="1"/>
  <c r="S8" i="1"/>
  <c r="T8" i="1"/>
  <c r="U8" i="1"/>
  <c r="Q8" i="1"/>
  <c r="AF28" i="1"/>
  <c r="AG28" i="1"/>
  <c r="AH28" i="1"/>
  <c r="AI28" i="1"/>
  <c r="AE28" i="1"/>
  <c r="V22" i="1"/>
  <c r="X15" i="1" s="1"/>
  <c r="E26" i="1" s="1"/>
  <c r="W22" i="1"/>
  <c r="Y15" i="1" s="1"/>
  <c r="F26" i="1" s="1"/>
  <c r="X22" i="1"/>
  <c r="N7" i="1" s="1"/>
  <c r="Y22" i="1"/>
  <c r="AA15" i="1" s="1"/>
  <c r="H26" i="1" s="1"/>
  <c r="U22" i="1"/>
  <c r="W15" i="1" s="1"/>
  <c r="D26" i="1" s="1"/>
  <c r="H10" i="1"/>
  <c r="H9" i="1"/>
  <c r="Z15" i="1" l="1"/>
  <c r="G26" i="1" s="1"/>
  <c r="K7" i="1"/>
  <c r="K8" i="1" s="1"/>
  <c r="O7" i="1"/>
  <c r="O8" i="1" s="1"/>
  <c r="M7" i="1"/>
  <c r="M8" i="1" s="1"/>
  <c r="N8" i="1"/>
  <c r="L7" i="1"/>
  <c r="L8" i="1" s="1"/>
  <c r="H11" i="1"/>
  <c r="E18" i="1" s="1"/>
  <c r="E22" i="1" s="1"/>
  <c r="G18" i="1" l="1"/>
  <c r="G22" i="1" s="1"/>
  <c r="H18" i="1"/>
  <c r="H22" i="1" s="1"/>
  <c r="F18" i="1"/>
  <c r="F22" i="1" s="1"/>
  <c r="Y8" i="1"/>
  <c r="X8" i="1"/>
  <c r="AA8" i="1"/>
  <c r="D18" i="1"/>
  <c r="D22" i="1" s="1"/>
  <c r="Z8" i="1"/>
  <c r="F24" i="1" l="1"/>
  <c r="F30" i="1" s="1"/>
  <c r="F31" i="1" s="1"/>
  <c r="AE14" i="1" s="1"/>
  <c r="E24" i="1"/>
  <c r="E30" i="1" s="1"/>
  <c r="E31" i="1" s="1"/>
  <c r="AD14" i="1" s="1"/>
  <c r="D24" i="1"/>
  <c r="D30" i="1" s="1"/>
  <c r="D31" i="1" s="1"/>
  <c r="AC14" i="1" s="1"/>
  <c r="G24" i="1"/>
  <c r="G30" i="1" s="1"/>
  <c r="G31" i="1" s="1"/>
  <c r="AF14" i="1" s="1"/>
  <c r="H24" i="1"/>
  <c r="H30" i="1" s="1"/>
  <c r="H31" i="1" s="1"/>
  <c r="AG14" i="1" s="1"/>
  <c r="AC11" i="1" l="1"/>
  <c r="AD11" i="1"/>
  <c r="AD8" i="1"/>
  <c r="AG11" i="1"/>
  <c r="AG8" i="1"/>
  <c r="AE11" i="1"/>
  <c r="AE8" i="1"/>
  <c r="AF11" i="1"/>
  <c r="AF8" i="1"/>
</calcChain>
</file>

<file path=xl/sharedStrings.xml><?xml version="1.0" encoding="utf-8"?>
<sst xmlns="http://schemas.openxmlformats.org/spreadsheetml/2006/main" count="54" uniqueCount="46">
  <si>
    <t>Paramètres choisis :</t>
  </si>
  <si>
    <t>U</t>
  </si>
  <si>
    <t>Re</t>
  </si>
  <si>
    <t>mu</t>
  </si>
  <si>
    <t>rho</t>
  </si>
  <si>
    <t>delta</t>
  </si>
  <si>
    <t>y</t>
  </si>
  <si>
    <t>profil u</t>
  </si>
  <si>
    <t>P</t>
  </si>
  <si>
    <t>a</t>
  </si>
  <si>
    <t>dpdx</t>
  </si>
  <si>
    <t>NY = 5</t>
  </si>
  <si>
    <t>NY = 10</t>
  </si>
  <si>
    <t>NY = 20</t>
  </si>
  <si>
    <t>GCI individuel</t>
  </si>
  <si>
    <t>U num</t>
  </si>
  <si>
    <t>Théorique</t>
  </si>
  <si>
    <t>Ecart-type experience</t>
  </si>
  <si>
    <t>Incertitude appareil de mesure</t>
  </si>
  <si>
    <t>U_D</t>
  </si>
  <si>
    <t>E</t>
  </si>
  <si>
    <t>Colonne1</t>
  </si>
  <si>
    <t>Colonne2</t>
  </si>
  <si>
    <t>Colonne3</t>
  </si>
  <si>
    <t>Colonne4</t>
  </si>
  <si>
    <t>Colonne5</t>
  </si>
  <si>
    <t>Colonne6</t>
  </si>
  <si>
    <t>p</t>
  </si>
  <si>
    <t>p^-p / p</t>
  </si>
  <si>
    <t>Interpolation</t>
  </si>
  <si>
    <t>U_input</t>
  </si>
  <si>
    <t>U_val (m/s)</t>
  </si>
  <si>
    <t>U_val (%)</t>
  </si>
  <si>
    <t>Prédiction</t>
  </si>
  <si>
    <t>delta_{min}</t>
  </si>
  <si>
    <t>delta_{max}</t>
  </si>
  <si>
    <t>k u_{val}</t>
  </si>
  <si>
    <t>p theo</t>
  </si>
  <si>
    <t>E (%)</t>
  </si>
  <si>
    <t>E (m/s)</t>
  </si>
  <si>
    <t>\delta_{min} (%)</t>
  </si>
  <si>
    <t>\delta_{max}(%)</t>
  </si>
  <si>
    <t>k u_val (%)</t>
  </si>
  <si>
    <t>\delta_{min} (m/s)</t>
  </si>
  <si>
    <t>\delta_{max} (m/s)</t>
  </si>
  <si>
    <t>k u_val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</si>
</sst>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</a:t>
            </a:r>
            <a:r>
              <a:rPr lang="fr-FR" baseline="0"/>
              <a:t> en fonction de 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Théorique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Feuil1!$D$18:$H$18</c:f>
              <c:numCache>
                <c:formatCode>General</c:formatCode>
                <c:ptCount val="5"/>
                <c:pt idx="0">
                  <c:v>0.14500000000000002</c:v>
                </c:pt>
                <c:pt idx="1">
                  <c:v>0.40499999999999997</c:v>
                </c:pt>
                <c:pt idx="2">
                  <c:v>0.625</c:v>
                </c:pt>
                <c:pt idx="3">
                  <c:v>0.80499999999999994</c:v>
                </c:pt>
                <c:pt idx="4">
                  <c:v>0.94500000000000006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E-4BDF-8508-FF3011A165EF}"/>
            </c:ext>
          </c:extLst>
        </c:ser>
        <c:ser>
          <c:idx val="1"/>
          <c:order val="1"/>
          <c:tx>
            <c:v>NY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Feuil1!$J$16:$N$16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Feuil1!$J$17:$N$17</c:f>
              <c:numCache>
                <c:formatCode>General</c:formatCode>
                <c:ptCount val="5"/>
                <c:pt idx="0">
                  <c:v>0.14706911</c:v>
                </c:pt>
                <c:pt idx="1">
                  <c:v>0.40277829999999998</c:v>
                </c:pt>
                <c:pt idx="2">
                  <c:v>0.61980851999999997</c:v>
                </c:pt>
                <c:pt idx="3">
                  <c:v>0.79806732999999996</c:v>
                </c:pt>
                <c:pt idx="4">
                  <c:v>0.94898307000000004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E-4BDF-8508-FF3011A165EF}"/>
            </c:ext>
          </c:extLst>
        </c:ser>
        <c:ser>
          <c:idx val="2"/>
          <c:order val="2"/>
          <c:tx>
            <c:v>NY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402874175618464E-2"/>
                  <c:y val="0.34254777955561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Feuil1!$J$21:$S$21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Feuil1!$J$22:$S$22</c:f>
              <c:numCache>
                <c:formatCode>General</c:formatCode>
                <c:ptCount val="10"/>
                <c:pt idx="0">
                  <c:v>7.4744389999999994E-2</c:v>
                </c:pt>
                <c:pt idx="1">
                  <c:v>0.21430405</c:v>
                </c:pt>
                <c:pt idx="2">
                  <c:v>0.34381970000000001</c:v>
                </c:pt>
                <c:pt idx="3">
                  <c:v>0.46322103999999997</c:v>
                </c:pt>
                <c:pt idx="4">
                  <c:v>0.57254676000000004</c:v>
                </c:pt>
                <c:pt idx="5">
                  <c:v>0.67197852999999996</c:v>
                </c:pt>
                <c:pt idx="6">
                  <c:v>0.76179306999999996</c:v>
                </c:pt>
                <c:pt idx="7">
                  <c:v>0.84221409999999997</c:v>
                </c:pt>
                <c:pt idx="8">
                  <c:v>0.91342548000000001</c:v>
                </c:pt>
                <c:pt idx="9">
                  <c:v>0.97532485999999996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E-4BDF-8508-FF3011A165EF}"/>
            </c:ext>
          </c:extLst>
        </c:ser>
        <c:ser>
          <c:idx val="3"/>
          <c:order val="3"/>
          <c:tx>
            <c:v>NY =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1889966135346802E-2"/>
                  <c:y val="0.38339445632291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Feuil1!$J$27:$AD$27</c:f>
              <c:numCache>
                <c:formatCode>General</c:formatCode>
                <c:ptCount val="2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</c:numCache>
            </c:numRef>
          </c:xVal>
          <c:yVal>
            <c:numRef>
              <c:f>Feuil1!$J$28:$AC$28</c:f>
              <c:numCache>
                <c:formatCode>General</c:formatCode>
                <c:ptCount val="20"/>
                <c:pt idx="0">
                  <c:v>3.7555680000000001E-2</c:v>
                </c:pt>
                <c:pt idx="1">
                  <c:v>0.11015303</c:v>
                </c:pt>
                <c:pt idx="2">
                  <c:v>0.18022560000000001</c:v>
                </c:pt>
                <c:pt idx="3">
                  <c:v>0.24776148000000001</c:v>
                </c:pt>
                <c:pt idx="4">
                  <c:v>0.31274988999999997</c:v>
                </c:pt>
                <c:pt idx="5">
                  <c:v>0.37518323999999997</c:v>
                </c:pt>
                <c:pt idx="6">
                  <c:v>0.43505874999999999</c:v>
                </c:pt>
                <c:pt idx="7">
                  <c:v>0.49237985000000001</c:v>
                </c:pt>
                <c:pt idx="8">
                  <c:v>0.54715720999999995</c:v>
                </c:pt>
                <c:pt idx="9">
                  <c:v>0.59940886000000004</c:v>
                </c:pt>
                <c:pt idx="10">
                  <c:v>0.64915937999999995</c:v>
                </c:pt>
                <c:pt idx="11">
                  <c:v>0.69643770000000005</c:v>
                </c:pt>
                <c:pt idx="12">
                  <c:v>0.74127377000000005</c:v>
                </c:pt>
                <c:pt idx="13">
                  <c:v>0.78369445000000004</c:v>
                </c:pt>
                <c:pt idx="14">
                  <c:v>0.82371881000000002</c:v>
                </c:pt>
                <c:pt idx="15">
                  <c:v>0.86135295999999995</c:v>
                </c:pt>
                <c:pt idx="16">
                  <c:v>0.89658848999999996</c:v>
                </c:pt>
                <c:pt idx="17">
                  <c:v>0.92941616999999999</c:v>
                </c:pt>
                <c:pt idx="18">
                  <c:v>0.95982349</c:v>
                </c:pt>
                <c:pt idx="19">
                  <c:v>0.98761893999999995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DE-4BDF-8508-FF3011A1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887"/>
        <c:axId val="358950367"/>
      </c:scatterChart>
      <c:valAx>
        <c:axId val="35894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50367"/>
        <c:crosses val="autoZero"/>
        <c:crossBetween val="midCat"/>
      </c:valAx>
      <c:valAx>
        <c:axId val="358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4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636959278629784"/>
                  <c:y val="-5.8312737449256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Feuil1!$AC$14:$AG$14</c:f>
                <c:numCache>
                  <c:formatCode>General</c:formatCode>
                  <c:ptCount val="5"/>
                  <c:pt idx="0">
                    <c:v>0.41089462621163392</c:v>
                  </c:pt>
                  <c:pt idx="1">
                    <c:v>0.16401107519915417</c:v>
                  </c:pt>
                  <c:pt idx="2">
                    <c:v>0.11284811454653039</c:v>
                  </c:pt>
                  <c:pt idx="3">
                    <c:v>8.9699794855857592E-2</c:v>
                  </c:pt>
                  <c:pt idx="4">
                    <c:v>8.0942933383983687E-2</c:v>
                  </c:pt>
                </c:numCache>
              </c:numRef>
            </c:plus>
            <c:minus>
              <c:numRef>
                <c:f>Feuil1!$AC$14:$AG$14</c:f>
                <c:numCache>
                  <c:formatCode>General</c:formatCode>
                  <c:ptCount val="5"/>
                  <c:pt idx="0">
                    <c:v>0.41089462621163392</c:v>
                  </c:pt>
                  <c:pt idx="1">
                    <c:v>0.16401107519915417</c:v>
                  </c:pt>
                  <c:pt idx="2">
                    <c:v>0.11284811454653039</c:v>
                  </c:pt>
                  <c:pt idx="3">
                    <c:v>8.9699794855857592E-2</c:v>
                  </c:pt>
                  <c:pt idx="4">
                    <c:v>8.0942933383983687E-2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Feuil1!$W$8:$AA$8</c:f>
              <c:numCache>
                <c:formatCode>General</c:formatCode>
                <c:ptCount val="5"/>
                <c:pt idx="0">
                  <c:v>6.6827586206896382E-3</c:v>
                </c:pt>
                <c:pt idx="1">
                  <c:v>-2.1209876543208475E-3</c:v>
                </c:pt>
                <c:pt idx="2">
                  <c:v>-2.5199999999999888E-3</c:v>
                </c:pt>
                <c:pt idx="3">
                  <c:v>-1.4645962732919766E-3</c:v>
                </c:pt>
                <c:pt idx="4">
                  <c:v>3.4814814814805573E-4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2-4B69-9893-F77B49CC4D5A}"/>
            </c:ext>
          </c:extLst>
        </c:ser>
        <c:ser>
          <c:idx val="1"/>
          <c:order val="1"/>
          <c:tx>
            <c:v>delta_min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6182766250862159"/>
                  <c:y val="0.1487441588968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Feuil1!$AC$8:$AG$8</c:f>
              <c:numCache>
                <c:formatCode>General</c:formatCode>
                <c:ptCount val="5"/>
                <c:pt idx="0">
                  <c:v>-0.4042118675909443</c:v>
                </c:pt>
                <c:pt idx="1">
                  <c:v>-0.16613206285347501</c:v>
                </c:pt>
                <c:pt idx="2">
                  <c:v>-0.11536811454653038</c:v>
                </c:pt>
                <c:pt idx="3">
                  <c:v>-9.1164391129149563E-2</c:v>
                </c:pt>
                <c:pt idx="4">
                  <c:v>-8.0594785235835631E-2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2-4B69-9893-F77B49CC4D5A}"/>
            </c:ext>
          </c:extLst>
        </c:ser>
        <c:ser>
          <c:idx val="2"/>
          <c:order val="2"/>
          <c:tx>
            <c:v>delta_max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43237965989799998"/>
                  <c:y val="-0.2976804614345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Feuil1!$D$17:$H$17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Feuil1!$AC$11:$AG$11</c:f>
              <c:numCache>
                <c:formatCode>General</c:formatCode>
                <c:ptCount val="5"/>
                <c:pt idx="0">
                  <c:v>0.41757738483232354</c:v>
                </c:pt>
                <c:pt idx="1">
                  <c:v>0.16189008754483333</c:v>
                </c:pt>
                <c:pt idx="2">
                  <c:v>0.1103281145465304</c:v>
                </c:pt>
                <c:pt idx="3">
                  <c:v>8.8235198582565622E-2</c:v>
                </c:pt>
                <c:pt idx="4">
                  <c:v>8.1291081532131743E-2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2-4B69-9893-F77B49CC4D5A}"/>
            </c:ext>
          </c:extLst>
        </c:ser>
        <c:ser>
          <c:idx val="3"/>
          <c:order val="3"/>
          <c:tx>
            <c:v>Prédiction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Feuil1!$O$31</c:f>
                <c:numCache>
                  <c:formatCode>General</c:formatCode>
                  <c:ptCount val="1"/>
                  <c:pt idx="0">
                    <c:v>0.66610000000000003</c:v>
                  </c:pt>
                </c:numCache>
              </c:numRef>
            </c:plus>
            <c:minus>
              <c:numRef>
                <c:f>Feuil1!$O$31</c:f>
                <c:numCache>
                  <c:formatCode>General</c:formatCode>
                  <c:ptCount val="1"/>
                  <c:pt idx="0">
                    <c:v>0.66610000000000003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Feuil1!$K$31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Feuil1!$L$31</c:f>
              <c:numCache>
                <c:formatCode>General</c:formatCode>
                <c:ptCount val="1"/>
                <c:pt idx="0">
                  <c:v>1.8100000000000002E-2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2-4B69-9893-F77B49CC4D5A}"/>
            </c:ext>
          </c:extLst>
        </c:ser>
        <c:ser>
          <c:idx val="4"/>
          <c:order val="4"/>
          <c:tx>
            <c:v>Prédiction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Feuil1!$O$32</c:f>
                <c:numCache>
                  <c:formatCode>General</c:formatCode>
                  <c:ptCount val="1"/>
                  <c:pt idx="0">
                    <c:v>0.11400000000000007</c:v>
                  </c:pt>
                </c:numCache>
              </c:numRef>
            </c:plus>
            <c:minus>
              <c:numRef>
                <c:f>Feuil1!$O$32</c:f>
                <c:numCache>
                  <c:formatCode>General</c:formatCode>
                  <c:ptCount val="1"/>
                  <c:pt idx="0">
                    <c:v>0.11400000000000007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Feuil1!$K$32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Feuil1!$L$32</c:f>
              <c:numCache>
                <c:formatCode>General</c:formatCode>
                <c:ptCount val="1"/>
                <c:pt idx="0">
                  <c:v>2.900000000000038E-3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92-4B69-9893-F77B49CC4D5A}"/>
            </c:ext>
          </c:extLst>
        </c:ser>
        <c:ser>
          <c:idx val="5"/>
          <c:order val="5"/>
          <c:tx>
            <c:v>Prédiction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Feuil1!$K$33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Feuil1!$L$33</c:f>
              <c:numCache>
                <c:formatCode>General</c:formatCode>
                <c:ptCount val="1"/>
                <c:pt idx="0">
                  <c:v>5.3328000000000056E-4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80-43F1-92B1-59E35AC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41311"/>
        <c:axId val="1830439391"/>
      </c:scatterChart>
      <c:valAx>
        <c:axId val="18304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439391"/>
        <c:crosses val="autoZero"/>
        <c:crossBetween val="midCat"/>
      </c:valAx>
      <c:valAx>
        <c:axId val="18304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44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Feuil2!$D$4:$M$4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Feuil2!$D$5:$M$5</c:f>
              <c:numCache>
                <c:formatCode>General</c:formatCode>
                <c:ptCount val="10"/>
                <c:pt idx="0">
                  <c:v>7.5039999999999996E-2</c:v>
                </c:pt>
                <c:pt idx="1">
                  <c:v>0.21501000000000001</c:v>
                </c:pt>
                <c:pt idx="2">
                  <c:v>0.34473999999999999</c:v>
                </c:pt>
                <c:pt idx="3">
                  <c:v>0.46412999999999999</c:v>
                </c:pt>
                <c:pt idx="4">
                  <c:v>0.57325000000000004</c:v>
                </c:pt>
                <c:pt idx="5">
                  <c:v>0.67229000000000005</c:v>
                </c:pt>
                <c:pt idx="6">
                  <c:v>0.76170000000000004</c:v>
                </c:pt>
                <c:pt idx="7">
                  <c:v>0.84187999999999996</c:v>
                </c:pt>
                <c:pt idx="8">
                  <c:v>0.91308999999999996</c:v>
                </c:pt>
                <c:pt idx="9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E-4B37-AAE1-0754B362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54895"/>
        <c:axId val="397665455"/>
      </c:scatterChart>
      <c:valAx>
        <c:axId val="3976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65455"/>
        <c:crosses val="autoZero"/>
        <c:crossBetween val="midCat"/>
      </c:valAx>
      <c:valAx>
        <c:axId val="3976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Feuil2!$D$4:$M$4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Feuil2!$D$6:$M$6</c:f>
              <c:numCache>
                <c:formatCode>General</c:formatCode>
                <c:ptCount val="10"/>
                <c:pt idx="0">
                  <c:v>2.81E-3</c:v>
                </c:pt>
                <c:pt idx="1">
                  <c:v>7.1199999999999996E-3</c:v>
                </c:pt>
                <c:pt idx="2">
                  <c:v>1.013E-2</c:v>
                </c:pt>
                <c:pt idx="3">
                  <c:v>1.189E-2</c:v>
                </c:pt>
                <c:pt idx="4">
                  <c:v>1.248E-2</c:v>
                </c:pt>
                <c:pt idx="5">
                  <c:v>1.208E-2</c:v>
                </c:pt>
                <c:pt idx="6">
                  <c:v>1.1129999999999999E-2</c:v>
                </c:pt>
                <c:pt idx="7">
                  <c:v>1.0619999999999999E-2</c:v>
                </c:pt>
                <c:pt idx="8">
                  <c:v>1.218E-2</c:v>
                </c:pt>
                <c:pt idx="9">
                  <c:v>1.6670000000000001E-2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7-4542-B85E-A93FBAF7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40271"/>
        <c:axId val="397040751"/>
      </c:scatterChart>
      <c:valAx>
        <c:axId val="3970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040751"/>
        <c:crosses val="autoZero"/>
        <c:crossBetween val="midCat"/>
      </c:valAx>
      <c:valAx>
        <c:axId val="3970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0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8068</xdr:colOff>
      <xdr:row>1</xdr:row>
      <xdr:rowOff>52443</xdr:rowOff>
    </xdr:from>
    <xdr:to>
      <xdr:col>3</xdr:col>
      <xdr:colOff>307604</xdr:colOff>
      <xdr:row>4</xdr:row>
      <xdr:rowOff>18999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6BBFDA-2B38-15FC-67BD-A14CFEBD9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856" y="231737"/>
          <a:ext cx="2468995" cy="504438"/>
        </a:xfrm>
        <a:prstGeom prst="rect">
          <a:avLst/>
        </a:prstGeom>
      </xdr:spPr>
    </xdr:pic>
    <xdr:clientData/>
  </xdr:twoCellAnchor>
  <xdr:twoCellAnchor>
    <xdr:from>
      <xdr:col>2</xdr:col>
      <xdr:colOff>288195</xdr:colOff>
      <xdr:row>34</xdr:row>
      <xdr:rowOff>75665</xdr:rowOff>
    </xdr:from>
    <xdr:to>
      <xdr:col>19</xdr:col>
      <xdr:colOff>268892</xdr:colOff>
      <xdr:row>78</xdr:row>
      <xdr:rowOff>42858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E870B9-6D90-0029-6FE8-61A59CA6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697924</xdr:colOff>
      <xdr:row>34</xdr:row>
      <xdr:rowOff>29441</xdr:rowOff>
    </xdr:from>
    <xdr:to>
      <xdr:col>34</xdr:col>
      <xdr:colOff>628651</xdr:colOff>
      <xdr:row>69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FC550A-7BCA-174D-5A19-6C32C43F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545326</xdr:colOff>
      <xdr:row>12</xdr:row>
      <xdr:rowOff>7344</xdr:rowOff>
    </xdr:from>
    <xdr:to>
      <xdr:col>6</xdr:col>
      <xdr:colOff>390607</xdr:colOff>
      <xdr:row>27</xdr:row>
      <xdr:rowOff>65930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D2212E-7E25-B552-949B-E720F676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721995</xdr:colOff>
      <xdr:row>12</xdr:row>
      <xdr:rowOff>31432</xdr:rowOff>
    </xdr:from>
    <xdr:to>
      <xdr:col>12</xdr:col>
      <xdr:colOff>548640</xdr:colOff>
      <xdr:row>27</xdr:row>
      <xdr:rowOff>67627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A8C4BE-09AF-CE1B-9F1B-5B0BD4CD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5F367-D606-4A2F-A234-109E8E91781C}" name="Tableau1" displayName="Tableau1" ref="C7:H13" totalsRowShown="0">
  <autoFilter ref="C7:H13" xr:uid="{3105F367-D606-4A2F-A234-109E8E91781C}"/>
  <tableColumns count="6">
    <tableColumn id="1" xr3:uid="{D7E2F963-6534-44B7-A848-5D62FC709953}" name="Colonne1"/>
    <tableColumn id="2" xr3:uid="{64F5C198-30AF-4924-B519-CC11B0111916}" name="Colonne2" dataDxfId="3"/>
    <tableColumn id="3" xr3:uid="{525BEEC7-463B-443C-9E91-D568CD35C4B5}" name="Colonne3" dataDxfId="2"/>
    <tableColumn id="4" xr3:uid="{10492310-0022-4DB3-8253-59B7A9922CA7}" name="Colonne4"/>
    <tableColumn id="5" xr3:uid="{F9512374-9EFA-490B-A9DF-03719A00AA83}" name="Colonne5" dataDxfId="1"/>
    <tableColumn id="6" xr3:uid="{43EF5ADF-ABE5-4CBB-9A4F-B710E9209A3F}" name="Colonne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63EF-8035-4A54-9D74-3E3C73A84DE9}" name="Tableau2" displayName="Tableau2" ref="C15:H18" totalsRowShown="0">
  <autoFilter ref="C15:H18" xr:uid="{2ED163EF-8035-4A54-9D74-3E3C73A84DE9}"/>
  <tableColumns count="6">
    <tableColumn id="1" xr3:uid="{76699BAE-C38A-406C-91F6-388B9A37B6E5}" name="Colonne1"/>
    <tableColumn id="2" xr3:uid="{54932FE4-6AF3-4BEB-BD59-40FF345456B9}" name="Colonne2"/>
    <tableColumn id="3" xr3:uid="{CF137404-9800-445E-A1B2-D3B21E856661}" name="Colonne3"/>
    <tableColumn id="4" xr3:uid="{1285F597-0F10-4DC8-862E-0B8F92F9D784}" name="Colonne4"/>
    <tableColumn id="5" xr3:uid="{C908E76A-E145-48C5-B741-EFB4D226EDA8}" name="Colonne5"/>
    <tableColumn id="6" xr3:uid="{14D34CD2-AB61-4945-870D-4267C7F9A229}" name="Colonn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CFE7-839D-4A27-9BA9-5910BBB87897}">
  <dimension ref="C5:AI33"/>
  <sheetViews>
    <sheetView tabSelected="1" topLeftCell="J1" zoomScale="55" zoomScaleNormal="55" workbookViewId="0">
      <selection activeCell="AN24" sqref="AN24"/>
    </sheetView>
  </sheetViews>
  <sheetFormatPr baseColWidth="10" defaultRowHeight="14.4" x14ac:dyDescent="0.3"/>
  <cols>
    <col min="3" max="3" width="31.6640625" bestFit="1" customWidth="1"/>
    <col min="4" max="6" width="14.21875" customWidth="1"/>
    <col min="7" max="7" width="13.88671875" customWidth="1"/>
    <col min="8" max="8" width="14.21875" customWidth="1"/>
    <col min="32" max="32" width="22.33203125" bestFit="1" customWidth="1"/>
  </cols>
  <sheetData>
    <row r="5" spans="3:33" x14ac:dyDescent="0.3">
      <c r="Q5" t="s">
        <v>37</v>
      </c>
    </row>
    <row r="7" spans="3:33" x14ac:dyDescent="0.3"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J7" t="s">
        <v>27</v>
      </c>
      <c r="K7">
        <f>LN((J17-U22)/(U22-AE28))/LN(2)</f>
        <v>1.7770025835807262</v>
      </c>
      <c r="L7">
        <f>LN((K17-V22)/(V22-AF28))/LN(2)</f>
        <v>0.71354760398907557</v>
      </c>
      <c r="M7">
        <f>LN((L17-W22)/(W22-AG28))/LN(2)</f>
        <v>1.6219254164444656</v>
      </c>
      <c r="N7">
        <f>LN((M17-X22)/(X22-AH28))/LN(2)</f>
        <v>3.0165610131553593</v>
      </c>
      <c r="O7">
        <f>LN((N17-Y22)/(Y22-AI28))/LN(2)</f>
        <v>2.7034315955902257</v>
      </c>
      <c r="Q7">
        <v>1.94</v>
      </c>
      <c r="R7">
        <v>1.91</v>
      </c>
      <c r="S7">
        <v>1.96</v>
      </c>
      <c r="T7">
        <v>2.0099999999999998</v>
      </c>
      <c r="U7">
        <v>1.99</v>
      </c>
      <c r="W7" s="8" t="s">
        <v>38</v>
      </c>
      <c r="X7" s="8"/>
      <c r="Y7" s="8"/>
      <c r="Z7" s="8"/>
      <c r="AA7" s="8"/>
      <c r="AC7" s="8" t="s">
        <v>40</v>
      </c>
      <c r="AD7" s="8"/>
      <c r="AE7" s="8"/>
      <c r="AF7" s="8"/>
      <c r="AG7" s="8"/>
    </row>
    <row r="8" spans="3:33" x14ac:dyDescent="0.3">
      <c r="C8" t="s">
        <v>0</v>
      </c>
      <c r="J8" t="s">
        <v>28</v>
      </c>
      <c r="K8">
        <f>(K7-2)/2</f>
        <v>-0.11149870820963692</v>
      </c>
      <c r="L8">
        <f t="shared" ref="L8:O8" si="0">(L7-2)/2</f>
        <v>-0.64322619800546221</v>
      </c>
      <c r="M8">
        <f t="shared" si="0"/>
        <v>-0.18903729177776718</v>
      </c>
      <c r="N8">
        <f t="shared" si="0"/>
        <v>0.50828050657767965</v>
      </c>
      <c r="O8">
        <f t="shared" si="0"/>
        <v>0.35171579779511286</v>
      </c>
      <c r="Q8">
        <f>(Q7-2)/2</f>
        <v>-3.0000000000000027E-2</v>
      </c>
      <c r="R8">
        <f t="shared" ref="R8:U8" si="1">(R7-2)/2</f>
        <v>-4.500000000000004E-2</v>
      </c>
      <c r="S8">
        <f t="shared" si="1"/>
        <v>-2.0000000000000018E-2</v>
      </c>
      <c r="T8">
        <f t="shared" si="1"/>
        <v>4.9999999999998934E-3</v>
      </c>
      <c r="U8">
        <f t="shared" si="1"/>
        <v>-5.0000000000000044E-3</v>
      </c>
      <c r="W8" s="7">
        <f>(U22-D18)/D18</f>
        <v>6.6827586206896382E-3</v>
      </c>
      <c r="X8" s="7">
        <f>(V22-E18)/E18</f>
        <v>-2.1209876543208475E-3</v>
      </c>
      <c r="Y8" s="7">
        <f>(W22-F18)/F18</f>
        <v>-2.5199999999999888E-3</v>
      </c>
      <c r="Z8" s="7">
        <f>(X22-G18)/G18</f>
        <v>-1.4645962732919766E-3</v>
      </c>
      <c r="AA8" s="7">
        <f>(Y22-H18)/H18</f>
        <v>3.4814814814805573E-4</v>
      </c>
      <c r="AC8" s="7">
        <f>W8-2*D31</f>
        <v>-0.4042118675909443</v>
      </c>
      <c r="AD8" s="7">
        <f t="shared" ref="AD8:AG8" si="2">X8-2*E31</f>
        <v>-0.16613206285347501</v>
      </c>
      <c r="AE8" s="7">
        <f t="shared" si="2"/>
        <v>-0.11536811454653038</v>
      </c>
      <c r="AF8" s="7">
        <f t="shared" si="2"/>
        <v>-9.1164391129149563E-2</v>
      </c>
      <c r="AG8" s="7">
        <f t="shared" si="2"/>
        <v>-8.0594785235835631E-2</v>
      </c>
    </row>
    <row r="9" spans="3:33" x14ac:dyDescent="0.3">
      <c r="D9" s="1" t="s">
        <v>3</v>
      </c>
      <c r="E9" s="2">
        <v>0.02</v>
      </c>
      <c r="G9" s="3" t="s">
        <v>8</v>
      </c>
      <c r="H9" s="3">
        <f>2*Re*a</f>
        <v>0.5</v>
      </c>
    </row>
    <row r="10" spans="3:33" x14ac:dyDescent="0.3">
      <c r="D10" s="1" t="s">
        <v>4</v>
      </c>
      <c r="E10" s="1">
        <v>1</v>
      </c>
      <c r="G10" s="3" t="s">
        <v>1</v>
      </c>
      <c r="H10" s="3">
        <f>Re*mu/delta</f>
        <v>1</v>
      </c>
      <c r="W10" s="5" t="s">
        <v>39</v>
      </c>
      <c r="X10" s="5"/>
      <c r="Y10" s="5"/>
      <c r="Z10" s="5"/>
      <c r="AA10" s="5"/>
      <c r="AC10" s="8" t="s">
        <v>41</v>
      </c>
      <c r="AD10" s="8"/>
      <c r="AE10" s="8"/>
      <c r="AF10" s="8"/>
      <c r="AG10" s="8"/>
    </row>
    <row r="11" spans="3:33" x14ac:dyDescent="0.3">
      <c r="D11" s="1" t="s">
        <v>5</v>
      </c>
      <c r="E11" s="1">
        <v>0.5</v>
      </c>
      <c r="G11" s="3" t="s">
        <v>10</v>
      </c>
      <c r="H11" s="3">
        <f>H9*2*mu*H10/(-4*delta*delta)</f>
        <v>-0.02</v>
      </c>
      <c r="W11" s="6">
        <f>U22-D18</f>
        <v>9.6899999999999764E-4</v>
      </c>
      <c r="X11" s="6">
        <f t="shared" ref="X11:AA11" si="3">V22-E18</f>
        <v>-8.5899999999994314E-4</v>
      </c>
      <c r="Y11" s="6">
        <f t="shared" si="3"/>
        <v>-1.5749999999999931E-3</v>
      </c>
      <c r="Z11" s="6">
        <f t="shared" si="3"/>
        <v>-1.1790000000000411E-3</v>
      </c>
      <c r="AA11" s="6">
        <f t="shared" si="3"/>
        <v>3.289999999999127E-4</v>
      </c>
      <c r="AC11" s="7">
        <f>W8+2*D31</f>
        <v>0.41757738483232354</v>
      </c>
      <c r="AD11" s="7">
        <f t="shared" ref="AD11:AG11" si="4">X8+2*E31</f>
        <v>0.16189008754483333</v>
      </c>
      <c r="AE11" s="7">
        <f t="shared" si="4"/>
        <v>0.1103281145465304</v>
      </c>
      <c r="AF11" s="7">
        <f t="shared" si="4"/>
        <v>8.8235198582565622E-2</v>
      </c>
      <c r="AG11" s="7">
        <f t="shared" si="4"/>
        <v>8.1291081532131743E-2</v>
      </c>
    </row>
    <row r="12" spans="3:33" x14ac:dyDescent="0.3">
      <c r="D12" s="1" t="s">
        <v>2</v>
      </c>
      <c r="E12" s="1">
        <v>25</v>
      </c>
    </row>
    <row r="13" spans="3:33" x14ac:dyDescent="0.3">
      <c r="D13" s="1" t="s">
        <v>9</v>
      </c>
      <c r="E13" s="1">
        <v>0.01</v>
      </c>
      <c r="AC13" s="8" t="s">
        <v>42</v>
      </c>
      <c r="AD13" s="8"/>
      <c r="AE13" s="8"/>
      <c r="AF13" s="8"/>
      <c r="AG13" s="8"/>
    </row>
    <row r="14" spans="3:33" x14ac:dyDescent="0.3">
      <c r="W14" s="4" t="s">
        <v>14</v>
      </c>
      <c r="X14" s="4"/>
      <c r="Y14" s="4"/>
      <c r="Z14" s="4"/>
      <c r="AA14" s="4"/>
      <c r="AC14" s="7">
        <f>2*D31</f>
        <v>0.41089462621163392</v>
      </c>
      <c r="AD14" s="7">
        <f t="shared" ref="AD14:AG14" si="5">2*E31</f>
        <v>0.16401107519915417</v>
      </c>
      <c r="AE14" s="7">
        <f t="shared" si="5"/>
        <v>0.11284811454653039</v>
      </c>
      <c r="AF14" s="7">
        <f t="shared" si="5"/>
        <v>8.9699794855857592E-2</v>
      </c>
      <c r="AG14" s="7">
        <f t="shared" si="5"/>
        <v>8.0942933383983687E-2</v>
      </c>
    </row>
    <row r="15" spans="3:33" x14ac:dyDescent="0.3"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J15" t="s">
        <v>11</v>
      </c>
      <c r="W15">
        <f>1.25/3*ABS(U22-J17)</f>
        <v>4.5837916666666145E-4</v>
      </c>
      <c r="X15">
        <f>1.25/3*ABS(V22-K17)</f>
        <v>5.6779166666668756E-4</v>
      </c>
      <c r="Y15">
        <f>1.25/3*ABS(W22-L17)</f>
        <v>1.5068666666666806E-3</v>
      </c>
      <c r="Z15">
        <f>1.25/3*ABS(X22-M17)</f>
        <v>2.3973624999999721E-3</v>
      </c>
      <c r="AA15">
        <f>1.25/3*ABS(Y22-N17)</f>
        <v>1.5225291666666938E-3</v>
      </c>
    </row>
    <row r="16" spans="3:33" x14ac:dyDescent="0.3">
      <c r="C16" t="s">
        <v>16</v>
      </c>
      <c r="J16">
        <v>0.1</v>
      </c>
      <c r="K16">
        <v>0.3</v>
      </c>
      <c r="L16">
        <v>0.5</v>
      </c>
      <c r="M16">
        <v>0.7</v>
      </c>
      <c r="N16">
        <v>0.9</v>
      </c>
    </row>
    <row r="17" spans="3:35" x14ac:dyDescent="0.3">
      <c r="C17" t="s">
        <v>6</v>
      </c>
      <c r="D17">
        <v>0.1</v>
      </c>
      <c r="E17">
        <v>0.3</v>
      </c>
      <c r="F17">
        <v>0.5</v>
      </c>
      <c r="G17">
        <v>0.7</v>
      </c>
      <c r="H17">
        <v>0.9</v>
      </c>
      <c r="J17">
        <v>0.14706911</v>
      </c>
      <c r="K17">
        <v>0.40277829999999998</v>
      </c>
      <c r="L17">
        <v>0.61980851999999997</v>
      </c>
      <c r="M17">
        <v>0.79806732999999996</v>
      </c>
      <c r="N17">
        <v>0.94898307000000004</v>
      </c>
      <c r="AC17" s="5" t="s">
        <v>43</v>
      </c>
      <c r="AD17" s="5"/>
      <c r="AE17" s="5"/>
      <c r="AF17" s="5"/>
      <c r="AG17" s="5"/>
    </row>
    <row r="18" spans="3:35" x14ac:dyDescent="0.3">
      <c r="C18" t="s">
        <v>7</v>
      </c>
      <c r="D18">
        <f>U*D17/(2*delta) + 1/(2*mu) * $H$11 * (D17^2-2*delta*D17)</f>
        <v>0.14500000000000002</v>
      </c>
      <c r="E18">
        <f>U*E17/(2*delta) + 1/(2*mu) * $H$11 * (E17^2-2*delta*E17)</f>
        <v>0.40499999999999997</v>
      </c>
      <c r="F18">
        <f>U*F17/(2*delta) + 1/(2*mu) * $H$11 * (F17^2-2*delta*F17)</f>
        <v>0.625</v>
      </c>
      <c r="G18">
        <f>U*G17/(2*delta) + 1/(2*mu) * $H$11 * (G17^2-2*delta*G17)</f>
        <v>0.80499999999999994</v>
      </c>
      <c r="H18">
        <f>U*H17/(2*delta) + 1/(2*mu) * $H$11 * (H17^2-2*delta*H17)</f>
        <v>0.94500000000000006</v>
      </c>
      <c r="AC18" s="6">
        <f>W11-2*D30</f>
        <v>-5.8610720800686925E-2</v>
      </c>
      <c r="AD18" s="6">
        <f t="shared" ref="AD18:AG18" si="6">X11-2*E30</f>
        <v>-6.7283485455657377E-2</v>
      </c>
      <c r="AE18" s="6">
        <f t="shared" si="6"/>
        <v>-7.2105071591581485E-2</v>
      </c>
      <c r="AF18" s="6">
        <f t="shared" si="6"/>
        <v>-7.3387334858965397E-2</v>
      </c>
      <c r="AG18" s="6">
        <f t="shared" si="6"/>
        <v>-7.6162072047864682E-2</v>
      </c>
    </row>
    <row r="20" spans="3:35" x14ac:dyDescent="0.3">
      <c r="C20" t="s">
        <v>17</v>
      </c>
      <c r="D20">
        <v>0.02</v>
      </c>
      <c r="E20">
        <v>0.02</v>
      </c>
      <c r="F20">
        <v>0.02</v>
      </c>
      <c r="G20">
        <v>0.02</v>
      </c>
      <c r="H20">
        <v>0.02</v>
      </c>
      <c r="J20" t="s">
        <v>12</v>
      </c>
      <c r="U20" s="4" t="s">
        <v>29</v>
      </c>
      <c r="V20" s="4"/>
      <c r="W20" s="4"/>
      <c r="X20" s="4"/>
      <c r="Y20" s="4"/>
      <c r="AC20" s="5" t="s">
        <v>44</v>
      </c>
      <c r="AD20" s="5"/>
      <c r="AE20" s="5"/>
      <c r="AF20" s="5"/>
      <c r="AG20" s="5"/>
    </row>
    <row r="21" spans="3:35" x14ac:dyDescent="0.3">
      <c r="J21">
        <v>0.05</v>
      </c>
      <c r="K21">
        <v>0.15</v>
      </c>
      <c r="L21">
        <v>0.25</v>
      </c>
      <c r="M21">
        <v>0.35</v>
      </c>
      <c r="N21">
        <v>0.45</v>
      </c>
      <c r="O21">
        <v>0.55000000000000004</v>
      </c>
      <c r="P21">
        <v>0.65</v>
      </c>
      <c r="Q21">
        <v>0.75</v>
      </c>
      <c r="R21">
        <v>0.85</v>
      </c>
      <c r="S21">
        <v>0.95</v>
      </c>
      <c r="U21">
        <v>0.1</v>
      </c>
      <c r="V21">
        <v>0.3</v>
      </c>
      <c r="W21">
        <v>0.5</v>
      </c>
      <c r="X21">
        <v>0.7</v>
      </c>
      <c r="Y21">
        <v>0.9</v>
      </c>
      <c r="AC21" s="6">
        <f>W11+2*D30</f>
        <v>6.054872080068692E-2</v>
      </c>
      <c r="AD21" s="6">
        <f t="shared" ref="AD21:AG21" si="7">X11+2*E30</f>
        <v>6.5565485455657491E-2</v>
      </c>
      <c r="AE21" s="6">
        <f t="shared" si="7"/>
        <v>6.8955071591581499E-2</v>
      </c>
      <c r="AF21" s="6">
        <f t="shared" si="7"/>
        <v>7.1029334858965315E-2</v>
      </c>
      <c r="AG21" s="6">
        <f t="shared" si="7"/>
        <v>7.6820072047864507E-2</v>
      </c>
    </row>
    <row r="22" spans="3:35" x14ac:dyDescent="0.3">
      <c r="C22" t="s">
        <v>18</v>
      </c>
      <c r="D22">
        <f>0.02+0.01*D18</f>
        <v>2.145E-2</v>
      </c>
      <c r="E22">
        <f t="shared" ref="E22:H22" si="8">0.02+0.01*E18</f>
        <v>2.4050000000000002E-2</v>
      </c>
      <c r="F22">
        <f t="shared" si="8"/>
        <v>2.6250000000000002E-2</v>
      </c>
      <c r="G22">
        <f t="shared" si="8"/>
        <v>2.8049999999999999E-2</v>
      </c>
      <c r="H22">
        <f t="shared" si="8"/>
        <v>2.945E-2</v>
      </c>
      <c r="J22">
        <v>7.4744389999999994E-2</v>
      </c>
      <c r="K22">
        <v>0.21430405</v>
      </c>
      <c r="L22">
        <v>0.34381970000000001</v>
      </c>
      <c r="M22">
        <v>0.46322103999999997</v>
      </c>
      <c r="N22">
        <v>0.57254676000000004</v>
      </c>
      <c r="O22">
        <v>0.67197852999999996</v>
      </c>
      <c r="P22">
        <v>0.76179306999999996</v>
      </c>
      <c r="Q22">
        <v>0.84221409999999997</v>
      </c>
      <c r="R22">
        <v>0.91342548000000001</v>
      </c>
      <c r="S22">
        <v>0.97532485999999996</v>
      </c>
      <c r="U22">
        <f>-0.4861*AE27^2+1.4853*AE27+0.0023</f>
        <v>0.14596900000000002</v>
      </c>
      <c r="V22">
        <f>-0.4861*AF27^2+1.4853*AF27+0.0023</f>
        <v>0.40414100000000003</v>
      </c>
      <c r="W22">
        <f>-0.4861*AG27^2+1.4853*AG27+0.0023</f>
        <v>0.62342500000000001</v>
      </c>
      <c r="X22">
        <f>-0.4861*AH27^2+1.4853*AH27+0.0023</f>
        <v>0.8038209999999999</v>
      </c>
      <c r="Y22">
        <f>-0.4861*AI27^2+1.4853*AI27+0.0023</f>
        <v>0.94532899999999997</v>
      </c>
    </row>
    <row r="23" spans="3:35" x14ac:dyDescent="0.3">
      <c r="AC23" s="5" t="s">
        <v>45</v>
      </c>
      <c r="AD23" s="5"/>
      <c r="AE23" s="5"/>
      <c r="AF23" s="5"/>
      <c r="AG23" s="5"/>
    </row>
    <row r="24" spans="3:35" x14ac:dyDescent="0.3">
      <c r="C24" s="6" t="s">
        <v>19</v>
      </c>
      <c r="D24" s="6">
        <f>SQRT(D20^2+D22^2)</f>
        <v>2.9327504155655659E-2</v>
      </c>
      <c r="E24" s="6">
        <f t="shared" ref="E24:H24" si="9">SQRT(E20^2+E22^2)</f>
        <v>3.1279426145631256E-2</v>
      </c>
      <c r="F24" s="6">
        <f t="shared" si="9"/>
        <v>3.3000946956110215E-2</v>
      </c>
      <c r="G24" s="6">
        <f t="shared" si="9"/>
        <v>3.4450000000000001E-2</v>
      </c>
      <c r="H24" s="6">
        <f t="shared" si="9"/>
        <v>3.5599192406570127E-2</v>
      </c>
      <c r="AC24" s="6">
        <f>2*D30</f>
        <v>5.9579720800686922E-2</v>
      </c>
      <c r="AD24" s="6">
        <f t="shared" ref="AD24:AG24" si="10">2*E30</f>
        <v>6.6424485455657434E-2</v>
      </c>
      <c r="AE24" s="6">
        <f t="shared" si="10"/>
        <v>7.0530071591581492E-2</v>
      </c>
      <c r="AF24" s="6">
        <f t="shared" si="10"/>
        <v>7.2208334858965356E-2</v>
      </c>
      <c r="AG24" s="6">
        <f t="shared" si="10"/>
        <v>7.6491072047864594E-2</v>
      </c>
    </row>
    <row r="26" spans="3:35" x14ac:dyDescent="0.3">
      <c r="C26" s="6" t="s">
        <v>15</v>
      </c>
      <c r="D26" s="6">
        <f>W15/2</f>
        <v>2.2918958333333073E-4</v>
      </c>
      <c r="E26" s="6">
        <f>X15/2</f>
        <v>2.8389583333334378E-4</v>
      </c>
      <c r="F26" s="6">
        <f>Y15/2</f>
        <v>7.5343333333334028E-4</v>
      </c>
      <c r="G26" s="6">
        <f>Z15/2</f>
        <v>1.198681249999986E-3</v>
      </c>
      <c r="H26" s="6">
        <f>AA15/2</f>
        <v>7.612645833333469E-4</v>
      </c>
      <c r="J26" t="s">
        <v>13</v>
      </c>
      <c r="AE26" s="4" t="s">
        <v>29</v>
      </c>
      <c r="AF26" s="4"/>
      <c r="AG26" s="4"/>
      <c r="AH26" s="4"/>
      <c r="AI26" s="4"/>
    </row>
    <row r="27" spans="3:35" x14ac:dyDescent="0.3">
      <c r="J27">
        <v>2.5000000000000001E-2</v>
      </c>
      <c r="K27">
        <v>7.4999999999999997E-2</v>
      </c>
      <c r="L27">
        <v>0.125</v>
      </c>
      <c r="M27">
        <v>0.17499999999999999</v>
      </c>
      <c r="N27">
        <v>0.22500000000000001</v>
      </c>
      <c r="O27">
        <v>0.27500000000000002</v>
      </c>
      <c r="P27">
        <v>0.32500000000000001</v>
      </c>
      <c r="Q27">
        <v>0.375</v>
      </c>
      <c r="R27">
        <v>0.42499999999999999</v>
      </c>
      <c r="S27">
        <v>0.47499999999999998</v>
      </c>
      <c r="T27">
        <v>0.52500000000000002</v>
      </c>
      <c r="U27">
        <v>0.57499999999999996</v>
      </c>
      <c r="V27">
        <v>0.625</v>
      </c>
      <c r="W27">
        <v>0.67500000000000004</v>
      </c>
      <c r="X27">
        <v>0.72499999999999998</v>
      </c>
      <c r="Y27">
        <v>0.77500000000000002</v>
      </c>
      <c r="Z27">
        <v>0.82499999999999996</v>
      </c>
      <c r="AA27">
        <v>0.875</v>
      </c>
      <c r="AB27">
        <v>0.92500000000000004</v>
      </c>
      <c r="AC27">
        <v>0.97499999999999998</v>
      </c>
      <c r="AE27">
        <v>0.1</v>
      </c>
      <c r="AF27">
        <v>0.3</v>
      </c>
      <c r="AG27">
        <v>0.5</v>
      </c>
      <c r="AH27">
        <v>0.7</v>
      </c>
      <c r="AI27">
        <v>0.9</v>
      </c>
    </row>
    <row r="28" spans="3:35" x14ac:dyDescent="0.3">
      <c r="C28" s="6" t="s">
        <v>30</v>
      </c>
      <c r="D28" s="6">
        <f>Feuil2!D10</f>
        <v>5.223098199999999E-3</v>
      </c>
      <c r="E28" s="6">
        <f>Feuil2!E10</f>
        <v>1.1161091799999997E-2</v>
      </c>
      <c r="F28" s="6">
        <f>Feuil2!F10</f>
        <v>1.2409374999999992E-2</v>
      </c>
      <c r="G28" s="6">
        <f>Feuil2!G10</f>
        <v>1.0736459800000006E-2</v>
      </c>
      <c r="H28" s="6">
        <f>Feuil2!H10</f>
        <v>1.3958474199999992E-2</v>
      </c>
      <c r="J28">
        <v>3.7555680000000001E-2</v>
      </c>
      <c r="K28">
        <v>0.11015303</v>
      </c>
      <c r="L28">
        <v>0.18022560000000001</v>
      </c>
      <c r="M28">
        <v>0.24776148000000001</v>
      </c>
      <c r="N28">
        <v>0.31274988999999997</v>
      </c>
      <c r="O28">
        <v>0.37518323999999997</v>
      </c>
      <c r="P28">
        <v>0.43505874999999999</v>
      </c>
      <c r="Q28">
        <v>0.49237985000000001</v>
      </c>
      <c r="R28">
        <v>0.54715720999999995</v>
      </c>
      <c r="S28">
        <v>0.59940886000000004</v>
      </c>
      <c r="T28">
        <v>0.64915937999999995</v>
      </c>
      <c r="U28">
        <v>0.69643770000000005</v>
      </c>
      <c r="V28">
        <v>0.74127377000000005</v>
      </c>
      <c r="W28">
        <v>0.78369445000000004</v>
      </c>
      <c r="X28">
        <v>0.82371881000000002</v>
      </c>
      <c r="Y28">
        <v>0.86135295999999995</v>
      </c>
      <c r="Z28">
        <v>0.89658848999999996</v>
      </c>
      <c r="AA28">
        <v>0.92941616999999999</v>
      </c>
      <c r="AB28">
        <v>0.95982349</v>
      </c>
      <c r="AC28">
        <v>0.98761893999999995</v>
      </c>
      <c r="AE28">
        <f>-0.4962*AE27^2+1.4951*AE27+0.0011</f>
        <v>0.145648</v>
      </c>
      <c r="AF28">
        <f>-0.4962*AF27^2+1.4951*AF27+0.0011</f>
        <v>0.40497200000000005</v>
      </c>
      <c r="AG28">
        <f>-0.4962*AG27^2+1.4951*AG27+0.0011</f>
        <v>0.62460000000000004</v>
      </c>
      <c r="AH28">
        <f>-0.4962*AH27^2+1.4951*AH27+0.0011</f>
        <v>0.80453200000000002</v>
      </c>
      <c r="AI28">
        <f>-0.4962*AI27^2+1.4951*AI27+0.0011</f>
        <v>0.94476800000000005</v>
      </c>
    </row>
    <row r="30" spans="3:35" x14ac:dyDescent="0.3">
      <c r="C30" s="6" t="s">
        <v>31</v>
      </c>
      <c r="D30" s="6">
        <f>SQRT(D24^2+D26^2+D28^2)</f>
        <v>2.9789860400343461E-2</v>
      </c>
      <c r="E30" s="6">
        <f t="shared" ref="E30:H30" si="11">SQRT(E24^2+E26^2+E28^2)</f>
        <v>3.3212242727828717E-2</v>
      </c>
      <c r="F30" s="6">
        <f t="shared" si="11"/>
        <v>3.5265035795790746E-2</v>
      </c>
      <c r="G30" s="6">
        <f t="shared" si="11"/>
        <v>3.6104167429482678E-2</v>
      </c>
      <c r="H30" s="6">
        <f t="shared" si="11"/>
        <v>3.8245536023932297E-2</v>
      </c>
      <c r="J30" t="s">
        <v>33</v>
      </c>
      <c r="K30" t="s">
        <v>6</v>
      </c>
      <c r="L30" t="s">
        <v>20</v>
      </c>
      <c r="M30" t="s">
        <v>35</v>
      </c>
      <c r="N30" t="s">
        <v>34</v>
      </c>
      <c r="O30" t="s">
        <v>36</v>
      </c>
    </row>
    <row r="31" spans="3:35" x14ac:dyDescent="0.3">
      <c r="C31" s="7" t="s">
        <v>32</v>
      </c>
      <c r="D31" s="7">
        <f>D30/D18</f>
        <v>0.20544731310581696</v>
      </c>
      <c r="E31" s="7">
        <f t="shared" ref="E31:H31" si="12">E30/E18</f>
        <v>8.2005537599577086E-2</v>
      </c>
      <c r="F31" s="7">
        <f t="shared" si="12"/>
        <v>5.6424057273265195E-2</v>
      </c>
      <c r="G31" s="7">
        <f t="shared" si="12"/>
        <v>4.4849897427928796E-2</v>
      </c>
      <c r="H31" s="7">
        <f t="shared" si="12"/>
        <v>4.0471466691991843E-2</v>
      </c>
      <c r="K31">
        <v>0</v>
      </c>
      <c r="L31">
        <f>0.1628*K31^4-0.4054*K31^3+0.3754*K31^2-0.148*K31+0.0181</f>
        <v>1.8100000000000002E-2</v>
      </c>
      <c r="M31">
        <f>4.1754*K31^4-10.319*K31^3+9.4172*K31^2-3.8708*K31+0.7204</f>
        <v>0.72040000000000004</v>
      </c>
      <c r="N31">
        <f>-3.8497*K31^4+9.5086*K31^3-8.6664*K31^2+3.5748*K31-0.6842</f>
        <v>-0.68420000000000003</v>
      </c>
      <c r="O31">
        <f>-N31-L31</f>
        <v>0.66610000000000003</v>
      </c>
    </row>
    <row r="32" spans="3:35" x14ac:dyDescent="0.3">
      <c r="K32">
        <v>1</v>
      </c>
      <c r="L32">
        <f>0.1628*K32^4-0.4054*K32^3+0.3754*K32^2-0.148*K32+0.0181</f>
        <v>2.900000000000038E-3</v>
      </c>
      <c r="M32">
        <f>4.1754*K32^4-10.319*K32^3+9.4172*K32^2-3.8708*K32+0.7204</f>
        <v>0.12319999999999831</v>
      </c>
      <c r="N32">
        <f>-3.8497*K32^4+9.5086*K32^3-8.6664*K32^2+3.5748*K32-0.6842</f>
        <v>-0.11690000000000011</v>
      </c>
      <c r="O32">
        <f>-N32-L32</f>
        <v>0.11400000000000007</v>
      </c>
    </row>
    <row r="33" spans="11:15" x14ac:dyDescent="0.3">
      <c r="K33">
        <v>0.2</v>
      </c>
      <c r="L33">
        <f>0.1628*K33^4-0.4054*K33^3+0.3754*K33^2-0.148*K33+0.0181</f>
        <v>5.3328000000000056E-4</v>
      </c>
      <c r="M33">
        <f>4.1754*K33^4-10.319*K33^3+9.4172*K33^2-3.8708*K33+0.7204</f>
        <v>0.24705663999999994</v>
      </c>
      <c r="N33">
        <f>-3.8497*K33^4+9.5086*K33^3-8.6664*K33^2+3.5748*K33-0.6842</f>
        <v>-0.24598671999999999</v>
      </c>
      <c r="O33">
        <f>-N33-L33</f>
        <v>0.24545343999999999</v>
      </c>
    </row>
  </sheetData>
  <mergeCells count="11">
    <mergeCell ref="U20:Y20"/>
    <mergeCell ref="AE26:AI26"/>
    <mergeCell ref="W7:AA7"/>
    <mergeCell ref="W14:AA14"/>
    <mergeCell ref="AC7:AG7"/>
    <mergeCell ref="AC10:AG10"/>
    <mergeCell ref="W10:AA10"/>
    <mergeCell ref="AC13:AG13"/>
    <mergeCell ref="AC17:AG17"/>
    <mergeCell ref="AC20:AG20"/>
    <mergeCell ref="AC23:AG23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074-0438-4E4F-A90D-D4CB97F810BE}">
  <dimension ref="D4:M10"/>
  <sheetViews>
    <sheetView topLeftCell="C1" zoomScaleNormal="100" workbookViewId="0">
      <selection activeCell="J11" sqref="J11"/>
    </sheetView>
  </sheetViews>
  <sheetFormatPr baseColWidth="10" defaultRowHeight="14.4" x14ac:dyDescent="0.3"/>
  <sheetData>
    <row r="4" spans="4:13" x14ac:dyDescent="0.3">
      <c r="D4">
        <v>0.05</v>
      </c>
      <c r="E4">
        <v>0.15</v>
      </c>
      <c r="F4">
        <v>0.25</v>
      </c>
      <c r="G4">
        <v>0.35</v>
      </c>
      <c r="H4">
        <v>0.45</v>
      </c>
      <c r="I4">
        <v>0.55000000000000004</v>
      </c>
      <c r="J4">
        <v>0.65</v>
      </c>
      <c r="K4">
        <v>0.75</v>
      </c>
      <c r="L4">
        <v>0.85</v>
      </c>
      <c r="M4">
        <v>0.95</v>
      </c>
    </row>
    <row r="5" spans="4:13" x14ac:dyDescent="0.3">
      <c r="D5">
        <v>7.5039999999999996E-2</v>
      </c>
      <c r="E5">
        <v>0.21501000000000001</v>
      </c>
      <c r="F5">
        <v>0.34473999999999999</v>
      </c>
      <c r="G5">
        <v>0.46412999999999999</v>
      </c>
      <c r="H5">
        <v>0.57325000000000004</v>
      </c>
      <c r="I5">
        <v>0.67229000000000005</v>
      </c>
      <c r="J5">
        <v>0.76170000000000004</v>
      </c>
      <c r="K5">
        <v>0.84187999999999996</v>
      </c>
      <c r="L5">
        <v>0.91308999999999996</v>
      </c>
      <c r="M5">
        <v>0.97460000000000002</v>
      </c>
    </row>
    <row r="6" spans="4:13" x14ac:dyDescent="0.3">
      <c r="D6">
        <v>2.81E-3</v>
      </c>
      <c r="E6">
        <v>7.1199999999999996E-3</v>
      </c>
      <c r="F6">
        <v>1.013E-2</v>
      </c>
      <c r="G6">
        <v>1.189E-2</v>
      </c>
      <c r="H6">
        <v>1.248E-2</v>
      </c>
      <c r="I6">
        <v>1.208E-2</v>
      </c>
      <c r="J6">
        <v>1.1129999999999999E-2</v>
      </c>
      <c r="K6">
        <v>1.0619999999999999E-2</v>
      </c>
      <c r="L6">
        <v>1.218E-2</v>
      </c>
      <c r="M6">
        <v>1.6670000000000001E-2</v>
      </c>
    </row>
    <row r="8" spans="4:13" x14ac:dyDescent="0.3">
      <c r="D8">
        <v>0.1</v>
      </c>
      <c r="E8">
        <v>0.3</v>
      </c>
      <c r="F8">
        <v>0.5</v>
      </c>
      <c r="G8">
        <v>0.7</v>
      </c>
      <c r="H8">
        <v>0.9</v>
      </c>
    </row>
    <row r="9" spans="4:13" x14ac:dyDescent="0.3">
      <c r="D9">
        <f>-0.4895*D8*D8+1.4871*D8+0.0028</f>
        <v>0.146615</v>
      </c>
      <c r="E9">
        <f t="shared" ref="E9:H9" si="0">-0.4895*E8*E8+1.4871*E8+0.0028</f>
        <v>0.40487500000000004</v>
      </c>
      <c r="F9">
        <f t="shared" si="0"/>
        <v>0.62397500000000006</v>
      </c>
      <c r="G9">
        <f t="shared" si="0"/>
        <v>0.80391500000000005</v>
      </c>
      <c r="H9">
        <f t="shared" si="0"/>
        <v>0.94469500000000017</v>
      </c>
    </row>
    <row r="10" spans="4:13" x14ac:dyDescent="0.3">
      <c r="D10">
        <f>-0.3278*D8^6+1.0096*D8^5-1.0717*D8^4+0.5335*D8^3-0.1923*D8^2+0.0691*D8-0.0002</f>
        <v>5.223098199999999E-3</v>
      </c>
      <c r="E10">
        <f t="shared" ref="E10:H10" si="1">-0.3278*E8^6+1.0096*E8^5-1.0717*E8^4+0.5335*E8^3-0.1923*E8^2+0.0691*E8-0.0002</f>
        <v>1.1161091799999997E-2</v>
      </c>
      <c r="F10">
        <f t="shared" si="1"/>
        <v>1.2409374999999992E-2</v>
      </c>
      <c r="G10">
        <f t="shared" si="1"/>
        <v>1.0736459800000006E-2</v>
      </c>
      <c r="H10">
        <f t="shared" si="1"/>
        <v>1.3958474199999992E-2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Feuil1</vt:lpstr>
      <vt:lpstr>Feuil2</vt:lpstr>
      <vt:lpstr>a</vt:lpstr>
      <vt:lpstr>delta</vt:lpstr>
      <vt:lpstr>dpdx</vt:lpstr>
      <vt:lpstr>mu</vt:lpstr>
      <vt:lpstr>P</vt:lpstr>
      <vt:lpstr>Re</vt:lpstr>
      <vt:lpstr>rho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Bertucci</dc:creator>
  <cp:lastModifiedBy>Marc Bertucci</cp:lastModifiedBy>
  <dcterms:created xsi:type="dcterms:W3CDTF">2025-04-08T17:39:05Z</dcterms:created>
  <dcterms:modified xsi:type="dcterms:W3CDTF">2025-04-12T22:38:16Z</dcterms:modified>
</cp:coreProperties>
</file>