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hmed\Desktop\Graduation-project\development\06-Truss calculations\"/>
    </mc:Choice>
  </mc:AlternateContent>
  <bookViews>
    <workbookView xWindow="0" yWindow="0" windowWidth="11970" windowHeight="4755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42" i="1" l="1"/>
  <c r="X43" i="1"/>
  <c r="X44" i="1"/>
  <c r="X45" i="1"/>
  <c r="X46" i="1"/>
  <c r="AA46" i="1" s="1"/>
  <c r="AB46" i="1" s="1"/>
  <c r="X47" i="1"/>
  <c r="X48" i="1"/>
  <c r="X49" i="1"/>
  <c r="X41" i="1"/>
  <c r="V49" i="1"/>
  <c r="V42" i="1"/>
  <c r="Y42" i="1" s="1"/>
  <c r="V43" i="1"/>
  <c r="AA43" i="1" s="1"/>
  <c r="AB43" i="1" s="1"/>
  <c r="V44" i="1"/>
  <c r="V45" i="1"/>
  <c r="V46" i="1"/>
  <c r="V47" i="1"/>
  <c r="V48" i="1"/>
  <c r="V41" i="1"/>
  <c r="E42" i="1"/>
  <c r="R42" i="1"/>
  <c r="W42" i="1" s="1"/>
  <c r="S42" i="1"/>
  <c r="T42" i="1"/>
  <c r="U42" i="1"/>
  <c r="E43" i="1"/>
  <c r="R43" i="1"/>
  <c r="W43" i="1" s="1"/>
  <c r="S43" i="1"/>
  <c r="T43" i="1"/>
  <c r="U43" i="1"/>
  <c r="E44" i="1"/>
  <c r="R44" i="1"/>
  <c r="W44" i="1" s="1"/>
  <c r="S44" i="1"/>
  <c r="T44" i="1"/>
  <c r="U44" i="1"/>
  <c r="E45" i="1"/>
  <c r="R45" i="1"/>
  <c r="W45" i="1" s="1"/>
  <c r="S45" i="1"/>
  <c r="T45" i="1"/>
  <c r="U45" i="1"/>
  <c r="E46" i="1"/>
  <c r="R46" i="1"/>
  <c r="W46" i="1" s="1"/>
  <c r="S46" i="1"/>
  <c r="T46" i="1"/>
  <c r="U46" i="1"/>
  <c r="E47" i="1"/>
  <c r="R47" i="1"/>
  <c r="W47" i="1" s="1"/>
  <c r="S47" i="1"/>
  <c r="T47" i="1"/>
  <c r="U47" i="1"/>
  <c r="E48" i="1"/>
  <c r="R48" i="1"/>
  <c r="W48" i="1" s="1"/>
  <c r="S48" i="1"/>
  <c r="T48" i="1"/>
  <c r="U48" i="1"/>
  <c r="E49" i="1"/>
  <c r="R49" i="1"/>
  <c r="W49" i="1" s="1"/>
  <c r="S49" i="1"/>
  <c r="T49" i="1"/>
  <c r="U49" i="1"/>
  <c r="E41" i="1"/>
  <c r="U41" i="1"/>
  <c r="T41" i="1"/>
  <c r="S41" i="1"/>
  <c r="R41" i="1"/>
  <c r="W41" i="1" s="1"/>
  <c r="AA47" i="1" l="1"/>
  <c r="AB47" i="1" s="1"/>
  <c r="AA45" i="1"/>
  <c r="AB45" i="1" s="1"/>
  <c r="Y44" i="1"/>
  <c r="AA44" i="1"/>
  <c r="AB44" i="1" s="1"/>
  <c r="AA48" i="1"/>
  <c r="AB48" i="1" s="1"/>
  <c r="AA49" i="1"/>
  <c r="AB49" i="1" s="1"/>
  <c r="Y47" i="1"/>
  <c r="Y49" i="1"/>
  <c r="Z44" i="1"/>
  <c r="Y43" i="1"/>
  <c r="Y41" i="1"/>
  <c r="Y48" i="1"/>
  <c r="Y45" i="1"/>
  <c r="Y46" i="1"/>
  <c r="C31" i="1"/>
  <c r="D31" i="1"/>
  <c r="E31" i="1"/>
  <c r="F31" i="1"/>
  <c r="G31" i="1"/>
  <c r="H31" i="1"/>
  <c r="I31" i="1"/>
  <c r="J31" i="1"/>
  <c r="K31" i="1"/>
  <c r="B31" i="1"/>
  <c r="C15" i="1"/>
  <c r="D15" i="1"/>
  <c r="E15" i="1"/>
  <c r="F15" i="1"/>
  <c r="G15" i="1"/>
  <c r="H15" i="1"/>
  <c r="I15" i="1"/>
  <c r="J15" i="1"/>
  <c r="K15" i="1"/>
  <c r="B15" i="1"/>
  <c r="C6" i="1"/>
  <c r="D6" i="1"/>
  <c r="E6" i="1"/>
  <c r="F6" i="1"/>
  <c r="G6" i="1"/>
  <c r="H6" i="1"/>
  <c r="I6" i="1"/>
  <c r="J6" i="1"/>
  <c r="K6" i="1"/>
  <c r="B6" i="1"/>
  <c r="G44" i="1" l="1"/>
  <c r="Z45" i="1"/>
  <c r="G45" i="1"/>
  <c r="Z42" i="1"/>
  <c r="Z46" i="1"/>
  <c r="H46" i="1" s="1"/>
  <c r="G46" i="1"/>
  <c r="Z43" i="1"/>
  <c r="H43" i="1" s="1"/>
  <c r="G43" i="1"/>
  <c r="Z49" i="1"/>
  <c r="H49" i="1" s="1"/>
  <c r="G49" i="1"/>
  <c r="F49" i="1" s="1"/>
  <c r="Z48" i="1"/>
  <c r="H48" i="1" s="1"/>
  <c r="G48" i="1"/>
  <c r="Z47" i="1"/>
  <c r="H47" i="1" s="1"/>
  <c r="G47" i="1"/>
  <c r="Z41" i="1"/>
  <c r="H45" i="1"/>
  <c r="H44" i="1"/>
  <c r="F44" i="1" s="1"/>
  <c r="C32" i="1"/>
  <c r="D32" i="1"/>
  <c r="E32" i="1"/>
  <c r="F32" i="1"/>
  <c r="G32" i="1"/>
  <c r="H32" i="1"/>
  <c r="I32" i="1"/>
  <c r="J32" i="1"/>
  <c r="K32" i="1"/>
  <c r="B32" i="1"/>
  <c r="F47" i="1" l="1"/>
  <c r="F45" i="1"/>
  <c r="F43" i="1"/>
  <c r="F46" i="1"/>
  <c r="F48" i="1"/>
  <c r="C25" i="1"/>
  <c r="C26" i="1" s="1"/>
  <c r="D25" i="1"/>
  <c r="D26" i="1" s="1"/>
  <c r="E25" i="1"/>
  <c r="E26" i="1" s="1"/>
  <c r="F25" i="1"/>
  <c r="F26" i="1" s="1"/>
  <c r="G25" i="1"/>
  <c r="G26" i="1" s="1"/>
  <c r="H25" i="1"/>
  <c r="H26" i="1" s="1"/>
  <c r="I25" i="1"/>
  <c r="I26" i="1" s="1"/>
  <c r="J25" i="1"/>
  <c r="J26" i="1" s="1"/>
  <c r="K25" i="1"/>
  <c r="K26" i="1" s="1"/>
  <c r="B25" i="1"/>
  <c r="B26" i="1" s="1"/>
  <c r="C11" i="1"/>
  <c r="D11" i="1"/>
  <c r="E11" i="1"/>
  <c r="F11" i="1"/>
  <c r="G11" i="1"/>
  <c r="H11" i="1"/>
  <c r="I11" i="1"/>
  <c r="J11" i="1"/>
  <c r="K11" i="1"/>
  <c r="H12" i="1" l="1"/>
  <c r="H13" i="1"/>
  <c r="H19" i="1"/>
  <c r="H20" i="1" s="1"/>
  <c r="H16" i="1"/>
  <c r="G12" i="1"/>
  <c r="G19" i="1"/>
  <c r="G20" i="1" s="1"/>
  <c r="G13" i="1"/>
  <c r="G16" i="1"/>
  <c r="J12" i="1"/>
  <c r="J16" i="1"/>
  <c r="J13" i="1"/>
  <c r="J19" i="1"/>
  <c r="J20" i="1" s="1"/>
  <c r="F12" i="1"/>
  <c r="F19" i="1"/>
  <c r="F20" i="1" s="1"/>
  <c r="F13" i="1"/>
  <c r="F16" i="1"/>
  <c r="I12" i="1"/>
  <c r="I19" i="1"/>
  <c r="I20" i="1" s="1"/>
  <c r="I13" i="1"/>
  <c r="I16" i="1"/>
  <c r="K12" i="1"/>
  <c r="K16" i="1"/>
  <c r="K19" i="1"/>
  <c r="K20" i="1" s="1"/>
  <c r="K13" i="1"/>
  <c r="E12" i="1"/>
  <c r="E13" i="1"/>
  <c r="E19" i="1"/>
  <c r="E20" i="1" s="1"/>
  <c r="E16" i="1"/>
  <c r="D12" i="1"/>
  <c r="D19" i="1"/>
  <c r="D20" i="1" s="1"/>
  <c r="D13" i="1"/>
  <c r="D16" i="1"/>
  <c r="C12" i="1"/>
  <c r="C16" i="1"/>
  <c r="C19" i="1"/>
  <c r="C20" i="1" s="1"/>
  <c r="C13" i="1"/>
  <c r="L26" i="1"/>
  <c r="K14" i="1" l="1"/>
  <c r="K17" i="1" s="1"/>
  <c r="K18" i="1" s="1"/>
  <c r="J14" i="1"/>
  <c r="J17" i="1" s="1"/>
  <c r="J18" i="1" s="1"/>
  <c r="I14" i="1"/>
  <c r="I17" i="1" s="1"/>
  <c r="I18" i="1" s="1"/>
  <c r="H14" i="1"/>
  <c r="H17" i="1" s="1"/>
  <c r="H18" i="1" s="1"/>
  <c r="G14" i="1"/>
  <c r="G17" i="1" s="1"/>
  <c r="G18" i="1" s="1"/>
  <c r="F14" i="1"/>
  <c r="F17" i="1" s="1"/>
  <c r="F18" i="1" s="1"/>
  <c r="E14" i="1"/>
  <c r="E17" i="1" s="1"/>
  <c r="E18" i="1" s="1"/>
  <c r="D14" i="1"/>
  <c r="D17" i="1" s="1"/>
  <c r="D18" i="1" s="1"/>
  <c r="C14" i="1"/>
  <c r="C17" i="1" s="1"/>
  <c r="C18" i="1" s="1"/>
  <c r="B11" i="1" l="1"/>
  <c r="B12" i="1" l="1"/>
  <c r="B16" i="1"/>
  <c r="B19" i="1"/>
  <c r="B20" i="1" s="1"/>
  <c r="B13" i="1"/>
  <c r="L12" i="1" l="1"/>
  <c r="B27" i="1" s="1"/>
  <c r="B14" i="1"/>
  <c r="B17" i="1" s="1"/>
  <c r="B18" i="1" s="1"/>
  <c r="AA41" i="1"/>
  <c r="G41" i="1" s="1"/>
  <c r="AA42" i="1"/>
  <c r="AB42" i="1" l="1"/>
  <c r="H42" i="1" s="1"/>
  <c r="G42" i="1"/>
  <c r="AB41" i="1"/>
  <c r="H41" i="1" s="1"/>
  <c r="F41" i="1"/>
  <c r="F42" i="1" l="1"/>
</calcChain>
</file>

<file path=xl/sharedStrings.xml><?xml version="1.0" encoding="utf-8"?>
<sst xmlns="http://schemas.openxmlformats.org/spreadsheetml/2006/main" count="91" uniqueCount="79">
  <si>
    <t>number</t>
  </si>
  <si>
    <t>sum</t>
  </si>
  <si>
    <t>box sections weight equals</t>
  </si>
  <si>
    <t>%</t>
  </si>
  <si>
    <t xml:space="preserve">welding thickness mm </t>
  </si>
  <si>
    <t xml:space="preserve">angles volume mm3 </t>
  </si>
  <si>
    <t>angles area mm2</t>
  </si>
  <si>
    <t>angles thinckness    mm</t>
  </si>
  <si>
    <t xml:space="preserve">angles height    mm </t>
  </si>
  <si>
    <t>angles count</t>
  </si>
  <si>
    <t>box volume        mm3</t>
  </si>
  <si>
    <t>box area       mm2</t>
  </si>
  <si>
    <t>box thickness    mm</t>
  </si>
  <si>
    <t>box height      mm</t>
  </si>
  <si>
    <t>tension         tons</t>
  </si>
  <si>
    <t>compression      tons</t>
  </si>
  <si>
    <t>length           meter</t>
  </si>
  <si>
    <t>-</t>
  </si>
  <si>
    <t>welding length  cm</t>
  </si>
  <si>
    <t>K factor</t>
  </si>
  <si>
    <t>effective length meter</t>
  </si>
  <si>
    <t>Angles calculations</t>
  </si>
  <si>
    <t>Weld calculations</t>
  </si>
  <si>
    <t xml:space="preserve">λ max </t>
  </si>
  <si>
    <t>L / d</t>
  </si>
  <si>
    <t>applied tension stress</t>
  </si>
  <si>
    <t>applied compression stress</t>
  </si>
  <si>
    <t>allowable compression stress</t>
  </si>
  <si>
    <t>yield stress</t>
  </si>
  <si>
    <t>t/cm2</t>
  </si>
  <si>
    <t>radius of gyration i</t>
  </si>
  <si>
    <t>the calculations of angles not corrected , so the statistics of amount of steel saved is not true</t>
  </si>
  <si>
    <t>Tension applied/allowable %</t>
  </si>
  <si>
    <t>compression applied /allowable %</t>
  </si>
  <si>
    <t>laced column bracing elements</t>
  </si>
  <si>
    <t xml:space="preserve">gusset plate design </t>
  </si>
  <si>
    <t>title</t>
  </si>
  <si>
    <t>T1</t>
  </si>
  <si>
    <t>C1</t>
  </si>
  <si>
    <t>angle 1</t>
  </si>
  <si>
    <t>T2</t>
  </si>
  <si>
    <t>C2</t>
  </si>
  <si>
    <t>angle 2</t>
  </si>
  <si>
    <t>T3</t>
  </si>
  <si>
    <t>C3</t>
  </si>
  <si>
    <t>angle 3</t>
  </si>
  <si>
    <t>weld length</t>
  </si>
  <si>
    <t>L1</t>
  </si>
  <si>
    <t>Res. Axial , Case 1</t>
  </si>
  <si>
    <t>Res Axial case2</t>
  </si>
  <si>
    <t>Res shear , case 1</t>
  </si>
  <si>
    <t>Res shear case2</t>
  </si>
  <si>
    <t>C1 cons(a) - T2 cos(a) + C3 cos(a)</t>
  </si>
  <si>
    <t>T1 cons(a) - C2 cos(a) + T3 cos(a)</t>
  </si>
  <si>
    <t>T2 sin(a) + C3 sin(a)</t>
  </si>
  <si>
    <t>C2 sin(a) + T3 sin(a)</t>
  </si>
  <si>
    <t>combined stress</t>
  </si>
  <si>
    <t>weld area</t>
  </si>
  <si>
    <t>weld thickness</t>
  </si>
  <si>
    <t>case 2</t>
  </si>
  <si>
    <t>max stress</t>
  </si>
  <si>
    <t>max compined stress</t>
  </si>
  <si>
    <t>ultimate stress</t>
  </si>
  <si>
    <t>safety</t>
  </si>
  <si>
    <t>L2</t>
  </si>
  <si>
    <t>L3</t>
  </si>
  <si>
    <t>L4</t>
  </si>
  <si>
    <t>L5</t>
  </si>
  <si>
    <t>L6</t>
  </si>
  <si>
    <t>L7</t>
  </si>
  <si>
    <t>L8</t>
  </si>
  <si>
    <t>L9</t>
  </si>
  <si>
    <t>eccentricity</t>
  </si>
  <si>
    <t>moment , t.cm</t>
  </si>
  <si>
    <t>inertia , cm4</t>
  </si>
  <si>
    <t>axial stress</t>
  </si>
  <si>
    <t>case 1</t>
  </si>
  <si>
    <t>Moment due to eccentricity , case 1</t>
  </si>
  <si>
    <t>Moment due to eccentricity , case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</si>
</sst>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6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8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4" tint="0.59999389629810485"/>
        <bgColor indexed="65"/>
      </patternFill>
    </fill>
  </fills>
  <borders count="6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thin">
        <color theme="4" tint="0.39997558519241921"/>
      </bottom>
      <diagonal/>
    </border>
  </borders>
  <cellStyleXfs count="7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5" borderId="0" applyNumberFormat="0" applyBorder="0" applyAlignment="0" applyProtection="0"/>
    <xf numFmtId="0" fontId="4" fillId="6" borderId="0" applyNumberFormat="0" applyBorder="0" applyAlignment="0" applyProtection="0"/>
    <xf numFmtId="0" fontId="1" fillId="7" borderId="0" applyNumberFormat="0" applyBorder="0" applyAlignment="0" applyProtection="0"/>
    <xf numFmtId="0" fontId="6" fillId="0" borderId="0" applyNumberFormat="0" applyFill="0" applyBorder="0" applyAlignment="0" applyProtection="0"/>
  </cellStyleXfs>
  <cellXfs count="37">
    <xf numFmtId="0" fontId="0" fillId="0" borderId="0" xfId="0"/>
    <xf numFmtId="0" fontId="0" fillId="4" borderId="2" xfId="0" applyFont="1" applyFill="1" applyBorder="1"/>
    <xf numFmtId="0" fontId="0" fillId="0" borderId="4" xfId="0" applyFont="1" applyBorder="1"/>
    <xf numFmtId="0" fontId="0" fillId="4" borderId="4" xfId="0" applyFont="1" applyFill="1" applyBorder="1"/>
    <xf numFmtId="0" fontId="2" fillId="3" borderId="4" xfId="2" applyBorder="1"/>
    <xf numFmtId="0" fontId="2" fillId="3" borderId="3" xfId="2" applyBorder="1"/>
    <xf numFmtId="0" fontId="2" fillId="3" borderId="1" xfId="2" applyBorder="1"/>
    <xf numFmtId="0" fontId="2" fillId="3" borderId="0" xfId="2" applyBorder="1"/>
    <xf numFmtId="0" fontId="4" fillId="6" borderId="4" xfId="4" applyBorder="1"/>
    <xf numFmtId="0" fontId="1" fillId="2" borderId="0" xfId="1"/>
    <xf numFmtId="0" fontId="2" fillId="3" borderId="0" xfId="2" applyAlignment="1">
      <alignment horizontal="center" vertical="center" wrapText="1"/>
    </xf>
    <xf numFmtId="0" fontId="3" fillId="5" borderId="0" xfId="3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7" borderId="0" xfId="5" applyAlignment="1">
      <alignment horizontal="center" vertical="center"/>
    </xf>
    <xf numFmtId="0" fontId="1" fillId="7" borderId="0" xfId="5" applyAlignment="1">
      <alignment horizontal="center" vertical="center"/>
    </xf>
    <xf numFmtId="0" fontId="2" fillId="3" borderId="4" xfId="2" applyBorder="1" applyAlignment="1">
      <alignment horizontal="center" vertical="center" wrapText="1"/>
    </xf>
    <xf numFmtId="0" fontId="2" fillId="3" borderId="0" xfId="2" applyAlignment="1">
      <alignment horizontal="center" vertical="center" wrapText="1"/>
    </xf>
    <xf numFmtId="0" fontId="3" fillId="5" borderId="4" xfId="3" applyBorder="1" applyAlignment="1">
      <alignment horizontal="center" vertical="center"/>
    </xf>
    <xf numFmtId="0" fontId="3" fillId="5" borderId="0" xfId="3" applyAlignment="1">
      <alignment horizontal="center" vertical="center"/>
    </xf>
    <xf numFmtId="0" fontId="0" fillId="2" borderId="0" xfId="1" applyFont="1" applyAlignment="1">
      <alignment horizontal="center" vertical="center"/>
    </xf>
    <xf numFmtId="0" fontId="1" fillId="2" borderId="0" xfId="1" applyAlignment="1">
      <alignment horizontal="center" vertical="center"/>
    </xf>
    <xf numFmtId="0" fontId="1" fillId="2" borderId="5" xfId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7" borderId="0" xfId="5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4" fillId="6" borderId="0" xfId="4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0" fillId="7" borderId="0" xfId="5" applyFont="1" applyAlignment="1">
      <alignment horizontal="center" vertical="center"/>
    </xf>
    <xf numFmtId="0" fontId="0" fillId="7" borderId="0" xfId="5" applyFont="1" applyAlignment="1">
      <alignment horizontal="center" vertical="center"/>
    </xf>
    <xf numFmtId="0" fontId="6" fillId="0" borderId="0" xfId="6" applyAlignment="1">
      <alignment horizontal="center" wrapText="1"/>
    </xf>
    <xf numFmtId="0" fontId="6" fillId="0" borderId="0" xfId="6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/>
    </xf>
    <xf numFmtId="0" fontId="6" fillId="0" borderId="0" xfId="6" applyAlignment="1">
      <alignment horizontal="center" wrapText="1"/>
    </xf>
    <xf numFmtId="0" fontId="6" fillId="0" borderId="0" xfId="6" applyAlignment="1">
      <alignment horizontal="center" vertical="center" wrapText="1"/>
    </xf>
    <xf numFmtId="0" fontId="6" fillId="0" borderId="5" xfId="6" applyBorder="1" applyAlignment="1">
      <alignment horizontal="center" vertical="center" wrapText="1"/>
    </xf>
  </cellXfs>
  <cellStyles count="7">
    <cellStyle name="20% - Accent1" xfId="1" builtinId="30"/>
    <cellStyle name="40% - Accent1" xfId="5" builtinId="31"/>
    <cellStyle name="Accent5" xfId="2" builtinId="45"/>
    <cellStyle name="Bad" xfId="4" builtinId="27"/>
    <cellStyle name="Explanatory Text" xfId="6" builtinId="53"/>
    <cellStyle name="Good" xfId="3" builtinId="26"/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theme="9"/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theme="9"/>
          <bgColor rgb="FF92D05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392851</xdr:colOff>
      <xdr:row>0</xdr:row>
      <xdr:rowOff>0</xdr:rowOff>
    </xdr:from>
    <xdr:to>
      <xdr:col>23</xdr:col>
      <xdr:colOff>428625</xdr:colOff>
      <xdr:row>41</xdr:row>
      <xdr:rowOff>117328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351E8F81-2B18-D097-ED5F-4F27DF486F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98451" y="0"/>
          <a:ext cx="7350974" cy="7927828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0</xdr:row>
      <xdr:rowOff>0</xdr:rowOff>
    </xdr:from>
    <xdr:to>
      <xdr:col>11</xdr:col>
      <xdr:colOff>95250</xdr:colOff>
      <xdr:row>38</xdr:row>
      <xdr:rowOff>135060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161899CD-52BD-AFA9-7E47-E547E7516E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050" y="0"/>
          <a:ext cx="6781800" cy="73740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9"/>
  <sheetViews>
    <sheetView tabSelected="1" zoomScaleNormal="100" workbookViewId="0">
      <selection activeCell="I33" sqref="I33"/>
    </sheetView>
  </sheetViews>
  <sheetFormatPr defaultRowHeight="15" x14ac:dyDescent="0.25"/>
  <cols>
    <col min="1" max="1" width="32.140625" bestFit="1" customWidth="1"/>
    <col min="2" max="2" width="14.28515625" bestFit="1" customWidth="1"/>
    <col min="3" max="3" width="11" customWidth="1"/>
    <col min="4" max="4" width="12" bestFit="1" customWidth="1"/>
    <col min="5" max="5" width="11" customWidth="1"/>
    <col min="6" max="7" width="19.85546875" bestFit="1" customWidth="1"/>
    <col min="8" max="8" width="15.140625" customWidth="1"/>
    <col min="9" max="9" width="11" customWidth="1"/>
    <col min="10" max="11" width="12" customWidth="1"/>
    <col min="14" max="14" width="16.7109375" bestFit="1" customWidth="1"/>
    <col min="15" max="15" width="16" customWidth="1"/>
    <col min="16" max="16" width="16.28515625" bestFit="1" customWidth="1"/>
    <col min="17" max="19" width="18.140625" bestFit="1" customWidth="1"/>
    <col min="20" max="21" width="18.7109375" bestFit="1" customWidth="1"/>
    <col min="22" max="22" width="15.5703125" customWidth="1"/>
    <col min="23" max="23" width="18.5703125" customWidth="1"/>
    <col min="24" max="24" width="22.28515625" customWidth="1"/>
    <col min="25" max="28" width="22" customWidth="1"/>
    <col min="31" max="31" width="10.7109375" bestFit="1" customWidth="1"/>
    <col min="32" max="32" width="15.5703125" bestFit="1" customWidth="1"/>
  </cols>
  <sheetData>
    <row r="1" spans="1:17" x14ac:dyDescent="0.25">
      <c r="A1" s="19" t="s">
        <v>34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N1" s="24" t="s">
        <v>28</v>
      </c>
      <c r="O1" s="24"/>
      <c r="P1" s="13">
        <v>3.6</v>
      </c>
      <c r="Q1" s="13" t="s">
        <v>29</v>
      </c>
    </row>
    <row r="2" spans="1:17" x14ac:dyDescent="0.25">
      <c r="A2" s="21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N2" s="29" t="s">
        <v>62</v>
      </c>
      <c r="O2" s="24"/>
      <c r="P2" s="14">
        <v>5.2</v>
      </c>
      <c r="Q2" s="30" t="s">
        <v>29</v>
      </c>
    </row>
    <row r="3" spans="1:17" x14ac:dyDescent="0.25">
      <c r="A3" s="5" t="s">
        <v>0</v>
      </c>
      <c r="B3" s="4">
        <v>1</v>
      </c>
      <c r="C3" s="4">
        <v>2</v>
      </c>
      <c r="D3" s="4">
        <v>3</v>
      </c>
      <c r="E3" s="4">
        <v>4</v>
      </c>
      <c r="F3" s="4">
        <v>5</v>
      </c>
      <c r="G3" s="4">
        <v>6</v>
      </c>
      <c r="H3" s="8">
        <v>7</v>
      </c>
      <c r="I3" s="4">
        <v>8</v>
      </c>
      <c r="J3" s="4">
        <v>9</v>
      </c>
      <c r="K3" s="4">
        <v>10</v>
      </c>
      <c r="L3" s="4" t="s">
        <v>1</v>
      </c>
    </row>
    <row r="4" spans="1:17" x14ac:dyDescent="0.25">
      <c r="A4" s="5" t="s">
        <v>16</v>
      </c>
      <c r="B4" s="2">
        <v>1</v>
      </c>
      <c r="C4" s="2">
        <v>2.2999999999999998</v>
      </c>
      <c r="D4" s="2">
        <v>1</v>
      </c>
      <c r="E4" s="2">
        <v>2.2999999999999998</v>
      </c>
      <c r="F4" s="2">
        <v>1</v>
      </c>
      <c r="G4" s="2">
        <v>2.2999999999999998</v>
      </c>
      <c r="H4" s="2">
        <v>1</v>
      </c>
      <c r="I4" s="2">
        <v>2.2999999999999998</v>
      </c>
      <c r="J4" s="2">
        <v>1</v>
      </c>
      <c r="K4" s="2">
        <v>2.2999999999999998</v>
      </c>
      <c r="L4" s="2"/>
      <c r="N4" s="26" t="s">
        <v>31</v>
      </c>
      <c r="O4" s="26"/>
      <c r="P4" s="26"/>
      <c r="Q4" s="26"/>
    </row>
    <row r="5" spans="1:17" x14ac:dyDescent="0.25">
      <c r="A5" s="5" t="s">
        <v>19</v>
      </c>
      <c r="B5" s="2">
        <v>1</v>
      </c>
      <c r="C5" s="2">
        <v>1</v>
      </c>
      <c r="D5" s="2">
        <v>1</v>
      </c>
      <c r="E5" s="2">
        <v>1</v>
      </c>
      <c r="F5" s="2">
        <v>1</v>
      </c>
      <c r="G5" s="2">
        <v>1</v>
      </c>
      <c r="H5" s="2">
        <v>1</v>
      </c>
      <c r="I5" s="2">
        <v>1</v>
      </c>
      <c r="J5" s="2">
        <v>1</v>
      </c>
      <c r="K5" s="2">
        <v>1</v>
      </c>
      <c r="L5" s="2"/>
      <c r="N5" s="26"/>
      <c r="O5" s="26"/>
      <c r="P5" s="26"/>
      <c r="Q5" s="26"/>
    </row>
    <row r="6" spans="1:17" x14ac:dyDescent="0.25">
      <c r="A6" s="5" t="s">
        <v>20</v>
      </c>
      <c r="B6" s="2">
        <f>B4*B5</f>
        <v>1</v>
      </c>
      <c r="C6" s="2">
        <f t="shared" ref="C6:K6" si="0">C4*C5</f>
        <v>2.2999999999999998</v>
      </c>
      <c r="D6" s="2">
        <f t="shared" si="0"/>
        <v>1</v>
      </c>
      <c r="E6" s="2">
        <f t="shared" si="0"/>
        <v>2.2999999999999998</v>
      </c>
      <c r="F6" s="2">
        <f t="shared" si="0"/>
        <v>1</v>
      </c>
      <c r="G6" s="2">
        <f t="shared" si="0"/>
        <v>2.2999999999999998</v>
      </c>
      <c r="H6" s="2">
        <f t="shared" si="0"/>
        <v>1</v>
      </c>
      <c r="I6" s="2">
        <f t="shared" si="0"/>
        <v>2.2999999999999998</v>
      </c>
      <c r="J6" s="2">
        <f t="shared" si="0"/>
        <v>1</v>
      </c>
      <c r="K6" s="2">
        <f t="shared" si="0"/>
        <v>2.2999999999999998</v>
      </c>
      <c r="L6" s="2"/>
      <c r="N6" s="26"/>
      <c r="O6" s="26"/>
      <c r="P6" s="26"/>
      <c r="Q6" s="26"/>
    </row>
    <row r="7" spans="1:17" x14ac:dyDescent="0.25">
      <c r="A7" s="5" t="s">
        <v>15</v>
      </c>
      <c r="B7" s="3">
        <v>8</v>
      </c>
      <c r="C7" s="3">
        <v>9</v>
      </c>
      <c r="D7" s="3">
        <v>0.2</v>
      </c>
      <c r="E7" s="3">
        <v>18.5</v>
      </c>
      <c r="F7" s="3">
        <v>0.1</v>
      </c>
      <c r="G7" s="3">
        <v>12</v>
      </c>
      <c r="H7" s="3">
        <v>3.5</v>
      </c>
      <c r="I7" s="3">
        <v>11.5</v>
      </c>
      <c r="J7" s="3">
        <v>0.1</v>
      </c>
      <c r="K7" s="3">
        <v>7.8</v>
      </c>
      <c r="L7" s="3"/>
      <c r="N7" s="26"/>
      <c r="O7" s="26"/>
      <c r="P7" s="26"/>
      <c r="Q7" s="26"/>
    </row>
    <row r="8" spans="1:17" x14ac:dyDescent="0.25">
      <c r="A8" s="5" t="s">
        <v>14</v>
      </c>
      <c r="B8" s="2">
        <v>6.7</v>
      </c>
      <c r="C8" s="2">
        <v>16</v>
      </c>
      <c r="D8" s="2">
        <v>1.3</v>
      </c>
      <c r="E8" s="2">
        <v>7.5</v>
      </c>
      <c r="F8" s="2">
        <v>0.1</v>
      </c>
      <c r="G8" s="2">
        <v>9.1999999999999993</v>
      </c>
      <c r="H8" s="2">
        <v>0</v>
      </c>
      <c r="I8" s="2">
        <v>4.2</v>
      </c>
      <c r="J8" s="2">
        <v>0.3</v>
      </c>
      <c r="K8" s="2">
        <v>2</v>
      </c>
      <c r="L8" s="2"/>
      <c r="N8" s="26"/>
      <c r="O8" s="26"/>
      <c r="P8" s="26"/>
      <c r="Q8" s="26"/>
    </row>
    <row r="9" spans="1:17" x14ac:dyDescent="0.25">
      <c r="A9" s="5" t="s">
        <v>13</v>
      </c>
      <c r="B9" s="3">
        <v>50</v>
      </c>
      <c r="C9" s="3">
        <v>70</v>
      </c>
      <c r="D9" s="3">
        <v>50</v>
      </c>
      <c r="E9" s="3">
        <v>70</v>
      </c>
      <c r="F9" s="3">
        <v>50</v>
      </c>
      <c r="G9" s="3">
        <v>70</v>
      </c>
      <c r="H9" s="3">
        <v>50</v>
      </c>
      <c r="I9" s="3">
        <v>70</v>
      </c>
      <c r="J9" s="3">
        <v>50</v>
      </c>
      <c r="K9" s="3">
        <v>70</v>
      </c>
      <c r="L9" s="3"/>
      <c r="N9" s="26"/>
      <c r="O9" s="26"/>
      <c r="P9" s="26"/>
      <c r="Q9" s="26"/>
    </row>
    <row r="10" spans="1:17" x14ac:dyDescent="0.25">
      <c r="A10" s="5" t="s">
        <v>12</v>
      </c>
      <c r="B10" s="2">
        <v>4</v>
      </c>
      <c r="C10" s="2">
        <v>5</v>
      </c>
      <c r="D10" s="2">
        <v>4</v>
      </c>
      <c r="E10" s="2">
        <v>5</v>
      </c>
      <c r="F10" s="2">
        <v>4</v>
      </c>
      <c r="G10" s="2">
        <v>5</v>
      </c>
      <c r="H10" s="2">
        <v>4</v>
      </c>
      <c r="I10" s="2">
        <v>5</v>
      </c>
      <c r="J10" s="2">
        <v>5</v>
      </c>
      <c r="K10" s="2">
        <v>5</v>
      </c>
      <c r="L10" s="2"/>
      <c r="N10" s="26"/>
      <c r="O10" s="26"/>
      <c r="P10" s="26"/>
      <c r="Q10" s="26"/>
    </row>
    <row r="11" spans="1:17" x14ac:dyDescent="0.25">
      <c r="A11" s="5" t="s">
        <v>11</v>
      </c>
      <c r="B11" s="3">
        <f>B9*B9-POWER(B9-2*B10,2)</f>
        <v>736</v>
      </c>
      <c r="C11" s="3">
        <f t="shared" ref="C11:K11" si="1">C9*C9-POWER(C9-2*C10,2)</f>
        <v>1300</v>
      </c>
      <c r="D11" s="3">
        <f t="shared" si="1"/>
        <v>736</v>
      </c>
      <c r="E11" s="3">
        <f t="shared" si="1"/>
        <v>1300</v>
      </c>
      <c r="F11" s="3">
        <f t="shared" si="1"/>
        <v>736</v>
      </c>
      <c r="G11" s="3">
        <f t="shared" si="1"/>
        <v>1300</v>
      </c>
      <c r="H11" s="3">
        <f t="shared" si="1"/>
        <v>736</v>
      </c>
      <c r="I11" s="3">
        <f t="shared" si="1"/>
        <v>1300</v>
      </c>
      <c r="J11" s="3">
        <f t="shared" si="1"/>
        <v>900</v>
      </c>
      <c r="K11" s="3">
        <f t="shared" si="1"/>
        <v>1300</v>
      </c>
      <c r="L11" s="3"/>
      <c r="N11" s="26"/>
      <c r="O11" s="26"/>
      <c r="P11" s="26"/>
      <c r="Q11" s="26"/>
    </row>
    <row r="12" spans="1:17" x14ac:dyDescent="0.25">
      <c r="A12" s="5" t="s">
        <v>10</v>
      </c>
      <c r="B12" s="2">
        <f>B11*B4*1000</f>
        <v>736000</v>
      </c>
      <c r="C12" s="2">
        <f t="shared" ref="C12:K12" si="2">C11*C4*1000</f>
        <v>2989999.9999999995</v>
      </c>
      <c r="D12" s="2">
        <f t="shared" si="2"/>
        <v>736000</v>
      </c>
      <c r="E12" s="2">
        <f t="shared" si="2"/>
        <v>2989999.9999999995</v>
      </c>
      <c r="F12" s="2">
        <f t="shared" si="2"/>
        <v>736000</v>
      </c>
      <c r="G12" s="2">
        <f t="shared" si="2"/>
        <v>2989999.9999999995</v>
      </c>
      <c r="H12" s="2">
        <f t="shared" si="2"/>
        <v>736000</v>
      </c>
      <c r="I12" s="2">
        <f t="shared" si="2"/>
        <v>2989999.9999999995</v>
      </c>
      <c r="J12" s="2">
        <f t="shared" si="2"/>
        <v>900000</v>
      </c>
      <c r="K12" s="2">
        <f t="shared" si="2"/>
        <v>2989999.9999999995</v>
      </c>
      <c r="L12" s="2">
        <f>SUM(Sheet1!$B12:$K12)</f>
        <v>18794000</v>
      </c>
    </row>
    <row r="13" spans="1:17" x14ac:dyDescent="0.25">
      <c r="A13" s="5" t="s">
        <v>30</v>
      </c>
      <c r="B13" s="2">
        <f>POWER(     (POWER(B9,4)/12 - POWER(B9-2*B10, 4)/12)        / B11,0.5)</f>
        <v>18.850287354131588</v>
      </c>
      <c r="C13" s="2">
        <f t="shared" ref="C13:K13" si="3">POWER(     (POWER(C9,4)/12 - POWER(C9-2*C10, 4)/12)        / C11,0.5)</f>
        <v>26.614532371118852</v>
      </c>
      <c r="D13" s="2">
        <f t="shared" si="3"/>
        <v>18.850287354131588</v>
      </c>
      <c r="E13" s="2">
        <f t="shared" si="3"/>
        <v>26.614532371118852</v>
      </c>
      <c r="F13" s="2">
        <f t="shared" si="3"/>
        <v>18.850287354131588</v>
      </c>
      <c r="G13" s="2">
        <f t="shared" si="3"/>
        <v>26.614532371118852</v>
      </c>
      <c r="H13" s="2">
        <f t="shared" si="3"/>
        <v>18.850287354131588</v>
      </c>
      <c r="I13" s="2">
        <f t="shared" si="3"/>
        <v>26.614532371118852</v>
      </c>
      <c r="J13" s="2">
        <f t="shared" si="3"/>
        <v>18.484227510682363</v>
      </c>
      <c r="K13" s="2">
        <f t="shared" si="3"/>
        <v>26.614532371118852</v>
      </c>
      <c r="L13" s="2"/>
    </row>
    <row r="14" spans="1:17" x14ac:dyDescent="0.25">
      <c r="A14" s="5" t="s">
        <v>23</v>
      </c>
      <c r="B14" s="2">
        <f>B6*1000/B13</f>
        <v>53.049589176730557</v>
      </c>
      <c r="C14" s="2">
        <f t="shared" ref="C14:K14" si="4">C6*1000/C13</f>
        <v>86.418952169750639</v>
      </c>
      <c r="D14" s="2">
        <f t="shared" si="4"/>
        <v>53.049589176730557</v>
      </c>
      <c r="E14" s="2">
        <f t="shared" si="4"/>
        <v>86.418952169750639</v>
      </c>
      <c r="F14" s="2">
        <f t="shared" si="4"/>
        <v>53.049589176730557</v>
      </c>
      <c r="G14" s="2">
        <f t="shared" si="4"/>
        <v>86.418952169750639</v>
      </c>
      <c r="H14" s="2">
        <f t="shared" si="4"/>
        <v>53.049589176730557</v>
      </c>
      <c r="I14" s="2">
        <f t="shared" si="4"/>
        <v>86.418952169750639</v>
      </c>
      <c r="J14" s="2">
        <f t="shared" si="4"/>
        <v>54.100178080045936</v>
      </c>
      <c r="K14" s="2">
        <f t="shared" si="4"/>
        <v>86.418952169750639</v>
      </c>
      <c r="L14" s="2"/>
    </row>
    <row r="15" spans="1:17" x14ac:dyDescent="0.25">
      <c r="A15" s="5" t="s">
        <v>24</v>
      </c>
      <c r="B15" s="2">
        <f>B4*1000/B9</f>
        <v>20</v>
      </c>
      <c r="C15" s="2">
        <f t="shared" ref="C15:K15" si="5">C4*1000/C9</f>
        <v>32.857142857142854</v>
      </c>
      <c r="D15" s="2">
        <f t="shared" si="5"/>
        <v>20</v>
      </c>
      <c r="E15" s="2">
        <f t="shared" si="5"/>
        <v>32.857142857142854</v>
      </c>
      <c r="F15" s="2">
        <f t="shared" si="5"/>
        <v>20</v>
      </c>
      <c r="G15" s="2">
        <f t="shared" si="5"/>
        <v>32.857142857142854</v>
      </c>
      <c r="H15" s="2">
        <f t="shared" si="5"/>
        <v>20</v>
      </c>
      <c r="I15" s="2">
        <f t="shared" si="5"/>
        <v>32.857142857142854</v>
      </c>
      <c r="J15" s="2">
        <f t="shared" si="5"/>
        <v>20</v>
      </c>
      <c r="K15" s="2">
        <f t="shared" si="5"/>
        <v>32.857142857142854</v>
      </c>
      <c r="L15" s="2"/>
    </row>
    <row r="16" spans="1:17" x14ac:dyDescent="0.25">
      <c r="A16" s="5" t="s">
        <v>26</v>
      </c>
      <c r="B16" s="2">
        <f>B7/(B11*0.01)</f>
        <v>1.0869565217391304</v>
      </c>
      <c r="C16" s="2">
        <f t="shared" ref="C16:K16" si="6">C7/(C11*0.01)</f>
        <v>0.69230769230769229</v>
      </c>
      <c r="D16" s="2">
        <f t="shared" si="6"/>
        <v>2.717391304347826E-2</v>
      </c>
      <c r="E16" s="2">
        <f t="shared" si="6"/>
        <v>1.4230769230769231</v>
      </c>
      <c r="F16" s="2">
        <f t="shared" si="6"/>
        <v>1.358695652173913E-2</v>
      </c>
      <c r="G16" s="2">
        <f t="shared" si="6"/>
        <v>0.92307692307692313</v>
      </c>
      <c r="H16" s="2">
        <f t="shared" si="6"/>
        <v>0.47554347826086957</v>
      </c>
      <c r="I16" s="2">
        <f t="shared" si="6"/>
        <v>0.88461538461538458</v>
      </c>
      <c r="J16" s="2">
        <f t="shared" si="6"/>
        <v>1.1111111111111112E-2</v>
      </c>
      <c r="K16" s="2">
        <f t="shared" si="6"/>
        <v>0.6</v>
      </c>
      <c r="L16" s="2"/>
    </row>
    <row r="17" spans="1:12" x14ac:dyDescent="0.25">
      <c r="A17" s="5" t="s">
        <v>27</v>
      </c>
      <c r="B17" s="2">
        <f>IF(B14&lt;100, 0.58*$P$1-6.5*POWER(10,-5)*POWER(B14,2), 7500/POWER(B14,2))</f>
        <v>1.9050731707317072</v>
      </c>
      <c r="C17" s="2">
        <f>IF(C14&lt;100, 0.58*$P$1-6.5*POWER(10,-5)*POWER(C14,2), 7500/POWER(C14,2))</f>
        <v>1.6025647058823529</v>
      </c>
      <c r="D17" s="2">
        <f>IF(D14&lt;100, 0.58*$P$1-6.5*POWER(10,-5)*POWER(D14,2), 7500/POWER(D14,2))</f>
        <v>1.9050731707317072</v>
      </c>
      <c r="E17" s="2">
        <f>IF(E14&lt;100, 0.58*$P$1-6.5*POWER(10,-5)*POWER(E14,2), 7500/POWER(E14,2))</f>
        <v>1.6025647058823529</v>
      </c>
      <c r="F17" s="2">
        <f>IF(F14&lt;100, 0.58*$P$1-6.5*POWER(10,-5)*POWER(F14,2), 7500/POWER(F14,2))</f>
        <v>1.9050731707317072</v>
      </c>
      <c r="G17" s="2">
        <f>IF(G14&lt;100, 0.58*$P$1-6.5*POWER(10,-5)*POWER(G14,2), 7500/POWER(G14,2))</f>
        <v>1.6025647058823529</v>
      </c>
      <c r="H17" s="2">
        <f>IF(H14&lt;100, 0.58*$P$1-6.5*POWER(10,-5)*POWER(H14,2), 7500/POWER(H14,2))</f>
        <v>1.9050731707317072</v>
      </c>
      <c r="I17" s="2">
        <f>IF(I14&lt;100, 0.58*$P$1-6.5*POWER(10,-5)*POWER(I14,2), 7500/POWER(I14,2))</f>
        <v>1.6025647058823529</v>
      </c>
      <c r="J17" s="2">
        <f>IF(J14&lt;100, 0.58*$P$1-6.5*POWER(10,-5)*POWER(J14,2), 7500/POWER(J14,2))</f>
        <v>1.8977560975609757</v>
      </c>
      <c r="K17" s="2">
        <f>IF(K14&lt;100, 0.58*$P$1-6.5*POWER(10,-5)*POWER(K14,2), 7500/POWER(K14,2))</f>
        <v>1.6025647058823529</v>
      </c>
      <c r="L17" s="2"/>
    </row>
    <row r="18" spans="1:12" x14ac:dyDescent="0.25">
      <c r="A18" s="5" t="s">
        <v>33</v>
      </c>
      <c r="B18" s="2" t="str">
        <f>IF((B16)/B17 &gt;1, "not safe", FIXED(((B16)/B17) * 100, 2) )</f>
        <v>57.06</v>
      </c>
      <c r="C18" s="2" t="str">
        <f t="shared" ref="C18:K18" si="7">IF((C16)/C17 &gt;1, "not safe", FIXED(((C16)/C17) * 100, 2) )</f>
        <v>43.20</v>
      </c>
      <c r="D18" s="2" t="str">
        <f t="shared" si="7"/>
        <v>1.43</v>
      </c>
      <c r="E18" s="2" t="str">
        <f t="shared" si="7"/>
        <v>88.80</v>
      </c>
      <c r="F18" s="2" t="str">
        <f t="shared" si="7"/>
        <v>0.71</v>
      </c>
      <c r="G18" s="2" t="str">
        <f t="shared" si="7"/>
        <v>57.60</v>
      </c>
      <c r="H18" s="2" t="str">
        <f t="shared" si="7"/>
        <v>24.96</v>
      </c>
      <c r="I18" s="2" t="str">
        <f t="shared" si="7"/>
        <v>55.20</v>
      </c>
      <c r="J18" s="2" t="str">
        <f t="shared" si="7"/>
        <v>0.59</v>
      </c>
      <c r="K18" s="2" t="str">
        <f t="shared" si="7"/>
        <v>37.44</v>
      </c>
      <c r="L18" s="2"/>
    </row>
    <row r="19" spans="1:12" x14ac:dyDescent="0.25">
      <c r="A19" s="5" t="s">
        <v>25</v>
      </c>
      <c r="B19" s="2">
        <f t="shared" ref="B19:K19" si="8">B8/(B11*0.01)</f>
        <v>0.91032608695652173</v>
      </c>
      <c r="C19" s="2">
        <f t="shared" si="8"/>
        <v>1.2307692307692308</v>
      </c>
      <c r="D19" s="2">
        <f t="shared" si="8"/>
        <v>0.1766304347826087</v>
      </c>
      <c r="E19" s="2">
        <f t="shared" si="8"/>
        <v>0.57692307692307687</v>
      </c>
      <c r="F19" s="2">
        <f t="shared" si="8"/>
        <v>1.358695652173913E-2</v>
      </c>
      <c r="G19" s="2">
        <f t="shared" si="8"/>
        <v>0.70769230769230762</v>
      </c>
      <c r="H19" s="2">
        <f t="shared" si="8"/>
        <v>0</v>
      </c>
      <c r="I19" s="2">
        <f t="shared" si="8"/>
        <v>0.32307692307692309</v>
      </c>
      <c r="J19" s="2">
        <f t="shared" si="8"/>
        <v>3.3333333333333333E-2</v>
      </c>
      <c r="K19" s="2">
        <f t="shared" si="8"/>
        <v>0.15384615384615385</v>
      </c>
      <c r="L19" s="2"/>
    </row>
    <row r="20" spans="1:12" x14ac:dyDescent="0.25">
      <c r="A20" s="5" t="s">
        <v>32</v>
      </c>
      <c r="B20" s="2" t="str">
        <f>IF(B19 &gt; 0.58*$P$1, "not safe", FIXED(((B19)/$P$1) * 100, 2) )</f>
        <v>25.29</v>
      </c>
      <c r="C20" s="2" t="str">
        <f>IF(C19 &gt; 0.58*$P$1, "not safe", FIXED(((C19)/$P$1) * 100, 2) )</f>
        <v>34.19</v>
      </c>
      <c r="D20" s="2" t="str">
        <f>IF(D19 &gt; 0.58*$P$1, "not safe", FIXED(((D19)/$P$1) * 100, 2) )</f>
        <v>4.91</v>
      </c>
      <c r="E20" s="2" t="str">
        <f>IF(E19 &gt; 0.58*$P$1, "not safe", FIXED(((E19)/$P$1) * 100, 2) )</f>
        <v>16.03</v>
      </c>
      <c r="F20" s="2" t="str">
        <f>IF(F19 &gt; 0.58*$P$1, "not safe", FIXED(((F19)/$P$1) * 100, 2) )</f>
        <v>0.38</v>
      </c>
      <c r="G20" s="2" t="str">
        <f>IF(G19 &gt; 0.58*$P$1, "not safe", FIXED(((G19)/$P$1) * 100, 2) )</f>
        <v>19.66</v>
      </c>
      <c r="H20" s="2" t="str">
        <f>IF(H19 &gt; 0.58*$P$1, "not safe", FIXED(((H19)/$P$1) * 100, 2) )</f>
        <v>0.00</v>
      </c>
      <c r="I20" s="2" t="str">
        <f>IF(I19 &gt; 0.58*$P$1, "not safe", FIXED(((I19)/$P$1) * 100, 2) )</f>
        <v>8.97</v>
      </c>
      <c r="J20" s="2" t="str">
        <f>IF(J19 &gt; 0.58*$P$1, "not safe", FIXED(((J19)/$P$1) * 100, 2) )</f>
        <v>0.93</v>
      </c>
      <c r="K20" s="2" t="str">
        <f>IF(K19 &gt; 0.58*$P$1, "not safe", FIXED(((K19)/$P$1) * 100, 2) )</f>
        <v>4.27</v>
      </c>
      <c r="L20" s="2"/>
    </row>
    <row r="21" spans="1:12" x14ac:dyDescent="0.25">
      <c r="A21" s="5"/>
      <c r="B21" s="25" t="s">
        <v>21</v>
      </c>
      <c r="C21" s="25"/>
      <c r="D21" s="25"/>
      <c r="E21" s="25"/>
      <c r="F21" s="25"/>
      <c r="G21" s="25"/>
      <c r="H21" s="25"/>
      <c r="I21" s="25"/>
      <c r="J21" s="25"/>
      <c r="K21" s="25"/>
      <c r="L21" s="25"/>
    </row>
    <row r="22" spans="1:12" x14ac:dyDescent="0.25">
      <c r="A22" s="5" t="s">
        <v>9</v>
      </c>
      <c r="B22" s="3">
        <v>1</v>
      </c>
      <c r="C22" s="3">
        <v>1</v>
      </c>
      <c r="D22" s="3">
        <v>1</v>
      </c>
      <c r="E22" s="3">
        <v>1</v>
      </c>
      <c r="F22" s="3">
        <v>1</v>
      </c>
      <c r="G22" s="3">
        <v>1</v>
      </c>
      <c r="H22" s="3">
        <v>2</v>
      </c>
      <c r="I22" s="3">
        <v>2</v>
      </c>
      <c r="J22" s="3">
        <v>2</v>
      </c>
      <c r="K22" s="3">
        <v>2</v>
      </c>
      <c r="L22" s="3"/>
    </row>
    <row r="23" spans="1:12" x14ac:dyDescent="0.25">
      <c r="A23" s="5" t="s">
        <v>8</v>
      </c>
      <c r="B23" s="2">
        <v>70</v>
      </c>
      <c r="C23" s="2">
        <v>70</v>
      </c>
      <c r="D23" s="2">
        <v>70</v>
      </c>
      <c r="E23" s="2">
        <v>70</v>
      </c>
      <c r="F23" s="2">
        <v>70</v>
      </c>
      <c r="G23" s="2">
        <v>70</v>
      </c>
      <c r="H23" s="2">
        <v>80</v>
      </c>
      <c r="I23" s="2">
        <v>80</v>
      </c>
      <c r="J23" s="2">
        <v>80</v>
      </c>
      <c r="K23" s="2">
        <v>80</v>
      </c>
      <c r="L23" s="2"/>
    </row>
    <row r="24" spans="1:12" x14ac:dyDescent="0.25">
      <c r="A24" s="5" t="s">
        <v>7</v>
      </c>
      <c r="B24" s="3">
        <v>7</v>
      </c>
      <c r="C24" s="3">
        <v>7</v>
      </c>
      <c r="D24" s="3">
        <v>7</v>
      </c>
      <c r="E24" s="3">
        <v>7</v>
      </c>
      <c r="F24" s="3">
        <v>7</v>
      </c>
      <c r="G24" s="3">
        <v>7</v>
      </c>
      <c r="H24" s="3">
        <v>8</v>
      </c>
      <c r="I24" s="3">
        <v>8</v>
      </c>
      <c r="J24" s="3">
        <v>8</v>
      </c>
      <c r="K24" s="3">
        <v>8</v>
      </c>
      <c r="L24" s="3"/>
    </row>
    <row r="25" spans="1:12" x14ac:dyDescent="0.25">
      <c r="A25" s="5" t="s">
        <v>6</v>
      </c>
      <c r="B25" s="2">
        <f>B22*(B23*B24+(B23-B24)*B24)</f>
        <v>931</v>
      </c>
      <c r="C25" s="2">
        <f t="shared" ref="C25:K25" si="9">C22*(C23*C24+(C23-C24)*C24)</f>
        <v>931</v>
      </c>
      <c r="D25" s="2">
        <f t="shared" si="9"/>
        <v>931</v>
      </c>
      <c r="E25" s="2">
        <f t="shared" si="9"/>
        <v>931</v>
      </c>
      <c r="F25" s="2">
        <f t="shared" si="9"/>
        <v>931</v>
      </c>
      <c r="G25" s="2">
        <f t="shared" si="9"/>
        <v>931</v>
      </c>
      <c r="H25" s="2">
        <f t="shared" si="9"/>
        <v>2432</v>
      </c>
      <c r="I25" s="2">
        <f t="shared" si="9"/>
        <v>2432</v>
      </c>
      <c r="J25" s="2">
        <f t="shared" si="9"/>
        <v>2432</v>
      </c>
      <c r="K25" s="2">
        <f t="shared" si="9"/>
        <v>2432</v>
      </c>
      <c r="L25" s="2"/>
    </row>
    <row r="26" spans="1:12" x14ac:dyDescent="0.25">
      <c r="A26" s="6" t="s">
        <v>5</v>
      </c>
      <c r="B26" s="1">
        <f t="shared" ref="B26:K26" si="10">B25*1000*B4</f>
        <v>931000</v>
      </c>
      <c r="C26" s="1">
        <f t="shared" si="10"/>
        <v>2141300</v>
      </c>
      <c r="D26" s="1">
        <f t="shared" si="10"/>
        <v>931000</v>
      </c>
      <c r="E26" s="1">
        <f t="shared" si="10"/>
        <v>2141300</v>
      </c>
      <c r="F26" s="1">
        <f t="shared" si="10"/>
        <v>931000</v>
      </c>
      <c r="G26" s="1">
        <f t="shared" si="10"/>
        <v>2141300</v>
      </c>
      <c r="H26" s="1">
        <f t="shared" si="10"/>
        <v>2432000</v>
      </c>
      <c r="I26" s="1">
        <f t="shared" si="10"/>
        <v>5593600</v>
      </c>
      <c r="J26" s="1">
        <f t="shared" si="10"/>
        <v>2432000</v>
      </c>
      <c r="K26" s="1">
        <f t="shared" si="10"/>
        <v>5593600</v>
      </c>
      <c r="L26" s="1">
        <f>SUM(Sheet1!$B26:$K26)</f>
        <v>25268100</v>
      </c>
    </row>
    <row r="27" spans="1:12" x14ac:dyDescent="0.25">
      <c r="A27" s="15" t="s">
        <v>2</v>
      </c>
      <c r="B27" s="17">
        <f>((L26-L12)/L26)*100</f>
        <v>25.621633601260086</v>
      </c>
      <c r="C27" s="17" t="s">
        <v>3</v>
      </c>
      <c r="D27" s="22" t="s">
        <v>17</v>
      </c>
      <c r="E27" s="22" t="s">
        <v>17</v>
      </c>
      <c r="F27" s="22" t="s">
        <v>17</v>
      </c>
      <c r="G27" s="22" t="s">
        <v>17</v>
      </c>
      <c r="H27" s="22" t="s">
        <v>17</v>
      </c>
      <c r="I27" s="22" t="s">
        <v>17</v>
      </c>
      <c r="J27" s="22" t="s">
        <v>17</v>
      </c>
      <c r="K27" s="22" t="s">
        <v>17</v>
      </c>
      <c r="L27" s="22" t="s">
        <v>17</v>
      </c>
    </row>
    <row r="28" spans="1:12" x14ac:dyDescent="0.25">
      <c r="A28" s="16"/>
      <c r="B28" s="18"/>
      <c r="C28" s="18"/>
      <c r="D28" s="23"/>
      <c r="E28" s="23"/>
      <c r="F28" s="23"/>
      <c r="G28" s="23"/>
      <c r="H28" s="23"/>
      <c r="I28" s="23"/>
      <c r="J28" s="23"/>
      <c r="K28" s="23"/>
      <c r="L28" s="23"/>
    </row>
    <row r="29" spans="1:12" x14ac:dyDescent="0.25">
      <c r="A29" s="10"/>
      <c r="B29" s="11"/>
      <c r="C29" s="11"/>
      <c r="D29" s="12"/>
      <c r="E29" s="12"/>
      <c r="F29" s="12"/>
      <c r="G29" s="12"/>
      <c r="H29" s="12"/>
      <c r="I29" s="12"/>
      <c r="J29" s="12"/>
      <c r="K29" s="12"/>
      <c r="L29" s="12"/>
    </row>
    <row r="30" spans="1:12" ht="15.75" x14ac:dyDescent="0.25">
      <c r="A30" s="10"/>
      <c r="B30" s="27" t="s">
        <v>22</v>
      </c>
      <c r="C30" s="27"/>
      <c r="D30" s="27"/>
      <c r="E30" s="27"/>
      <c r="F30" s="27"/>
      <c r="G30" s="27"/>
      <c r="H30" s="27"/>
      <c r="I30" s="27"/>
      <c r="J30" s="27"/>
      <c r="K30" s="27"/>
      <c r="L30" s="27"/>
    </row>
    <row r="31" spans="1:12" x14ac:dyDescent="0.25">
      <c r="A31" s="7" t="s">
        <v>4</v>
      </c>
      <c r="B31">
        <f>MAX(4,B10)</f>
        <v>4</v>
      </c>
      <c r="C31">
        <f t="shared" ref="C31:K31" si="11">MAX(4,C10)</f>
        <v>5</v>
      </c>
      <c r="D31">
        <f t="shared" si="11"/>
        <v>4</v>
      </c>
      <c r="E31">
        <f t="shared" si="11"/>
        <v>5</v>
      </c>
      <c r="F31">
        <f t="shared" si="11"/>
        <v>4</v>
      </c>
      <c r="G31">
        <f t="shared" si="11"/>
        <v>5</v>
      </c>
      <c r="H31">
        <f t="shared" si="11"/>
        <v>4</v>
      </c>
      <c r="I31">
        <f t="shared" si="11"/>
        <v>5</v>
      </c>
      <c r="J31">
        <f t="shared" si="11"/>
        <v>5</v>
      </c>
      <c r="K31">
        <f t="shared" si="11"/>
        <v>5</v>
      </c>
    </row>
    <row r="32" spans="1:12" x14ac:dyDescent="0.25">
      <c r="A32" s="7" t="s">
        <v>18</v>
      </c>
      <c r="B32" s="9" t="str">
        <f t="shared" ref="B32:K32" si="12">FIXED(MAX(5,MAX(B7,B8)/(1.04*B31*0.1*4))+2*0.1*B31,1)</f>
        <v>5.8</v>
      </c>
      <c r="C32" s="9" t="str">
        <f t="shared" si="12"/>
        <v>8.7</v>
      </c>
      <c r="D32" s="9" t="str">
        <f t="shared" si="12"/>
        <v>5.8</v>
      </c>
      <c r="E32" s="9" t="str">
        <f t="shared" si="12"/>
        <v>9.9</v>
      </c>
      <c r="F32" s="9" t="str">
        <f t="shared" si="12"/>
        <v>5.8</v>
      </c>
      <c r="G32" s="9" t="str">
        <f t="shared" si="12"/>
        <v>6.8</v>
      </c>
      <c r="H32" s="9" t="str">
        <f t="shared" si="12"/>
        <v>5.8</v>
      </c>
      <c r="I32" s="9" t="str">
        <f t="shared" si="12"/>
        <v>6.5</v>
      </c>
      <c r="J32" s="9" t="str">
        <f t="shared" si="12"/>
        <v>6.0</v>
      </c>
      <c r="K32" s="9" t="str">
        <f t="shared" si="12"/>
        <v>6.0</v>
      </c>
      <c r="L32" s="9"/>
    </row>
    <row r="38" spans="1:32" ht="15" customHeight="1" x14ac:dyDescent="0.25">
      <c r="A38" s="28" t="s">
        <v>35</v>
      </c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R38" s="31" t="s">
        <v>52</v>
      </c>
      <c r="S38" s="31" t="s">
        <v>53</v>
      </c>
      <c r="T38" s="35" t="s">
        <v>54</v>
      </c>
      <c r="U38" s="35" t="s">
        <v>55</v>
      </c>
      <c r="V38" s="34"/>
      <c r="W38" s="31" t="s">
        <v>77</v>
      </c>
      <c r="X38" s="32" t="s">
        <v>78</v>
      </c>
      <c r="Y38" s="32" t="s">
        <v>76</v>
      </c>
      <c r="Z38" s="32"/>
      <c r="AA38" s="32" t="s">
        <v>59</v>
      </c>
      <c r="AB38" s="32"/>
      <c r="AE38" s="34"/>
      <c r="AF38" s="35"/>
    </row>
    <row r="39" spans="1:32" x14ac:dyDescent="0.25">
      <c r="A39" s="28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R39" s="31"/>
      <c r="S39" s="31"/>
      <c r="T39" s="35"/>
      <c r="U39" s="35"/>
      <c r="V39" s="34"/>
      <c r="W39" s="31"/>
      <c r="X39" s="36"/>
      <c r="Y39" s="36"/>
      <c r="Z39" s="36"/>
      <c r="AA39" s="36"/>
      <c r="AB39" s="36"/>
      <c r="AE39" s="34"/>
      <c r="AF39" s="35"/>
    </row>
    <row r="40" spans="1:32" ht="15" customHeight="1" x14ac:dyDescent="0.25">
      <c r="A40" s="5" t="s">
        <v>36</v>
      </c>
      <c r="B40" s="5" t="s">
        <v>58</v>
      </c>
      <c r="C40" s="5" t="s">
        <v>72</v>
      </c>
      <c r="D40" s="5" t="s">
        <v>46</v>
      </c>
      <c r="E40" s="5" t="s">
        <v>57</v>
      </c>
      <c r="F40" s="5" t="s">
        <v>63</v>
      </c>
      <c r="G40" s="5" t="s">
        <v>60</v>
      </c>
      <c r="H40" s="5" t="s">
        <v>61</v>
      </c>
      <c r="I40" s="5" t="s">
        <v>37</v>
      </c>
      <c r="J40" s="5" t="s">
        <v>38</v>
      </c>
      <c r="K40" s="5" t="s">
        <v>39</v>
      </c>
      <c r="L40" s="5" t="s">
        <v>40</v>
      </c>
      <c r="M40" s="5" t="s">
        <v>41</v>
      </c>
      <c r="N40" s="5" t="s">
        <v>42</v>
      </c>
      <c r="O40" s="5" t="s">
        <v>43</v>
      </c>
      <c r="P40" s="5" t="s">
        <v>44</v>
      </c>
      <c r="Q40" s="5" t="s">
        <v>45</v>
      </c>
      <c r="R40" s="5" t="s">
        <v>48</v>
      </c>
      <c r="S40" s="5" t="s">
        <v>49</v>
      </c>
      <c r="T40" s="5" t="s">
        <v>50</v>
      </c>
      <c r="U40" s="5" t="s">
        <v>51</v>
      </c>
      <c r="V40" s="5" t="s">
        <v>74</v>
      </c>
      <c r="W40" s="5" t="s">
        <v>73</v>
      </c>
      <c r="X40" s="5" t="s">
        <v>73</v>
      </c>
      <c r="Y40" s="5" t="s">
        <v>75</v>
      </c>
      <c r="Z40" s="5" t="s">
        <v>56</v>
      </c>
      <c r="AA40" s="5" t="s">
        <v>75</v>
      </c>
      <c r="AB40" s="5" t="s">
        <v>56</v>
      </c>
    </row>
    <row r="41" spans="1:32" ht="15.75" x14ac:dyDescent="0.25">
      <c r="A41" s="5" t="s">
        <v>47</v>
      </c>
      <c r="B41" s="3">
        <v>0.6</v>
      </c>
      <c r="C41" s="3">
        <v>6</v>
      </c>
      <c r="D41" s="3">
        <v>18</v>
      </c>
      <c r="E41" s="3">
        <f>D41*B41*2</f>
        <v>21.599999999999998</v>
      </c>
      <c r="F41" s="33" t="str">
        <f>IF(AND(MAX(Y41,AA41)&lt;0.2*$P$2,H41&lt;1.1*0.2*$P$2), "safe", "unsafe")</f>
        <v>safe</v>
      </c>
      <c r="G41" s="3">
        <f>MAX(Y41,AA41)</f>
        <v>1.0249981489844133</v>
      </c>
      <c r="H41" s="3">
        <f>MAX(AB41,Z41)</f>
        <v>1.0397044474216848</v>
      </c>
      <c r="I41" s="3">
        <v>6.7</v>
      </c>
      <c r="J41" s="3">
        <v>8</v>
      </c>
      <c r="K41" s="3">
        <v>0</v>
      </c>
      <c r="L41" s="3">
        <v>15.6</v>
      </c>
      <c r="M41" s="3">
        <v>9</v>
      </c>
      <c r="N41" s="3">
        <v>-63</v>
      </c>
      <c r="O41" s="3">
        <v>0</v>
      </c>
      <c r="P41" s="3">
        <v>0</v>
      </c>
      <c r="Q41" s="3">
        <v>0</v>
      </c>
      <c r="R41" s="3">
        <f>J41*COS(ABS(K41))-L41*COS(ABS(N41))+P41*COS(ABS(Q41))</f>
        <v>-7.3799866726877745</v>
      </c>
      <c r="S41" s="3">
        <f>I41*COS(ABS(K41))-M41*COS(ABS(N41))+O41*COS(ABS(Q41))</f>
        <v>-2.1730692342429476</v>
      </c>
      <c r="T41" s="3">
        <f>L41*SIN(ABS(N41))+P41*SIN(ABS(Q41))</f>
        <v>2.6107489247237878</v>
      </c>
      <c r="U41" s="3">
        <f>M41*SIN(ABS(N41))+O41*SIN(ABS(Q41))</f>
        <v>1.5062013027252623</v>
      </c>
      <c r="V41" s="3">
        <f>POWER($D41,3)*$B41/6</f>
        <v>583.19999999999993</v>
      </c>
      <c r="W41" s="3">
        <f>R41*C41</f>
        <v>-44.279920036126647</v>
      </c>
      <c r="X41" s="3">
        <f>S41*C41</f>
        <v>-13.038415405457686</v>
      </c>
      <c r="Y41" s="3">
        <f>ABS(W41)*$D41/(2*V41)+ABS(R41)/$E41</f>
        <v>1.0249981489844133</v>
      </c>
      <c r="Z41" s="3">
        <f>POWER(POWER(Y41,2)+3*POWER(S41/E41,2),0.5)</f>
        <v>1.0397044474216848</v>
      </c>
      <c r="AA41" s="3">
        <f>ABS(X41)*D41/(2*V41)+ABS(S41)/E41</f>
        <v>0.30181517142263165</v>
      </c>
      <c r="AB41" s="3">
        <f>POWER(POWER(AA41,2)+3*POWER(U41/E41,2),0.5)</f>
        <v>0.32508439129446176</v>
      </c>
    </row>
    <row r="42" spans="1:32" ht="15.75" x14ac:dyDescent="0.25">
      <c r="A42" s="5" t="s">
        <v>64</v>
      </c>
      <c r="B42" s="3">
        <v>0.4</v>
      </c>
      <c r="C42" s="3">
        <v>0</v>
      </c>
      <c r="D42" s="3">
        <v>12</v>
      </c>
      <c r="E42" s="3">
        <f>D42*B42*2</f>
        <v>9.6000000000000014</v>
      </c>
      <c r="F42" s="33" t="str">
        <f t="shared" ref="F42:F49" si="13">IF(AND(G42&lt;0.2*$P$2,H42&lt;1.1*0.2*$P$2), "safe", "unsafe")</f>
        <v>safe</v>
      </c>
      <c r="G42" s="3">
        <f>MAX(Y42,AA42)</f>
        <v>0.14348276359709161</v>
      </c>
      <c r="H42" s="3">
        <f>MAX(AB42,Z42)</f>
        <v>1.0366164054132403</v>
      </c>
      <c r="I42" s="3">
        <v>1.3</v>
      </c>
      <c r="J42" s="3">
        <v>-0.2</v>
      </c>
      <c r="K42" s="3">
        <v>0</v>
      </c>
      <c r="L42" s="3">
        <v>7.4</v>
      </c>
      <c r="M42" s="3">
        <v>18.2</v>
      </c>
      <c r="N42" s="3">
        <v>-63</v>
      </c>
      <c r="O42" s="3">
        <v>16</v>
      </c>
      <c r="P42" s="3">
        <v>9</v>
      </c>
      <c r="Q42" s="3">
        <v>63</v>
      </c>
      <c r="R42" s="3">
        <f t="shared" ref="R42:R49" si="14">J42*COS(ABS(K42))-L42*COS(ABS(N42))+P42*COS(ABS(Q42))</f>
        <v>1.3774345305320796</v>
      </c>
      <c r="S42" s="3">
        <f t="shared" ref="S42:S49" si="15">I42*COS(ABS(K42))-M42*COS(ABS(N42))+O42*COS(ABS(Q42))</f>
        <v>-0.86897247948160761</v>
      </c>
      <c r="T42" s="3">
        <f>L42*SIN(ABS(N42))+P42*SIN(ABS(Q42))</f>
        <v>2.7446334849660334</v>
      </c>
      <c r="U42" s="3">
        <f>M42*SIN(ABS(N42))+O42*SIN(ABS(Q42))</f>
        <v>5.7235649503559962</v>
      </c>
      <c r="V42" s="3">
        <f t="shared" ref="V42:V48" si="16">POWER($D42,3)*$B42/6</f>
        <v>115.2</v>
      </c>
      <c r="W42" s="3">
        <f>R42*C42</f>
        <v>0</v>
      </c>
      <c r="X42" s="3">
        <f t="shared" ref="X42:X49" si="17">S42*C42</f>
        <v>0</v>
      </c>
      <c r="Y42" s="3">
        <f>ABS(W42)*$D42/(2*V42)+ABS(R42)/$E42</f>
        <v>0.14348276359709161</v>
      </c>
      <c r="Z42" s="3">
        <f>POWER(POWER(Y42,2)+3*POWER(S42/E42,2),0.5)</f>
        <v>0.21252719893824135</v>
      </c>
      <c r="AA42" s="3">
        <f t="shared" ref="AA42:AA49" si="18">ABS(X42)*D42/(2*V42)+ABS(S42)/E42</f>
        <v>9.051796661266745E-2</v>
      </c>
      <c r="AB42" s="3">
        <f t="shared" ref="AB42:AB49" si="19">POWER(POWER(AA42,2)+3*POWER(U42/E42,2),0.5)</f>
        <v>1.0366164054132403</v>
      </c>
    </row>
    <row r="43" spans="1:32" ht="15.75" x14ac:dyDescent="0.25">
      <c r="A43" s="5" t="s">
        <v>65</v>
      </c>
      <c r="B43" s="3">
        <v>0.4</v>
      </c>
      <c r="C43" s="3">
        <v>0</v>
      </c>
      <c r="D43" s="3">
        <v>7</v>
      </c>
      <c r="E43" s="3">
        <f>D43*B43*2</f>
        <v>5.6000000000000005</v>
      </c>
      <c r="F43" s="33" t="str">
        <f t="shared" si="13"/>
        <v>safe</v>
      </c>
      <c r="G43" s="3">
        <f t="shared" ref="G43:G49" si="20">MAX(Y43,AA43)</f>
        <v>0.23214285714285712</v>
      </c>
      <c r="H43" s="3">
        <f>MAX(AB43,Z43)</f>
        <v>0.40366623412347552</v>
      </c>
      <c r="I43" s="3">
        <v>1.3</v>
      </c>
      <c r="J43" s="3">
        <v>-0.2</v>
      </c>
      <c r="K43" s="3">
        <v>0</v>
      </c>
      <c r="L43" s="3">
        <v>0</v>
      </c>
      <c r="M43" s="3">
        <v>0</v>
      </c>
      <c r="N43" s="3">
        <v>-63</v>
      </c>
      <c r="O43" s="3">
        <v>0</v>
      </c>
      <c r="P43" s="3">
        <v>0</v>
      </c>
      <c r="Q43" s="3">
        <v>63</v>
      </c>
      <c r="R43" s="3">
        <f t="shared" si="14"/>
        <v>-0.2</v>
      </c>
      <c r="S43" s="3">
        <f t="shared" si="15"/>
        <v>1.3</v>
      </c>
      <c r="T43" s="3">
        <f>L43*SIN(ABS(N43))+P43*SIN(ABS(Q43))</f>
        <v>0</v>
      </c>
      <c r="U43" s="3">
        <f>M43*SIN(ABS(N43))+O43*SIN(ABS(Q43))</f>
        <v>0</v>
      </c>
      <c r="V43" s="3">
        <f t="shared" si="16"/>
        <v>22.866666666666671</v>
      </c>
      <c r="W43" s="3">
        <f>R43*C43</f>
        <v>0</v>
      </c>
      <c r="X43" s="3">
        <f t="shared" si="17"/>
        <v>0</v>
      </c>
      <c r="Y43" s="3">
        <f>ABS(W43)*$D43/(2*V43)+ABS(R43)/$E43</f>
        <v>3.5714285714285712E-2</v>
      </c>
      <c r="Z43" s="3">
        <f>POWER(POWER(Y43,2)+3*POWER(S43/E43,2),0.5)</f>
        <v>0.40366623412347552</v>
      </c>
      <c r="AA43" s="3">
        <f t="shared" si="18"/>
        <v>0.23214285714285712</v>
      </c>
      <c r="AB43" s="3">
        <f t="shared" si="19"/>
        <v>0.23214285714285712</v>
      </c>
    </row>
    <row r="44" spans="1:32" ht="15.75" x14ac:dyDescent="0.25">
      <c r="A44" s="5" t="s">
        <v>66</v>
      </c>
      <c r="B44" s="3">
        <v>0.4</v>
      </c>
      <c r="C44" s="3">
        <v>0</v>
      </c>
      <c r="D44" s="3">
        <v>7</v>
      </c>
      <c r="E44" s="3">
        <f>D44*B44*2</f>
        <v>5.6000000000000005</v>
      </c>
      <c r="F44" s="33" t="str">
        <f t="shared" si="13"/>
        <v>safe</v>
      </c>
      <c r="G44" s="3">
        <f t="shared" si="20"/>
        <v>1.7857142857142856E-2</v>
      </c>
      <c r="H44" s="3">
        <f>MAX(AB44,Z44)</f>
        <v>3.0929478706587094E-2</v>
      </c>
      <c r="I44" s="3">
        <v>0.1</v>
      </c>
      <c r="J44" s="3">
        <v>0</v>
      </c>
      <c r="K44" s="3">
        <v>0</v>
      </c>
      <c r="L44" s="3">
        <v>0</v>
      </c>
      <c r="M44" s="3">
        <v>0</v>
      </c>
      <c r="N44" s="3">
        <v>-63</v>
      </c>
      <c r="O44" s="3">
        <v>0</v>
      </c>
      <c r="P44" s="3">
        <v>0</v>
      </c>
      <c r="Q44" s="3">
        <v>63</v>
      </c>
      <c r="R44" s="3">
        <f t="shared" si="14"/>
        <v>0</v>
      </c>
      <c r="S44" s="3">
        <f t="shared" si="15"/>
        <v>0.1</v>
      </c>
      <c r="T44" s="3">
        <f>L44*SIN(ABS(N44))+P44*SIN(ABS(Q44))</f>
        <v>0</v>
      </c>
      <c r="U44" s="3">
        <f>M44*SIN(ABS(N44))+O44*SIN(ABS(Q44))</f>
        <v>0</v>
      </c>
      <c r="V44" s="3">
        <f t="shared" si="16"/>
        <v>22.866666666666671</v>
      </c>
      <c r="W44" s="3">
        <f>R44*C44</f>
        <v>0</v>
      </c>
      <c r="X44" s="3">
        <f t="shared" si="17"/>
        <v>0</v>
      </c>
      <c r="Y44" s="3">
        <f>ABS(W44)*$D44/(2*V44)+ABS(R44)/$E44</f>
        <v>0</v>
      </c>
      <c r="Z44" s="3">
        <f>POWER(POWER(Y44,2)+3*POWER(S44/E44,2),0.5)</f>
        <v>3.0929478706587094E-2</v>
      </c>
      <c r="AA44" s="3">
        <f t="shared" si="18"/>
        <v>1.7857142857142856E-2</v>
      </c>
      <c r="AB44" s="3">
        <f t="shared" si="19"/>
        <v>1.7857142857142856E-2</v>
      </c>
    </row>
    <row r="45" spans="1:32" ht="15.75" x14ac:dyDescent="0.25">
      <c r="A45" s="5" t="s">
        <v>67</v>
      </c>
      <c r="B45" s="3">
        <v>0.6</v>
      </c>
      <c r="C45" s="3">
        <v>0</v>
      </c>
      <c r="D45" s="3">
        <v>12</v>
      </c>
      <c r="E45" s="3">
        <f>D45*B45*2</f>
        <v>14.399999999999999</v>
      </c>
      <c r="F45" s="33" t="str">
        <f t="shared" si="13"/>
        <v>safe</v>
      </c>
      <c r="G45" s="3">
        <f t="shared" si="20"/>
        <v>0.61618536348909358</v>
      </c>
      <c r="H45" s="3">
        <f>MAX(AB45,Z45)</f>
        <v>0.81502557276160292</v>
      </c>
      <c r="I45" s="3">
        <v>0.1</v>
      </c>
      <c r="J45" s="3">
        <v>0</v>
      </c>
      <c r="K45" s="3">
        <v>0</v>
      </c>
      <c r="L45" s="3">
        <v>9.1999999999999993</v>
      </c>
      <c r="M45" s="3">
        <v>12</v>
      </c>
      <c r="N45" s="3">
        <v>-63</v>
      </c>
      <c r="O45" s="3">
        <v>7.4</v>
      </c>
      <c r="P45" s="3">
        <v>18.2</v>
      </c>
      <c r="Q45" s="3">
        <v>63</v>
      </c>
      <c r="R45" s="3">
        <f t="shared" si="14"/>
        <v>8.873069234242946</v>
      </c>
      <c r="S45" s="3">
        <f t="shared" si="15"/>
        <v>-4.4351242752797289</v>
      </c>
      <c r="T45" s="3">
        <f>L45*SIN(ABS(N45))+P45*SIN(ABS(Q45))</f>
        <v>4.5855461882969095</v>
      </c>
      <c r="U45" s="3">
        <f>M45*SIN(ABS(N45))+O45*SIN(ABS(Q45))</f>
        <v>3.2467005858744544</v>
      </c>
      <c r="V45" s="3">
        <f t="shared" si="16"/>
        <v>172.79999999999998</v>
      </c>
      <c r="W45" s="3">
        <f>R45*C45</f>
        <v>0</v>
      </c>
      <c r="X45" s="3">
        <f t="shared" si="17"/>
        <v>0</v>
      </c>
      <c r="Y45" s="3">
        <f>ABS(W45)*$D45/(2*V45)+ABS(R45)/$E45</f>
        <v>0.61618536348909358</v>
      </c>
      <c r="Z45" s="3">
        <f>POWER(POWER(Y45,2)+3*POWER(S45/E45,2),0.5)</f>
        <v>0.81502557276160292</v>
      </c>
      <c r="AA45" s="3">
        <f t="shared" si="18"/>
        <v>0.30799474133887011</v>
      </c>
      <c r="AB45" s="3">
        <f t="shared" si="19"/>
        <v>0.49735760794617895</v>
      </c>
    </row>
    <row r="46" spans="1:32" ht="15.75" x14ac:dyDescent="0.25">
      <c r="A46" s="5" t="s">
        <v>68</v>
      </c>
      <c r="B46" s="3">
        <v>0.6</v>
      </c>
      <c r="C46" s="3">
        <v>0</v>
      </c>
      <c r="D46" s="3">
        <v>12</v>
      </c>
      <c r="E46" s="3">
        <f>D46*B46*2</f>
        <v>14.399999999999999</v>
      </c>
      <c r="F46" s="33" t="str">
        <f t="shared" si="13"/>
        <v>safe</v>
      </c>
      <c r="G46" s="3">
        <f t="shared" si="20"/>
        <v>0.53402731502388112</v>
      </c>
      <c r="H46" s="3">
        <f>MAX(AB46,Z46)</f>
        <v>0.55422021273762123</v>
      </c>
      <c r="I46" s="3">
        <v>3.5</v>
      </c>
      <c r="J46" s="3">
        <v>0</v>
      </c>
      <c r="K46" s="3">
        <v>0</v>
      </c>
      <c r="L46" s="3">
        <v>4.2</v>
      </c>
      <c r="M46" s="3">
        <v>11.5</v>
      </c>
      <c r="N46" s="3">
        <v>-63</v>
      </c>
      <c r="O46" s="3">
        <v>9.1999999999999993</v>
      </c>
      <c r="P46" s="3">
        <v>12</v>
      </c>
      <c r="Q46" s="3">
        <v>63</v>
      </c>
      <c r="R46" s="3">
        <f t="shared" si="14"/>
        <v>7.6899933363438873</v>
      </c>
      <c r="S46" s="3">
        <f t="shared" si="15"/>
        <v>1.2324378623601362</v>
      </c>
      <c r="T46" s="3">
        <f>L46*SIN(ABS(N46))+P46*SIN(ABS(Q46))</f>
        <v>2.711162344905472</v>
      </c>
      <c r="U46" s="3">
        <f>M46*SIN(ABS(N46))+O46*SIN(ABS(Q46))</f>
        <v>3.4642629962681033</v>
      </c>
      <c r="V46" s="3">
        <f t="shared" si="16"/>
        <v>172.79999999999998</v>
      </c>
      <c r="W46" s="3">
        <f>R46*C46</f>
        <v>0</v>
      </c>
      <c r="X46" s="3">
        <f t="shared" si="17"/>
        <v>0</v>
      </c>
      <c r="Y46" s="3">
        <f>ABS(W46)*$D46/(2*V46)+ABS(R46)/$E46</f>
        <v>0.53402731502388112</v>
      </c>
      <c r="Z46" s="3">
        <f>POWER(POWER(Y46,2)+3*POWER(S46/E46,2),0.5)</f>
        <v>0.55422021273762123</v>
      </c>
      <c r="AA46" s="3">
        <f t="shared" si="18"/>
        <v>8.5585962663898354E-2</v>
      </c>
      <c r="AB46" s="3">
        <f t="shared" si="19"/>
        <v>0.42538481923699251</v>
      </c>
    </row>
    <row r="47" spans="1:32" ht="15.75" x14ac:dyDescent="0.25">
      <c r="A47" s="5" t="s">
        <v>69</v>
      </c>
      <c r="B47" s="3">
        <v>0.4</v>
      </c>
      <c r="C47" s="3">
        <v>0</v>
      </c>
      <c r="D47" s="3">
        <v>7</v>
      </c>
      <c r="E47" s="3">
        <f>D47*B47*2</f>
        <v>5.6000000000000005</v>
      </c>
      <c r="F47" s="33" t="str">
        <f t="shared" si="13"/>
        <v>safe</v>
      </c>
      <c r="G47" s="3">
        <f t="shared" si="20"/>
        <v>0.62499999999999989</v>
      </c>
      <c r="H47" s="3">
        <f>MAX(AB47,Z47)</f>
        <v>1.0825317547305482</v>
      </c>
      <c r="I47" s="3">
        <v>3.5</v>
      </c>
      <c r="J47" s="3">
        <v>0</v>
      </c>
      <c r="K47" s="3">
        <v>0</v>
      </c>
      <c r="L47" s="3">
        <v>0</v>
      </c>
      <c r="M47" s="3">
        <v>0</v>
      </c>
      <c r="N47" s="3">
        <v>-63</v>
      </c>
      <c r="O47" s="3">
        <v>0</v>
      </c>
      <c r="P47" s="3">
        <v>0</v>
      </c>
      <c r="Q47" s="3">
        <v>63</v>
      </c>
      <c r="R47" s="3">
        <f t="shared" si="14"/>
        <v>0</v>
      </c>
      <c r="S47" s="3">
        <f t="shared" si="15"/>
        <v>3.5</v>
      </c>
      <c r="T47" s="3">
        <f>L47*SIN(ABS(N47))+P47*SIN(ABS(Q47))</f>
        <v>0</v>
      </c>
      <c r="U47" s="3">
        <f>M47*SIN(ABS(N47))+O47*SIN(ABS(Q47))</f>
        <v>0</v>
      </c>
      <c r="V47" s="3">
        <f t="shared" si="16"/>
        <v>22.866666666666671</v>
      </c>
      <c r="W47" s="3">
        <f>R47*C47</f>
        <v>0</v>
      </c>
      <c r="X47" s="3">
        <f t="shared" si="17"/>
        <v>0</v>
      </c>
      <c r="Y47" s="3">
        <f>ABS(W47)*$D47/(2*V47)+ABS(R47)/$E47</f>
        <v>0</v>
      </c>
      <c r="Z47" s="3">
        <f>POWER(POWER(Y47,2)+3*POWER(S47/E47,2),0.5)</f>
        <v>1.0825317547305482</v>
      </c>
      <c r="AA47" s="3">
        <f t="shared" si="18"/>
        <v>0.62499999999999989</v>
      </c>
      <c r="AB47" s="3">
        <f t="shared" si="19"/>
        <v>0.62499999999999989</v>
      </c>
    </row>
    <row r="48" spans="1:32" ht="15.75" x14ac:dyDescent="0.25">
      <c r="A48" s="5" t="s">
        <v>70</v>
      </c>
      <c r="B48" s="3">
        <v>0.4</v>
      </c>
      <c r="C48" s="3">
        <v>0</v>
      </c>
      <c r="D48" s="3">
        <v>7</v>
      </c>
      <c r="E48" s="3">
        <f>D48*B48*2</f>
        <v>5.6000000000000005</v>
      </c>
      <c r="F48" s="33" t="str">
        <f t="shared" si="13"/>
        <v>safe</v>
      </c>
      <c r="G48" s="3">
        <f t="shared" si="20"/>
        <v>3.5714285714285712E-2</v>
      </c>
      <c r="H48" s="3">
        <f>MAX(AB48,Z48)</f>
        <v>6.4384844204714103E-2</v>
      </c>
      <c r="I48" s="3">
        <v>0.2</v>
      </c>
      <c r="J48" s="3">
        <v>0.1</v>
      </c>
      <c r="K48" s="3">
        <v>0</v>
      </c>
      <c r="L48" s="3">
        <v>0</v>
      </c>
      <c r="M48" s="3">
        <v>0</v>
      </c>
      <c r="N48" s="3">
        <v>-63</v>
      </c>
      <c r="O48" s="3">
        <v>0</v>
      </c>
      <c r="P48" s="3">
        <v>0</v>
      </c>
      <c r="Q48" s="3">
        <v>63</v>
      </c>
      <c r="R48" s="3">
        <f t="shared" si="14"/>
        <v>0.1</v>
      </c>
      <c r="S48" s="3">
        <f t="shared" si="15"/>
        <v>0.2</v>
      </c>
      <c r="T48" s="3">
        <f>L48*SIN(ABS(N48))+P48*SIN(ABS(Q48))</f>
        <v>0</v>
      </c>
      <c r="U48" s="3">
        <f>M48*SIN(ABS(N48))+O48*SIN(ABS(Q48))</f>
        <v>0</v>
      </c>
      <c r="V48" s="3">
        <f t="shared" si="16"/>
        <v>22.866666666666671</v>
      </c>
      <c r="W48" s="3">
        <f>R48*C48</f>
        <v>0</v>
      </c>
      <c r="X48" s="3">
        <f t="shared" si="17"/>
        <v>0</v>
      </c>
      <c r="Y48" s="3">
        <f>ABS(W48)*$D48/(2*V48)+ABS(R48)/$E48</f>
        <v>1.7857142857142856E-2</v>
      </c>
      <c r="Z48" s="3">
        <f>POWER(POWER(Y48,2)+3*POWER(S48/E48,2),0.5)</f>
        <v>6.4384844204714103E-2</v>
      </c>
      <c r="AA48" s="3">
        <f t="shared" si="18"/>
        <v>3.5714285714285712E-2</v>
      </c>
      <c r="AB48" s="3">
        <f t="shared" si="19"/>
        <v>3.5714285714285712E-2</v>
      </c>
    </row>
    <row r="49" spans="1:28" ht="15.75" x14ac:dyDescent="0.25">
      <c r="A49" s="5" t="s">
        <v>71</v>
      </c>
      <c r="B49" s="3">
        <v>0.6</v>
      </c>
      <c r="C49" s="3">
        <v>0</v>
      </c>
      <c r="D49" s="3">
        <v>12</v>
      </c>
      <c r="E49" s="3">
        <f>D49*B49*2</f>
        <v>14.399999999999999</v>
      </c>
      <c r="F49" s="33" t="str">
        <f t="shared" si="13"/>
        <v>safe</v>
      </c>
      <c r="G49" s="3">
        <f t="shared" si="20"/>
        <v>0.69159484832121509</v>
      </c>
      <c r="H49" s="3">
        <f>MAX(AB49,Z49)</f>
        <v>0.81256531124850773</v>
      </c>
      <c r="I49" s="3">
        <v>0.2</v>
      </c>
      <c r="J49" s="3">
        <v>0.1</v>
      </c>
      <c r="K49" s="3">
        <v>0</v>
      </c>
      <c r="L49" s="3">
        <v>2</v>
      </c>
      <c r="M49" s="3">
        <v>8</v>
      </c>
      <c r="N49" s="3">
        <v>-63</v>
      </c>
      <c r="O49" s="3">
        <v>4.2</v>
      </c>
      <c r="P49" s="3">
        <v>12</v>
      </c>
      <c r="Q49" s="3">
        <v>63</v>
      </c>
      <c r="R49" s="3">
        <f t="shared" si="14"/>
        <v>9.958965815825497</v>
      </c>
      <c r="S49" s="3">
        <f t="shared" si="15"/>
        <v>-3.546407010013688</v>
      </c>
      <c r="T49" s="3">
        <f>L49*SIN(ABS(N49))+P49*SIN(ABS(Q49))</f>
        <v>2.3429798042392971</v>
      </c>
      <c r="U49" s="3">
        <f>M49*SIN(ABS(N49))+O49*SIN(ABS(Q49))</f>
        <v>2.0417395436942445</v>
      </c>
      <c r="V49" s="3">
        <f>POWER($D49,3)*$B49/6</f>
        <v>172.79999999999998</v>
      </c>
      <c r="W49" s="3">
        <f>R49*C49</f>
        <v>0</v>
      </c>
      <c r="X49" s="3">
        <f t="shared" si="17"/>
        <v>0</v>
      </c>
      <c r="Y49" s="3">
        <f>ABS(W49)*$D49/(2*V49)+ABS(R49)/$E49</f>
        <v>0.69159484832121509</v>
      </c>
      <c r="Z49" s="3">
        <f>POWER(POWER(Y49,2)+3*POWER(S49/E49,2),0.5)</f>
        <v>0.81256531124850773</v>
      </c>
      <c r="AA49" s="3">
        <f t="shared" si="18"/>
        <v>0.24627826458428392</v>
      </c>
      <c r="AB49" s="3">
        <f t="shared" si="19"/>
        <v>0.34779885295629009</v>
      </c>
    </row>
  </sheetData>
  <mergeCells count="25">
    <mergeCell ref="N2:O2"/>
    <mergeCell ref="W38:W39"/>
    <mergeCell ref="Y38:Z39"/>
    <mergeCell ref="AA38:AB39"/>
    <mergeCell ref="X38:X39"/>
    <mergeCell ref="S38:S39"/>
    <mergeCell ref="A38:L39"/>
    <mergeCell ref="R38:R39"/>
    <mergeCell ref="N1:O1"/>
    <mergeCell ref="B21:L21"/>
    <mergeCell ref="N4:Q11"/>
    <mergeCell ref="B30:L30"/>
    <mergeCell ref="A27:A28"/>
    <mergeCell ref="B27:B28"/>
    <mergeCell ref="C27:C28"/>
    <mergeCell ref="A1:L2"/>
    <mergeCell ref="F27:F28"/>
    <mergeCell ref="G27:G28"/>
    <mergeCell ref="H27:H28"/>
    <mergeCell ref="I27:I28"/>
    <mergeCell ref="J27:J28"/>
    <mergeCell ref="K27:K28"/>
    <mergeCell ref="L27:L28"/>
    <mergeCell ref="D27:D28"/>
    <mergeCell ref="E27:E28"/>
  </mergeCells>
  <conditionalFormatting sqref="B18:K18">
    <cfRule type="cellIs" dxfId="11" priority="34" operator="equal">
      <formula>"not safe"</formula>
    </cfRule>
  </conditionalFormatting>
  <conditionalFormatting sqref="B18:K18">
    <cfRule type="cellIs" dxfId="10" priority="32" operator="notEqual">
      <formula>"not safe"</formula>
    </cfRule>
    <cfRule type="cellIs" dxfId="9" priority="33" operator="equal">
      <formula>"not safe"</formula>
    </cfRule>
  </conditionalFormatting>
  <conditionalFormatting sqref="B20:K20">
    <cfRule type="cellIs" dxfId="8" priority="31" operator="equal">
      <formula>"not safe"</formula>
    </cfRule>
  </conditionalFormatting>
  <conditionalFormatting sqref="B20:K20">
    <cfRule type="cellIs" dxfId="7" priority="29" operator="notEqual">
      <formula>"not safe"</formula>
    </cfRule>
    <cfRule type="cellIs" dxfId="6" priority="30" operator="equal">
      <formula>"not safe"</formula>
    </cfRule>
  </conditionalFormatting>
  <conditionalFormatting sqref="B14:K14">
    <cfRule type="cellIs" dxfId="5" priority="14" operator="greaterThan">
      <formula>180</formula>
    </cfRule>
  </conditionalFormatting>
  <conditionalFormatting sqref="B15:K15">
    <cfRule type="cellIs" dxfId="4" priority="5" operator="greaterThan">
      <formula>60</formula>
    </cfRule>
  </conditionalFormatting>
  <conditionalFormatting sqref="F41">
    <cfRule type="cellIs" dxfId="3" priority="3" operator="equal">
      <formula>"safe"</formula>
    </cfRule>
    <cfRule type="cellIs" dxfId="2" priority="4" operator="equal">
      <formula>"unsafe"</formula>
    </cfRule>
  </conditionalFormatting>
  <conditionalFormatting sqref="F42:F49">
    <cfRule type="cellIs" dxfId="1" priority="1" operator="equal">
      <formula>"safe"</formula>
    </cfRule>
    <cfRule type="cellIs" dxfId="0" priority="2" operator="equal">
      <formula>"unsafe"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7" workbookViewId="0">
      <selection activeCell="B42" sqref="B42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</dc:creator>
  <cp:lastModifiedBy>Ahmed</cp:lastModifiedBy>
  <dcterms:created xsi:type="dcterms:W3CDTF">2025-04-24T06:08:03Z</dcterms:created>
  <dcterms:modified xsi:type="dcterms:W3CDTF">2025-06-18T18:42:57Z</dcterms:modified>
</cp:coreProperties>
</file>