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15360" windowHeight="7635"/>
  </bookViews>
  <sheets>
    <sheet name="Sheet1" sheetId="1" r:id="rId1"/>
    <sheet name="n direction stiffiners cou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R25" i="1" l="1"/>
  <c r="B14" i="1"/>
  <c r="V29" i="1"/>
  <c r="R6" i="1" l="1"/>
  <c r="R7" i="1"/>
  <c r="R3" i="1"/>
  <c r="L12" i="1"/>
  <c r="R30" i="1" s="1"/>
  <c r="L10" i="1"/>
  <c r="L8" i="1"/>
  <c r="L4" i="1"/>
  <c r="L5" i="1"/>
  <c r="L6" i="1"/>
  <c r="L3" i="1"/>
  <c r="V5" i="1" s="1"/>
  <c r="V28" i="1"/>
  <c r="R8" i="1" l="1"/>
  <c r="R4" i="1"/>
  <c r="R5" i="1" s="1"/>
  <c r="R27" i="1" s="1"/>
  <c r="R13" i="1"/>
  <c r="V4" i="1" s="1"/>
  <c r="L9" i="1"/>
  <c r="L11" i="1" s="1"/>
  <c r="L22" i="1" s="1"/>
  <c r="R32" i="1"/>
  <c r="R26" i="1" l="1"/>
  <c r="V6" i="1"/>
  <c r="R12" i="1"/>
  <c r="V15" i="1"/>
  <c r="R9" i="1"/>
  <c r="R10" i="1" s="1"/>
  <c r="L16" i="1"/>
  <c r="L17" i="1" s="1"/>
  <c r="V8" i="1" l="1"/>
  <c r="V7" i="1"/>
  <c r="L18" i="1"/>
  <c r="L19" i="1"/>
  <c r="L14" i="1"/>
  <c r="L15" i="1"/>
  <c r="V16" i="1" l="1"/>
  <c r="R34" i="1"/>
  <c r="V37" i="1"/>
  <c r="V3" i="1"/>
  <c r="R28" i="1"/>
  <c r="R29" i="1" l="1"/>
  <c r="R33" i="1"/>
  <c r="V17" i="1"/>
  <c r="F4" i="1" s="1"/>
  <c r="R39" i="1"/>
  <c r="R40" i="1" s="1"/>
  <c r="L21" i="1"/>
  <c r="L7" i="1"/>
  <c r="L13" i="1" s="1"/>
  <c r="R41" i="1" l="1"/>
  <c r="R42" i="1" s="1"/>
  <c r="R43" i="1" s="1"/>
  <c r="V38" i="1"/>
  <c r="V39" i="1" l="1"/>
  <c r="L26" i="1" s="1"/>
  <c r="L27" i="1" s="1"/>
  <c r="V41" i="1"/>
  <c r="V43" i="1" s="1"/>
  <c r="V44" i="1"/>
  <c r="V40" i="1"/>
  <c r="V42" i="1" l="1"/>
  <c r="L34" i="1"/>
  <c r="L33" i="1"/>
  <c r="L24" i="1"/>
  <c r="R31" i="1"/>
  <c r="L23" i="1"/>
  <c r="L25" i="1"/>
  <c r="R14" i="1" l="1"/>
  <c r="R18" i="1" s="1"/>
  <c r="L31" i="1"/>
  <c r="L30" i="1"/>
  <c r="L36" i="1" s="1"/>
  <c r="L28" i="1"/>
  <c r="R35" i="1"/>
  <c r="R36" i="1" s="1"/>
  <c r="R15" i="1" l="1"/>
  <c r="R16" i="1" s="1"/>
  <c r="R17" i="1" s="1"/>
  <c r="R19" i="1" s="1"/>
  <c r="R20" i="1" s="1"/>
  <c r="L32" i="1"/>
  <c r="L35" i="1" s="1"/>
  <c r="L37" i="1" s="1"/>
  <c r="L38" i="1" s="1"/>
  <c r="V9" i="1"/>
  <c r="V10" i="1" s="1"/>
  <c r="F3" i="1" l="1"/>
</calcChain>
</file>

<file path=xl/sharedStrings.xml><?xml version="1.0" encoding="utf-8"?>
<sst xmlns="http://schemas.openxmlformats.org/spreadsheetml/2006/main" count="241" uniqueCount="142">
  <si>
    <t>web length</t>
  </si>
  <si>
    <t>flange length</t>
  </si>
  <si>
    <t>flange thickness</t>
  </si>
  <si>
    <t>beam depth h</t>
  </si>
  <si>
    <t xml:space="preserve">D (plate length) </t>
  </si>
  <si>
    <t>B (plate Width)</t>
  </si>
  <si>
    <t>N Normal force</t>
  </si>
  <si>
    <t>concrete bearing capacity</t>
  </si>
  <si>
    <t>cm</t>
  </si>
  <si>
    <t>cm2</t>
  </si>
  <si>
    <t>ton</t>
  </si>
  <si>
    <t>ton/cm2</t>
  </si>
  <si>
    <t>kg/cm2</t>
  </si>
  <si>
    <t>steel yield stress</t>
  </si>
  <si>
    <t>stiffenere</t>
  </si>
  <si>
    <t>cm4</t>
  </si>
  <si>
    <t>plate section area , A1</t>
  </si>
  <si>
    <t>safety</t>
  </si>
  <si>
    <t>input data</t>
  </si>
  <si>
    <t>output data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</si>
  <si>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>sh</t>
    </r>
  </si>
  <si>
    <t>Area bolt</t>
  </si>
  <si>
    <t>bolt diameter</t>
  </si>
  <si>
    <t>mm</t>
  </si>
  <si>
    <t>tons</t>
  </si>
  <si>
    <r>
      <rPr>
        <b/>
        <sz val="18"/>
        <color theme="3"/>
        <rFont val="Calibri"/>
        <family val="2"/>
        <scheme val="minor"/>
      </rPr>
      <t>R</t>
    </r>
    <r>
      <rPr>
        <b/>
        <sz val="12"/>
        <color theme="3"/>
        <rFont val="Calibri"/>
        <family val="2"/>
        <scheme val="minor"/>
      </rPr>
      <t>bear</t>
    </r>
  </si>
  <si>
    <t>steel ultimate stress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</si>
  <si>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</t>
    </r>
  </si>
  <si>
    <t>bolts count</t>
  </si>
  <si>
    <t>Fu,weld</t>
  </si>
  <si>
    <t>FN</t>
  </si>
  <si>
    <t>flange weld length</t>
  </si>
  <si>
    <t>web thickness</t>
  </si>
  <si>
    <t>web weld length</t>
  </si>
  <si>
    <t>t/cm2</t>
  </si>
  <si>
    <t>flange weld thickness</t>
  </si>
  <si>
    <t>web weld thickness</t>
  </si>
  <si>
    <t>FQ</t>
  </si>
  <si>
    <t>Feq</t>
  </si>
  <si>
    <t>t/cm3</t>
  </si>
  <si>
    <t>t/cm4</t>
  </si>
  <si>
    <t>ton / cm2</t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</si>
  <si>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>eq , equivalent stress</t>
    </r>
  </si>
  <si>
    <t>stiffeners weld safety</t>
  </si>
  <si>
    <t>M moment</t>
  </si>
  <si>
    <t>m . Ton</t>
  </si>
  <si>
    <t>e</t>
  </si>
  <si>
    <t xml:space="preserve">stress core </t>
  </si>
  <si>
    <t xml:space="preserve">stiffeners count </t>
  </si>
  <si>
    <r>
      <t xml:space="preserve">stiffener thickness , </t>
    </r>
    <r>
      <rPr>
        <b/>
        <sz val="18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</t>
    </r>
  </si>
  <si>
    <t>All bolts</t>
  </si>
  <si>
    <t>Compression force</t>
  </si>
  <si>
    <t>a ( third comp. stress in case of tension existance )</t>
  </si>
  <si>
    <t>Tension Force</t>
  </si>
  <si>
    <t xml:space="preserve">max stress ( concrete stress ) </t>
  </si>
  <si>
    <t>stress on concrete @ bolt</t>
  </si>
  <si>
    <t>have tension ?</t>
  </si>
  <si>
    <t xml:space="preserve">plate section center of gravity </t>
  </si>
  <si>
    <t>plate section inertia</t>
  </si>
  <si>
    <t>Qx</t>
  </si>
  <si>
    <t>Qy</t>
  </si>
  <si>
    <t>Q eq</t>
  </si>
  <si>
    <t>ton cm</t>
  </si>
  <si>
    <t>C1</t>
  </si>
  <si>
    <t>C2</t>
  </si>
  <si>
    <t>………..Plate Properties of area calculations………..</t>
  </si>
  <si>
    <t>Resistance Stresses</t>
  </si>
  <si>
    <t>Applied Stresses</t>
  </si>
  <si>
    <t>average Concrete stress ( max , @bolt)</t>
  </si>
  <si>
    <t>average concrete stress ( max , @flange )</t>
  </si>
  <si>
    <t>stress concrete @ flange</t>
  </si>
  <si>
    <t>plate surface Area</t>
  </si>
  <si>
    <t>plate surface inertia , Ix</t>
  </si>
  <si>
    <t xml:space="preserve">tp , plate thickness </t>
  </si>
  <si>
    <t>plate section allowable stress 0.58Fy</t>
  </si>
  <si>
    <r>
      <t xml:space="preserve">buckling check </t>
    </r>
    <r>
      <rPr>
        <b/>
        <sz val="16"/>
        <color theme="3"/>
        <rFont val="Calibri"/>
        <family val="2"/>
        <scheme val="minor"/>
      </rPr>
      <t>b</t>
    </r>
    <r>
      <rPr>
        <b/>
        <sz val="13"/>
        <color theme="3"/>
        <rFont val="Calibri"/>
        <family val="2"/>
        <scheme val="minor"/>
      </rPr>
      <t xml:space="preserve">st / </t>
    </r>
    <r>
      <rPr>
        <b/>
        <sz val="16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</t>
    </r>
  </si>
  <si>
    <t>buckling</t>
  </si>
  <si>
    <t>buckling safety</t>
  </si>
  <si>
    <t>plate calculations</t>
  </si>
  <si>
    <t>Straining actions</t>
  </si>
  <si>
    <t>stiffiners</t>
  </si>
  <si>
    <t>bolts</t>
  </si>
  <si>
    <t>weld</t>
  </si>
  <si>
    <t>Q per Bolt</t>
  </si>
  <si>
    <t>Tension per bolt</t>
  </si>
  <si>
    <r>
      <rPr>
        <b/>
        <sz val="16"/>
        <color theme="3"/>
        <rFont val="Calibri"/>
        <family val="2"/>
        <scheme val="minor"/>
      </rPr>
      <t>Tension</t>
    </r>
    <r>
      <rPr>
        <b/>
        <sz val="13"/>
        <color theme="3"/>
        <rFont val="Calibri"/>
        <family val="2"/>
        <scheme val="minor"/>
      </rPr>
      <t xml:space="preserve"> allowable</t>
    </r>
  </si>
  <si>
    <t>circular equation</t>
  </si>
  <si>
    <t>bolt straining actions safety</t>
  </si>
  <si>
    <t>………..bolts length ………..</t>
  </si>
  <si>
    <t>bold stress for concrete</t>
  </si>
  <si>
    <t>required bolt length</t>
  </si>
  <si>
    <t>Area washer plate</t>
  </si>
  <si>
    <t>shear bolts threaded bolts , Anchor bolts</t>
  </si>
  <si>
    <t xml:space="preserve">flanges and web welding </t>
  </si>
  <si>
    <t>Top Plate Design</t>
  </si>
  <si>
    <t>moment on plate</t>
  </si>
  <si>
    <t>stiffeners calculations</t>
  </si>
  <si>
    <t>plate thickness required</t>
  </si>
  <si>
    <t>plate width</t>
  </si>
  <si>
    <t>overall safety</t>
  </si>
  <si>
    <t>concrete bearing safety</t>
  </si>
  <si>
    <t>top plate thickness</t>
  </si>
  <si>
    <t>stiffeners clear spacing , X</t>
  </si>
  <si>
    <t>stiffeners spacing , center to center</t>
  </si>
  <si>
    <r>
      <t xml:space="preserve">stiffeners length , </t>
    </r>
    <r>
      <rPr>
        <b/>
        <sz val="16"/>
        <color theme="3"/>
        <rFont val="Calibri"/>
        <family val="2"/>
        <scheme val="minor"/>
      </rPr>
      <t>b</t>
    </r>
    <r>
      <rPr>
        <b/>
        <sz val="13"/>
        <color theme="3"/>
        <rFont val="Calibri"/>
        <family val="2"/>
        <scheme val="minor"/>
      </rPr>
      <t>st</t>
    </r>
  </si>
  <si>
    <r>
      <t xml:space="preserve">stiffener height , </t>
    </r>
    <r>
      <rPr>
        <b/>
        <sz val="18"/>
        <color theme="3"/>
        <rFont val="Calibri"/>
        <family val="2"/>
        <scheme val="minor"/>
      </rPr>
      <t>h</t>
    </r>
    <r>
      <rPr>
        <b/>
        <sz val="13"/>
        <color theme="3"/>
        <rFont val="Calibri"/>
        <family val="2"/>
        <scheme val="minor"/>
      </rPr>
      <t>st</t>
    </r>
  </si>
  <si>
    <t>Applied moment on Plate  , due to compression</t>
  </si>
  <si>
    <t>tp , plate thickness , required for compression</t>
  </si>
  <si>
    <t>plate thickness safety , for compression</t>
  </si>
  <si>
    <t>ton/cm3</t>
  </si>
  <si>
    <t>plate section allowable stress 0.72Fy</t>
  </si>
  <si>
    <t>construction condition , 3D , stiffeners spacing</t>
  </si>
  <si>
    <t>construction condition , 3D , edge and flange spacing</t>
  </si>
  <si>
    <r>
      <t xml:space="preserve">stiffener height </t>
    </r>
    <r>
      <rPr>
        <b/>
        <sz val="16"/>
        <color theme="3"/>
        <rFont val="Calibri"/>
        <family val="2"/>
        <scheme val="minor"/>
      </rPr>
      <t>,</t>
    </r>
    <r>
      <rPr>
        <b/>
        <sz val="18"/>
        <color theme="3"/>
        <rFont val="Calibri"/>
        <family val="2"/>
        <scheme val="minor"/>
      </rPr>
      <t>h</t>
    </r>
    <r>
      <rPr>
        <b/>
        <sz val="13"/>
        <color theme="3"/>
        <rFont val="Calibri"/>
        <family val="2"/>
        <scheme val="minor"/>
      </rPr>
      <t>st</t>
    </r>
  </si>
  <si>
    <t>washer plate length</t>
  </si>
  <si>
    <t>washer plate thickness</t>
  </si>
  <si>
    <t>moment on washer plate</t>
  </si>
  <si>
    <t>bolts rows</t>
  </si>
  <si>
    <t>rows</t>
  </si>
  <si>
    <t>comp. and tension bolts spacing , h* , spacing bet. C.g. of stiffeners</t>
  </si>
  <si>
    <t>………..M-section Properties of area calculations………..</t>
  </si>
  <si>
    <t>Area</t>
  </si>
  <si>
    <t xml:space="preserve">center of gravity </t>
  </si>
  <si>
    <t xml:space="preserve"> inertia</t>
  </si>
  <si>
    <t>moment @ M-sec</t>
  </si>
  <si>
    <t>(D - beam depth h) / 2</t>
  </si>
  <si>
    <t>ton /cm2</t>
  </si>
  <si>
    <t>section safety</t>
  </si>
  <si>
    <t>stress on concrete @ stiffeners edge</t>
  </si>
  <si>
    <t>max normal stress</t>
  </si>
  <si>
    <t>shear stress</t>
  </si>
  <si>
    <t>combined stress</t>
  </si>
  <si>
    <t>………..section M , weld of stiffeners and plate section calculations………..</t>
  </si>
  <si>
    <t xml:space="preserve">area </t>
  </si>
  <si>
    <t>inertia</t>
  </si>
  <si>
    <t>center of gravity</t>
  </si>
  <si>
    <t>shear force @ M-sec</t>
  </si>
  <si>
    <r>
      <rPr>
        <b/>
        <sz val="16"/>
        <color theme="3"/>
        <rFont val="Calibri"/>
        <family val="2"/>
        <scheme val="minor"/>
      </rPr>
      <t>q</t>
    </r>
    <r>
      <rPr>
        <b/>
        <sz val="13"/>
        <color theme="3"/>
        <rFont val="Calibri"/>
        <family val="2"/>
        <scheme val="minor"/>
      </rPr>
      <t>y , shear stress on Weld</t>
    </r>
  </si>
  <si>
    <r>
      <rPr>
        <b/>
        <sz val="18"/>
        <color theme="3"/>
        <rFont val="Calibri"/>
        <family val="2"/>
        <scheme val="minor"/>
      </rPr>
      <t xml:space="preserve">fn , </t>
    </r>
    <r>
      <rPr>
        <b/>
        <sz val="13"/>
        <color theme="3"/>
        <rFont val="Calibri"/>
        <family val="2"/>
        <scheme val="minor"/>
      </rPr>
      <t>normal stress on weld</t>
    </r>
  </si>
  <si>
    <r>
      <t xml:space="preserve">stiffener weld length = </t>
    </r>
    <r>
      <rPr>
        <b/>
        <sz val="16"/>
        <color theme="3"/>
        <rFont val="Calibri"/>
        <family val="2"/>
        <scheme val="minor"/>
      </rPr>
      <t>h</t>
    </r>
    <r>
      <rPr>
        <b/>
        <sz val="13"/>
        <color theme="3"/>
        <rFont val="Calibri"/>
        <family val="2"/>
        <scheme val="minor"/>
      </rPr>
      <t>st - Sw</t>
    </r>
  </si>
  <si>
    <t>stiffener weld thickness , sw</t>
  </si>
  <si>
    <t>stiffeners to plate weld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</si>
</sst>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6" fillId="2" borderId="3" applyNumberFormat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</cellStyleXfs>
  <cellXfs count="32">
    <xf numFmtId="0" fontId="0" fillId="0" borderId="0" xfId="0"/>
    <xf numFmtId="0" fontId="1" fillId="0" borderId="2" xfId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2" xfId="1" applyFont="1" applyBorder="1"/>
    <xf numFmtId="0" fontId="0" fillId="0" borderId="2" xfId="0" applyFill="1" applyBorder="1" applyAlignment="1">
      <alignment horizontal="center" vertical="center"/>
    </xf>
    <xf numFmtId="0" fontId="1" fillId="0" borderId="5" xfId="1" applyFill="1" applyBorder="1"/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2" fillId="4" borderId="2" xfId="4" applyFont="1" applyBorder="1"/>
    <xf numFmtId="0" fontId="12" fillId="4" borderId="2" xfId="4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2" fillId="3" borderId="2" xfId="3" applyFont="1" applyBorder="1"/>
    <xf numFmtId="0" fontId="12" fillId="3" borderId="2" xfId="3" applyFont="1" applyBorder="1" applyAlignment="1">
      <alignment horizontal="center" vertical="center"/>
    </xf>
    <xf numFmtId="0" fontId="12" fillId="3" borderId="13" xfId="3" applyFont="1" applyBorder="1"/>
    <xf numFmtId="0" fontId="12" fillId="3" borderId="13" xfId="3" applyFont="1" applyBorder="1" applyAlignment="1">
      <alignment horizontal="center" vertical="center"/>
    </xf>
    <xf numFmtId="0" fontId="4" fillId="2" borderId="3" xfId="2" applyFont="1" applyAlignment="1">
      <alignment horizontal="center" vertical="center" wrapText="1"/>
    </xf>
    <xf numFmtId="0" fontId="4" fillId="2" borderId="8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4" fillId="2" borderId="10" xfId="2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0" fontId="4" fillId="2" borderId="4" xfId="2" applyFont="1" applyBorder="1" applyAlignment="1">
      <alignment horizontal="center" vertical="center" wrapText="1"/>
    </xf>
    <xf numFmtId="0" fontId="4" fillId="2" borderId="12" xfId="2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20% - Accent1" xfId="3" builtinId="30"/>
    <cellStyle name="20% - Accent6" xfId="4" builtinId="50"/>
    <cellStyle name="Heading 2" xfId="1" builtinId="17"/>
    <cellStyle name="Normal" xfId="0" builtinId="0"/>
    <cellStyle name="Output" xfId="2" builtinId="21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581025</xdr:colOff>
      <xdr:row>11</xdr:row>
      <xdr:rowOff>180975</xdr:rowOff>
    </xdr:from>
    <xdr:to>
      <xdr:col>6</xdr:col>
      <xdr:colOff>822993</xdr:colOff>
      <xdr:row>27</xdr:row>
      <xdr:rowOff>232202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5425" y="3305175"/>
          <a:ext cx="3257550" cy="487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abSelected="1" topLeftCell="F1" zoomScale="70" zoomScaleNormal="70" workbookViewId="0">
      <selection activeCell="R47" sqref="R47"/>
    </sheetView>
  </sheetViews>
  <sheetFormatPr defaultRowHeight="15" x14ac:dyDescent="0.25"/>
  <cols>
    <col min="1" max="1" width="42.5703125" bestFit="1" customWidth="1"/>
    <col min="2" max="2" width="17.85546875" customWidth="1"/>
    <col min="3" max="3" width="10.42578125" customWidth="1"/>
    <col min="5" max="5" width="20.5703125" customWidth="1"/>
    <col min="6" max="7" width="15.28515625" customWidth="1"/>
    <col min="11" max="11" width="71" bestFit="1" customWidth="1"/>
    <col min="12" max="12" width="16.42578125" customWidth="1"/>
    <col min="13" max="13" width="10.5703125" bestFit="1" customWidth="1"/>
    <col min="17" max="17" width="57.28515625" bestFit="1" customWidth="1"/>
    <col min="18" max="18" width="26.28515625" bestFit="1" customWidth="1"/>
    <col min="19" max="19" width="10.5703125" bestFit="1" customWidth="1"/>
    <col min="21" max="21" width="43.85546875" bestFit="1" customWidth="1"/>
    <col min="22" max="22" width="23.140625" customWidth="1"/>
    <col min="23" max="23" width="8.42578125" customWidth="1"/>
  </cols>
  <sheetData>
    <row r="1" spans="1:23" ht="15" customHeight="1" x14ac:dyDescent="0.25">
      <c r="A1" s="20" t="s">
        <v>18</v>
      </c>
      <c r="B1" s="20"/>
      <c r="C1" s="20"/>
      <c r="E1" s="20" t="s">
        <v>19</v>
      </c>
      <c r="F1" s="20"/>
      <c r="G1" s="20"/>
      <c r="K1" s="20" t="s">
        <v>78</v>
      </c>
      <c r="L1" s="20"/>
      <c r="M1" s="20"/>
      <c r="Q1" s="20" t="s">
        <v>96</v>
      </c>
      <c r="R1" s="20"/>
      <c r="S1" s="20"/>
      <c r="T1" s="6"/>
      <c r="U1" s="20" t="s">
        <v>93</v>
      </c>
      <c r="V1" s="20"/>
      <c r="W1" s="20"/>
    </row>
    <row r="2" spans="1:23" ht="15" customHeight="1" x14ac:dyDescent="0.25">
      <c r="A2" s="20"/>
      <c r="B2" s="20"/>
      <c r="C2" s="20"/>
      <c r="E2" s="20"/>
      <c r="F2" s="20"/>
      <c r="G2" s="20"/>
      <c r="K2" s="20"/>
      <c r="L2" s="20"/>
      <c r="M2" s="20"/>
      <c r="Q2" s="20"/>
      <c r="R2" s="20"/>
      <c r="S2" s="20"/>
      <c r="T2" s="6"/>
      <c r="U2" s="20"/>
      <c r="V2" s="20"/>
      <c r="W2" s="20"/>
    </row>
    <row r="3" spans="1:23" ht="24" customHeight="1" x14ac:dyDescent="0.3">
      <c r="A3" s="1" t="s">
        <v>0</v>
      </c>
      <c r="B3" s="5">
        <v>50</v>
      </c>
      <c r="C3" s="3" t="s">
        <v>8</v>
      </c>
      <c r="E3" s="1" t="s">
        <v>99</v>
      </c>
      <c r="F3" s="2" t="str">
        <f>IF(AND(L28="safe", R10="safe",R20="safe",R36="safe",V10="safe",V44="safe",L38= "safe" ), "safe", "unsafe")</f>
        <v>safe</v>
      </c>
      <c r="G3" s="3" t="s">
        <v>17</v>
      </c>
      <c r="K3" s="1" t="s">
        <v>0</v>
      </c>
      <c r="L3" s="2">
        <f>B3</f>
        <v>50</v>
      </c>
      <c r="M3" s="3" t="s">
        <v>8</v>
      </c>
      <c r="Q3" s="4" t="s">
        <v>48</v>
      </c>
      <c r="R3" s="12">
        <f>B17</f>
        <v>3</v>
      </c>
      <c r="S3" s="3" t="s">
        <v>14</v>
      </c>
      <c r="U3" s="7" t="s">
        <v>29</v>
      </c>
      <c r="V3" s="2">
        <f>0.2 * V27</f>
        <v>1.04</v>
      </c>
      <c r="W3" s="3" t="s">
        <v>34</v>
      </c>
    </row>
    <row r="4" spans="1:23" ht="24" customHeight="1" x14ac:dyDescent="0.3">
      <c r="A4" s="1" t="s">
        <v>32</v>
      </c>
      <c r="B4" s="5">
        <v>1.5</v>
      </c>
      <c r="C4" s="3" t="s">
        <v>8</v>
      </c>
      <c r="E4" s="1" t="s">
        <v>101</v>
      </c>
      <c r="F4" s="2">
        <f>V17</f>
        <v>2</v>
      </c>
      <c r="G4" s="3" t="s">
        <v>8</v>
      </c>
      <c r="K4" s="1" t="s">
        <v>32</v>
      </c>
      <c r="L4" s="2">
        <f t="shared" ref="L4:L6" si="0">B4</f>
        <v>1.5</v>
      </c>
      <c r="M4" s="3" t="s">
        <v>8</v>
      </c>
      <c r="Q4" s="4" t="s">
        <v>103</v>
      </c>
      <c r="R4" s="12">
        <f>(L5-2*R6 - R3*R6) / (R3-1) + R6</f>
        <v>9</v>
      </c>
      <c r="S4" s="3" t="s">
        <v>8</v>
      </c>
      <c r="U4" s="1" t="s">
        <v>31</v>
      </c>
      <c r="V4" s="2">
        <f>L5*2- (L4 + 2*B25) - B17*(B18+2*R13)</f>
        <v>26.5</v>
      </c>
      <c r="W4" s="3" t="s">
        <v>8</v>
      </c>
    </row>
    <row r="5" spans="1:23" ht="24" customHeight="1" x14ac:dyDescent="0.3">
      <c r="A5" s="1" t="s">
        <v>1</v>
      </c>
      <c r="B5" s="5">
        <v>24</v>
      </c>
      <c r="C5" s="3" t="s">
        <v>8</v>
      </c>
      <c r="K5" s="1" t="s">
        <v>1</v>
      </c>
      <c r="L5" s="2">
        <f t="shared" si="0"/>
        <v>24</v>
      </c>
      <c r="M5" s="3" t="s">
        <v>8</v>
      </c>
      <c r="Q5" s="4" t="s">
        <v>102</v>
      </c>
      <c r="R5" s="12">
        <f>R4-R6</f>
        <v>7</v>
      </c>
      <c r="S5" s="3" t="s">
        <v>8</v>
      </c>
      <c r="U5" s="1" t="s">
        <v>33</v>
      </c>
      <c r="V5" s="2">
        <f>(L3-B24*2)*2</f>
        <v>92</v>
      </c>
      <c r="W5" s="3" t="s">
        <v>8</v>
      </c>
    </row>
    <row r="6" spans="1:23" ht="24" customHeight="1" x14ac:dyDescent="0.35">
      <c r="A6" s="1" t="s">
        <v>2</v>
      </c>
      <c r="B6" s="5">
        <v>2</v>
      </c>
      <c r="C6" s="3" t="s">
        <v>8</v>
      </c>
      <c r="K6" s="1" t="s">
        <v>2</v>
      </c>
      <c r="L6" s="2">
        <f t="shared" si="0"/>
        <v>2</v>
      </c>
      <c r="M6" s="3" t="s">
        <v>8</v>
      </c>
      <c r="Q6" s="4" t="s">
        <v>49</v>
      </c>
      <c r="R6" s="12">
        <f t="shared" ref="R6:R7" si="1">B18</f>
        <v>2</v>
      </c>
      <c r="S6" s="8" t="s">
        <v>8</v>
      </c>
      <c r="U6" s="1" t="s">
        <v>141</v>
      </c>
      <c r="V6" s="2">
        <f>R8*2*R3*0.4</f>
        <v>67.2</v>
      </c>
      <c r="W6" s="3" t="s">
        <v>9</v>
      </c>
    </row>
    <row r="7" spans="1:23" ht="24" customHeight="1" x14ac:dyDescent="0.35">
      <c r="A7" s="1" t="s">
        <v>63</v>
      </c>
      <c r="B7" s="5">
        <v>5</v>
      </c>
      <c r="C7" s="3" t="s">
        <v>8</v>
      </c>
      <c r="K7" s="1" t="s">
        <v>3</v>
      </c>
      <c r="L7" s="2">
        <f>L3+2*L6</f>
        <v>54</v>
      </c>
      <c r="M7" s="3" t="s">
        <v>8</v>
      </c>
      <c r="Q7" s="4" t="s">
        <v>113</v>
      </c>
      <c r="R7" s="12">
        <f t="shared" si="1"/>
        <v>22</v>
      </c>
      <c r="S7" s="8" t="s">
        <v>8</v>
      </c>
      <c r="U7" s="1" t="s">
        <v>30</v>
      </c>
      <c r="V7" s="2">
        <f>B11/(V4*B24 + V5*B25+V6)</f>
        <v>0.26390197926484449</v>
      </c>
      <c r="W7" s="3" t="s">
        <v>34</v>
      </c>
    </row>
    <row r="8" spans="1:23" ht="24" customHeight="1" x14ac:dyDescent="0.35">
      <c r="A8" s="4" t="s">
        <v>4</v>
      </c>
      <c r="B8" s="5">
        <v>120</v>
      </c>
      <c r="C8" s="3" t="s">
        <v>8</v>
      </c>
      <c r="K8" s="1" t="s">
        <v>63</v>
      </c>
      <c r="L8" s="2">
        <f>B7</f>
        <v>5</v>
      </c>
      <c r="M8" s="3" t="s">
        <v>8</v>
      </c>
      <c r="Q8" s="4" t="s">
        <v>104</v>
      </c>
      <c r="R8" s="12">
        <f>IF((L10-L3-2*L6-L8*2)/2 &gt; 0, (L10-L3-2*L6-L8*2)/2, 0)</f>
        <v>28</v>
      </c>
      <c r="S8" s="3" t="s">
        <v>8</v>
      </c>
      <c r="U8" s="4" t="s">
        <v>37</v>
      </c>
      <c r="V8" s="2">
        <f>B14/(V4*B24 + V5*B25+V6)</f>
        <v>4.005655042412818E-2</v>
      </c>
      <c r="W8" s="3" t="s">
        <v>39</v>
      </c>
    </row>
    <row r="9" spans="1:23" ht="24" customHeight="1" x14ac:dyDescent="0.35">
      <c r="A9" s="4" t="s">
        <v>73</v>
      </c>
      <c r="B9" s="5">
        <v>2</v>
      </c>
      <c r="C9" s="3" t="s">
        <v>8</v>
      </c>
      <c r="K9" s="1" t="s">
        <v>64</v>
      </c>
      <c r="L9" s="2">
        <f>L5/3</f>
        <v>8</v>
      </c>
      <c r="M9" s="3" t="s">
        <v>8</v>
      </c>
      <c r="Q9" s="4" t="s">
        <v>75</v>
      </c>
      <c r="R9" s="2">
        <f>R8/R6</f>
        <v>14</v>
      </c>
      <c r="S9" s="3" t="s">
        <v>76</v>
      </c>
      <c r="U9" s="4" t="s">
        <v>38</v>
      </c>
      <c r="V9" s="2">
        <f>POWER(POWER(V7,2) +3*POWER(V8,2),0.5)</f>
        <v>0.27286963252722823</v>
      </c>
      <c r="W9" s="3" t="s">
        <v>40</v>
      </c>
    </row>
    <row r="10" spans="1:23" ht="24" customHeight="1" x14ac:dyDescent="0.3">
      <c r="A10" s="27" t="s">
        <v>79</v>
      </c>
      <c r="B10" s="27"/>
      <c r="C10" s="27"/>
      <c r="K10" s="4" t="s">
        <v>4</v>
      </c>
      <c r="L10" s="2">
        <f>B8</f>
        <v>120</v>
      </c>
      <c r="M10" s="3" t="s">
        <v>8</v>
      </c>
      <c r="Q10" s="4" t="s">
        <v>77</v>
      </c>
      <c r="R10" s="2" t="str">
        <f>IF(R9&lt;16, "safe", "unsafe")</f>
        <v>safe</v>
      </c>
      <c r="S10" s="3" t="s">
        <v>17</v>
      </c>
      <c r="U10" s="7" t="s">
        <v>17</v>
      </c>
      <c r="V10" s="2" t="str">
        <f>IF(AND(MAX(V7:V8) &lt; V3, V9 &lt; V3*1.1), "safe", "unsafe")</f>
        <v>safe</v>
      </c>
      <c r="W10" s="3"/>
    </row>
    <row r="11" spans="1:23" ht="24" customHeight="1" x14ac:dyDescent="0.3">
      <c r="A11" s="4" t="s">
        <v>6</v>
      </c>
      <c r="B11" s="5">
        <f>43+13</f>
        <v>56</v>
      </c>
      <c r="C11" s="3" t="s">
        <v>10</v>
      </c>
      <c r="K11" s="4" t="s">
        <v>5</v>
      </c>
      <c r="L11" s="2">
        <f>L5+2*L9</f>
        <v>40</v>
      </c>
      <c r="M11" s="3" t="s">
        <v>8</v>
      </c>
      <c r="Q11" s="20" t="s">
        <v>132</v>
      </c>
      <c r="R11" s="20"/>
      <c r="S11" s="20"/>
    </row>
    <row r="12" spans="1:23" ht="24" customHeight="1" x14ac:dyDescent="0.35">
      <c r="A12" s="4" t="s">
        <v>59</v>
      </c>
      <c r="B12" s="5">
        <v>7.5</v>
      </c>
      <c r="C12" s="3" t="s">
        <v>10</v>
      </c>
      <c r="K12" s="4" t="s">
        <v>73</v>
      </c>
      <c r="L12" s="2">
        <f>B9</f>
        <v>2</v>
      </c>
      <c r="M12" s="3" t="s">
        <v>8</v>
      </c>
      <c r="Q12" s="4" t="s">
        <v>139</v>
      </c>
      <c r="R12" s="2">
        <f>R7-R13</f>
        <v>20</v>
      </c>
      <c r="S12" s="3" t="s">
        <v>8</v>
      </c>
    </row>
    <row r="13" spans="1:23" ht="24" customHeight="1" x14ac:dyDescent="0.3">
      <c r="A13" s="4" t="s">
        <v>60</v>
      </c>
      <c r="B13" s="5">
        <v>4</v>
      </c>
      <c r="C13" s="3" t="s">
        <v>24</v>
      </c>
      <c r="K13" s="4" t="s">
        <v>125</v>
      </c>
      <c r="L13" s="2">
        <f>(L10-L7)/2</f>
        <v>33</v>
      </c>
      <c r="M13" s="3" t="s">
        <v>8</v>
      </c>
      <c r="Q13" s="4" t="s">
        <v>140</v>
      </c>
      <c r="R13" s="2">
        <f>MIN(R6,L6)</f>
        <v>2</v>
      </c>
      <c r="S13" s="3" t="s">
        <v>8</v>
      </c>
      <c r="U13" s="20" t="s">
        <v>94</v>
      </c>
      <c r="V13" s="20"/>
      <c r="W13" s="20"/>
    </row>
    <row r="14" spans="1:23" ht="24" customHeight="1" x14ac:dyDescent="0.3">
      <c r="A14" s="4" t="s">
        <v>61</v>
      </c>
      <c r="B14" s="12">
        <f>ROUND(POWER( POWER(B12,2) + POWER(B13,2), 0.5 ), 2)</f>
        <v>8.5</v>
      </c>
      <c r="C14" s="3" t="s">
        <v>10</v>
      </c>
      <c r="K14" s="4" t="s">
        <v>46</v>
      </c>
      <c r="L14" s="2">
        <f>(B15/B11)*100</f>
        <v>87.5</v>
      </c>
      <c r="M14" s="3" t="s">
        <v>8</v>
      </c>
      <c r="Q14" s="4" t="s">
        <v>133</v>
      </c>
      <c r="R14" s="2">
        <f>R13*R12*2*R3+L23</f>
        <v>320</v>
      </c>
      <c r="S14" s="3" t="s">
        <v>9</v>
      </c>
      <c r="U14" s="20"/>
      <c r="V14" s="20"/>
      <c r="W14" s="20"/>
    </row>
    <row r="15" spans="1:23" ht="24" customHeight="1" x14ac:dyDescent="0.3">
      <c r="A15" s="4" t="s">
        <v>44</v>
      </c>
      <c r="B15" s="5">
        <v>49</v>
      </c>
      <c r="C15" s="3" t="s">
        <v>45</v>
      </c>
      <c r="K15" s="4" t="s">
        <v>47</v>
      </c>
      <c r="L15" s="2">
        <f>L10/6</f>
        <v>20</v>
      </c>
      <c r="M15" s="11" t="s">
        <v>8</v>
      </c>
      <c r="Q15" s="4" t="s">
        <v>135</v>
      </c>
      <c r="R15" s="2">
        <f>(L23*L24+R3*R12*R13*2*(R12/2+L12))/R14</f>
        <v>9.25</v>
      </c>
      <c r="S15" s="3" t="s">
        <v>8</v>
      </c>
      <c r="U15" s="7" t="s">
        <v>98</v>
      </c>
      <c r="V15" s="2">
        <f>IF(R8-(B22+2)/10 &lt; 0, 0, R8-(B22+2)/10)</f>
        <v>25.6</v>
      </c>
      <c r="W15" s="3" t="s">
        <v>8</v>
      </c>
    </row>
    <row r="16" spans="1:23" ht="24" customHeight="1" x14ac:dyDescent="0.3">
      <c r="A16" s="27" t="s">
        <v>80</v>
      </c>
      <c r="B16" s="27"/>
      <c r="C16" s="27"/>
      <c r="K16" s="4" t="s">
        <v>119</v>
      </c>
      <c r="L16" s="12">
        <f>L3+2*L6+R8</f>
        <v>82</v>
      </c>
      <c r="M16" s="3" t="s">
        <v>8</v>
      </c>
      <c r="Q16" s="4" t="s">
        <v>134</v>
      </c>
      <c r="R16" s="2">
        <f>L25+POWER(R12,3)*R13*R3*2/12+R13*R12*POWER(R12/2+L12-R15,2)*R3*2+L23*POWER(L24-R15,2)</f>
        <v>15286.666666666668</v>
      </c>
      <c r="S16" s="3" t="s">
        <v>9</v>
      </c>
      <c r="U16" s="7" t="s">
        <v>95</v>
      </c>
      <c r="V16" s="2">
        <f>IF(V15=0, 0, (L18/(R3-1)) * R4 / 4)</f>
        <v>35.725609756097562</v>
      </c>
      <c r="W16" s="3" t="s">
        <v>62</v>
      </c>
    </row>
    <row r="17" spans="1:23" ht="24" customHeight="1" x14ac:dyDescent="0.35">
      <c r="A17" s="4" t="s">
        <v>48</v>
      </c>
      <c r="B17" s="5">
        <v>3</v>
      </c>
      <c r="C17" s="3" t="s">
        <v>14</v>
      </c>
      <c r="K17" s="4" t="s">
        <v>51</v>
      </c>
      <c r="L17" s="2">
        <f>B15*100/L16+B11/2</f>
        <v>87.756097560975604</v>
      </c>
      <c r="M17" s="11" t="s">
        <v>10</v>
      </c>
      <c r="Q17" s="4" t="s">
        <v>138</v>
      </c>
      <c r="R17" s="2">
        <f>L33*(R12+L12-R15)/R16</f>
        <v>0.99359153540473677</v>
      </c>
      <c r="S17" s="3" t="s">
        <v>11</v>
      </c>
      <c r="U17" s="1" t="s">
        <v>97</v>
      </c>
      <c r="V17" s="2">
        <f>IF(V15 = 0, 0, ROUND(POWER(6*V16/(V28 * V15), 0.5), 2 ))</f>
        <v>2</v>
      </c>
      <c r="W17" s="3" t="s">
        <v>8</v>
      </c>
    </row>
    <row r="18" spans="1:23" ht="24" customHeight="1" x14ac:dyDescent="0.35">
      <c r="A18" s="4" t="s">
        <v>49</v>
      </c>
      <c r="B18" s="5">
        <v>2</v>
      </c>
      <c r="C18" s="8" t="s">
        <v>8</v>
      </c>
      <c r="K18" s="4" t="s">
        <v>53</v>
      </c>
      <c r="L18" s="2">
        <f>ABS(B15*100/L16-B11/2)</f>
        <v>31.756097560975611</v>
      </c>
      <c r="M18" s="11" t="s">
        <v>10</v>
      </c>
      <c r="Q18" s="4" t="s">
        <v>137</v>
      </c>
      <c r="R18" s="2">
        <f>L34/R14</f>
        <v>0.22561946827917029</v>
      </c>
      <c r="S18" s="3" t="s">
        <v>11</v>
      </c>
    </row>
    <row r="19" spans="1:23" ht="24" customHeight="1" x14ac:dyDescent="0.35">
      <c r="A19" s="4" t="s">
        <v>105</v>
      </c>
      <c r="B19" s="5">
        <v>22</v>
      </c>
      <c r="C19" s="8" t="s">
        <v>8</v>
      </c>
      <c r="K19" s="4" t="s">
        <v>52</v>
      </c>
      <c r="L19" s="2">
        <f>(L10-L16)/2</f>
        <v>19</v>
      </c>
      <c r="M19" s="11" t="s">
        <v>8</v>
      </c>
      <c r="Q19" s="4" t="s">
        <v>42</v>
      </c>
      <c r="R19" s="2">
        <f>POWER(POWER(R17,2)+3*POWER(R18,2),0.5)</f>
        <v>1.0676781222014755</v>
      </c>
      <c r="S19" s="3" t="s">
        <v>41</v>
      </c>
    </row>
    <row r="20" spans="1:23" ht="24" customHeight="1" x14ac:dyDescent="0.3">
      <c r="A20" s="27" t="s">
        <v>81</v>
      </c>
      <c r="B20" s="27"/>
      <c r="C20" s="27"/>
      <c r="K20" s="20" t="s">
        <v>65</v>
      </c>
      <c r="L20" s="20"/>
      <c r="M20" s="20"/>
      <c r="Q20" s="4" t="s">
        <v>43</v>
      </c>
      <c r="R20" s="2" t="str">
        <f>IF(AND(R19 &lt; V3*1.1,R17&lt; V3,R18&lt;V3), "safe", "unsafe")</f>
        <v>safe</v>
      </c>
      <c r="S20" s="3" t="s">
        <v>17</v>
      </c>
    </row>
    <row r="21" spans="1:23" ht="24" customHeight="1" x14ac:dyDescent="0.3">
      <c r="A21" s="4" t="s">
        <v>117</v>
      </c>
      <c r="B21" s="5">
        <v>3</v>
      </c>
      <c r="C21" s="3" t="s">
        <v>118</v>
      </c>
      <c r="K21" s="13" t="s">
        <v>71</v>
      </c>
      <c r="L21" s="14">
        <f>L10*L11</f>
        <v>4800</v>
      </c>
      <c r="M21" s="14" t="s">
        <v>9</v>
      </c>
    </row>
    <row r="22" spans="1:23" ht="24" customHeight="1" x14ac:dyDescent="0.3">
      <c r="A22" s="4" t="s">
        <v>22</v>
      </c>
      <c r="B22" s="5">
        <v>22</v>
      </c>
      <c r="C22" s="3" t="s">
        <v>23</v>
      </c>
      <c r="K22" s="13" t="s">
        <v>72</v>
      </c>
      <c r="L22" s="14">
        <f>POWER(L10,3) * L11 / 12</f>
        <v>5760000</v>
      </c>
      <c r="M22" s="14" t="s">
        <v>15</v>
      </c>
    </row>
    <row r="23" spans="1:23" ht="24" customHeight="1" x14ac:dyDescent="0.3">
      <c r="A23" s="27" t="s">
        <v>82</v>
      </c>
      <c r="B23" s="27"/>
      <c r="C23" s="27"/>
      <c r="K23" s="16" t="s">
        <v>16</v>
      </c>
      <c r="L23" s="17">
        <f>L12*L11</f>
        <v>80</v>
      </c>
      <c r="M23" s="17" t="s">
        <v>9</v>
      </c>
      <c r="Q23" s="20" t="s">
        <v>92</v>
      </c>
      <c r="R23" s="20"/>
      <c r="S23" s="20"/>
    </row>
    <row r="24" spans="1:23" ht="24" customHeight="1" x14ac:dyDescent="0.3">
      <c r="A24" s="4" t="s">
        <v>35</v>
      </c>
      <c r="B24" s="5">
        <v>2</v>
      </c>
      <c r="C24" s="3" t="s">
        <v>8</v>
      </c>
      <c r="K24" s="16" t="s">
        <v>57</v>
      </c>
      <c r="L24" s="17">
        <f>L12/2</f>
        <v>1</v>
      </c>
      <c r="M24" s="17" t="s">
        <v>8</v>
      </c>
      <c r="Q24" s="20"/>
      <c r="R24" s="20"/>
      <c r="S24" s="20"/>
      <c r="U24" s="21" t="s">
        <v>66</v>
      </c>
      <c r="V24" s="22"/>
      <c r="W24" s="23"/>
    </row>
    <row r="25" spans="1:23" ht="24" customHeight="1" x14ac:dyDescent="0.3">
      <c r="A25" s="4" t="s">
        <v>36</v>
      </c>
      <c r="B25" s="5">
        <v>1</v>
      </c>
      <c r="C25" s="3" t="s">
        <v>8</v>
      </c>
      <c r="K25" s="16" t="s">
        <v>58</v>
      </c>
      <c r="L25" s="17">
        <f>L11*POWER(L12,3)/12</f>
        <v>26.666666666666668</v>
      </c>
      <c r="M25" s="17" t="s">
        <v>15</v>
      </c>
      <c r="Q25" s="4" t="s">
        <v>28</v>
      </c>
      <c r="R25" s="12">
        <f>(B17-1)*B21</f>
        <v>6</v>
      </c>
      <c r="S25" s="3" t="s">
        <v>50</v>
      </c>
      <c r="U25" s="24"/>
      <c r="V25" s="25"/>
      <c r="W25" s="26"/>
    </row>
    <row r="26" spans="1:23" ht="24" customHeight="1" x14ac:dyDescent="0.3">
      <c r="K26" s="18" t="s">
        <v>106</v>
      </c>
      <c r="L26" s="17">
        <f>AVERAGE(V38,V39)*L11*POWER(L8,2)/2</f>
        <v>36.801379786651047</v>
      </c>
      <c r="M26" s="19" t="s">
        <v>62</v>
      </c>
      <c r="Q26" s="4" t="s">
        <v>112</v>
      </c>
      <c r="R26" s="12" t="str">
        <f xml:space="preserve"> IF(0.3*B22*B21&lt;(L8+R8), "safe", "unsafe")</f>
        <v>safe</v>
      </c>
      <c r="S26" s="3" t="s">
        <v>17</v>
      </c>
      <c r="U26" s="4" t="s">
        <v>13</v>
      </c>
      <c r="V26" s="15">
        <v>3.6</v>
      </c>
      <c r="W26" s="3" t="s">
        <v>11</v>
      </c>
    </row>
    <row r="27" spans="1:23" ht="24" customHeight="1" x14ac:dyDescent="0.3">
      <c r="K27" s="16" t="s">
        <v>107</v>
      </c>
      <c r="L27" s="17">
        <f>ROUND(POWER(6*L26 / ( L11 * V29 ), 0.5 ), 2)</f>
        <v>1.46</v>
      </c>
      <c r="M27" s="17" t="s">
        <v>8</v>
      </c>
      <c r="Q27" s="4" t="s">
        <v>111</v>
      </c>
      <c r="R27" s="12" t="str">
        <f>IF(R5&gt;0.3*B22, "safe", "unsafe")</f>
        <v>safe</v>
      </c>
      <c r="S27" s="3" t="s">
        <v>17</v>
      </c>
      <c r="U27" s="4" t="s">
        <v>26</v>
      </c>
      <c r="V27" s="15">
        <v>5.2</v>
      </c>
      <c r="W27" s="3" t="s">
        <v>11</v>
      </c>
    </row>
    <row r="28" spans="1:23" ht="18.75" x14ac:dyDescent="0.3">
      <c r="K28" s="16" t="s">
        <v>108</v>
      </c>
      <c r="L28" s="17" t="str">
        <f>IF(L27&gt;B9, "unsafe", "safe")</f>
        <v>safe</v>
      </c>
      <c r="M28" s="17" t="s">
        <v>8</v>
      </c>
      <c r="Q28" s="7" t="s">
        <v>21</v>
      </c>
      <c r="R28" s="2">
        <f>(PI()*B22*B22/4)/100</f>
        <v>3.8013271108436495</v>
      </c>
      <c r="S28" s="3" t="s">
        <v>9</v>
      </c>
      <c r="U28" s="4" t="s">
        <v>74</v>
      </c>
      <c r="V28" s="15">
        <f>V26*0.58</f>
        <v>2.0880000000000001</v>
      </c>
      <c r="W28" s="3" t="s">
        <v>11</v>
      </c>
    </row>
    <row r="29" spans="1:23" ht="23.25" customHeight="1" x14ac:dyDescent="0.35">
      <c r="K29" s="20" t="s">
        <v>120</v>
      </c>
      <c r="L29" s="20"/>
      <c r="M29" s="20"/>
      <c r="Q29" s="1" t="s">
        <v>20</v>
      </c>
      <c r="R29" s="2">
        <f>0.35 * V26 * 0.85 *R28</f>
        <v>4.0712213357135481</v>
      </c>
      <c r="S29" s="3" t="s">
        <v>24</v>
      </c>
      <c r="U29" s="4" t="s">
        <v>110</v>
      </c>
      <c r="V29" s="15">
        <f>V26*0.72</f>
        <v>2.5920000000000001</v>
      </c>
      <c r="W29" s="3" t="s">
        <v>109</v>
      </c>
    </row>
    <row r="30" spans="1:23" ht="23.25" x14ac:dyDescent="0.35">
      <c r="K30" s="1" t="s">
        <v>121</v>
      </c>
      <c r="L30" s="2">
        <f>L23+R3*R7*R6</f>
        <v>212</v>
      </c>
      <c r="M30" s="3" t="s">
        <v>9</v>
      </c>
      <c r="Q30" s="1" t="s">
        <v>25</v>
      </c>
      <c r="R30" s="2">
        <f>B22*0.1*L12*0.85*1.2*V27</f>
        <v>23.337600000000002</v>
      </c>
      <c r="S30" s="3" t="s">
        <v>24</v>
      </c>
      <c r="U30" s="4" t="s">
        <v>7</v>
      </c>
      <c r="V30" s="12">
        <v>77</v>
      </c>
      <c r="W30" s="3" t="s">
        <v>12</v>
      </c>
    </row>
    <row r="31" spans="1:23" ht="23.25" x14ac:dyDescent="0.35">
      <c r="K31" s="1" t="s">
        <v>122</v>
      </c>
      <c r="L31" s="2">
        <f>(L23*L24+R3*R7*R6*((R7/2)+B9))/(L23+R3*R6*R7)</f>
        <v>8.4716981132075464</v>
      </c>
      <c r="M31" s="3" t="s">
        <v>8</v>
      </c>
      <c r="Q31" s="1" t="s">
        <v>27</v>
      </c>
      <c r="R31" s="2">
        <f>MIN(R29:R30)</f>
        <v>4.0712213357135481</v>
      </c>
      <c r="S31" s="3" t="s">
        <v>24</v>
      </c>
    </row>
    <row r="32" spans="1:23" ht="18.75" x14ac:dyDescent="0.3">
      <c r="K32" s="1" t="s">
        <v>123</v>
      </c>
      <c r="L32" s="2">
        <f>L25+(POWER(R7,3)*R6/12+R7*R6*POWER(B4+R7/2-L31,2))*R3+L23*POWER(L24-L31,2)</f>
        <v>11958.761006289309</v>
      </c>
      <c r="M32" s="3" t="s">
        <v>15</v>
      </c>
      <c r="Q32" s="1" t="s">
        <v>83</v>
      </c>
      <c r="R32" s="2">
        <f>B14 / R25</f>
        <v>1.4166666666666667</v>
      </c>
      <c r="S32" s="3" t="s">
        <v>24</v>
      </c>
    </row>
    <row r="33" spans="11:23" ht="21" x14ac:dyDescent="0.35">
      <c r="K33" s="1" t="s">
        <v>124</v>
      </c>
      <c r="L33" s="2">
        <f>AVERAGE(V38,V41)*L11*POWER(L13,2)/2</f>
        <v>1191.2707925140191</v>
      </c>
      <c r="M33" s="3" t="s">
        <v>62</v>
      </c>
      <c r="Q33" s="1" t="s">
        <v>85</v>
      </c>
      <c r="R33" s="2">
        <f>V28*0.85*R28</f>
        <v>6.7465953563253089</v>
      </c>
      <c r="S33" s="3" t="s">
        <v>24</v>
      </c>
    </row>
    <row r="34" spans="11:23" ht="18.75" x14ac:dyDescent="0.3">
      <c r="K34" s="1" t="s">
        <v>136</v>
      </c>
      <c r="L34" s="2">
        <f>AVERAGE(V38,V41)*L11*L13</f>
        <v>72.198229849334496</v>
      </c>
      <c r="M34" s="3" t="s">
        <v>24</v>
      </c>
      <c r="Q34" s="1" t="s">
        <v>84</v>
      </c>
      <c r="R34" s="2">
        <f>L18/R25</f>
        <v>5.2926829268292686</v>
      </c>
      <c r="S34" s="3" t="s">
        <v>24</v>
      </c>
    </row>
    <row r="35" spans="11:23" ht="18.75" x14ac:dyDescent="0.3">
      <c r="K35" s="1" t="s">
        <v>129</v>
      </c>
      <c r="L35" s="2">
        <f>L33*(R7+B9-L31)/L32</f>
        <v>1.5468502535795776</v>
      </c>
      <c r="M35" s="3" t="s">
        <v>126</v>
      </c>
      <c r="Q35" s="1" t="s">
        <v>86</v>
      </c>
      <c r="R35" s="2">
        <f>POWER(R34/R33,2) + POWER(R32/R31,2)</f>
        <v>0.7365191027307425</v>
      </c>
      <c r="S35" s="3"/>
      <c r="U35" s="21" t="s">
        <v>67</v>
      </c>
      <c r="V35" s="22"/>
      <c r="W35" s="23"/>
    </row>
    <row r="36" spans="11:23" ht="18.75" x14ac:dyDescent="0.3">
      <c r="K36" s="1" t="s">
        <v>130</v>
      </c>
      <c r="L36" s="2">
        <f>L34/L30</f>
        <v>0.34055768796855895</v>
      </c>
      <c r="M36" s="3" t="s">
        <v>11</v>
      </c>
      <c r="Q36" s="1" t="s">
        <v>87</v>
      </c>
      <c r="R36" s="2" t="str">
        <f>IF(R35&gt;1, "unsafe", "safe")</f>
        <v>safe</v>
      </c>
      <c r="S36" s="3" t="s">
        <v>17</v>
      </c>
      <c r="U36" s="24"/>
      <c r="V36" s="25"/>
      <c r="W36" s="26"/>
    </row>
    <row r="37" spans="11:23" ht="18.75" x14ac:dyDescent="0.3">
      <c r="K37" s="1" t="s">
        <v>131</v>
      </c>
      <c r="L37" s="2">
        <f>POWER(POWER(L36,2)+POWER(L35,2),0.5)</f>
        <v>1.5838955918347946</v>
      </c>
      <c r="M37" s="3" t="s">
        <v>11</v>
      </c>
      <c r="Q37" s="28" t="s">
        <v>88</v>
      </c>
      <c r="R37" s="29"/>
      <c r="S37" s="30"/>
      <c r="U37" s="9" t="s">
        <v>56</v>
      </c>
      <c r="V37" s="10" t="str">
        <f>IF(L14&gt;L15,"have tension", "not tension")</f>
        <v>have tension</v>
      </c>
      <c r="W37" s="11"/>
    </row>
    <row r="38" spans="11:23" ht="18.75" x14ac:dyDescent="0.3">
      <c r="K38" s="1" t="s">
        <v>127</v>
      </c>
      <c r="L38" s="17" t="str">
        <f>IF(AND(L35&lt;V28, L37&lt;1.1*V28),"safe","unsafe")</f>
        <v>safe</v>
      </c>
      <c r="M38" s="3" t="s">
        <v>17</v>
      </c>
      <c r="Q38" s="1" t="s">
        <v>89</v>
      </c>
      <c r="R38" s="2">
        <v>9</v>
      </c>
      <c r="S38" s="3" t="s">
        <v>12</v>
      </c>
      <c r="U38" s="9" t="s">
        <v>54</v>
      </c>
      <c r="V38" s="10">
        <f>IF(L15&gt;L14, B11/L21 + B15*100*(L10/2)/(POWER(L10,3) * L11 / 12), L17*2/(3*L19*L11))</f>
        <v>7.697903294822421E-2</v>
      </c>
      <c r="W38" s="11" t="s">
        <v>34</v>
      </c>
    </row>
    <row r="39" spans="11:23" ht="18.75" x14ac:dyDescent="0.3">
      <c r="Q39" s="1" t="s">
        <v>90</v>
      </c>
      <c r="R39" s="2">
        <f>IF(R34/(PI()*B22*0.1*R38/1000) &gt; 50, 50, IF(R34/(PI()*B22*0.1*R38/1000) &lt; MIN(30, 2 * B22), MIN(30, 2 * B22), R34/(PI()*B22*0.1*R38/1000) ) )</f>
        <v>50</v>
      </c>
      <c r="S39" s="3" t="s">
        <v>8</v>
      </c>
      <c r="U39" s="9" t="s">
        <v>128</v>
      </c>
      <c r="V39" s="10">
        <f>IF(L15&gt;L14,B11 / L21 + B15*100 * (L10/2-L8) / L22, V38 * ((3*L19-L8)/(3*L19)) )</f>
        <v>7.0226486198379984E-2</v>
      </c>
      <c r="W39" s="11"/>
    </row>
    <row r="40" spans="11:23" ht="18.75" x14ac:dyDescent="0.3">
      <c r="Q40" s="1" t="s">
        <v>91</v>
      </c>
      <c r="R40" s="2">
        <f>IF(R39=50, (R34-PI()*B22*0.1*R39*R38/1000)/ (V30/1000), 0)</f>
        <v>28.344236360719133</v>
      </c>
      <c r="S40" s="3" t="s">
        <v>9</v>
      </c>
      <c r="U40" s="9" t="s">
        <v>55</v>
      </c>
      <c r="V40" s="10">
        <f>IF(L15&gt;L14,B11 / L21 + B15*100 * (L16 / 2) / L22, V38 * 2/3 )</f>
        <v>5.1319355298816142E-2</v>
      </c>
      <c r="W40" s="11" t="s">
        <v>34</v>
      </c>
    </row>
    <row r="41" spans="11:23" ht="18.75" x14ac:dyDescent="0.3">
      <c r="Q41" s="1" t="s">
        <v>114</v>
      </c>
      <c r="R41" s="2">
        <f>ROUND(POWER(R40,0.5),2)</f>
        <v>5.32</v>
      </c>
      <c r="S41" s="3" t="s">
        <v>8</v>
      </c>
      <c r="U41" s="9" t="s">
        <v>70</v>
      </c>
      <c r="V41" s="10">
        <f>IF(L15&gt;L14, B15*100 * (L3/2+L6) / L22, V38 * (3*L19 - L8 - R8) / (3*L19) )</f>
        <v>3.2412224399252294E-2</v>
      </c>
      <c r="W41" s="11" t="s">
        <v>34</v>
      </c>
    </row>
    <row r="42" spans="11:23" ht="18.75" x14ac:dyDescent="0.3">
      <c r="Q42" s="1" t="s">
        <v>116</v>
      </c>
      <c r="R42" s="2">
        <f>POWER(R41,3)* V30 /8000</f>
        <v>1.4492243920000001</v>
      </c>
      <c r="S42" s="3" t="s">
        <v>62</v>
      </c>
      <c r="U42" s="9" t="s">
        <v>68</v>
      </c>
      <c r="V42" s="10">
        <f>AVERAGE(V38:V40)</f>
        <v>6.6174958148473448E-2</v>
      </c>
      <c r="W42" s="11" t="s">
        <v>34</v>
      </c>
    </row>
    <row r="43" spans="11:23" ht="18.75" x14ac:dyDescent="0.3">
      <c r="Q43" s="1" t="s">
        <v>115</v>
      </c>
      <c r="R43" s="2">
        <f>POWER(6*R42/ (V28 *R41/2), 0.5)</f>
        <v>1.25123065855962</v>
      </c>
      <c r="S43" s="3" t="s">
        <v>8</v>
      </c>
      <c r="U43" s="9" t="s">
        <v>69</v>
      </c>
      <c r="V43" s="10">
        <f>AVERAGE(V41,V38)</f>
        <v>5.4695628673738256E-2</v>
      </c>
      <c r="W43" s="11" t="s">
        <v>34</v>
      </c>
    </row>
    <row r="44" spans="11:23" ht="18.75" x14ac:dyDescent="0.3">
      <c r="U44" s="9" t="s">
        <v>100</v>
      </c>
      <c r="V44" s="15" t="str">
        <f>IF(V38&gt;V30/1000, "unsafe", "safe")</f>
        <v>safe</v>
      </c>
      <c r="W44" s="3" t="s">
        <v>17</v>
      </c>
    </row>
  </sheetData>
  <mergeCells count="17">
    <mergeCell ref="Q37:S37"/>
    <mergeCell ref="U13:W14"/>
    <mergeCell ref="E1:G2"/>
    <mergeCell ref="U35:W36"/>
    <mergeCell ref="K29:M29"/>
    <mergeCell ref="A1:C2"/>
    <mergeCell ref="K1:M2"/>
    <mergeCell ref="Q23:S24"/>
    <mergeCell ref="U1:W2"/>
    <mergeCell ref="Q1:S2"/>
    <mergeCell ref="U24:W25"/>
    <mergeCell ref="K20:M20"/>
    <mergeCell ref="A10:C10"/>
    <mergeCell ref="A16:C16"/>
    <mergeCell ref="A20:C20"/>
    <mergeCell ref="A23:C23"/>
    <mergeCell ref="Q11:S11"/>
  </mergeCells>
  <conditionalFormatting sqref="L17:L19 L13:L15 V37:V43">
    <cfRule type="cellIs" dxfId="41" priority="76" operator="lessThan">
      <formula>0</formula>
    </cfRule>
    <cfRule type="cellIs" dxfId="40" priority="77" operator="lessThan">
      <formula>0</formula>
    </cfRule>
  </conditionalFormatting>
  <conditionalFormatting sqref="V8:V9">
    <cfRule type="cellIs" dxfId="39" priority="64" operator="lessThan">
      <formula>0</formula>
    </cfRule>
    <cfRule type="cellIs" dxfId="38" priority="65" operator="lessThan">
      <formula>0</formula>
    </cfRule>
  </conditionalFormatting>
  <conditionalFormatting sqref="V9 R14:R17">
    <cfRule type="cellIs" dxfId="37" priority="62" operator="equal">
      <formula>"unsafe"</formula>
    </cfRule>
    <cfRule type="cellIs" dxfId="36" priority="63" operator="equal">
      <formula>"safe"</formula>
    </cfRule>
  </conditionalFormatting>
  <conditionalFormatting sqref="V10">
    <cfRule type="cellIs" dxfId="35" priority="60" operator="equal">
      <formula>"unsafe"</formula>
    </cfRule>
    <cfRule type="cellIs" dxfId="34" priority="61" operator="equal">
      <formula>"safe"</formula>
    </cfRule>
  </conditionalFormatting>
  <conditionalFormatting sqref="R20">
    <cfRule type="cellIs" dxfId="33" priority="54" operator="equal">
      <formula>"safe"</formula>
    </cfRule>
    <cfRule type="cellIs" dxfId="32" priority="55" operator="equal">
      <formula>"unsafe"</formula>
    </cfRule>
  </conditionalFormatting>
  <conditionalFormatting sqref="V38:V43">
    <cfRule type="cellIs" dxfId="31" priority="80" operator="lessThan">
      <formula>$V$30/1000</formula>
    </cfRule>
    <cfRule type="cellIs" dxfId="30" priority="81" operator="greaterThan">
      <formula>$V$30/1000</formula>
    </cfRule>
  </conditionalFormatting>
  <conditionalFormatting sqref="R3:R8">
    <cfRule type="cellIs" dxfId="29" priority="82" operator="lessThan">
      <formula>#REF!</formula>
    </cfRule>
  </conditionalFormatting>
  <conditionalFormatting sqref="R10">
    <cfRule type="cellIs" dxfId="28" priority="37" operator="equal">
      <formula>"unsafe"</formula>
    </cfRule>
    <cfRule type="cellIs" dxfId="27" priority="38" operator="equal">
      <formula>"safe"</formula>
    </cfRule>
  </conditionalFormatting>
  <conditionalFormatting sqref="L27:L28">
    <cfRule type="cellIs" dxfId="26" priority="85" operator="greaterThan">
      <formula>$L$12</formula>
    </cfRule>
    <cfRule type="cellIs" dxfId="25" priority="86" operator="lessThan">
      <formula>"1.95$B$12"</formula>
    </cfRule>
    <cfRule type="cellIs" dxfId="24" priority="87" operator="greaterThan">
      <formula>$L$12</formula>
    </cfRule>
  </conditionalFormatting>
  <conditionalFormatting sqref="L3:L12">
    <cfRule type="cellIs" dxfId="23" priority="35" operator="lessThan">
      <formula>0</formula>
    </cfRule>
    <cfRule type="cellIs" dxfId="22" priority="36" operator="lessThan">
      <formula>0</formula>
    </cfRule>
  </conditionalFormatting>
  <conditionalFormatting sqref="B18">
    <cfRule type="cellIs" dxfId="21" priority="34" operator="lessThan">
      <formula>#REF!</formula>
    </cfRule>
  </conditionalFormatting>
  <conditionalFormatting sqref="R36">
    <cfRule type="cellIs" dxfId="20" priority="31" operator="equal">
      <formula>"unsafe"</formula>
    </cfRule>
    <cfRule type="cellIs" dxfId="19" priority="32" operator="equal">
      <formula>"safe"</formula>
    </cfRule>
  </conditionalFormatting>
  <conditionalFormatting sqref="L28">
    <cfRule type="cellIs" dxfId="18" priority="23" operator="equal">
      <formula>"safe"</formula>
    </cfRule>
    <cfRule type="cellIs" dxfId="17" priority="24" operator="equal">
      <formula>"unsafe"</formula>
    </cfRule>
  </conditionalFormatting>
  <conditionalFormatting sqref="V44">
    <cfRule type="cellIs" dxfId="16" priority="21" operator="equal">
      <formula>"safe"</formula>
    </cfRule>
    <cfRule type="cellIs" dxfId="15" priority="22" operator="equal">
      <formula>"unsafe"</formula>
    </cfRule>
  </conditionalFormatting>
  <conditionalFormatting sqref="F3:F4">
    <cfRule type="cellIs" dxfId="14" priority="19" operator="lessThan">
      <formula>0</formula>
    </cfRule>
    <cfRule type="cellIs" dxfId="13" priority="20" operator="lessThan">
      <formula>0</formula>
    </cfRule>
  </conditionalFormatting>
  <conditionalFormatting sqref="F3">
    <cfRule type="cellIs" dxfId="12" priority="17" operator="equal">
      <formula>"safe"</formula>
    </cfRule>
    <cfRule type="cellIs" dxfId="11" priority="18" operator="equal">
      <formula>"unsafe"</formula>
    </cfRule>
  </conditionalFormatting>
  <conditionalFormatting sqref="R27">
    <cfRule type="cellIs" dxfId="10" priority="15" operator="equal">
      <formula>"unsafe"</formula>
    </cfRule>
    <cfRule type="cellIs" dxfId="9" priority="16" operator="equal">
      <formula>"safe"</formula>
    </cfRule>
  </conditionalFormatting>
  <conditionalFormatting sqref="R26">
    <cfRule type="cellIs" dxfId="8" priority="8" operator="equal">
      <formula>"unsafe"</formula>
    </cfRule>
    <cfRule type="cellIs" dxfId="7" priority="9" operator="equal">
      <formula>"safe"</formula>
    </cfRule>
  </conditionalFormatting>
  <conditionalFormatting sqref="L38">
    <cfRule type="cellIs" dxfId="6" priority="5" operator="greaterThan">
      <formula>$L$12</formula>
    </cfRule>
    <cfRule type="cellIs" dxfId="5" priority="6" operator="lessThan">
      <formula>"1.95$B$12"</formula>
    </cfRule>
    <cfRule type="cellIs" dxfId="4" priority="7" operator="greaterThan">
      <formula>$L$12</formula>
    </cfRule>
  </conditionalFormatting>
  <conditionalFormatting sqref="L38">
    <cfRule type="cellIs" dxfId="3" priority="3" operator="equal">
      <formula>"safe"</formula>
    </cfRule>
    <cfRule type="cellIs" dxfId="2" priority="4" operator="equal">
      <formula>"unsafe"</formula>
    </cfRule>
  </conditionalFormatting>
  <conditionalFormatting sqref="R18">
    <cfRule type="cellIs" dxfId="1" priority="1" operator="equal">
      <formula>"unsafe"</formula>
    </cfRule>
    <cfRule type="cellIs" dxfId="0" priority="2" operator="equal">
      <formula>"safe"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" sqref="C1:E4"/>
    </sheetView>
  </sheetViews>
  <sheetFormatPr defaultRowHeight="15" x14ac:dyDescent="0.25"/>
  <sheetData>
    <row r="1" spans="1:5" x14ac:dyDescent="0.25">
      <c r="A1">
        <v>0</v>
      </c>
      <c r="C1" s="31"/>
      <c r="D1" s="31"/>
      <c r="E1" s="31"/>
    </row>
    <row r="2" spans="1:5" x14ac:dyDescent="0.25">
      <c r="A2">
        <v>2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 direction stiffiners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2025-05-07T04:07:10Z</dcterms:created>
  <dcterms:modified xsi:type="dcterms:W3CDTF">2025-06-17T18:43:56Z</dcterms:modified>
</cp:coreProperties>
</file>