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I:\0- Project\Old Data\o-project\Cal-1\steel\ECOP\ECOP-Design sheet\DESIGN OF MEMBERS -ASD\New folder\"/>
    </mc:Choice>
  </mc:AlternateContent>
  <xr:revisionPtr revIDLastSave="0" documentId="13_ncr:81_{D9EE4AF5-FCA1-4B70-9A2C-BAE44B5D74A2}" xr6:coauthVersionLast="45" xr6:coauthVersionMax="45" xr10:uidLastSave="{00000000-0000-0000-0000-000000000000}"/>
  <workbookProtection revisionsPassword="DD32" lockRevision="1"/>
  <bookViews>
    <workbookView xWindow="-120" yWindow="-120" windowWidth="29040" windowHeight="15990" xr2:uid="{00000000-000D-0000-FFFF-FFFF00000000}"/>
  </bookViews>
  <sheets>
    <sheet name="Beam" sheetId="1" r:id="rId1"/>
  </sheets>
  <definedNames>
    <definedName name="_Regression_Int" localSheetId="0" hidden="1">1</definedName>
    <definedName name="AREA">Beam!$B$25</definedName>
    <definedName name="b_2tf">Beam!#REF!</definedName>
    <definedName name="BF">Beam!$B$22</definedName>
    <definedName name="BT">Beam!$B$23</definedName>
    <definedName name="CASE1">Beam!#REF!</definedName>
    <definedName name="case2">Beam!#REF!</definedName>
    <definedName name="Cb">Beam!$E$13</definedName>
    <definedName name="Cmx">Beam!$E$14</definedName>
    <definedName name="Cmy">Beam!$E$15</definedName>
    <definedName name="d">Beam!$B$21</definedName>
    <definedName name="FA">Beam!$B$72</definedName>
    <definedName name="FY">Beam!$B$19</definedName>
    <definedName name="fyy">(FY/1000)^0.5</definedName>
    <definedName name="hw">Beam!$B$24</definedName>
    <definedName name="IXX">Beam!$B$27</definedName>
    <definedName name="IYY">Beam!$E$27</definedName>
    <definedName name="KLR">Beam!$H$63</definedName>
    <definedName name="KLX">Beam!$B$13</definedName>
    <definedName name="KLY">Beam!$B$14</definedName>
    <definedName name="Lb">Beam!$B$15</definedName>
    <definedName name="Lc">Beam!$B$64</definedName>
    <definedName name="Le">Beam!#REF!</definedName>
    <definedName name="Lu">Beam!$E$64</definedName>
    <definedName name="MX">Beam!$B$8</definedName>
    <definedName name="MY">Beam!$B$9</definedName>
    <definedName name="N">Beam!$B$7</definedName>
    <definedName name="_xlnm.Print_Area" localSheetId="0">Beam!$A$1:$I$97</definedName>
    <definedName name="_xlnm.Print_Titles" localSheetId="0">Beam!$1:$4</definedName>
    <definedName name="prof">Beam!$C$20</definedName>
    <definedName name="Q">Beam!$F$7</definedName>
    <definedName name="RT">Beam!$H$30</definedName>
    <definedName name="RXX">Beam!$B$30</definedName>
    <definedName name="RYY">Beam!$E$30</definedName>
    <definedName name="S">Beam!$E$21</definedName>
    <definedName name="T">Beam!$E$22</definedName>
    <definedName name="TT">Beam!$E$23</definedName>
    <definedName name="word">Beam!$A$2:$H$85</definedName>
    <definedName name="Z_123676D5_6C2C_46E4_82DF_48B1C87B23B7_.wvu.PrintArea" localSheetId="0" hidden="1">Beam!$A$1:$I$86</definedName>
    <definedName name="Z_48E4810F_6146_4C14_8F36_59B8DFE6A059_.wvu.PrintArea" localSheetId="0" hidden="1">Beam!$A$1:$I$97</definedName>
    <definedName name="Z_48E4810F_6146_4C14_8F36_59B8DFE6A059_.wvu.PrintTitles" localSheetId="0" hidden="1">Beam!$1:$4</definedName>
    <definedName name="Z_4A0D9B60_B85C_492A_A402_81F560D52937_.wvu.PrintArea" localSheetId="0" hidden="1">Beam!$A$1:$I$97</definedName>
    <definedName name="Z_4A0D9B60_B85C_492A_A402_81F560D52937_.wvu.PrintTitles" localSheetId="0" hidden="1">Beam!$1:$4</definedName>
    <definedName name="Z_7624660F_DFB1_11D5_B648_0050DA3D5069_.wvu.PrintArea" localSheetId="0" hidden="1">Beam!$A$1:$I$86</definedName>
    <definedName name="Z_7624660F_DFB1_11D5_B648_0050DA3D5069_.wvu.Rows" localSheetId="0" hidden="1">Beam!$58:$59</definedName>
    <definedName name="Z_8C98172A_1D7E_4365_ACFC_67209A6D5402_.wvu.PrintArea" localSheetId="0" hidden="1">Beam!$A$1:$I$97</definedName>
    <definedName name="Z_8C98172A_1D7E_4365_ACFC_67209A6D5402_.wvu.PrintTitles" localSheetId="0" hidden="1">Beam!$1:$4</definedName>
    <definedName name="Z_A1522A40_B5BC_44D0_9136_DB30FC7281DC_.wvu.PrintArea" localSheetId="0" hidden="1">Beam!$A$1:$I$97</definedName>
    <definedName name="Z_A1522A40_B5BC_44D0_9136_DB30FC7281DC_.wvu.PrintTitles" localSheetId="0" hidden="1">Beam!$1:$4</definedName>
    <definedName name="Z_D98891AD_6496_4358_A1D0_6DFE11F56916_.wvu.PrintArea" localSheetId="0" hidden="1">Beam!$A$1:$I$97</definedName>
    <definedName name="Z_D98891AD_6496_4358_A1D0_6DFE11F56916_.wvu.PrintTitles" localSheetId="0" hidden="1">Beam!$1:$4</definedName>
    <definedName name="Z_DCC9CF84_ABEF_4499_9A33_90C1F724811C_.wvu.PrintArea" localSheetId="0" hidden="1">Beam!$A$1:$I$97</definedName>
    <definedName name="Z_DCC9CF84_ABEF_4499_9A33_90C1F724811C_.wvu.PrintTitles" localSheetId="0" hidden="1">Beam!$1:$4</definedName>
    <definedName name="Z_FE9952AF_AD5F_498C_86B0_651571ABCDD8_.wvu.PrintArea" localSheetId="0" hidden="1">Beam!$A$1:$I$97</definedName>
    <definedName name="Z_FE9952AF_AD5F_498C_86B0_651571ABCDD8_.wvu.PrintTitles" localSheetId="0" hidden="1">Beam!$1:$4</definedName>
    <definedName name="ZXX">Beam!$B$28</definedName>
    <definedName name="ZYY">Beam!$E$28</definedName>
  </definedNames>
  <calcPr calcId="181029"/>
  <customWorkbookViews>
    <customWorkbookView name="admin - Personal View" guid="{DCC9CF84-ABEF-4499-9A33-90C1F724811C}" mergeInterval="0" personalView="1" maximized="1" xWindow="-8" yWindow="-8" windowWidth="1296" windowHeight="1000" activeSheetId="1" showObjects="placeholders"/>
    <customWorkbookView name="helmy - Personal View" guid="{8C98172A-1D7E-4365-ACFC-67209A6D5402}" mergeInterval="0" personalView="1" maximized="1" xWindow="1" yWindow="1" windowWidth="1440" windowHeight="679" activeSheetId="1" showObjects="placeholders"/>
    <customWorkbookView name="MASTER - Personal View" guid="{FE9952AF-AD5F-498C-86B0-651571ABCDD8}" mergeInterval="0" personalView="1" maximized="1" windowWidth="1276" windowHeight="762" activeSheetId="1" showObjects="placeholders"/>
    <customWorkbookView name="Hisham Ismail - Personal View" guid="{7624660F-DFB1-11D5-B648-0050DA3D5069}" mergeInterval="0" personalView="1" maximized="1" windowWidth="1012" windowHeight="625" activeSheetId="1" showObjects="placeholders"/>
    <customWorkbookView name="hisham - Personal View" guid="{123676D5-6C2C-46E4-82DF-48B1C87B23B7}" mergeInterval="0" personalView="1" maximized="1" windowWidth="1020" windowHeight="596" activeSheetId="1" showObjects="placeholders"/>
    <customWorkbookView name="Ahmed - Personal View" guid="{48E4810F-6146-4C14-8F36-59B8DFE6A059}" mergeInterval="0" personalView="1" maximized="1" windowWidth="1276" windowHeight="788" activeSheetId="1" showObjects="placeholders"/>
    <customWorkbookView name="WW - Personal View" guid="{A1522A40-B5BC-44D0-9136-DB30FC7281DC}" mergeInterval="0" personalView="1" maximized="1" windowWidth="912" windowHeight="565" activeSheetId="1" showObjects="placeholders"/>
    <customWorkbookView name="mhelmy-7 - Personal View" guid="{D98891AD-6496-4358-A1D0-6DFE11F56916}" mergeInterval="0" personalView="1" maximized="1" xWindow="1" yWindow="1" windowWidth="1002" windowHeight="514" activeSheetId="1" showObjects="placeholders"/>
    <customWorkbookView name="Mohamed Helmy - Personal View" guid="{4A0D9B60-B85C-492A-A402-81F560D52937}" mergeInterval="0" personalView="1" maximized="1" xWindow="-8" yWindow="-8" windowWidth="1936" windowHeight="1066" activeSheetId="1" showObjects="placeholders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N21" i="1"/>
  <c r="S21" i="1" s="1"/>
  <c r="P21" i="1"/>
  <c r="R21" i="1" s="1"/>
  <c r="T21" i="1" s="1"/>
  <c r="N22" i="1"/>
  <c r="N23" i="1"/>
  <c r="S23" i="1" s="1"/>
  <c r="P23" i="1"/>
  <c r="B24" i="1"/>
  <c r="P22" i="1" s="1"/>
  <c r="B34" i="1"/>
  <c r="E34" i="1" s="1"/>
  <c r="B35" i="1"/>
  <c r="E35" i="1" s="1"/>
  <c r="B38" i="1"/>
  <c r="N46" i="1"/>
  <c r="S46" i="1" s="1"/>
  <c r="P46" i="1"/>
  <c r="R46" i="1" s="1"/>
  <c r="N47" i="1"/>
  <c r="N48" i="1"/>
  <c r="S48" i="1" s="1"/>
  <c r="P48" i="1"/>
  <c r="P49" i="1"/>
  <c r="R49" i="1" s="1"/>
  <c r="N50" i="1"/>
  <c r="P51" i="1"/>
  <c r="B64" i="1"/>
  <c r="E65" i="1"/>
  <c r="G85" i="1"/>
  <c r="I85" i="1" s="1"/>
  <c r="G86" i="1"/>
  <c r="I86" i="1" s="1"/>
  <c r="B90" i="1"/>
  <c r="B91" i="1"/>
  <c r="E91" i="1"/>
  <c r="H91" i="1"/>
  <c r="B92" i="1" s="1"/>
  <c r="E92" i="1" s="1"/>
  <c r="H92" i="1" s="1"/>
  <c r="E50" i="1"/>
  <c r="E51" i="1"/>
  <c r="L38" i="1"/>
  <c r="B65" i="1"/>
  <c r="E38" i="1"/>
  <c r="H39" i="1"/>
  <c r="B93" i="1" l="1"/>
  <c r="E94" i="1"/>
  <c r="R51" i="1"/>
  <c r="P47" i="1"/>
  <c r="U47" i="1" s="1"/>
  <c r="U21" i="1"/>
  <c r="U23" i="1"/>
  <c r="H38" i="1"/>
  <c r="L41" i="1" s="1"/>
  <c r="H51" i="1"/>
  <c r="H41" i="1"/>
  <c r="M41" i="1" s="1"/>
  <c r="E46" i="1"/>
  <c r="E95" i="1"/>
  <c r="K25" i="1"/>
  <c r="N24" i="1"/>
  <c r="U22" i="1"/>
  <c r="U24" i="1" s="1"/>
  <c r="S22" i="1"/>
  <c r="S24" i="1" s="1"/>
  <c r="N25" i="1" s="1"/>
  <c r="B25" i="1" s="1"/>
  <c r="N31" i="1"/>
  <c r="N34" i="1"/>
  <c r="R23" i="1"/>
  <c r="T23" i="1" s="1"/>
  <c r="T46" i="1"/>
  <c r="R22" i="1"/>
  <c r="T22" i="1" s="1"/>
  <c r="U48" i="1"/>
  <c r="R47" i="1"/>
  <c r="U46" i="1"/>
  <c r="E48" i="1"/>
  <c r="R48" i="1"/>
  <c r="T48" i="1" s="1"/>
  <c r="T24" i="1" l="1"/>
  <c r="S47" i="1"/>
  <c r="N54" i="1"/>
  <c r="N26" i="1"/>
  <c r="B26" i="1" s="1"/>
  <c r="T47" i="1"/>
  <c r="I41" i="1"/>
  <c r="H50" i="1" s="1"/>
  <c r="E52" i="1" s="1"/>
  <c r="H52" i="1" s="1"/>
  <c r="E25" i="1"/>
  <c r="V22" i="1"/>
  <c r="E27" i="1"/>
  <c r="N33" i="1"/>
  <c r="E30" i="1" s="1"/>
  <c r="E63" i="1" s="1"/>
  <c r="E53" i="1"/>
  <c r="V21" i="1" l="1"/>
  <c r="N27" i="1"/>
  <c r="E26" i="1" s="1"/>
  <c r="V23" i="1"/>
  <c r="H53" i="1"/>
  <c r="E81" i="1"/>
  <c r="K28" i="1"/>
  <c r="E28" i="1"/>
  <c r="E29" i="1"/>
  <c r="P50" i="1"/>
  <c r="R50" i="1"/>
  <c r="V24" i="1" l="1"/>
  <c r="N28" i="1" s="1"/>
  <c r="S50" i="1"/>
  <c r="T50" i="1" s="1"/>
  <c r="U50" i="1"/>
  <c r="N29" i="1" l="1"/>
  <c r="B28" i="1" s="1"/>
  <c r="B36" i="1" s="1"/>
  <c r="N32" i="1"/>
  <c r="B30" i="1" s="1"/>
  <c r="B63" i="1" s="1"/>
  <c r="B27" i="1"/>
  <c r="N30" i="1"/>
  <c r="B29" i="1" s="1"/>
  <c r="B37" i="1" s="1"/>
  <c r="H35" i="1" l="1"/>
  <c r="E41" i="1" s="1"/>
  <c r="F41" i="1" s="1"/>
  <c r="H48" i="1" s="1"/>
  <c r="E49" i="1" s="1"/>
  <c r="H49" i="1" s="1"/>
  <c r="N51" i="1" s="1"/>
  <c r="B39" i="1"/>
  <c r="B50" i="1" s="1"/>
  <c r="H37" i="1"/>
  <c r="E79" i="1"/>
  <c r="K27" i="1"/>
  <c r="H63" i="1"/>
  <c r="K26" i="1" s="1"/>
  <c r="H34" i="1"/>
  <c r="B41" i="1" s="1"/>
  <c r="C41" i="1" s="1"/>
  <c r="H36" i="1"/>
  <c r="C42" i="1" l="1"/>
  <c r="H46" i="1"/>
  <c r="E47" i="1" s="1"/>
  <c r="H47" i="1" s="1"/>
  <c r="N49" i="1" s="1"/>
  <c r="U51" i="1"/>
  <c r="S51" i="1"/>
  <c r="T51" i="1" s="1"/>
  <c r="U49" i="1" l="1"/>
  <c r="U52" i="1" s="1"/>
  <c r="S49" i="1"/>
  <c r="N61" i="1"/>
  <c r="B67" i="1"/>
  <c r="H95" i="1" s="1"/>
  <c r="E67" i="1"/>
  <c r="H96" i="1" s="1"/>
  <c r="B68" i="1"/>
  <c r="H97" i="1" s="1"/>
  <c r="E55" i="1" l="1"/>
  <c r="N62" i="1"/>
  <c r="E56" i="1" s="1"/>
  <c r="B74" i="1" s="1"/>
  <c r="B81" i="1" s="1"/>
  <c r="N63" i="1"/>
  <c r="E57" i="1" s="1"/>
  <c r="E74" i="1" s="1"/>
  <c r="B82" i="1" s="1"/>
  <c r="T49" i="1"/>
  <c r="T52" i="1" s="1"/>
  <c r="S52" i="1"/>
  <c r="N55" i="1" s="1"/>
  <c r="B54" i="1" s="1"/>
  <c r="N65" i="1" l="1"/>
  <c r="N56" i="1"/>
  <c r="B72" i="1"/>
  <c r="H57" i="1"/>
  <c r="H81" i="1" l="1"/>
  <c r="B78" i="1"/>
  <c r="H79" i="1"/>
  <c r="E54" i="1"/>
  <c r="V51" i="1"/>
  <c r="V49" i="1"/>
  <c r="V48" i="1"/>
  <c r="N57" i="1"/>
  <c r="H54" i="1" s="1"/>
  <c r="V47" i="1"/>
  <c r="V50" i="1"/>
  <c r="V46" i="1"/>
  <c r="V52" i="1" s="1"/>
  <c r="N58" i="1" s="1"/>
  <c r="N59" i="1" l="1"/>
  <c r="B56" i="1" s="1"/>
  <c r="B73" i="1" s="1"/>
  <c r="B79" i="1" s="1"/>
  <c r="G84" i="1" s="1"/>
  <c r="B55" i="1"/>
  <c r="N60" i="1"/>
  <c r="B57" i="1" s="1"/>
  <c r="E73" i="1" s="1"/>
  <c r="B80" i="1" s="1"/>
  <c r="N64" i="1"/>
  <c r="C78" i="1"/>
  <c r="G83" i="1"/>
  <c r="K24" i="1" s="1"/>
</calcChain>
</file>

<file path=xl/sharedStrings.xml><?xml version="1.0" encoding="utf-8"?>
<sst xmlns="http://schemas.openxmlformats.org/spreadsheetml/2006/main" count="282" uniqueCount="175">
  <si>
    <t xml:space="preserve">WEB THICK   </t>
  </si>
  <si>
    <t>Fbx in the presence of shear</t>
  </si>
  <si>
    <t>ton (+ comp)</t>
  </si>
  <si>
    <t>Fa (tension)</t>
  </si>
  <si>
    <t>Fa (Comp)</t>
  </si>
  <si>
    <t>Yc</t>
  </si>
  <si>
    <t>Yt</t>
  </si>
  <si>
    <t>Area</t>
  </si>
  <si>
    <t>A.Y</t>
  </si>
  <si>
    <t>Io</t>
  </si>
  <si>
    <t>A.Y^2</t>
  </si>
  <si>
    <t>Comp flange Width</t>
  </si>
  <si>
    <t>Thickness</t>
  </si>
  <si>
    <t>Web Thickness</t>
  </si>
  <si>
    <t>Height</t>
  </si>
  <si>
    <t>Tension Flange Width</t>
  </si>
  <si>
    <t>Comp Flange Width</t>
  </si>
  <si>
    <t>CG Depth</t>
  </si>
  <si>
    <t>Total Height</t>
  </si>
  <si>
    <t>Y CG Top</t>
  </si>
  <si>
    <t>Y CG Bot</t>
  </si>
  <si>
    <t>Ix CG</t>
  </si>
  <si>
    <t>Z Top</t>
  </si>
  <si>
    <t>Z Bot</t>
  </si>
  <si>
    <t xml:space="preserve">Iy </t>
  </si>
  <si>
    <t>rx</t>
  </si>
  <si>
    <t>ry</t>
  </si>
  <si>
    <t>rt</t>
  </si>
  <si>
    <t>FLG WIDTH top</t>
  </si>
  <si>
    <t>FLG WIDTH bot</t>
  </si>
  <si>
    <t>Zx-x top</t>
  </si>
  <si>
    <t>Zx-x bot</t>
  </si>
  <si>
    <t>Zy-y top</t>
  </si>
  <si>
    <t>Zy-y bot</t>
  </si>
  <si>
    <t>c_top</t>
  </si>
  <si>
    <t>c/tf top</t>
  </si>
  <si>
    <t>FLG_top</t>
  </si>
  <si>
    <t>FLG_bot</t>
  </si>
  <si>
    <t>c_bot</t>
  </si>
  <si>
    <t>c/tf bot</t>
  </si>
  <si>
    <t>ce top</t>
  </si>
  <si>
    <t>ce bot</t>
  </si>
  <si>
    <t>be top</t>
  </si>
  <si>
    <t>be bot</t>
  </si>
  <si>
    <t>Zy Bot</t>
  </si>
  <si>
    <t>Zy Top</t>
  </si>
  <si>
    <t>Zx Top</t>
  </si>
  <si>
    <t>Zx Bot</t>
  </si>
  <si>
    <t xml:space="preserve">My       </t>
  </si>
  <si>
    <t>Yes</t>
  </si>
  <si>
    <t>fby/Fby bot</t>
  </si>
  <si>
    <t>fa / Fa  -  fbx / Fbx   -  fby / Fby</t>
  </si>
  <si>
    <t>No</t>
  </si>
  <si>
    <t>Cmx</t>
  </si>
  <si>
    <t>Lb</t>
  </si>
  <si>
    <t>Cmy</t>
  </si>
  <si>
    <t>PROFILE PROPERTIES :-</t>
  </si>
  <si>
    <t>YIELD STRESS</t>
  </si>
  <si>
    <t>kg/cm2</t>
  </si>
  <si>
    <t>PROFILE</t>
  </si>
  <si>
    <t>cm</t>
  </si>
  <si>
    <t xml:space="preserve">AREA    </t>
  </si>
  <si>
    <t>cm2</t>
  </si>
  <si>
    <t>WEIGHT</t>
  </si>
  <si>
    <t>kg/m</t>
  </si>
  <si>
    <t xml:space="preserve">Ix-x       </t>
  </si>
  <si>
    <t>cm4</t>
  </si>
  <si>
    <t xml:space="preserve">Iy-y       </t>
  </si>
  <si>
    <t>cm3</t>
  </si>
  <si>
    <t xml:space="preserve">Rx-x      </t>
  </si>
  <si>
    <t xml:space="preserve">Ry-y      </t>
  </si>
  <si>
    <t>fbx bot</t>
  </si>
  <si>
    <t>fbx/Fbx top</t>
  </si>
  <si>
    <t>Fbx top</t>
  </si>
  <si>
    <t>fbx/Fbx bot</t>
  </si>
  <si>
    <t>Fbx bot</t>
  </si>
  <si>
    <t>I.R.</t>
  </si>
  <si>
    <t>fa / Fa  +  Cmx.fbx / (1-fa/F'ex) . Fbx   + Cmy.fby / (1-fa/F'ey) . Fby</t>
  </si>
  <si>
    <t>( 1 )</t>
  </si>
  <si>
    <t>( 2 )</t>
  </si>
  <si>
    <t>fa / Fa  +  fbx / Fbx   +  fby / Fby</t>
  </si>
  <si>
    <t>( 3 )</t>
  </si>
  <si>
    <t>WEB DEPTH</t>
  </si>
  <si>
    <t>BEAM DEPTH</t>
  </si>
  <si>
    <t xml:space="preserve">FLG THICK   </t>
  </si>
  <si>
    <t>Ax</t>
  </si>
  <si>
    <t>Ay</t>
  </si>
  <si>
    <t>Y</t>
  </si>
  <si>
    <t xml:space="preserve">Built-Up : </t>
  </si>
  <si>
    <t>hw/tw</t>
  </si>
  <si>
    <t>ACTUAL STRESSES :-</t>
  </si>
  <si>
    <t>INTERACTION RATIO :-</t>
  </si>
  <si>
    <t xml:space="preserve">fa/Fa     </t>
  </si>
  <si>
    <t>F'ex</t>
  </si>
  <si>
    <t>F'ey</t>
  </si>
  <si>
    <t>bc</t>
  </si>
  <si>
    <t>bt</t>
  </si>
  <si>
    <t>be</t>
  </si>
  <si>
    <t>be1</t>
  </si>
  <si>
    <t>be2</t>
  </si>
  <si>
    <t>Y c.g Top</t>
  </si>
  <si>
    <t>Y c.g bot</t>
  </si>
  <si>
    <t>fby bot</t>
  </si>
  <si>
    <t>fby/Fby top</t>
  </si>
  <si>
    <t>AREA Eff</t>
  </si>
  <si>
    <t>Ix-x Eff</t>
  </si>
  <si>
    <t>Zx-x Eff Top</t>
  </si>
  <si>
    <t>Zx-x Eff Bot</t>
  </si>
  <si>
    <t>fbx top</t>
  </si>
  <si>
    <t>fby top</t>
  </si>
  <si>
    <r>
      <t xml:space="preserve">FLG_top </t>
    </r>
    <r>
      <rPr>
        <sz val="10"/>
        <color indexed="39"/>
        <rFont val="Symbol"/>
        <family val="1"/>
        <charset val="2"/>
      </rPr>
      <t>r</t>
    </r>
  </si>
  <si>
    <r>
      <t>FLG_bot k</t>
    </r>
    <r>
      <rPr>
        <sz val="10"/>
        <color indexed="39"/>
        <rFont val="Symbol"/>
        <family val="1"/>
        <charset val="2"/>
      </rPr>
      <t>s</t>
    </r>
  </si>
  <si>
    <r>
      <t>WEB k</t>
    </r>
    <r>
      <rPr>
        <sz val="10"/>
        <color indexed="39"/>
        <rFont val="Symbol"/>
        <family val="1"/>
        <charset val="2"/>
      </rPr>
      <t>s</t>
    </r>
  </si>
  <si>
    <r>
      <t xml:space="preserve">WEB </t>
    </r>
    <r>
      <rPr>
        <sz val="10"/>
        <color indexed="39"/>
        <rFont val="Symbol"/>
        <family val="1"/>
        <charset val="2"/>
      </rPr>
      <t>l</t>
    </r>
    <r>
      <rPr>
        <sz val="10"/>
        <color indexed="39"/>
        <rFont val="Arial"/>
        <family val="2"/>
      </rPr>
      <t>p</t>
    </r>
  </si>
  <si>
    <r>
      <t xml:space="preserve">WEB </t>
    </r>
    <r>
      <rPr>
        <sz val="10"/>
        <color indexed="39"/>
        <rFont val="Symbol"/>
        <family val="1"/>
        <charset val="2"/>
      </rPr>
      <t>r</t>
    </r>
  </si>
  <si>
    <t>b-</t>
  </si>
  <si>
    <t>Iy-y</t>
  </si>
  <si>
    <t>Zy-y Eff Top</t>
  </si>
  <si>
    <t>Zy-y Eff Bot</t>
  </si>
  <si>
    <t>fa</t>
  </si>
  <si>
    <t>ALLOWABLE STRESSES :-</t>
  </si>
  <si>
    <t xml:space="preserve">KLx/Rx  </t>
  </si>
  <si>
    <t xml:space="preserve">KLy/Ry  </t>
  </si>
  <si>
    <t>KL/Rmax</t>
  </si>
  <si>
    <t>Lc</t>
  </si>
  <si>
    <t xml:space="preserve">Fby       </t>
  </si>
  <si>
    <r>
      <t>FLG_top k</t>
    </r>
    <r>
      <rPr>
        <sz val="10"/>
        <color indexed="39"/>
        <rFont val="Symbol"/>
        <family val="1"/>
        <charset val="2"/>
      </rPr>
      <t>s</t>
    </r>
  </si>
  <si>
    <r>
      <t xml:space="preserve">FLG_top </t>
    </r>
    <r>
      <rPr>
        <sz val="10"/>
        <color indexed="39"/>
        <rFont val="Symbol"/>
        <family val="1"/>
        <charset val="2"/>
      </rPr>
      <t>l</t>
    </r>
    <r>
      <rPr>
        <sz val="10"/>
        <color indexed="39"/>
        <rFont val="Arial"/>
        <family val="2"/>
      </rPr>
      <t>p</t>
    </r>
  </si>
  <si>
    <t>y</t>
  </si>
  <si>
    <t>a</t>
  </si>
  <si>
    <r>
      <t xml:space="preserve">FLG_bot </t>
    </r>
    <r>
      <rPr>
        <sz val="10"/>
        <color indexed="39"/>
        <rFont val="Symbol"/>
        <family val="1"/>
        <charset val="2"/>
      </rPr>
      <t>r</t>
    </r>
  </si>
  <si>
    <r>
      <t xml:space="preserve">FLG_bot </t>
    </r>
    <r>
      <rPr>
        <sz val="10"/>
        <color indexed="39"/>
        <rFont val="Symbol"/>
        <family val="1"/>
        <charset val="2"/>
      </rPr>
      <t>l</t>
    </r>
    <r>
      <rPr>
        <sz val="10"/>
        <color indexed="39"/>
        <rFont val="Arial"/>
        <family val="2"/>
      </rPr>
      <t>p</t>
    </r>
  </si>
  <si>
    <t>Irmax</t>
  </si>
  <si>
    <t>Comp</t>
  </si>
  <si>
    <t>( 4 )</t>
  </si>
  <si>
    <t>Q</t>
  </si>
  <si>
    <t>SHEAR CHECK :-</t>
  </si>
  <si>
    <t>d/tw</t>
  </si>
  <si>
    <t>Stiffened Web</t>
  </si>
  <si>
    <t>Spacing</t>
  </si>
  <si>
    <t>Alpha</t>
  </si>
  <si>
    <t>Kq</t>
  </si>
  <si>
    <t>(d/tw) Limit</t>
  </si>
  <si>
    <r>
      <t>l</t>
    </r>
    <r>
      <rPr>
        <sz val="10"/>
        <color indexed="39"/>
        <rFont val="Arial"/>
        <family val="2"/>
      </rPr>
      <t>q</t>
    </r>
  </si>
  <si>
    <t>qb</t>
  </si>
  <si>
    <t>qall</t>
  </si>
  <si>
    <t>qactual</t>
  </si>
  <si>
    <t>qactual / qall</t>
  </si>
  <si>
    <t>Shear</t>
  </si>
  <si>
    <t xml:space="preserve"> </t>
  </si>
  <si>
    <t>TITLE :</t>
  </si>
  <si>
    <t>DATE:</t>
  </si>
  <si>
    <t>FORCES :-</t>
  </si>
  <si>
    <t xml:space="preserve">N         </t>
  </si>
  <si>
    <t>ton</t>
  </si>
  <si>
    <t xml:space="preserve">Mx       </t>
  </si>
  <si>
    <t>m.ton</t>
  </si>
  <si>
    <t>CONSTRAINTS :-</t>
  </si>
  <si>
    <t xml:space="preserve">KLx       </t>
  </si>
  <si>
    <t>m</t>
  </si>
  <si>
    <t>Cb</t>
  </si>
  <si>
    <t xml:space="preserve">KLy       </t>
  </si>
  <si>
    <t>SECTION CLASSIFICATION :-</t>
  </si>
  <si>
    <t>(c/tf) C_lim</t>
  </si>
  <si>
    <t>(c/tf) NC_lim</t>
  </si>
  <si>
    <t>WEB</t>
  </si>
  <si>
    <t>(hw/tw) C_lim</t>
  </si>
  <si>
    <t>(hw/tw) NC_lim</t>
  </si>
  <si>
    <t xml:space="preserve">THE WHOLE PROFILE IS </t>
  </si>
  <si>
    <t>EFFECTIVE DIMENSIONS AND PROPERTIES :-</t>
  </si>
  <si>
    <t>Lamda</t>
  </si>
  <si>
    <t>AREA Eff %</t>
  </si>
  <si>
    <t>fa / Fa  +  fbx / Fbx   + fby / Fby</t>
  </si>
  <si>
    <t>f_top (-ve comp)</t>
  </si>
  <si>
    <t>f_bot (-ve comp)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</si>
</sst>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0_)"/>
    <numFmt numFmtId="165" formatCode="#.00"/>
    <numFmt numFmtId="166" formatCode="#."/>
    <numFmt numFmtId="167" formatCode="m\o\n\th\ d\,\ yyyy"/>
    <numFmt numFmtId="168" formatCode="0.0_)"/>
    <numFmt numFmtId="169" formatCode="dd\-mmm\-yy_)"/>
    <numFmt numFmtId="170" formatCode="0.000_)"/>
    <numFmt numFmtId="171" formatCode="dd/mmm/yy_)"/>
    <numFmt numFmtId="172" formatCode="0_)"/>
    <numFmt numFmtId="173" formatCode="0.000"/>
    <numFmt numFmtId="174" formatCode="0.0"/>
  </numFmts>
  <fonts count="23" x14ac:knownFonts="1">
    <font>
      <sz val="10"/>
      <name val="Arial"/>
      <family val="2"/>
      <charset val="178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8"/>
      <color indexed="8"/>
      <name val="Arial"/>
      <family val="2"/>
      <charset val="178"/>
    </font>
    <font>
      <sz val="8"/>
      <name val="Arial"/>
      <family val="2"/>
      <charset val="178"/>
    </font>
    <font>
      <sz val="12"/>
      <color indexed="8"/>
      <name val="Arial"/>
      <family val="2"/>
      <charset val="178"/>
    </font>
    <font>
      <sz val="10"/>
      <color indexed="8"/>
      <name val="Arial"/>
      <family val="2"/>
      <charset val="178"/>
    </font>
    <font>
      <sz val="10"/>
      <color indexed="17"/>
      <name val="Arial"/>
      <family val="2"/>
      <charset val="178"/>
    </font>
    <font>
      <sz val="10"/>
      <name val="Arial"/>
      <family val="2"/>
      <charset val="178"/>
    </font>
    <font>
      <sz val="10"/>
      <color indexed="10"/>
      <name val="Arial"/>
      <family val="2"/>
      <charset val="178"/>
    </font>
    <font>
      <b/>
      <sz val="10"/>
      <name val="Arial"/>
      <family val="2"/>
      <charset val="178"/>
    </font>
    <font>
      <b/>
      <sz val="10"/>
      <color indexed="8"/>
      <name val="Arial"/>
      <family val="2"/>
      <charset val="178"/>
    </font>
    <font>
      <sz val="10"/>
      <color indexed="39"/>
      <name val="Arial"/>
      <family val="2"/>
      <charset val="178"/>
    </font>
    <font>
      <b/>
      <sz val="14"/>
      <color indexed="8"/>
      <name val="Arial"/>
      <family val="2"/>
      <charset val="178"/>
    </font>
    <font>
      <sz val="10"/>
      <color indexed="39"/>
      <name val="Symbol"/>
      <family val="1"/>
      <charset val="2"/>
    </font>
    <font>
      <sz val="10"/>
      <color indexed="3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trike/>
      <sz val="10"/>
      <color indexed="39"/>
      <name val="Arial"/>
      <family val="2"/>
      <charset val="178"/>
    </font>
    <font>
      <strike/>
      <sz val="10"/>
      <color indexed="10"/>
      <name val="Arial"/>
      <family val="2"/>
      <charset val="178"/>
    </font>
    <font>
      <sz val="10"/>
      <color rgb="FFFF0000"/>
      <name val="Arial"/>
      <family val="2"/>
      <charset val="178"/>
    </font>
    <font>
      <sz val="10"/>
      <color theme="0"/>
      <name val="Arial"/>
      <family val="2"/>
      <charset val="17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164" fontId="0" fillId="0" borderId="0">
      <alignment vertical="center"/>
    </xf>
    <xf numFmtId="43" fontId="1" fillId="0" borderId="0" applyFont="0" applyFill="0" applyBorder="0" applyAlignment="0" applyProtection="0"/>
    <xf numFmtId="167" fontId="2" fillId="0" borderId="0">
      <protection locked="0"/>
    </xf>
    <xf numFmtId="165" fontId="2" fillId="0" borderId="0">
      <protection locked="0"/>
    </xf>
    <xf numFmtId="166" fontId="3" fillId="0" borderId="0">
      <protection locked="0"/>
    </xf>
    <xf numFmtId="166" fontId="3" fillId="0" borderId="0">
      <protection locked="0"/>
    </xf>
    <xf numFmtId="9" fontId="1" fillId="0" borderId="0" applyFont="0" applyFill="0" applyBorder="0" applyAlignment="0" applyProtection="0"/>
    <xf numFmtId="166" fontId="2" fillId="0" borderId="1">
      <protection locked="0"/>
    </xf>
  </cellStyleXfs>
  <cellXfs count="69">
    <xf numFmtId="164" fontId="0" fillId="0" borderId="0" xfId="0">
      <alignment vertical="center"/>
    </xf>
    <xf numFmtId="164" fontId="10" fillId="2" borderId="2" xfId="0" applyFont="1" applyFill="1" applyBorder="1" applyAlignment="1" applyProtection="1">
      <alignment vertical="center"/>
      <protection locked="0"/>
    </xf>
    <xf numFmtId="164" fontId="10" fillId="2" borderId="3" xfId="0" applyFont="1" applyFill="1" applyBorder="1" applyAlignment="1" applyProtection="1">
      <alignment horizontal="left" vertical="center"/>
      <protection locked="0"/>
    </xf>
    <xf numFmtId="164" fontId="14" fillId="0" borderId="0" xfId="0" applyFont="1" applyFill="1" applyBorder="1" applyAlignment="1" applyProtection="1">
      <alignment horizontal="centerContinuous" vertical="center"/>
    </xf>
    <xf numFmtId="164" fontId="6" fillId="0" borderId="0" xfId="0" applyFont="1" applyFill="1" applyBorder="1" applyAlignment="1" applyProtection="1">
      <alignment horizontal="centerContinuous" vertical="center"/>
    </xf>
    <xf numFmtId="164" fontId="4" fillId="0" borderId="0" xfId="0" applyFont="1" applyFill="1" applyBorder="1" applyAlignment="1" applyProtection="1">
      <alignment vertical="center"/>
    </xf>
    <xf numFmtId="164" fontId="5" fillId="0" borderId="0" xfId="0" applyFont="1" applyBorder="1" applyAlignment="1" applyProtection="1">
      <alignment vertical="center"/>
    </xf>
    <xf numFmtId="164" fontId="11" fillId="0" borderId="0" xfId="0" applyFont="1" applyBorder="1" applyAlignment="1" applyProtection="1">
      <alignment horizontal="left" vertical="center"/>
    </xf>
    <xf numFmtId="164" fontId="12" fillId="0" borderId="0" xfId="0" applyFont="1" applyFill="1" applyBorder="1" applyAlignment="1" applyProtection="1">
      <alignment horizontal="right" vertical="center"/>
    </xf>
    <xf numFmtId="171" fontId="10" fillId="0" borderId="0" xfId="0" applyNumberFormat="1" applyFont="1" applyBorder="1" applyAlignment="1" applyProtection="1">
      <alignment vertical="center"/>
    </xf>
    <xf numFmtId="164" fontId="8" fillId="0" borderId="0" xfId="0" applyFont="1" applyBorder="1" applyAlignment="1" applyProtection="1">
      <alignment vertical="center"/>
    </xf>
    <xf numFmtId="164" fontId="4" fillId="0" borderId="0" xfId="0" applyFont="1" applyFill="1" applyBorder="1" applyAlignment="1" applyProtection="1">
      <alignment horizontal="right" vertical="center"/>
    </xf>
    <xf numFmtId="164" fontId="0" fillId="0" borderId="0" xfId="0" applyProtection="1">
      <alignment vertical="center"/>
    </xf>
    <xf numFmtId="169" fontId="10" fillId="0" borderId="0" xfId="0" applyNumberFormat="1" applyFont="1" applyBorder="1" applyAlignment="1" applyProtection="1">
      <alignment vertical="center"/>
    </xf>
    <xf numFmtId="164" fontId="11" fillId="3" borderId="0" xfId="0" applyFont="1" applyFill="1" applyBorder="1" applyAlignment="1" applyProtection="1">
      <alignment horizontal="left" vertical="center"/>
    </xf>
    <xf numFmtId="164" fontId="5" fillId="3" borderId="0" xfId="0" applyFont="1" applyFill="1" applyBorder="1" applyAlignment="1" applyProtection="1">
      <alignment vertical="center"/>
    </xf>
    <xf numFmtId="164" fontId="13" fillId="0" borderId="0" xfId="0" applyFont="1" applyFill="1" applyBorder="1" applyAlignment="1" applyProtection="1">
      <alignment vertical="center"/>
    </xf>
    <xf numFmtId="164" fontId="13" fillId="0" borderId="0" xfId="0" applyFont="1" applyFill="1" applyBorder="1" applyAlignment="1" applyProtection="1">
      <alignment horizontal="left" vertical="center"/>
    </xf>
    <xf numFmtId="164" fontId="13" fillId="0" borderId="0" xfId="0" applyFont="1" applyBorder="1" applyAlignment="1" applyProtection="1">
      <alignment vertical="center"/>
    </xf>
    <xf numFmtId="164" fontId="7" fillId="0" borderId="0" xfId="0" applyFont="1" applyFill="1" applyBorder="1" applyAlignment="1" applyProtection="1">
      <alignment vertical="center"/>
    </xf>
    <xf numFmtId="164" fontId="4" fillId="3" borderId="0" xfId="0" applyFont="1" applyFill="1" applyBorder="1" applyAlignment="1" applyProtection="1">
      <alignment horizontal="right" vertical="center"/>
    </xf>
    <xf numFmtId="164" fontId="10" fillId="0" borderId="0" xfId="0" applyFont="1" applyFill="1" applyBorder="1" applyAlignment="1" applyProtection="1">
      <alignment vertical="center"/>
    </xf>
    <xf numFmtId="164" fontId="10" fillId="2" borderId="4" xfId="0" applyFont="1" applyFill="1" applyBorder="1" applyAlignment="1" applyProtection="1">
      <alignment horizontal="left" vertical="center"/>
    </xf>
    <xf numFmtId="164" fontId="17" fillId="0" borderId="0" xfId="0" applyFont="1" applyAlignment="1" applyProtection="1">
      <alignment horizontal="center"/>
    </xf>
    <xf numFmtId="164" fontId="0" fillId="0" borderId="0" xfId="0" applyAlignment="1" applyProtection="1">
      <alignment horizontal="center"/>
    </xf>
    <xf numFmtId="164" fontId="18" fillId="0" borderId="0" xfId="0" applyFont="1" applyAlignment="1" applyProtection="1">
      <alignment horizontal="center"/>
    </xf>
    <xf numFmtId="164" fontId="17" fillId="0" borderId="0" xfId="0" applyFont="1" applyProtection="1">
      <alignment vertical="center"/>
    </xf>
    <xf numFmtId="164" fontId="18" fillId="0" borderId="0" xfId="0" applyFont="1" applyProtection="1">
      <alignment vertical="center"/>
    </xf>
    <xf numFmtId="164" fontId="5" fillId="0" borderId="0" xfId="0" applyFont="1" applyAlignment="1" applyProtection="1">
      <alignment vertical="center"/>
    </xf>
    <xf numFmtId="173" fontId="18" fillId="0" borderId="0" xfId="0" applyNumberFormat="1" applyFont="1" applyProtection="1">
      <alignment vertical="center"/>
    </xf>
    <xf numFmtId="168" fontId="10" fillId="0" borderId="0" xfId="0" applyNumberFormat="1" applyFont="1" applyFill="1" applyBorder="1" applyAlignment="1" applyProtection="1">
      <alignment vertical="center"/>
    </xf>
    <xf numFmtId="43" fontId="18" fillId="0" borderId="0" xfId="1" applyFont="1" applyProtection="1"/>
    <xf numFmtId="164" fontId="7" fillId="0" borderId="0" xfId="0" applyFont="1" applyFill="1" applyBorder="1" applyAlignment="1" applyProtection="1">
      <alignment horizontal="right" vertical="center"/>
    </xf>
    <xf numFmtId="164" fontId="4" fillId="3" borderId="0" xfId="0" applyFont="1" applyFill="1" applyBorder="1" applyAlignment="1" applyProtection="1">
      <alignment vertical="center"/>
    </xf>
    <xf numFmtId="2" fontId="18" fillId="0" borderId="0" xfId="0" applyNumberFormat="1" applyFont="1" applyProtection="1">
      <alignment vertical="center"/>
    </xf>
    <xf numFmtId="173" fontId="0" fillId="0" borderId="0" xfId="0" applyNumberFormat="1" applyProtection="1">
      <alignment vertical="center"/>
    </xf>
    <xf numFmtId="43" fontId="0" fillId="0" borderId="0" xfId="1" applyFont="1" applyProtection="1"/>
    <xf numFmtId="164" fontId="15" fillId="0" borderId="0" xfId="0" applyFont="1" applyFill="1" applyBorder="1" applyAlignment="1" applyProtection="1">
      <alignment vertical="center"/>
    </xf>
    <xf numFmtId="164" fontId="10" fillId="0" borderId="0" xfId="0" applyNumberFormat="1" applyFont="1" applyFill="1" applyBorder="1" applyAlignment="1" applyProtection="1">
      <alignment vertical="center"/>
    </xf>
    <xf numFmtId="164" fontId="5" fillId="3" borderId="0" xfId="0" applyFont="1" applyFill="1" applyAlignment="1" applyProtection="1">
      <alignment vertical="center"/>
    </xf>
    <xf numFmtId="164" fontId="10" fillId="0" borderId="0" xfId="0" applyFont="1" applyAlignment="1" applyProtection="1">
      <alignment horizontal="center" vertical="center"/>
    </xf>
    <xf numFmtId="164" fontId="10" fillId="0" borderId="0" xfId="0" applyFont="1" applyAlignment="1" applyProtection="1">
      <alignment vertical="center"/>
    </xf>
    <xf numFmtId="164" fontId="9" fillId="0" borderId="0" xfId="0" applyFont="1" applyAlignment="1" applyProtection="1">
      <alignment vertical="center"/>
    </xf>
    <xf numFmtId="164" fontId="9" fillId="0" borderId="0" xfId="0" applyFont="1" applyBorder="1" applyAlignment="1" applyProtection="1">
      <alignment vertical="center"/>
    </xf>
    <xf numFmtId="164" fontId="13" fillId="0" borderId="0" xfId="0" applyFont="1" applyAlignment="1" applyProtection="1">
      <alignment vertical="center"/>
    </xf>
    <xf numFmtId="164" fontId="10" fillId="0" borderId="0" xfId="0" applyNumberFormat="1" applyFont="1" applyAlignment="1" applyProtection="1">
      <alignment vertical="center"/>
    </xf>
    <xf numFmtId="49" fontId="10" fillId="0" borderId="0" xfId="0" applyNumberFormat="1" applyFont="1" applyAlignment="1" applyProtection="1">
      <alignment horizontal="right" vertical="center"/>
    </xf>
    <xf numFmtId="49" fontId="10" fillId="0" borderId="0" xfId="0" applyNumberFormat="1" applyFont="1" applyAlignment="1" applyProtection="1">
      <alignment horizontal="center" vertical="center"/>
    </xf>
    <xf numFmtId="170" fontId="10" fillId="0" borderId="0" xfId="0" applyNumberFormat="1" applyFont="1" applyAlignment="1" applyProtection="1">
      <alignment vertical="center"/>
    </xf>
    <xf numFmtId="164" fontId="10" fillId="2" borderId="2" xfId="0" applyFont="1" applyFill="1" applyBorder="1" applyAlignment="1" applyProtection="1">
      <alignment horizontal="left" vertical="center"/>
      <protection locked="0"/>
    </xf>
    <xf numFmtId="164" fontId="5" fillId="0" borderId="0" xfId="0" applyFont="1" applyBorder="1" applyAlignment="1" applyProtection="1">
      <alignment vertical="center"/>
      <protection locked="0"/>
    </xf>
    <xf numFmtId="172" fontId="5" fillId="0" borderId="0" xfId="0" applyNumberFormat="1" applyFont="1" applyBorder="1" applyAlignment="1" applyProtection="1">
      <alignment vertical="center"/>
      <protection locked="0"/>
    </xf>
    <xf numFmtId="164" fontId="5" fillId="0" borderId="0" xfId="0" applyNumberFormat="1" applyFont="1" applyBorder="1" applyAlignment="1" applyProtection="1">
      <alignment vertical="center"/>
      <protection locked="0"/>
    </xf>
    <xf numFmtId="170" fontId="10" fillId="2" borderId="2" xfId="0" applyNumberFormat="1" applyFont="1" applyFill="1" applyBorder="1" applyAlignment="1" applyProtection="1">
      <alignment vertical="center"/>
      <protection locked="0"/>
    </xf>
    <xf numFmtId="164" fontId="13" fillId="0" borderId="0" xfId="0" applyFont="1" applyBorder="1" applyAlignment="1" applyProtection="1">
      <alignment horizontal="right" vertical="center"/>
    </xf>
    <xf numFmtId="164" fontId="19" fillId="0" borderId="0" xfId="0" applyFont="1" applyFill="1" applyBorder="1" applyAlignment="1" applyProtection="1">
      <alignment vertical="center"/>
    </xf>
    <xf numFmtId="164" fontId="20" fillId="0" borderId="0" xfId="0" applyFont="1" applyFill="1" applyBorder="1" applyAlignment="1" applyProtection="1">
      <alignment vertical="center"/>
    </xf>
    <xf numFmtId="164" fontId="19" fillId="0" borderId="0" xfId="0" applyFont="1" applyFill="1" applyBorder="1" applyAlignment="1" applyProtection="1">
      <alignment horizontal="left" vertical="center"/>
    </xf>
    <xf numFmtId="174" fontId="18" fillId="0" borderId="0" xfId="0" applyNumberFormat="1" applyFont="1" applyProtection="1">
      <alignment vertical="center"/>
    </xf>
    <xf numFmtId="0" fontId="10" fillId="0" borderId="0" xfId="0" applyNumberFormat="1" applyFont="1" applyAlignment="1" applyProtection="1">
      <alignment horizontal="center" vertical="center"/>
    </xf>
    <xf numFmtId="9" fontId="10" fillId="0" borderId="0" xfId="6" applyFont="1" applyFill="1" applyBorder="1" applyAlignment="1" applyProtection="1">
      <alignment vertical="center"/>
    </xf>
    <xf numFmtId="164" fontId="21" fillId="0" borderId="0" xfId="0" applyFont="1" applyFill="1" applyBorder="1" applyAlignment="1" applyProtection="1">
      <alignment vertical="center"/>
    </xf>
    <xf numFmtId="164" fontId="0" fillId="0" borderId="0" xfId="0" applyAlignment="1" applyProtection="1">
      <alignment vertical="center"/>
    </xf>
    <xf numFmtId="164" fontId="22" fillId="0" borderId="0" xfId="0" applyFont="1" applyFill="1" applyBorder="1" applyAlignment="1" applyProtection="1">
      <alignment vertical="center"/>
    </xf>
    <xf numFmtId="164" fontId="14" fillId="0" borderId="0" xfId="0" applyFont="1" applyFill="1" applyBorder="1" applyAlignment="1" applyProtection="1">
      <alignment horizontal="center" vertical="center" wrapText="1"/>
    </xf>
    <xf numFmtId="164" fontId="0" fillId="0" borderId="0" xfId="0" applyBorder="1" applyAlignment="1" applyProtection="1">
      <alignment horizontal="center" vertical="center" wrapText="1"/>
    </xf>
    <xf numFmtId="164" fontId="10" fillId="2" borderId="3" xfId="0" applyFont="1" applyFill="1" applyBorder="1" applyAlignment="1" applyProtection="1">
      <alignment vertical="center"/>
      <protection locked="0"/>
    </xf>
    <xf numFmtId="164" fontId="10" fillId="2" borderId="5" xfId="0" applyFont="1" applyFill="1" applyBorder="1" applyAlignment="1" applyProtection="1">
      <alignment vertical="center"/>
      <protection locked="0"/>
    </xf>
    <xf numFmtId="164" fontId="10" fillId="2" borderId="4" xfId="0" applyFont="1" applyFill="1" applyBorder="1" applyAlignment="1" applyProtection="1">
      <alignment vertical="center"/>
      <protection locked="0"/>
    </xf>
  </cellXfs>
  <cellStyles count="8">
    <cellStyle name="Comma" xfId="1" builtinId="3"/>
    <cellStyle name="Date" xfId="2" xr:uid="{00000000-0005-0000-0000-000001000000}"/>
    <cellStyle name="Fixed" xfId="3" xr:uid="{00000000-0005-0000-0000-000002000000}"/>
    <cellStyle name="Heading1" xfId="4" xr:uid="{00000000-0005-0000-0000-000003000000}"/>
    <cellStyle name="Heading2" xfId="5" xr:uid="{00000000-0005-0000-0000-000004000000}"/>
    <cellStyle name="Normal" xfId="0" builtinId="0"/>
    <cellStyle name="Percent" xfId="6" builtinId="5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19050</xdr:rowOff>
    </xdr:from>
    <xdr:to>
      <xdr:col>8</xdr:col>
      <xdr:colOff>771525</xdr:colOff>
      <xdr:row>1</xdr:row>
      <xdr:rowOff>9525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EC8B4E5F-FC01-457B-9DCA-05C9FF351A5D}"/>
            </a:ext>
          </a:extLst>
        </xdr:cNvPr>
        <xdr:cNvSpPr txBox="1">
          <a:spLocks noChangeArrowheads="1"/>
        </xdr:cNvSpPr>
      </xdr:nvSpPr>
      <xdr:spPr bwMode="auto">
        <a:xfrm>
          <a:off x="1323975" y="19050"/>
          <a:ext cx="6200775" cy="1381125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CHECK OF BEAM/COLUMN STRESSES (ECP-2002)</a:t>
          </a:r>
          <a:r>
            <a:rPr lang="en-US" sz="1400" b="1" i="0" strike="noStrike" baseline="30000">
              <a:solidFill>
                <a:srgbClr val="000000"/>
              </a:solidFill>
              <a:latin typeface="Arial"/>
              <a:cs typeface="Arial"/>
            </a:rPr>
            <a:t>02</a:t>
          </a:r>
          <a:endParaRPr lang="en-US" sz="14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Box</a:t>
          </a:r>
          <a:r>
            <a:rPr lang="en-US" sz="14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Sections</a:t>
          </a:r>
        </a:p>
        <a:p>
          <a:pPr algn="ctr" rtl="1">
            <a:defRPr sz="1000"/>
          </a:pPr>
          <a:endParaRPr lang="en-US" sz="14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1</xdr:col>
      <xdr:colOff>123825</xdr:colOff>
      <xdr:row>1</xdr:row>
      <xdr:rowOff>0</xdr:rowOff>
    </xdr:to>
    <xdr:pic>
      <xdr:nvPicPr>
        <xdr:cNvPr id="1567" name="Picture 21">
          <a:extLst>
            <a:ext uri="{FF2B5EF4-FFF2-40B4-BE49-F238E27FC236}">
              <a16:creationId xmlns:a16="http://schemas.microsoft.com/office/drawing/2014/main" id="{C513C581-322F-4D9A-AC18-B61EB1C89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1620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5F7F51F-7817-45AD-8F74-4A622D4A8C6A}" diskRevisions="1" revisionId="3" version="3" protected="1">
  <header guid="{45F7F51F-7817-45AD-8F74-4A622D4A8C6A}" dateTime="2019-11-06T13:40:37" maxSheetId="2" userName="admin" r:id="rId3" minRId="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 numFmtId="4">
    <oc r="B21">
      <v>30</v>
    </oc>
    <nc r="B21">
      <v>40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 codeName="Sheet1"/>
  <dimension ref="A1:V97"/>
  <sheetViews>
    <sheetView tabSelected="1" view="pageBreakPreview" zoomScaleNormal="100" zoomScaleSheetLayoutView="75" workbookViewId="0">
      <selection activeCell="D17" sqref="D17"/>
    </sheetView>
  </sheetViews>
  <sheetFormatPr defaultColWidth="8.7109375" defaultRowHeight="12" customHeight="1" x14ac:dyDescent="0.2"/>
  <cols>
    <col min="1" max="1" width="15.7109375" style="6" customWidth="1"/>
    <col min="2" max="2" width="12.7109375" style="6" customWidth="1"/>
    <col min="3" max="3" width="13.5703125" style="6" customWidth="1"/>
    <col min="4" max="4" width="11.28515625" style="6" customWidth="1"/>
    <col min="5" max="6" width="11.7109375" style="6" customWidth="1"/>
    <col min="7" max="7" width="12.85546875" style="6" customWidth="1"/>
    <col min="8" max="9" width="11.7109375" style="6" customWidth="1"/>
    <col min="10" max="12" width="8.7109375" style="6" customWidth="1"/>
    <col min="13" max="13" width="21.85546875" style="6" customWidth="1"/>
    <col min="14" max="14" width="11.5703125" style="6" customWidth="1"/>
    <col min="15" max="15" width="12.85546875" style="6" customWidth="1"/>
    <col min="16" max="20" width="8.7109375" style="6" customWidth="1"/>
    <col min="21" max="21" width="9.140625" style="6" bestFit="1" customWidth="1"/>
    <col min="22" max="22" width="11.5703125" style="6" customWidth="1"/>
    <col min="23" max="16384" width="8.7109375" style="6"/>
  </cols>
  <sheetData>
    <row r="1" spans="1:11" ht="110.1" customHeight="1" x14ac:dyDescent="0.2">
      <c r="A1" s="3"/>
      <c r="B1" s="4"/>
      <c r="C1" s="64"/>
      <c r="D1" s="65"/>
      <c r="E1" s="65"/>
      <c r="F1" s="65"/>
      <c r="G1" s="65"/>
      <c r="H1" s="65"/>
      <c r="I1" s="5"/>
    </row>
    <row r="2" spans="1:11" ht="12" customHeight="1" x14ac:dyDescent="0.2">
      <c r="A2" s="5" t="s">
        <v>149</v>
      </c>
      <c r="B2" s="5"/>
      <c r="C2" s="5"/>
      <c r="D2" s="5"/>
      <c r="E2" s="5"/>
      <c r="F2" s="5"/>
      <c r="G2" s="5"/>
      <c r="H2" s="5"/>
    </row>
    <row r="3" spans="1:11" ht="12" customHeight="1" x14ac:dyDescent="0.2">
      <c r="A3" s="7" t="s">
        <v>150</v>
      </c>
      <c r="B3" s="66"/>
      <c r="C3" s="67"/>
      <c r="D3" s="67"/>
      <c r="E3" s="67"/>
      <c r="F3" s="68"/>
      <c r="H3" s="8" t="s">
        <v>151</v>
      </c>
      <c r="I3" s="9">
        <f ca="1">NOW()</f>
        <v>43957.483027546295</v>
      </c>
    </row>
    <row r="4" spans="1:11" ht="12" customHeight="1" x14ac:dyDescent="0.2">
      <c r="A4" s="7"/>
      <c r="B4" s="10"/>
      <c r="D4" s="11"/>
      <c r="E4" s="12"/>
      <c r="F4" s="12"/>
      <c r="G4" s="8"/>
      <c r="H4" s="13"/>
    </row>
    <row r="5" spans="1:11" ht="12" customHeight="1" x14ac:dyDescent="0.2">
      <c r="A5" s="14" t="s">
        <v>152</v>
      </c>
      <c r="B5" s="15"/>
      <c r="C5" s="15"/>
      <c r="D5" s="15"/>
      <c r="E5" s="15"/>
      <c r="F5" s="15"/>
      <c r="G5" s="15"/>
      <c r="H5" s="15"/>
      <c r="I5" s="15"/>
      <c r="J5" s="50"/>
      <c r="K5" s="50"/>
    </row>
    <row r="6" spans="1:11" ht="12" customHeight="1" x14ac:dyDescent="0.2">
      <c r="A6" s="7"/>
      <c r="J6" s="50"/>
      <c r="K6" s="51"/>
    </row>
    <row r="7" spans="1:11" ht="12" customHeight="1" x14ac:dyDescent="0.2">
      <c r="A7" s="16" t="s">
        <v>153</v>
      </c>
      <c r="B7" s="1">
        <v>0.877</v>
      </c>
      <c r="C7" s="17" t="s">
        <v>2</v>
      </c>
      <c r="E7" s="18" t="s">
        <v>135</v>
      </c>
      <c r="F7" s="1">
        <v>0</v>
      </c>
      <c r="G7" s="17" t="s">
        <v>154</v>
      </c>
      <c r="J7" s="50"/>
      <c r="K7" s="52"/>
    </row>
    <row r="8" spans="1:11" ht="12" customHeight="1" x14ac:dyDescent="0.2">
      <c r="A8" s="16" t="s">
        <v>155</v>
      </c>
      <c r="B8" s="1">
        <v>3.27</v>
      </c>
      <c r="C8" s="17" t="s">
        <v>156</v>
      </c>
      <c r="J8" s="50"/>
      <c r="K8" s="50"/>
    </row>
    <row r="9" spans="1:11" ht="12" customHeight="1" x14ac:dyDescent="0.2">
      <c r="A9" s="16" t="s">
        <v>48</v>
      </c>
      <c r="B9" s="1">
        <v>0.48699999999999999</v>
      </c>
      <c r="C9" s="17" t="s">
        <v>156</v>
      </c>
      <c r="E9" s="54"/>
      <c r="F9" s="12"/>
      <c r="H9" s="12"/>
      <c r="J9" s="50"/>
      <c r="K9" s="50"/>
    </row>
    <row r="10" spans="1:11" ht="12" customHeight="1" x14ac:dyDescent="0.2">
      <c r="A10" s="5"/>
      <c r="B10" s="5"/>
      <c r="C10" s="11"/>
      <c r="J10" s="50"/>
      <c r="K10" s="50"/>
    </row>
    <row r="11" spans="1:11" ht="12" customHeight="1" x14ac:dyDescent="0.2">
      <c r="A11" s="14" t="s">
        <v>157</v>
      </c>
      <c r="B11" s="15"/>
      <c r="C11" s="20"/>
      <c r="D11" s="15"/>
      <c r="E11" s="15"/>
      <c r="F11" s="15"/>
      <c r="G11" s="15"/>
      <c r="H11" s="15"/>
      <c r="I11" s="15"/>
      <c r="J11" s="50"/>
      <c r="K11" s="50"/>
    </row>
    <row r="12" spans="1:11" ht="12" customHeight="1" x14ac:dyDescent="0.2">
      <c r="A12" s="7"/>
      <c r="C12" s="11"/>
    </row>
    <row r="13" spans="1:11" ht="12" customHeight="1" x14ac:dyDescent="0.2">
      <c r="A13" s="16" t="s">
        <v>158</v>
      </c>
      <c r="B13" s="53">
        <v>2.66</v>
      </c>
      <c r="C13" s="17" t="s">
        <v>159</v>
      </c>
      <c r="D13" s="16" t="s">
        <v>160</v>
      </c>
      <c r="E13" s="1">
        <v>1</v>
      </c>
      <c r="G13" s="16"/>
      <c r="H13" s="16"/>
      <c r="I13" s="17"/>
    </row>
    <row r="14" spans="1:11" ht="12" customHeight="1" x14ac:dyDescent="0.2">
      <c r="A14" s="16" t="s">
        <v>161</v>
      </c>
      <c r="B14" s="53">
        <v>2.66</v>
      </c>
      <c r="C14" s="17" t="s">
        <v>159</v>
      </c>
      <c r="D14" s="16" t="s">
        <v>53</v>
      </c>
      <c r="E14" s="1">
        <v>1</v>
      </c>
      <c r="G14" s="16"/>
      <c r="H14" s="16"/>
      <c r="I14" s="17"/>
    </row>
    <row r="15" spans="1:11" ht="12" customHeight="1" x14ac:dyDescent="0.2">
      <c r="A15" s="16" t="s">
        <v>54</v>
      </c>
      <c r="B15" s="53">
        <v>2.66</v>
      </c>
      <c r="C15" s="17" t="s">
        <v>159</v>
      </c>
      <c r="D15" s="16" t="s">
        <v>55</v>
      </c>
      <c r="E15" s="1">
        <v>1</v>
      </c>
      <c r="G15" s="16"/>
      <c r="H15" s="21"/>
    </row>
    <row r="16" spans="1:11" ht="12" customHeight="1" x14ac:dyDescent="0.2">
      <c r="A16" s="5"/>
      <c r="B16" s="5"/>
      <c r="C16" s="11"/>
      <c r="D16" s="5"/>
    </row>
    <row r="17" spans="1:22" ht="12" customHeight="1" x14ac:dyDescent="0.2">
      <c r="A17" s="14" t="s">
        <v>56</v>
      </c>
      <c r="B17" s="15"/>
      <c r="C17" s="20"/>
      <c r="D17" s="15"/>
      <c r="E17" s="15"/>
      <c r="F17" s="15"/>
      <c r="G17" s="15"/>
      <c r="H17" s="15"/>
      <c r="I17" s="15"/>
      <c r="N17" s="6" t="s">
        <v>49</v>
      </c>
    </row>
    <row r="18" spans="1:22" ht="12" customHeight="1" x14ac:dyDescent="0.2">
      <c r="A18" s="7"/>
      <c r="C18" s="11"/>
      <c r="N18" s="6" t="s">
        <v>52</v>
      </c>
    </row>
    <row r="19" spans="1:22" ht="12" customHeight="1" x14ac:dyDescent="0.2">
      <c r="A19" s="16" t="s">
        <v>57</v>
      </c>
      <c r="B19" s="1">
        <v>3600</v>
      </c>
      <c r="C19" s="17" t="s">
        <v>58</v>
      </c>
      <c r="D19" s="19"/>
      <c r="E19" s="19"/>
      <c r="F19" s="19"/>
      <c r="G19" s="5"/>
      <c r="H19" s="5"/>
      <c r="I19" s="5"/>
    </row>
    <row r="20" spans="1:22" ht="12" customHeight="1" x14ac:dyDescent="0.2">
      <c r="A20" s="16" t="s">
        <v>59</v>
      </c>
      <c r="B20" s="49" t="s">
        <v>88</v>
      </c>
      <c r="C20" s="2"/>
      <c r="D20" s="22"/>
      <c r="E20" s="12"/>
      <c r="F20" s="12"/>
      <c r="G20" s="12"/>
      <c r="H20" s="12"/>
      <c r="I20" s="12"/>
      <c r="M20" s="23"/>
      <c r="N20" s="24"/>
      <c r="O20" s="23"/>
      <c r="P20" s="24"/>
      <c r="Q20" s="23"/>
      <c r="R20" s="25" t="s">
        <v>87</v>
      </c>
      <c r="S20" s="25" t="s">
        <v>7</v>
      </c>
      <c r="T20" s="25" t="s">
        <v>8</v>
      </c>
      <c r="U20" s="25" t="s">
        <v>9</v>
      </c>
      <c r="V20" s="25" t="s">
        <v>10</v>
      </c>
    </row>
    <row r="21" spans="1:22" ht="12" customHeight="1" x14ac:dyDescent="0.2">
      <c r="A21" s="16" t="s">
        <v>83</v>
      </c>
      <c r="B21" s="1">
        <v>40</v>
      </c>
      <c r="C21" s="17" t="s">
        <v>60</v>
      </c>
      <c r="D21" s="16" t="s">
        <v>0</v>
      </c>
      <c r="E21" s="1">
        <v>0.6</v>
      </c>
      <c r="F21" s="17" t="s">
        <v>60</v>
      </c>
      <c r="H21" s="21"/>
      <c r="J21" s="16"/>
      <c r="K21" s="21"/>
      <c r="M21" s="26" t="s">
        <v>11</v>
      </c>
      <c r="N21" s="12">
        <f>BF</f>
        <v>15</v>
      </c>
      <c r="O21" s="26" t="s">
        <v>12</v>
      </c>
      <c r="P21" s="12">
        <f>T</f>
        <v>0.6</v>
      </c>
      <c r="Q21" s="26"/>
      <c r="R21" s="27">
        <f>P21/2</f>
        <v>0.3</v>
      </c>
      <c r="S21" s="27">
        <f>N21*P21</f>
        <v>9</v>
      </c>
      <c r="T21" s="27">
        <f>R21*S21</f>
        <v>2.6999999999999997</v>
      </c>
      <c r="U21" s="27">
        <f>N21*P21^3/12</f>
        <v>0.26999999999999996</v>
      </c>
      <c r="V21" s="27">
        <f>S21*(N26-R21)^2</f>
        <v>3492.8099999999981</v>
      </c>
    </row>
    <row r="22" spans="1:22" ht="12" customHeight="1" x14ac:dyDescent="0.2">
      <c r="A22" s="16" t="s">
        <v>28</v>
      </c>
      <c r="B22" s="1">
        <v>15</v>
      </c>
      <c r="C22" s="17" t="s">
        <v>60</v>
      </c>
      <c r="D22" s="16" t="s">
        <v>84</v>
      </c>
      <c r="E22" s="1">
        <v>0.6</v>
      </c>
      <c r="F22" s="17" t="s">
        <v>60</v>
      </c>
      <c r="J22" s="16"/>
      <c r="K22" s="21"/>
      <c r="M22" s="26" t="s">
        <v>13</v>
      </c>
      <c r="N22" s="12">
        <f>S</f>
        <v>0.6</v>
      </c>
      <c r="O22" s="26" t="s">
        <v>14</v>
      </c>
      <c r="P22" s="12">
        <f>hw</f>
        <v>38.799999999999997</v>
      </c>
      <c r="Q22" s="26"/>
      <c r="R22" s="27">
        <f>P21+P22/2</f>
        <v>20</v>
      </c>
      <c r="S22" s="27">
        <f>P22*N22*2</f>
        <v>46.559999999999995</v>
      </c>
      <c r="T22" s="27">
        <f>R22*S22</f>
        <v>931.19999999999993</v>
      </c>
      <c r="U22" s="27">
        <f>2*N22*P22^3/12</f>
        <v>5841.1071999999986</v>
      </c>
      <c r="V22" s="27">
        <f>S22*(N26-R22)^2</f>
        <v>5.8766981995344489E-28</v>
      </c>
    </row>
    <row r="23" spans="1:22" ht="12" customHeight="1" x14ac:dyDescent="0.2">
      <c r="A23" s="16" t="s">
        <v>29</v>
      </c>
      <c r="B23" s="1">
        <v>15</v>
      </c>
      <c r="C23" s="17" t="s">
        <v>60</v>
      </c>
      <c r="D23" s="16" t="s">
        <v>84</v>
      </c>
      <c r="E23" s="1">
        <v>0.6</v>
      </c>
      <c r="F23" s="17" t="s">
        <v>60</v>
      </c>
      <c r="J23" s="16"/>
      <c r="K23" s="21"/>
      <c r="M23" s="26" t="s">
        <v>15</v>
      </c>
      <c r="N23" s="12">
        <f>BT</f>
        <v>15</v>
      </c>
      <c r="O23" s="26" t="s">
        <v>12</v>
      </c>
      <c r="P23" s="12">
        <f>TT</f>
        <v>0.6</v>
      </c>
      <c r="Q23" s="26"/>
      <c r="R23" s="27">
        <f>P21+P22+P23/2</f>
        <v>39.699999999999996</v>
      </c>
      <c r="S23" s="27">
        <f>N23*P23</f>
        <v>9</v>
      </c>
      <c r="T23" s="27">
        <f>R23*S23</f>
        <v>357.29999999999995</v>
      </c>
      <c r="U23" s="27">
        <f>N23*P23^3/12</f>
        <v>0.26999999999999996</v>
      </c>
      <c r="V23" s="27">
        <f>S23*(N26-R23)^2</f>
        <v>3492.81</v>
      </c>
    </row>
    <row r="24" spans="1:22" ht="12" customHeight="1" x14ac:dyDescent="0.2">
      <c r="A24" s="16" t="s">
        <v>82</v>
      </c>
      <c r="B24" s="21">
        <f>d-T-TT</f>
        <v>38.799999999999997</v>
      </c>
      <c r="C24" s="17" t="s">
        <v>60</v>
      </c>
      <c r="D24" s="16"/>
      <c r="E24" s="21"/>
      <c r="F24" s="17"/>
      <c r="G24" s="5"/>
      <c r="H24" s="5"/>
      <c r="J24" s="16" t="s">
        <v>132</v>
      </c>
      <c r="K24" s="21" t="e">
        <f ca="1">MAX(ABS(G83),ABS(G84),ABS(G85),ABS(G86))</f>
        <v>#NAME?</v>
      </c>
      <c r="M24" s="26" t="s">
        <v>18</v>
      </c>
      <c r="N24" s="27">
        <f>P21+P22+P23</f>
        <v>40</v>
      </c>
      <c r="O24" s="26"/>
      <c r="P24" s="12"/>
      <c r="Q24" s="26"/>
      <c r="R24" s="12"/>
      <c r="S24" s="27">
        <f>SUM(S21:S23)</f>
        <v>64.56</v>
      </c>
      <c r="T24" s="27">
        <f>SUM(T21:T23)</f>
        <v>1291.1999999999998</v>
      </c>
      <c r="U24" s="27">
        <f>SUM(U21:U23)</f>
        <v>5841.6471999999994</v>
      </c>
      <c r="V24" s="27">
        <f>SUM(V21:V23)</f>
        <v>6985.6199999999981</v>
      </c>
    </row>
    <row r="25" spans="1:22" ht="12" customHeight="1" x14ac:dyDescent="0.2">
      <c r="A25" s="16" t="s">
        <v>61</v>
      </c>
      <c r="B25" s="21">
        <f>N25</f>
        <v>64.56</v>
      </c>
      <c r="C25" s="17" t="s">
        <v>62</v>
      </c>
      <c r="D25" s="16" t="s">
        <v>63</v>
      </c>
      <c r="E25" s="21">
        <f>AREA*0.785</f>
        <v>50.679600000000001</v>
      </c>
      <c r="F25" s="17" t="s">
        <v>64</v>
      </c>
      <c r="G25" s="28"/>
      <c r="I25" s="5"/>
      <c r="J25" s="16" t="s">
        <v>148</v>
      </c>
      <c r="K25" s="21">
        <f>E94</f>
        <v>0</v>
      </c>
      <c r="M25" s="26" t="s">
        <v>7</v>
      </c>
      <c r="N25" s="27">
        <f>S24</f>
        <v>64.56</v>
      </c>
      <c r="O25" s="26"/>
      <c r="P25" s="12"/>
      <c r="Q25" s="26"/>
      <c r="R25" s="12"/>
      <c r="S25" s="27"/>
      <c r="T25" s="27"/>
      <c r="U25" s="27"/>
      <c r="V25" s="27"/>
    </row>
    <row r="26" spans="1:22" ht="12" customHeight="1" x14ac:dyDescent="0.2">
      <c r="A26" s="16" t="s">
        <v>5</v>
      </c>
      <c r="B26" s="21">
        <f>N26</f>
        <v>19.999999999999996</v>
      </c>
      <c r="C26" s="17" t="s">
        <v>60</v>
      </c>
      <c r="D26" s="16" t="s">
        <v>6</v>
      </c>
      <c r="E26" s="21">
        <f>N27</f>
        <v>20.000000000000004</v>
      </c>
      <c r="F26" s="17" t="s">
        <v>60</v>
      </c>
      <c r="G26" s="28"/>
      <c r="I26" s="5"/>
      <c r="J26" s="16" t="s">
        <v>170</v>
      </c>
      <c r="K26" s="21">
        <f>KLR</f>
        <v>40.73750551443166</v>
      </c>
      <c r="M26" s="26" t="s">
        <v>19</v>
      </c>
      <c r="N26" s="29">
        <f>T24/S24</f>
        <v>19.999999999999996</v>
      </c>
      <c r="O26" s="26"/>
      <c r="P26" s="27"/>
      <c r="Q26" s="26"/>
      <c r="R26" s="27"/>
      <c r="S26" s="27"/>
      <c r="T26" s="27"/>
      <c r="U26" s="27"/>
      <c r="V26" s="27"/>
    </row>
    <row r="27" spans="1:22" ht="12" customHeight="1" x14ac:dyDescent="0.2">
      <c r="A27" s="16" t="s">
        <v>65</v>
      </c>
      <c r="B27" s="30">
        <f>N28</f>
        <v>12827.267199999998</v>
      </c>
      <c r="C27" s="17" t="s">
        <v>66</v>
      </c>
      <c r="D27" s="16" t="s">
        <v>67</v>
      </c>
      <c r="E27" s="30">
        <f>N31</f>
        <v>2752.5672</v>
      </c>
      <c r="F27" s="17" t="s">
        <v>66</v>
      </c>
      <c r="G27" s="28"/>
      <c r="I27" s="5"/>
      <c r="J27" s="16" t="s">
        <v>170</v>
      </c>
      <c r="K27" s="21">
        <f>B63</f>
        <v>18.871061359994162</v>
      </c>
      <c r="M27" s="26" t="s">
        <v>20</v>
      </c>
      <c r="N27" s="29">
        <f>N24-N26</f>
        <v>20.000000000000004</v>
      </c>
      <c r="O27" s="26"/>
      <c r="P27" s="12"/>
      <c r="Q27" s="26"/>
      <c r="R27" s="12"/>
      <c r="S27" s="27"/>
      <c r="T27" s="27"/>
      <c r="U27" s="27"/>
      <c r="V27" s="27"/>
    </row>
    <row r="28" spans="1:22" ht="12" customHeight="1" x14ac:dyDescent="0.2">
      <c r="A28" s="16" t="s">
        <v>30</v>
      </c>
      <c r="B28" s="21">
        <f>N29</f>
        <v>641.36336000000006</v>
      </c>
      <c r="C28" s="17" t="s">
        <v>68</v>
      </c>
      <c r="D28" s="16" t="s">
        <v>32</v>
      </c>
      <c r="E28" s="21">
        <f>IYY/BF*2</f>
        <v>367.00896</v>
      </c>
      <c r="F28" s="17" t="s">
        <v>68</v>
      </c>
      <c r="G28" s="5"/>
      <c r="H28" s="5"/>
      <c r="I28" s="5"/>
      <c r="J28" s="16" t="s">
        <v>170</v>
      </c>
      <c r="K28" s="21">
        <f>E63</f>
        <v>40.73750551443166</v>
      </c>
      <c r="M28" s="26" t="s">
        <v>21</v>
      </c>
      <c r="N28" s="31">
        <f>U24+V24</f>
        <v>12827.267199999998</v>
      </c>
      <c r="O28" s="26"/>
      <c r="P28" s="27"/>
      <c r="Q28" s="26"/>
      <c r="R28" s="27"/>
      <c r="S28" s="27"/>
      <c r="T28" s="27"/>
      <c r="U28" s="27"/>
      <c r="V28" s="27"/>
    </row>
    <row r="29" spans="1:22" ht="12" customHeight="1" x14ac:dyDescent="0.2">
      <c r="A29" s="16" t="s">
        <v>31</v>
      </c>
      <c r="B29" s="21">
        <f>N30</f>
        <v>641.36335999999983</v>
      </c>
      <c r="C29" s="17" t="s">
        <v>68</v>
      </c>
      <c r="D29" s="16" t="s">
        <v>33</v>
      </c>
      <c r="E29" s="21">
        <f>IYY/BT*2</f>
        <v>367.00896</v>
      </c>
      <c r="F29" s="17" t="s">
        <v>68</v>
      </c>
      <c r="M29" s="26" t="s">
        <v>22</v>
      </c>
      <c r="N29" s="31">
        <f>N28/N26</f>
        <v>641.36336000000006</v>
      </c>
      <c r="O29" s="26"/>
      <c r="P29" s="12"/>
      <c r="Q29" s="26"/>
      <c r="R29" s="12"/>
    </row>
    <row r="30" spans="1:22" ht="12" customHeight="1" x14ac:dyDescent="0.2">
      <c r="A30" s="16" t="s">
        <v>69</v>
      </c>
      <c r="B30" s="21">
        <f>N32</f>
        <v>14.095656567781003</v>
      </c>
      <c r="C30" s="17" t="s">
        <v>60</v>
      </c>
      <c r="D30" s="16" t="s">
        <v>70</v>
      </c>
      <c r="E30" s="21">
        <f>N33</f>
        <v>6.52960942603044</v>
      </c>
      <c r="F30" s="17" t="s">
        <v>60</v>
      </c>
      <c r="G30" s="55"/>
      <c r="H30" s="56"/>
      <c r="I30" s="57"/>
      <c r="M30" s="26" t="s">
        <v>23</v>
      </c>
      <c r="N30" s="31">
        <f>N28/N27</f>
        <v>641.36335999999983</v>
      </c>
      <c r="O30" s="26"/>
      <c r="P30" s="12"/>
      <c r="Q30" s="26"/>
      <c r="R30" s="12"/>
      <c r="S30" s="27"/>
      <c r="T30" s="27"/>
      <c r="U30" s="27"/>
      <c r="V30" s="27"/>
    </row>
    <row r="31" spans="1:22" ht="12" customHeight="1" x14ac:dyDescent="0.2">
      <c r="A31" s="16"/>
      <c r="B31" s="21"/>
      <c r="C31" s="17"/>
      <c r="D31" s="16"/>
      <c r="E31" s="19"/>
      <c r="F31" s="32"/>
      <c r="G31" s="5"/>
      <c r="H31" s="5"/>
      <c r="I31" s="5"/>
      <c r="M31" s="26" t="s">
        <v>24</v>
      </c>
      <c r="N31" s="31">
        <f>1/12*(P21*N21^3+2*P22*N22^3+P23*N23^3)+(2*P22*N22*(N21/2-N22/2)^2)</f>
        <v>2752.5672</v>
      </c>
      <c r="O31" s="27"/>
      <c r="P31" s="12"/>
      <c r="Q31" s="26"/>
      <c r="R31" s="12"/>
      <c r="S31" s="27"/>
      <c r="T31" s="27"/>
      <c r="U31" s="27"/>
      <c r="V31" s="27"/>
    </row>
    <row r="32" spans="1:22" ht="12" customHeight="1" x14ac:dyDescent="0.2">
      <c r="A32" s="14" t="s">
        <v>162</v>
      </c>
      <c r="B32" s="15"/>
      <c r="C32" s="20"/>
      <c r="D32" s="15"/>
      <c r="E32" s="15"/>
      <c r="F32" s="20"/>
      <c r="G32" s="33"/>
      <c r="H32" s="33"/>
      <c r="I32" s="15"/>
      <c r="M32" s="26" t="s">
        <v>25</v>
      </c>
      <c r="N32" s="34">
        <f>SQRT(N28/N25)</f>
        <v>14.095656567781003</v>
      </c>
      <c r="O32" s="27"/>
      <c r="P32" s="12"/>
      <c r="Q32" s="26"/>
      <c r="R32" s="35"/>
      <c r="S32" s="27"/>
      <c r="T32" s="27"/>
      <c r="U32" s="27"/>
      <c r="V32" s="27"/>
    </row>
    <row r="33" spans="1:22" ht="12" customHeight="1" x14ac:dyDescent="0.2">
      <c r="A33" s="16"/>
      <c r="B33" s="21"/>
      <c r="C33" s="17"/>
      <c r="D33" s="16"/>
      <c r="E33" s="19"/>
      <c r="F33" s="32"/>
      <c r="G33" s="5"/>
      <c r="H33" s="5"/>
      <c r="I33" s="5"/>
      <c r="M33" s="26" t="s">
        <v>26</v>
      </c>
      <c r="N33" s="34">
        <f>SQRT(N31/N25)</f>
        <v>6.52960942603044</v>
      </c>
      <c r="O33" s="27"/>
      <c r="P33" s="12"/>
      <c r="Q33" s="26"/>
      <c r="R33" s="35"/>
      <c r="S33" s="27"/>
      <c r="T33" s="27"/>
      <c r="U33" s="27"/>
      <c r="V33" s="27"/>
    </row>
    <row r="34" spans="1:22" ht="12" customHeight="1" x14ac:dyDescent="0.2">
      <c r="A34" s="16" t="s">
        <v>34</v>
      </c>
      <c r="B34" s="21">
        <f>(BF-2*S)</f>
        <v>13.8</v>
      </c>
      <c r="C34" s="17" t="s">
        <v>60</v>
      </c>
      <c r="D34" s="17" t="s">
        <v>35</v>
      </c>
      <c r="E34" s="21">
        <f>B34/T</f>
        <v>23.000000000000004</v>
      </c>
      <c r="G34" s="17" t="s">
        <v>163</v>
      </c>
      <c r="H34" s="21">
        <f>IF(B36&lt;0,64/fyy,999)</f>
        <v>33.730961708462715</v>
      </c>
      <c r="M34" s="26" t="s">
        <v>27</v>
      </c>
      <c r="N34" s="34">
        <f>SQRT((P21*(N21)^3/12+2*P22*(N22)^3/6/12+(2*P22*N22/6*(N21/2-N22/2)^2))/(P21*(N21)+2*P22*N22/6))</f>
        <v>5.8382186612046469</v>
      </c>
      <c r="O34" s="27"/>
      <c r="P34" s="12"/>
      <c r="Q34" s="26"/>
      <c r="R34" s="36"/>
      <c r="S34" s="27"/>
      <c r="T34" s="27"/>
      <c r="U34" s="27"/>
      <c r="V34" s="27"/>
    </row>
    <row r="35" spans="1:22" ht="12" customHeight="1" x14ac:dyDescent="0.2">
      <c r="A35" s="16" t="s">
        <v>38</v>
      </c>
      <c r="B35" s="21">
        <f>(BT-2*S)</f>
        <v>13.8</v>
      </c>
      <c r="C35" s="17" t="s">
        <v>60</v>
      </c>
      <c r="D35" s="17" t="s">
        <v>39</v>
      </c>
      <c r="E35" s="21">
        <f>B35/TT</f>
        <v>23.000000000000004</v>
      </c>
      <c r="G35" s="17" t="s">
        <v>163</v>
      </c>
      <c r="H35" s="21">
        <f>IF(B37&lt;0,64/fyy,999)</f>
        <v>999</v>
      </c>
      <c r="O35" s="27"/>
      <c r="P35" s="12"/>
      <c r="Q35" s="26"/>
      <c r="R35" s="12"/>
      <c r="S35" s="27"/>
      <c r="T35" s="27"/>
      <c r="U35" s="27"/>
      <c r="V35" s="27"/>
    </row>
    <row r="36" spans="1:22" ht="12" customHeight="1" x14ac:dyDescent="0.2">
      <c r="A36" s="16" t="s">
        <v>173</v>
      </c>
      <c r="B36" s="21">
        <f>(-N/AREA-MX*100/ZXX)*1000</f>
        <v>-523.43565177977871</v>
      </c>
      <c r="C36" s="17" t="s">
        <v>58</v>
      </c>
      <c r="D36" s="37" t="s">
        <v>128</v>
      </c>
      <c r="E36" s="21">
        <v>4</v>
      </c>
      <c r="F36" s="17"/>
      <c r="G36" s="16" t="s">
        <v>164</v>
      </c>
      <c r="H36" s="21">
        <f>IF(B36&lt;0,64/fyy,999)</f>
        <v>33.730961708462715</v>
      </c>
      <c r="O36" s="27"/>
      <c r="P36" s="12"/>
      <c r="Q36" s="26"/>
      <c r="R36" s="12"/>
      <c r="S36" s="27"/>
      <c r="T36" s="27"/>
      <c r="U36" s="27"/>
      <c r="V36" s="27"/>
    </row>
    <row r="37" spans="1:22" ht="12" customHeight="1" x14ac:dyDescent="0.2">
      <c r="A37" s="16" t="s">
        <v>174</v>
      </c>
      <c r="B37" s="21">
        <f>(-N/AREA+MX*100/B29)*1000</f>
        <v>496.26712637705276</v>
      </c>
      <c r="C37" s="17" t="s">
        <v>58</v>
      </c>
      <c r="D37" s="37" t="s">
        <v>128</v>
      </c>
      <c r="E37" s="21">
        <v>4</v>
      </c>
      <c r="F37" s="17"/>
      <c r="G37" s="16" t="s">
        <v>164</v>
      </c>
      <c r="H37" s="21">
        <f>IF(B37&lt;0,64/fyy,999)</f>
        <v>999</v>
      </c>
      <c r="O37" s="27"/>
      <c r="P37" s="12"/>
      <c r="Q37" s="26"/>
      <c r="R37" s="12"/>
      <c r="S37" s="27"/>
      <c r="T37" s="27"/>
      <c r="U37" s="27"/>
      <c r="V37" s="27"/>
    </row>
    <row r="38" spans="1:22" ht="12" customHeight="1" x14ac:dyDescent="0.2">
      <c r="A38" s="16" t="s">
        <v>89</v>
      </c>
      <c r="B38" s="21">
        <f>hw/S</f>
        <v>64.666666666666671</v>
      </c>
      <c r="D38" s="37" t="s">
        <v>129</v>
      </c>
      <c r="E38" s="63" t="e">
        <f ca="1">Alpha_box(N,MX,d,BF,S,T,hw,AREA,BT,TT,FY)</f>
        <v>#NAME?</v>
      </c>
      <c r="G38" s="16" t="s">
        <v>166</v>
      </c>
      <c r="H38" s="63" t="e">
        <f ca="1">MIN(IF(E38=0.5,127/fyy,IF(E38=1,58/fyy,IF(E38&gt;0.5,699/(13*E38-1)/fyy,63.6/E38/fyy))),999)</f>
        <v>#NAME?</v>
      </c>
      <c r="K38" s="37" t="s">
        <v>129</v>
      </c>
      <c r="L38" s="21" t="e">
        <f ca="1">Alpha_box(N,MX,d,BF,S,T,hw,AREA,BT,TT,FY)</f>
        <v>#NAME?</v>
      </c>
      <c r="O38" s="27"/>
      <c r="P38" s="12"/>
      <c r="Q38" s="26"/>
      <c r="R38" s="12"/>
      <c r="S38" s="27"/>
      <c r="T38" s="27"/>
      <c r="U38" s="27"/>
      <c r="V38" s="27"/>
    </row>
    <row r="39" spans="1:22" ht="12" customHeight="1" x14ac:dyDescent="0.2">
      <c r="A39" s="37" t="s">
        <v>128</v>
      </c>
      <c r="B39" s="21">
        <f>B37/B36</f>
        <v>-0.94809576819930419</v>
      </c>
      <c r="D39" s="16"/>
      <c r="E39" s="21"/>
      <c r="G39" s="16" t="s">
        <v>167</v>
      </c>
      <c r="H39" s="21" t="e">
        <f ca="1">web_epsi(B36,B37,FY)</f>
        <v>#NAME?</v>
      </c>
      <c r="O39" s="27"/>
      <c r="P39" s="12"/>
      <c r="Q39" s="26"/>
      <c r="R39" s="12"/>
      <c r="S39" s="27"/>
      <c r="T39" s="27"/>
      <c r="U39" s="27"/>
      <c r="V39" s="27"/>
    </row>
    <row r="40" spans="1:22" ht="12" customHeight="1" x14ac:dyDescent="0.2">
      <c r="E40" s="16"/>
      <c r="F40" s="21"/>
      <c r="G40" s="16"/>
      <c r="H40" s="5"/>
      <c r="I40" s="5"/>
      <c r="O40" s="27"/>
      <c r="P40" s="12"/>
      <c r="Q40" s="26"/>
      <c r="R40" s="12"/>
      <c r="S40" s="27"/>
      <c r="T40" s="27"/>
      <c r="U40" s="27"/>
      <c r="V40" s="27"/>
    </row>
    <row r="41" spans="1:22" ht="12" customHeight="1" x14ac:dyDescent="0.2">
      <c r="A41" s="16" t="s">
        <v>36</v>
      </c>
      <c r="B41" s="21" t="str">
        <f>IF(E34&lt;H34,"COMPACT",IF(E34&lt;H36,"NON-COMP","SLENDER"))</f>
        <v>COMPACT</v>
      </c>
      <c r="C41" s="61">
        <f>IF(B41="COMPACT",0,IF(B41="NON-COMP",10,100))</f>
        <v>0</v>
      </c>
      <c r="D41" s="16" t="s">
        <v>37</v>
      </c>
      <c r="E41" s="21" t="str">
        <f>IF(E35&lt;H35,"COMPACT",IF(E34&lt;H37,"NON-COMP","SLENDER"))</f>
        <v>COMPACT</v>
      </c>
      <c r="F41" s="61">
        <f>IF(E41="COMPACT",0,IF(E41="NON-COMP",10,100))</f>
        <v>0</v>
      </c>
      <c r="G41" s="16" t="s">
        <v>165</v>
      </c>
      <c r="H41" s="21" t="e">
        <f ca="1">IF(B38&lt;H39,"NON-COMP","SLENDER")</f>
        <v>#NAME?</v>
      </c>
      <c r="I41" s="61" t="e">
        <f ca="1">IF(H41="COMPACT",0,IF(H41="NON-COMP",10,100))</f>
        <v>#NAME?</v>
      </c>
      <c r="K41" s="16" t="s">
        <v>165</v>
      </c>
      <c r="L41" s="21" t="e">
        <f ca="1">IF(B38&lt;H38,"COMPACT",IF(B38&lt;H39,"NON-COMP","SLENDER"))</f>
        <v>#NAME?</v>
      </c>
      <c r="M41" s="61" t="e">
        <f ca="1">IF(H41="COMPACT",0,IF(H41="NON-COMP",10,100))</f>
        <v>#NAME?</v>
      </c>
      <c r="O41" s="27"/>
      <c r="P41" s="12"/>
      <c r="Q41" s="26"/>
      <c r="R41" s="12"/>
      <c r="S41" s="27"/>
      <c r="T41" s="27"/>
      <c r="U41" s="27"/>
      <c r="V41" s="27"/>
    </row>
    <row r="42" spans="1:22" ht="12" customHeight="1" x14ac:dyDescent="0.2">
      <c r="A42" s="16" t="s">
        <v>168</v>
      </c>
      <c r="B42" s="16"/>
      <c r="C42" s="21" t="e">
        <f ca="1">IF(C41+F41+I41=0,"COMPACT",IF(C41+F41+I41&lt;100,"NON-COMP","SLENDER"))</f>
        <v>#NAME?</v>
      </c>
      <c r="F42" s="16"/>
      <c r="G42" s="16"/>
      <c r="H42" s="5"/>
      <c r="I42" s="5"/>
    </row>
    <row r="43" spans="1:22" ht="12" customHeight="1" x14ac:dyDescent="0.2">
      <c r="A43" s="16"/>
      <c r="B43" s="16"/>
      <c r="C43" s="21"/>
      <c r="F43" s="16"/>
      <c r="G43" s="16"/>
      <c r="H43" s="5"/>
      <c r="I43" s="5"/>
    </row>
    <row r="44" spans="1:22" ht="12" customHeight="1" x14ac:dyDescent="0.2">
      <c r="A44" s="14" t="s">
        <v>169</v>
      </c>
      <c r="B44" s="15"/>
      <c r="C44" s="20"/>
      <c r="D44" s="15"/>
      <c r="E44" s="15"/>
      <c r="F44" s="20"/>
      <c r="G44" s="33"/>
      <c r="H44" s="33"/>
      <c r="I44" s="15"/>
    </row>
    <row r="45" spans="1:22" ht="12" customHeight="1" x14ac:dyDescent="0.2">
      <c r="A45" s="16"/>
      <c r="B45" s="16"/>
      <c r="C45" s="21"/>
      <c r="F45" s="16"/>
      <c r="G45" s="16"/>
      <c r="H45" s="5"/>
      <c r="I45" s="5"/>
      <c r="M45" s="23"/>
      <c r="N45" s="24"/>
      <c r="O45" s="23"/>
      <c r="P45" s="24"/>
      <c r="Q45" s="23"/>
      <c r="R45" s="25" t="s">
        <v>87</v>
      </c>
      <c r="S45" s="25" t="s">
        <v>7</v>
      </c>
      <c r="T45" s="25" t="s">
        <v>8</v>
      </c>
      <c r="U45" s="25" t="s">
        <v>9</v>
      </c>
      <c r="V45" s="25" t="s">
        <v>10</v>
      </c>
    </row>
    <row r="46" spans="1:22" ht="12" customHeight="1" x14ac:dyDescent="0.2">
      <c r="A46" s="16" t="s">
        <v>126</v>
      </c>
      <c r="B46" s="21">
        <v>4</v>
      </c>
      <c r="C46" s="21"/>
      <c r="D46" s="16" t="s">
        <v>127</v>
      </c>
      <c r="E46" s="21">
        <f>E34/44*(FY/1000/B46)^0.5</f>
        <v>0.49590263307185956</v>
      </c>
      <c r="F46" s="16"/>
      <c r="G46" s="16" t="s">
        <v>110</v>
      </c>
      <c r="H46" s="21">
        <f>IF(C41=100,IF(B36&lt;0,(E46-0.15-0.05*E36)/E46^2,1),1)</f>
        <v>1</v>
      </c>
      <c r="I46" s="5"/>
      <c r="M46" s="26" t="s">
        <v>11</v>
      </c>
      <c r="N46" s="12">
        <f>BF</f>
        <v>15</v>
      </c>
      <c r="O46" s="26" t="s">
        <v>12</v>
      </c>
      <c r="P46" s="12">
        <f>T</f>
        <v>0.6</v>
      </c>
      <c r="Q46" s="26"/>
      <c r="R46" s="27">
        <f>P46/2</f>
        <v>0.3</v>
      </c>
      <c r="S46" s="27">
        <f>N46*P46</f>
        <v>9</v>
      </c>
      <c r="T46" s="27">
        <f t="shared" ref="T46:T51" si="0">R46*S46</f>
        <v>2.6999999999999997</v>
      </c>
      <c r="U46" s="27">
        <f>N46*P46^3/12</f>
        <v>0.26999999999999996</v>
      </c>
      <c r="V46" s="27" t="e">
        <f ca="1">S46*(N56-R46)^2</f>
        <v>#NAME?</v>
      </c>
    </row>
    <row r="47" spans="1:22" ht="12" customHeight="1" x14ac:dyDescent="0.2">
      <c r="B47" s="21"/>
      <c r="D47" s="17" t="s">
        <v>40</v>
      </c>
      <c r="E47" s="21">
        <f>H46*B34</f>
        <v>13.8</v>
      </c>
      <c r="F47" s="17" t="s">
        <v>60</v>
      </c>
      <c r="G47" s="17" t="s">
        <v>42</v>
      </c>
      <c r="H47" s="21">
        <f>E47+2*S</f>
        <v>15</v>
      </c>
      <c r="I47" s="17" t="s">
        <v>60</v>
      </c>
      <c r="M47" s="26" t="s">
        <v>13</v>
      </c>
      <c r="N47" s="12">
        <f>S</f>
        <v>0.6</v>
      </c>
      <c r="O47" s="26" t="s">
        <v>14</v>
      </c>
      <c r="P47" s="12">
        <f>hw</f>
        <v>38.799999999999997</v>
      </c>
      <c r="Q47" s="26"/>
      <c r="R47" s="27">
        <f>P46+P47/2</f>
        <v>20</v>
      </c>
      <c r="S47" s="27">
        <f>P47*N47*2</f>
        <v>46.559999999999995</v>
      </c>
      <c r="T47" s="27">
        <f t="shared" si="0"/>
        <v>931.19999999999993</v>
      </c>
      <c r="U47" s="27">
        <f>2*N47*P47^3/12</f>
        <v>5841.1071999999986</v>
      </c>
      <c r="V47" s="27" t="e">
        <f ca="1">S47*(N56-R47)^2</f>
        <v>#NAME?</v>
      </c>
    </row>
    <row r="48" spans="1:22" ht="12" customHeight="1" x14ac:dyDescent="0.2">
      <c r="A48" s="16" t="s">
        <v>111</v>
      </c>
      <c r="B48" s="21">
        <v>4</v>
      </c>
      <c r="C48" s="21"/>
      <c r="D48" s="16" t="s">
        <v>131</v>
      </c>
      <c r="E48" s="21">
        <f>E35/44*(FY/1000/B48)^0.5</f>
        <v>0.49590263307185956</v>
      </c>
      <c r="F48" s="16"/>
      <c r="G48" s="16" t="s">
        <v>130</v>
      </c>
      <c r="H48" s="21">
        <f>IF(F41=100,IF(B37&lt;0,(E48-0.15-0.05*E37)/E48^2,1),1)</f>
        <v>1</v>
      </c>
      <c r="I48" s="17"/>
      <c r="M48" s="26" t="s">
        <v>15</v>
      </c>
      <c r="N48" s="12">
        <f>BT</f>
        <v>15</v>
      </c>
      <c r="O48" s="26" t="s">
        <v>12</v>
      </c>
      <c r="P48" s="12">
        <f>TT</f>
        <v>0.6</v>
      </c>
      <c r="Q48" s="26"/>
      <c r="R48" s="27">
        <f>P46+P47+P48/2</f>
        <v>39.699999999999996</v>
      </c>
      <c r="S48" s="27">
        <f>N48*P48</f>
        <v>9</v>
      </c>
      <c r="T48" s="27">
        <f t="shared" si="0"/>
        <v>357.29999999999995</v>
      </c>
      <c r="U48" s="27">
        <f>N48*P48^3/12</f>
        <v>0.26999999999999996</v>
      </c>
      <c r="V48" s="27" t="e">
        <f ca="1">S48*(N56-R48)^2</f>
        <v>#NAME?</v>
      </c>
    </row>
    <row r="49" spans="1:22" ht="12" customHeight="1" x14ac:dyDescent="0.2">
      <c r="B49" s="21"/>
      <c r="D49" s="17" t="s">
        <v>41</v>
      </c>
      <c r="E49" s="21">
        <f>H48*B35</f>
        <v>13.8</v>
      </c>
      <c r="F49" s="17" t="s">
        <v>60</v>
      </c>
      <c r="G49" s="17" t="s">
        <v>43</v>
      </c>
      <c r="H49" s="21">
        <f>E49+2*S</f>
        <v>15</v>
      </c>
      <c r="I49" s="17" t="s">
        <v>60</v>
      </c>
      <c r="M49" s="26" t="s">
        <v>16</v>
      </c>
      <c r="N49" s="12">
        <f>BF-H47</f>
        <v>0</v>
      </c>
      <c r="O49" s="26" t="s">
        <v>12</v>
      </c>
      <c r="P49" s="27">
        <f>T</f>
        <v>0.6</v>
      </c>
      <c r="Q49" s="26" t="s">
        <v>17</v>
      </c>
      <c r="R49" s="27">
        <f>P49/2</f>
        <v>0.3</v>
      </c>
      <c r="S49" s="27">
        <f>-N49*P49</f>
        <v>0</v>
      </c>
      <c r="T49" s="27">
        <f t="shared" si="0"/>
        <v>0</v>
      </c>
      <c r="U49" s="27">
        <f>-N49*P49^3/12</f>
        <v>0</v>
      </c>
      <c r="V49" s="27" t="e">
        <f ca="1">S49*(N56-R49)^2</f>
        <v>#NAME?</v>
      </c>
    </row>
    <row r="50" spans="1:22" ht="12" customHeight="1" x14ac:dyDescent="0.2">
      <c r="A50" s="16" t="s">
        <v>112</v>
      </c>
      <c r="B50" s="21">
        <f>16/(((1+B39)^2+0.112*(1-B39)^2)^0.5+(1+B39))</f>
        <v>22.665309044955425</v>
      </c>
      <c r="D50" s="16" t="s">
        <v>113</v>
      </c>
      <c r="E50" s="38" t="e">
        <f ca="1">lamda_p(B38,FY,B50)</f>
        <v>#NAME?</v>
      </c>
      <c r="F50" s="17"/>
      <c r="G50" s="16" t="s">
        <v>114</v>
      </c>
      <c r="H50" s="21" t="e">
        <f ca="1">IF(I41=100,rho(E50,B39),1)</f>
        <v>#NAME?</v>
      </c>
      <c r="I50" s="5"/>
      <c r="M50" s="26" t="s">
        <v>13</v>
      </c>
      <c r="N50" s="27">
        <f>S</f>
        <v>0.6</v>
      </c>
      <c r="O50" s="26" t="s">
        <v>14</v>
      </c>
      <c r="P50" s="12" t="e">
        <f ca="1">H52</f>
        <v>#NAME?</v>
      </c>
      <c r="Q50" s="26" t="s">
        <v>17</v>
      </c>
      <c r="R50" s="12" t="e">
        <f ca="1">T+E53+0.5*H52</f>
        <v>#NAME?</v>
      </c>
      <c r="S50" s="27" t="e">
        <f ca="1">-P50*N50*2</f>
        <v>#NAME?</v>
      </c>
      <c r="T50" s="27" t="e">
        <f t="shared" ca="1" si="0"/>
        <v>#NAME?</v>
      </c>
      <c r="U50" s="27" t="e">
        <f ca="1">-N50*P50^3/12*2</f>
        <v>#NAME?</v>
      </c>
      <c r="V50" s="27" t="e">
        <f ca="1">S50*(N56-R50)^2</f>
        <v>#NAME?</v>
      </c>
    </row>
    <row r="51" spans="1:22" ht="12" customHeight="1" x14ac:dyDescent="0.2">
      <c r="A51" s="16"/>
      <c r="B51" s="21"/>
      <c r="D51" s="17" t="s">
        <v>96</v>
      </c>
      <c r="E51" s="21" t="e">
        <f ca="1">B_T(B36,B37,hw)</f>
        <v>#NAME?</v>
      </c>
      <c r="F51" s="17" t="s">
        <v>60</v>
      </c>
      <c r="G51" s="17" t="s">
        <v>95</v>
      </c>
      <c r="H51" s="21" t="e">
        <f ca="1">hw-E51</f>
        <v>#NAME?</v>
      </c>
      <c r="I51" s="17" t="s">
        <v>60</v>
      </c>
      <c r="M51" s="26" t="s">
        <v>15</v>
      </c>
      <c r="N51" s="12">
        <f>BT-H49</f>
        <v>0</v>
      </c>
      <c r="O51" s="26" t="s">
        <v>12</v>
      </c>
      <c r="P51" s="27">
        <f>TT</f>
        <v>0.6</v>
      </c>
      <c r="Q51" s="26" t="s">
        <v>17</v>
      </c>
      <c r="R51" s="27">
        <f>T+hw+P51/2</f>
        <v>39.699999999999996</v>
      </c>
      <c r="S51" s="27">
        <f>-N51*P51</f>
        <v>0</v>
      </c>
      <c r="T51" s="27">
        <f t="shared" si="0"/>
        <v>0</v>
      </c>
      <c r="U51" s="27">
        <f>-N51*P51^3/12</f>
        <v>0</v>
      </c>
      <c r="V51" s="27" t="e">
        <f ca="1">S51*(N56-R51)^2</f>
        <v>#NAME?</v>
      </c>
    </row>
    <row r="52" spans="1:22" ht="12" customHeight="1" x14ac:dyDescent="0.2">
      <c r="B52" s="16"/>
      <c r="C52" s="21"/>
      <c r="D52" s="17" t="s">
        <v>97</v>
      </c>
      <c r="E52" s="21" t="e">
        <f ca="1">H50*H51</f>
        <v>#NAME?</v>
      </c>
      <c r="F52" s="17" t="s">
        <v>60</v>
      </c>
      <c r="G52" s="16" t="s">
        <v>115</v>
      </c>
      <c r="H52" s="21" t="e">
        <f ca="1">H51-E52</f>
        <v>#NAME?</v>
      </c>
      <c r="I52" s="17" t="s">
        <v>60</v>
      </c>
      <c r="M52" s="26"/>
      <c r="N52" s="12"/>
      <c r="O52" s="26"/>
      <c r="P52" s="12"/>
      <c r="Q52" s="26"/>
      <c r="R52" s="12"/>
      <c r="S52" s="27" t="e">
        <f ca="1">SUM(S46:S51)</f>
        <v>#NAME?</v>
      </c>
      <c r="T52" s="27" t="e">
        <f ca="1">SUM(T46:T51)</f>
        <v>#NAME?</v>
      </c>
      <c r="U52" s="27" t="e">
        <f ca="1">SUM(U46:U51)</f>
        <v>#NAME?</v>
      </c>
      <c r="V52" s="27" t="e">
        <f ca="1">SUM(V46:V51)</f>
        <v>#NAME?</v>
      </c>
    </row>
    <row r="53" spans="1:22" ht="12" customHeight="1" x14ac:dyDescent="0.2">
      <c r="B53" s="16"/>
      <c r="C53" s="21"/>
      <c r="D53" s="17" t="s">
        <v>98</v>
      </c>
      <c r="E53" s="21" t="e">
        <f ca="1">Be_1(B36,B37,E52)</f>
        <v>#NAME?</v>
      </c>
      <c r="F53" s="17" t="s">
        <v>60</v>
      </c>
      <c r="G53" s="16" t="s">
        <v>99</v>
      </c>
      <c r="H53" s="21" t="e">
        <f ca="1">E52-E53</f>
        <v>#NAME?</v>
      </c>
      <c r="I53" s="17" t="s">
        <v>60</v>
      </c>
      <c r="M53" s="26"/>
      <c r="N53" s="26"/>
      <c r="O53" s="26"/>
      <c r="P53" s="12"/>
      <c r="Q53" s="26"/>
      <c r="R53" s="12"/>
      <c r="S53" s="27"/>
      <c r="T53" s="27"/>
      <c r="U53" s="27"/>
      <c r="V53" s="27"/>
    </row>
    <row r="54" spans="1:22" ht="12" customHeight="1" x14ac:dyDescent="0.2">
      <c r="A54" s="16" t="s">
        <v>104</v>
      </c>
      <c r="B54" s="21" t="e">
        <f ca="1">N55</f>
        <v>#NAME?</v>
      </c>
      <c r="C54" s="17" t="s">
        <v>62</v>
      </c>
      <c r="D54" s="16" t="s">
        <v>100</v>
      </c>
      <c r="E54" s="21" t="e">
        <f ca="1">N56</f>
        <v>#NAME?</v>
      </c>
      <c r="F54" s="17" t="s">
        <v>60</v>
      </c>
      <c r="G54" s="16" t="s">
        <v>101</v>
      </c>
      <c r="H54" s="21" t="e">
        <f ca="1">N57</f>
        <v>#NAME?</v>
      </c>
      <c r="I54" s="17" t="s">
        <v>60</v>
      </c>
      <c r="M54" s="26" t="s">
        <v>18</v>
      </c>
      <c r="N54" s="27">
        <f>P46+P47+P48</f>
        <v>40</v>
      </c>
      <c r="O54" s="27"/>
      <c r="P54" s="12"/>
      <c r="Q54" s="26"/>
      <c r="R54" s="12"/>
      <c r="S54" s="27"/>
      <c r="T54" s="27"/>
      <c r="U54" s="27"/>
      <c r="V54" s="27"/>
    </row>
    <row r="55" spans="1:22" ht="12" customHeight="1" x14ac:dyDescent="0.2">
      <c r="A55" s="16" t="s">
        <v>105</v>
      </c>
      <c r="B55" s="30" t="e">
        <f ca="1">N58</f>
        <v>#NAME?</v>
      </c>
      <c r="C55" s="17" t="s">
        <v>66</v>
      </c>
      <c r="D55" s="16" t="s">
        <v>116</v>
      </c>
      <c r="E55" s="30" t="e">
        <f ca="1">N61</f>
        <v>#NAME?</v>
      </c>
      <c r="F55" s="17" t="s">
        <v>66</v>
      </c>
      <c r="G55" s="28"/>
      <c r="I55" s="5"/>
      <c r="M55" s="26" t="s">
        <v>7</v>
      </c>
      <c r="N55" s="27" t="e">
        <f ca="1">S52</f>
        <v>#NAME?</v>
      </c>
      <c r="O55" s="27"/>
      <c r="P55" s="12"/>
      <c r="Q55" s="26"/>
      <c r="R55" s="35"/>
      <c r="S55" s="27"/>
      <c r="T55" s="27"/>
      <c r="U55" s="27"/>
      <c r="V55" s="27"/>
    </row>
    <row r="56" spans="1:22" ht="12" customHeight="1" x14ac:dyDescent="0.2">
      <c r="A56" s="16" t="s">
        <v>106</v>
      </c>
      <c r="B56" s="21" t="e">
        <f ca="1">N59</f>
        <v>#NAME?</v>
      </c>
      <c r="C56" s="17" t="s">
        <v>68</v>
      </c>
      <c r="D56" s="16" t="s">
        <v>117</v>
      </c>
      <c r="E56" s="21" t="e">
        <f ca="1">N62</f>
        <v>#NAME?</v>
      </c>
      <c r="F56" s="17" t="s">
        <v>68</v>
      </c>
      <c r="G56" s="16"/>
      <c r="H56" s="21"/>
      <c r="I56" s="17"/>
      <c r="M56" s="26" t="s">
        <v>19</v>
      </c>
      <c r="N56" s="29" t="e">
        <f ca="1">T52/S52</f>
        <v>#NAME?</v>
      </c>
      <c r="O56" s="27"/>
      <c r="P56" s="12"/>
      <c r="Q56" s="26"/>
      <c r="R56" s="35"/>
      <c r="S56" s="27"/>
      <c r="T56" s="27"/>
      <c r="U56" s="27"/>
      <c r="V56" s="27"/>
    </row>
    <row r="57" spans="1:22" ht="12" customHeight="1" x14ac:dyDescent="0.2">
      <c r="A57" s="16" t="s">
        <v>107</v>
      </c>
      <c r="B57" s="21" t="e">
        <f ca="1">N60</f>
        <v>#NAME?</v>
      </c>
      <c r="C57" s="17" t="s">
        <v>68</v>
      </c>
      <c r="D57" s="16" t="s">
        <v>118</v>
      </c>
      <c r="E57" s="21" t="e">
        <f ca="1">N63</f>
        <v>#NAME?</v>
      </c>
      <c r="F57" s="17" t="s">
        <v>68</v>
      </c>
      <c r="G57" s="16" t="s">
        <v>171</v>
      </c>
      <c r="H57" s="60" t="e">
        <f ca="1">B54/AREA</f>
        <v>#NAME?</v>
      </c>
      <c r="I57" s="5"/>
      <c r="M57" s="26" t="s">
        <v>20</v>
      </c>
      <c r="N57" s="58" t="e">
        <f ca="1">N54-N56</f>
        <v>#NAME?</v>
      </c>
      <c r="O57" s="27"/>
      <c r="P57" s="12"/>
      <c r="Q57" s="26"/>
      <c r="R57" s="36"/>
      <c r="S57" s="27"/>
      <c r="T57" s="27"/>
      <c r="U57" s="27"/>
      <c r="V57" s="27"/>
    </row>
    <row r="58" spans="1:22" ht="12" customHeight="1" x14ac:dyDescent="0.2">
      <c r="A58" s="16"/>
      <c r="B58" s="21"/>
      <c r="C58" s="17"/>
      <c r="D58" s="16"/>
      <c r="E58" s="21"/>
      <c r="F58" s="17"/>
      <c r="G58" s="16"/>
      <c r="H58" s="21"/>
      <c r="I58" s="17"/>
      <c r="M58" s="26" t="s">
        <v>21</v>
      </c>
      <c r="N58" s="31" t="e">
        <f ca="1">U52+V52</f>
        <v>#NAME?</v>
      </c>
      <c r="O58" s="27"/>
      <c r="P58" s="12"/>
      <c r="Q58" s="26"/>
      <c r="R58" s="12"/>
      <c r="S58" s="27"/>
      <c r="T58" s="27"/>
      <c r="U58" s="27"/>
      <c r="V58" s="27"/>
    </row>
    <row r="59" spans="1:22" ht="12" customHeight="1" x14ac:dyDescent="0.2">
      <c r="D59" s="16"/>
      <c r="E59" s="19"/>
      <c r="F59" s="32"/>
      <c r="G59" s="5"/>
      <c r="H59" s="5"/>
      <c r="I59" s="5"/>
      <c r="M59" s="26" t="s">
        <v>46</v>
      </c>
      <c r="N59" s="31" t="e">
        <f ca="1">N58/N56</f>
        <v>#NAME?</v>
      </c>
      <c r="O59" s="27"/>
      <c r="P59" s="12"/>
      <c r="Q59" s="26"/>
      <c r="R59" s="12"/>
      <c r="S59" s="27"/>
      <c r="T59" s="27"/>
      <c r="U59" s="27"/>
      <c r="V59" s="27"/>
    </row>
    <row r="60" spans="1:22" ht="12" customHeight="1" x14ac:dyDescent="0.2">
      <c r="A60" s="5"/>
      <c r="B60" s="5"/>
      <c r="C60" s="11"/>
      <c r="D60" s="5"/>
      <c r="E60" s="5"/>
      <c r="F60" s="11"/>
      <c r="G60" s="5"/>
      <c r="H60" s="5"/>
      <c r="M60" s="26" t="s">
        <v>47</v>
      </c>
      <c r="N60" s="31" t="e">
        <f ca="1">N58/N57</f>
        <v>#NAME?</v>
      </c>
      <c r="O60" s="27"/>
      <c r="P60" s="12"/>
      <c r="Q60" s="26"/>
      <c r="R60" s="12"/>
      <c r="S60" s="27"/>
      <c r="T60" s="27"/>
      <c r="U60" s="27"/>
      <c r="V60" s="27"/>
    </row>
    <row r="61" spans="1:22" ht="12" customHeight="1" x14ac:dyDescent="0.2">
      <c r="A61" s="14" t="s">
        <v>120</v>
      </c>
      <c r="B61" s="15"/>
      <c r="C61" s="20"/>
      <c r="D61" s="15"/>
      <c r="E61" s="15"/>
      <c r="F61" s="20"/>
      <c r="G61" s="33"/>
      <c r="H61" s="33"/>
      <c r="I61" s="15"/>
      <c r="M61" s="26" t="s">
        <v>24</v>
      </c>
      <c r="N61" s="31" t="e">
        <f ca="1">1/12*(P46*N46^3+2*P47*N47^3+P48*N48^3-P49*N49^3-2*P50*N50^3-P51*N51^3)+(S47*(N46/2-N47/2)^2+S50*(N46/2-N47/2)^2)</f>
        <v>#NAME?</v>
      </c>
      <c r="O61" s="27"/>
      <c r="P61" s="12"/>
      <c r="Q61" s="26"/>
      <c r="R61" s="12"/>
      <c r="S61" s="27"/>
      <c r="T61" s="27"/>
      <c r="U61" s="27"/>
      <c r="V61" s="27"/>
    </row>
    <row r="62" spans="1:22" ht="12" customHeight="1" x14ac:dyDescent="0.2">
      <c r="A62" s="7"/>
      <c r="C62" s="11"/>
      <c r="F62" s="11"/>
      <c r="G62" s="5"/>
      <c r="H62" s="5"/>
      <c r="M62" s="6" t="s">
        <v>45</v>
      </c>
      <c r="N62" s="6" t="e">
        <f ca="1">N61*2/BF</f>
        <v>#NAME?</v>
      </c>
      <c r="O62" s="27"/>
      <c r="P62" s="12"/>
      <c r="Q62" s="26"/>
      <c r="R62" s="12"/>
      <c r="S62" s="27"/>
      <c r="T62" s="27"/>
      <c r="U62" s="27"/>
      <c r="V62" s="27"/>
    </row>
    <row r="63" spans="1:22" ht="12" customHeight="1" x14ac:dyDescent="0.2">
      <c r="A63" s="16" t="s">
        <v>121</v>
      </c>
      <c r="B63" s="21">
        <f>KLX*100/RXX</f>
        <v>18.871061359994162</v>
      </c>
      <c r="C63" s="32"/>
      <c r="D63" s="16" t="s">
        <v>122</v>
      </c>
      <c r="E63" s="21">
        <f>KLY*100/RYY</f>
        <v>40.73750551443166</v>
      </c>
      <c r="F63" s="11"/>
      <c r="G63" s="16" t="s">
        <v>123</v>
      </c>
      <c r="H63" s="21">
        <f>MAXA(B63,E63)</f>
        <v>40.73750551443166</v>
      </c>
      <c r="M63" s="6" t="s">
        <v>44</v>
      </c>
      <c r="N63" s="6" t="e">
        <f ca="1">N61*2/BT</f>
        <v>#NAME?</v>
      </c>
      <c r="O63" s="27"/>
      <c r="P63" s="12"/>
      <c r="Q63" s="26"/>
      <c r="R63" s="12"/>
      <c r="S63" s="27"/>
      <c r="T63" s="27"/>
      <c r="U63" s="27"/>
      <c r="V63" s="27"/>
    </row>
    <row r="64" spans="1:22" ht="12" customHeight="1" x14ac:dyDescent="0.2">
      <c r="A64" s="16" t="s">
        <v>124</v>
      </c>
      <c r="B64" s="21">
        <f>84*BF/fyy/100</f>
        <v>6.640783086353597</v>
      </c>
      <c r="C64" s="17" t="s">
        <v>159</v>
      </c>
      <c r="D64" s="16"/>
      <c r="E64" s="21"/>
      <c r="F64" s="17"/>
      <c r="G64" s="16"/>
      <c r="H64" s="21"/>
      <c r="I64" s="17"/>
      <c r="M64" s="26" t="s">
        <v>25</v>
      </c>
      <c r="N64" s="34" t="e">
        <f ca="1">SQRT(N58/N55)</f>
        <v>#NAME?</v>
      </c>
      <c r="O64" s="27"/>
      <c r="P64" s="12"/>
      <c r="Q64" s="26"/>
      <c r="R64" s="12"/>
      <c r="S64" s="27"/>
      <c r="T64" s="27"/>
      <c r="U64" s="27"/>
      <c r="V64" s="27"/>
    </row>
    <row r="65" spans="1:14" ht="12" customHeight="1" x14ac:dyDescent="0.2">
      <c r="A65" s="16" t="s">
        <v>4</v>
      </c>
      <c r="B65" s="21" t="e">
        <f ca="1">Faxial(KLR,FY)</f>
        <v>#NAME?</v>
      </c>
      <c r="C65" s="17" t="s">
        <v>58</v>
      </c>
      <c r="D65" s="16" t="s">
        <v>3</v>
      </c>
      <c r="E65" s="21">
        <f>7/12*FY</f>
        <v>2100</v>
      </c>
      <c r="F65" s="17" t="s">
        <v>58</v>
      </c>
      <c r="G65" s="5"/>
      <c r="H65" s="5"/>
      <c r="I65" s="5"/>
      <c r="M65" s="26" t="s">
        <v>26</v>
      </c>
      <c r="N65" s="34" t="e">
        <f ca="1">SQRT(N61/N55)</f>
        <v>#NAME?</v>
      </c>
    </row>
    <row r="66" spans="1:14" ht="12" customHeight="1" x14ac:dyDescent="0.2">
      <c r="A66" s="16"/>
      <c r="B66" s="21"/>
      <c r="C66" s="17"/>
      <c r="D66" s="16"/>
      <c r="E66" s="21"/>
      <c r="F66" s="17"/>
      <c r="G66" s="16"/>
      <c r="H66" s="21"/>
      <c r="I66" s="17"/>
      <c r="M66" s="26"/>
      <c r="N66" s="34"/>
    </row>
    <row r="67" spans="1:14" ht="12" customHeight="1" x14ac:dyDescent="0.2">
      <c r="A67" s="16" t="s">
        <v>73</v>
      </c>
      <c r="B67" s="21" t="e">
        <f ca="1">IF(AND(C42="COMPACT",Lb&lt;Lc),0.64*FY,7/12*FY)</f>
        <v>#NAME?</v>
      </c>
      <c r="C67" s="17" t="s">
        <v>58</v>
      </c>
      <c r="D67" s="16" t="s">
        <v>75</v>
      </c>
      <c r="E67" s="21" t="e">
        <f ca="1">IF(C42="COMPACT",0.64*FY,7/12*FY)</f>
        <v>#NAME?</v>
      </c>
      <c r="F67" s="17" t="s">
        <v>58</v>
      </c>
      <c r="G67" s="16"/>
      <c r="H67" s="21"/>
      <c r="I67" s="5"/>
    </row>
    <row r="68" spans="1:14" ht="12" customHeight="1" x14ac:dyDescent="0.2">
      <c r="A68" s="16" t="s">
        <v>125</v>
      </c>
      <c r="B68" s="21" t="e">
        <f ca="1">IF(C42="COMPACT",0.64*FY,7/12*FY)</f>
        <v>#NAME?</v>
      </c>
      <c r="C68" s="17" t="s">
        <v>58</v>
      </c>
      <c r="D68" s="19"/>
      <c r="E68" s="19"/>
      <c r="F68" s="11"/>
      <c r="G68" s="5"/>
      <c r="H68" s="5"/>
      <c r="I68" s="5"/>
    </row>
    <row r="69" spans="1:14" ht="12" customHeight="1" x14ac:dyDescent="0.2">
      <c r="A69" s="5"/>
      <c r="B69" s="5"/>
      <c r="C69" s="11"/>
      <c r="D69" s="5"/>
      <c r="E69" s="5"/>
      <c r="F69" s="11"/>
      <c r="G69" s="5"/>
      <c r="H69" s="5"/>
      <c r="I69" s="5"/>
    </row>
    <row r="70" spans="1:14" ht="12" customHeight="1" x14ac:dyDescent="0.2">
      <c r="A70" s="14" t="s">
        <v>90</v>
      </c>
      <c r="B70" s="15"/>
      <c r="C70" s="20"/>
      <c r="D70" s="15"/>
      <c r="E70" s="15"/>
      <c r="F70" s="20"/>
      <c r="G70" s="33"/>
      <c r="H70" s="33"/>
      <c r="I70" s="33"/>
    </row>
    <row r="71" spans="1:14" ht="12" customHeight="1" x14ac:dyDescent="0.2">
      <c r="A71" s="7"/>
      <c r="C71" s="11"/>
      <c r="F71" s="11"/>
      <c r="G71" s="5"/>
      <c r="H71" s="5"/>
    </row>
    <row r="72" spans="1:14" ht="12" customHeight="1" x14ac:dyDescent="0.2">
      <c r="A72" s="16" t="s">
        <v>119</v>
      </c>
      <c r="B72" s="21" t="e">
        <f ca="1">N/B54*1000</f>
        <v>#NAME?</v>
      </c>
      <c r="C72" s="17" t="s">
        <v>58</v>
      </c>
      <c r="G72" s="5"/>
      <c r="H72" s="5"/>
    </row>
    <row r="73" spans="1:14" ht="12" customHeight="1" x14ac:dyDescent="0.2">
      <c r="A73" s="16" t="s">
        <v>108</v>
      </c>
      <c r="B73" s="21" t="e">
        <f ca="1">MX*100000/B56</f>
        <v>#NAME?</v>
      </c>
      <c r="C73" s="17" t="s">
        <v>58</v>
      </c>
      <c r="D73" s="16" t="s">
        <v>71</v>
      </c>
      <c r="E73" s="21" t="e">
        <f ca="1">MX*100000/B57</f>
        <v>#NAME?</v>
      </c>
      <c r="F73" s="17" t="s">
        <v>58</v>
      </c>
    </row>
    <row r="74" spans="1:14" ht="12" customHeight="1" x14ac:dyDescent="0.2">
      <c r="A74" s="16" t="s">
        <v>109</v>
      </c>
      <c r="B74" s="21" t="e">
        <f ca="1">MY*100000/E56</f>
        <v>#NAME?</v>
      </c>
      <c r="C74" s="17" t="s">
        <v>58</v>
      </c>
      <c r="D74" s="16" t="s">
        <v>102</v>
      </c>
      <c r="E74" s="21" t="e">
        <f ca="1">MY*100000/E57</f>
        <v>#NAME?</v>
      </c>
      <c r="F74" s="17" t="s">
        <v>58</v>
      </c>
      <c r="G74" s="5"/>
      <c r="H74" s="5"/>
    </row>
    <row r="75" spans="1:14" ht="12" customHeight="1" x14ac:dyDescent="0.2">
      <c r="A75" s="5"/>
      <c r="B75" s="5"/>
      <c r="C75" s="11"/>
      <c r="D75" s="5"/>
      <c r="E75" s="5"/>
      <c r="F75" s="11"/>
    </row>
    <row r="76" spans="1:14" ht="12" customHeight="1" x14ac:dyDescent="0.2">
      <c r="A76" s="14" t="s">
        <v>91</v>
      </c>
      <c r="B76" s="15"/>
      <c r="C76" s="20"/>
      <c r="D76" s="39"/>
      <c r="E76" s="39"/>
      <c r="F76" s="39"/>
      <c r="G76" s="15"/>
      <c r="H76" s="15"/>
      <c r="I76" s="15"/>
    </row>
    <row r="77" spans="1:14" ht="12" customHeight="1" x14ac:dyDescent="0.2">
      <c r="A77" s="7"/>
      <c r="C77" s="11"/>
      <c r="D77" s="28"/>
      <c r="E77" s="28"/>
      <c r="F77" s="28"/>
    </row>
    <row r="78" spans="1:14" ht="12" customHeight="1" x14ac:dyDescent="0.2">
      <c r="A78" s="16" t="s">
        <v>92</v>
      </c>
      <c r="B78" s="21" t="e">
        <f ca="1">IF(N&gt;=0,B72/B65,ABS(B72/E65))</f>
        <v>#NAME?</v>
      </c>
      <c r="C78" s="40" t="e">
        <f ca="1">IF(N&gt;0,IF(B78&lt;0.15,"&lt; 0.15","&gt; 0.15"),"Tension")</f>
        <v>#NAME?</v>
      </c>
      <c r="D78" s="41"/>
      <c r="E78" s="42"/>
      <c r="F78" s="32"/>
      <c r="G78" s="43"/>
    </row>
    <row r="79" spans="1:14" ht="12" customHeight="1" x14ac:dyDescent="0.2">
      <c r="A79" s="16" t="s">
        <v>72</v>
      </c>
      <c r="B79" s="21" t="e">
        <f ca="1">B73/H95</f>
        <v>#NAME?</v>
      </c>
      <c r="C79" s="42"/>
      <c r="D79" s="44" t="s">
        <v>93</v>
      </c>
      <c r="E79" s="45">
        <f>7500000/B63^2</f>
        <v>21060.496715136636</v>
      </c>
      <c r="F79" s="17" t="s">
        <v>58</v>
      </c>
      <c r="G79" s="44" t="s">
        <v>85</v>
      </c>
      <c r="H79" s="41" t="e">
        <f ca="1">IF(FA/E79&lt;1,Cmx/(1-FA/E79),9999)</f>
        <v>#NAME?</v>
      </c>
    </row>
    <row r="80" spans="1:14" ht="12" customHeight="1" x14ac:dyDescent="0.2">
      <c r="A80" s="16" t="s">
        <v>74</v>
      </c>
      <c r="B80" s="21" t="e">
        <f ca="1">E73/H96</f>
        <v>#NAME?</v>
      </c>
      <c r="C80" s="42"/>
      <c r="D80" s="44"/>
      <c r="E80" s="41"/>
      <c r="F80" s="17"/>
      <c r="G80" s="44"/>
      <c r="H80" s="41"/>
    </row>
    <row r="81" spans="1:9" ht="12" customHeight="1" x14ac:dyDescent="0.2">
      <c r="A81" s="16" t="s">
        <v>103</v>
      </c>
      <c r="B81" s="21" t="e">
        <f ca="1">B74/H97</f>
        <v>#NAME?</v>
      </c>
      <c r="C81" s="19"/>
      <c r="D81" s="18" t="s">
        <v>94</v>
      </c>
      <c r="E81" s="45">
        <f>7500000/E63^2</f>
        <v>4519.3127709846767</v>
      </c>
      <c r="F81" s="17" t="s">
        <v>58</v>
      </c>
      <c r="G81" s="18" t="s">
        <v>86</v>
      </c>
      <c r="H81" s="41" t="e">
        <f ca="1">IF(FA/E81&lt;1,Cmy/(1-FA/E81),9999)</f>
        <v>#NAME?</v>
      </c>
    </row>
    <row r="82" spans="1:9" ht="12" customHeight="1" x14ac:dyDescent="0.2">
      <c r="A82" s="16" t="s">
        <v>50</v>
      </c>
      <c r="B82" s="21" t="e">
        <f ca="1">E74/H97</f>
        <v>#NAME?</v>
      </c>
      <c r="C82" s="19"/>
      <c r="D82" s="18"/>
      <c r="E82" s="45"/>
      <c r="F82" s="17"/>
      <c r="G82" s="18"/>
      <c r="H82" s="41"/>
    </row>
    <row r="83" spans="1:9" ht="12" customHeight="1" x14ac:dyDescent="0.2">
      <c r="A83" s="18" t="s">
        <v>76</v>
      </c>
      <c r="B83" s="18" t="s">
        <v>77</v>
      </c>
      <c r="C83" s="43"/>
      <c r="D83" s="43"/>
      <c r="E83" s="43"/>
      <c r="G83" s="45" t="e">
        <f ca="1">IF(N&lt;0,"        N.A",IF(B78&gt;0.15,B78+B79*MAX(H79,1)+B81*MAX(H81,1),"        N.A"))</f>
        <v>#NAME?</v>
      </c>
      <c r="H83" s="46" t="s">
        <v>78</v>
      </c>
      <c r="I83" s="47" t="s">
        <v>133</v>
      </c>
    </row>
    <row r="84" spans="1:9" ht="12" customHeight="1" x14ac:dyDescent="0.2">
      <c r="A84" s="18" t="s">
        <v>76</v>
      </c>
      <c r="B84" s="18" t="s">
        <v>172</v>
      </c>
      <c r="C84" s="43"/>
      <c r="D84" s="43"/>
      <c r="E84" s="43"/>
      <c r="G84" s="45" t="e">
        <f ca="1">IF(N&lt;0,"        N.A",IF(B78&lt;0.15,B78+B79+B81,"        N.A"))</f>
        <v>#NAME?</v>
      </c>
      <c r="H84" s="46" t="s">
        <v>79</v>
      </c>
      <c r="I84" s="47" t="s">
        <v>133</v>
      </c>
    </row>
    <row r="85" spans="1:9" ht="12" customHeight="1" x14ac:dyDescent="0.2">
      <c r="A85" s="18" t="s">
        <v>76</v>
      </c>
      <c r="B85" s="18" t="s">
        <v>80</v>
      </c>
      <c r="C85" s="43"/>
      <c r="D85" s="43"/>
      <c r="E85" s="43"/>
      <c r="G85" s="48" t="str">
        <f>IF(N&lt;0,-B78+B79+B81,"        N.A")</f>
        <v xml:space="preserve">        N.A</v>
      </c>
      <c r="H85" s="46" t="s">
        <v>81</v>
      </c>
      <c r="I85" s="59" t="str">
        <f>IF(ABS(G85)&gt;0,IF(G85&gt;0,"Comp","Tension")," N.A")</f>
        <v xml:space="preserve"> N.A</v>
      </c>
    </row>
    <row r="86" spans="1:9" ht="12" customHeight="1" x14ac:dyDescent="0.2">
      <c r="A86" s="18" t="s">
        <v>76</v>
      </c>
      <c r="B86" s="18" t="s">
        <v>51</v>
      </c>
      <c r="C86" s="43"/>
      <c r="D86" s="43"/>
      <c r="E86" s="43"/>
      <c r="G86" s="48" t="str">
        <f>IF(N&lt;0,-B78-B80-B82,"        N.A")</f>
        <v xml:space="preserve">        N.A</v>
      </c>
      <c r="H86" s="46" t="s">
        <v>134</v>
      </c>
      <c r="I86" s="59" t="str">
        <f>IF(ABS(G86)&gt;0,IF(G86&gt;0,"Comp","Tension"),"  N.A")</f>
        <v xml:space="preserve">  N.A</v>
      </c>
    </row>
    <row r="88" spans="1:9" ht="12" customHeight="1" x14ac:dyDescent="0.2">
      <c r="A88" s="14" t="s">
        <v>136</v>
      </c>
      <c r="B88" s="15"/>
      <c r="C88" s="20"/>
      <c r="D88" s="39"/>
      <c r="E88" s="39"/>
      <c r="F88" s="39"/>
      <c r="G88" s="15"/>
      <c r="H88" s="15"/>
      <c r="I88" s="15"/>
    </row>
    <row r="89" spans="1:9" ht="12" customHeight="1" x14ac:dyDescent="0.2">
      <c r="A89" s="7"/>
      <c r="C89" s="11"/>
      <c r="D89" s="28"/>
      <c r="E89" s="28"/>
      <c r="F89" s="28"/>
    </row>
    <row r="90" spans="1:9" ht="12" customHeight="1" x14ac:dyDescent="0.2">
      <c r="A90" s="16" t="s">
        <v>137</v>
      </c>
      <c r="B90" s="21">
        <f>hw/S</f>
        <v>64.666666666666671</v>
      </c>
      <c r="C90" s="17"/>
      <c r="D90" s="17" t="s">
        <v>138</v>
      </c>
      <c r="E90" s="1" t="s">
        <v>52</v>
      </c>
      <c r="G90" s="17" t="s">
        <v>139</v>
      </c>
      <c r="H90" s="1">
        <v>10</v>
      </c>
      <c r="I90" s="17" t="s">
        <v>60</v>
      </c>
    </row>
    <row r="91" spans="1:9" ht="12" customHeight="1" x14ac:dyDescent="0.2">
      <c r="A91" s="16" t="s">
        <v>142</v>
      </c>
      <c r="B91" s="21">
        <f>IF(E90="Yes",45*(H91/(FY/1000))^0.5,105/(FY/1000)^0.5)</f>
        <v>55.339859052946643</v>
      </c>
      <c r="D91" s="17" t="s">
        <v>140</v>
      </c>
      <c r="E91" s="21">
        <f>IF(E90="Yes",H90/hw,9999)</f>
        <v>9999</v>
      </c>
      <c r="G91" s="17" t="s">
        <v>141</v>
      </c>
      <c r="H91" s="21">
        <f>IF(E90="Yes",IF(E91&lt;=1,4+5.34/E91^2,5.34+4/E91^2),5.34)</f>
        <v>5.34</v>
      </c>
    </row>
    <row r="92" spans="1:9" ht="12" customHeight="1" x14ac:dyDescent="0.2">
      <c r="A92" s="37" t="s">
        <v>143</v>
      </c>
      <c r="B92" s="21">
        <f>hw/S/57*((FY/1000)/H91)^0.5</f>
        <v>0.93150725431377923</v>
      </c>
      <c r="D92" s="17" t="s">
        <v>144</v>
      </c>
      <c r="E92" s="21">
        <f>IF(B92&lt;=0.8,0.35*FY,IF(B92&lt;1.2,(1.5-0.625*B92)*(0.35*FY),0.9/B92*0.35*FY))</f>
        <v>1156.438037227899</v>
      </c>
      <c r="F92" s="17" t="s">
        <v>58</v>
      </c>
      <c r="G92" s="17" t="s">
        <v>145</v>
      </c>
      <c r="H92" s="21">
        <f>MIN(E92,0.35*FY)</f>
        <v>1156.438037227899</v>
      </c>
      <c r="I92" s="17" t="s">
        <v>58</v>
      </c>
    </row>
    <row r="93" spans="1:9" ht="12" customHeight="1" x14ac:dyDescent="0.2">
      <c r="A93" s="16" t="s">
        <v>146</v>
      </c>
      <c r="B93" s="21">
        <f>Q*1000/(hw*S)/2</f>
        <v>0</v>
      </c>
      <c r="C93" s="17" t="s">
        <v>58</v>
      </c>
    </row>
    <row r="94" spans="1:9" ht="12" customHeight="1" x14ac:dyDescent="0.2">
      <c r="A94" s="16" t="s">
        <v>76</v>
      </c>
      <c r="B94" s="16" t="s">
        <v>147</v>
      </c>
      <c r="C94" s="62"/>
      <c r="D94" s="62"/>
      <c r="E94" s="21">
        <f>B93/H92</f>
        <v>0</v>
      </c>
      <c r="F94" s="62"/>
    </row>
    <row r="95" spans="1:9" ht="12" customHeight="1" x14ac:dyDescent="0.2">
      <c r="A95" s="16" t="s">
        <v>1</v>
      </c>
      <c r="D95" s="16"/>
      <c r="E95" s="21" t="str">
        <f>IF(E94&gt;0.6,(0.8-0.36*E94)*FY,"No Reduction")</f>
        <v>No Reduction</v>
      </c>
      <c r="F95" s="17" t="s">
        <v>58</v>
      </c>
      <c r="G95" s="16" t="s">
        <v>73</v>
      </c>
      <c r="H95" s="21" t="e">
        <f ca="1">IF(E94&lt;=0.6,B67,E95)</f>
        <v>#NAME?</v>
      </c>
      <c r="I95" s="17" t="s">
        <v>58</v>
      </c>
    </row>
    <row r="96" spans="1:9" ht="12" customHeight="1" x14ac:dyDescent="0.2">
      <c r="G96" s="16" t="s">
        <v>75</v>
      </c>
      <c r="H96" s="21" t="e">
        <f ca="1">IF(E94&lt;=0.6,E67,E95)</f>
        <v>#NAME?</v>
      </c>
      <c r="I96" s="17" t="s">
        <v>58</v>
      </c>
    </row>
    <row r="97" spans="7:9" ht="12" customHeight="1" x14ac:dyDescent="0.2">
      <c r="G97" s="16" t="s">
        <v>125</v>
      </c>
      <c r="H97" s="21" t="e">
        <f ca="1">IF(E94&lt;=0.6,B68,E95)</f>
        <v>#NAME?</v>
      </c>
      <c r="I97" s="17" t="s">
        <v>58</v>
      </c>
    </row>
  </sheetData>
  <sheetProtection password="DD32" sheet="1"/>
  <customSheetViews>
    <customSheetView guid="{DCC9CF84-ABEF-4499-9A33-90C1F724811C}" showPageBreaks="1" printArea="1" view="pageBreakPreview" topLeftCell="A16">
      <selection activeCell="K24" sqref="K24"/>
      <rowBreaks count="1" manualBreakCount="1">
        <brk id="69" max="8" man="1"/>
      </rowBreaks>
      <pageMargins left="0.64" right="0.31496062992126" top="0.43" bottom="0.68" header="0.32" footer="0.47244094488188998"/>
      <printOptions horizontalCentered="1"/>
      <pageSetup paperSize="9" scale="83" fitToHeight="2" orientation="portrait" horizontalDpi="300" verticalDpi="300" r:id="rId1"/>
      <headerFooter alignWithMargins="0">
        <oddFooter>&amp;L&amp;F</oddFooter>
      </headerFooter>
    </customSheetView>
    <customSheetView guid="{8C98172A-1D7E-4365-ACFC-67209A6D5402}" showPageBreaks="1" printArea="1" view="pageBreakPreview">
      <selection activeCell="H11" sqref="H11"/>
      <rowBreaks count="1" manualBreakCount="1">
        <brk id="69" max="8" man="1"/>
      </rowBreaks>
      <pageMargins left="0.64" right="0.31496062992126" top="0.43" bottom="0.68" header="0.32" footer="0.47244094488188998"/>
      <printOptions horizontalCentered="1"/>
      <pageSetup paperSize="9" scale="83" fitToHeight="2" orientation="portrait" horizontalDpi="300" verticalDpi="300" r:id="rId2"/>
      <headerFooter alignWithMargins="0">
        <oddFooter>&amp;L&amp;F</oddFooter>
      </headerFooter>
    </customSheetView>
    <customSheetView guid="{FE9952AF-AD5F-498C-86B0-651571ABCDD8}" showPageBreaks="1" printArea="1" view="pageBreakPreview" showRuler="0">
      <selection activeCell="B18" sqref="B18"/>
      <rowBreaks count="1" manualBreakCount="1">
        <brk id="69" max="8" man="1"/>
      </rowBreaks>
      <pageMargins left="0.64" right="0.31496062992126" top="0.43" bottom="0.68" header="0.32" footer="0.47244094488188998"/>
      <printOptions horizontalCentered="1"/>
      <pageSetup paperSize="9" scale="83" fitToHeight="2" orientation="portrait" horizontalDpi="300" verticalDpi="300" r:id="rId3"/>
      <headerFooter alignWithMargins="0">
        <oddFooter>&amp;L&amp;F</oddFooter>
      </headerFooter>
    </customSheetView>
    <customSheetView guid="{7624660F-DFB1-11D5-B648-0050DA3D5069}" fitToPage="1" hiddenRows="1" showRuler="0">
      <selection activeCell="L51" sqref="L51"/>
      <pageMargins left="0.74803149606299213" right="0.31496062992125984" top="0.55118110236220474" bottom="0.78740157480314965" header="0.51181102362204722" footer="0.47244094488188981"/>
      <printOptions horizontalCentered="1"/>
      <pageSetup paperSize="9" scale="71" orientation="portrait" horizontalDpi="300" verticalDpi="300" r:id="rId4"/>
      <headerFooter alignWithMargins="0">
        <oddFooter>&amp;L&amp;F</oddFooter>
      </headerFooter>
    </customSheetView>
    <customSheetView guid="{123676D5-6C2C-46E4-82DF-48B1C87B23B7}" fitToPage="1" printArea="1" showRuler="0">
      <selection activeCell="H89" sqref="H89"/>
      <pageMargins left="0.74803149606299213" right="0.31496062992125984" top="0.55118110236220474" bottom="0.78740157480314965" header="0.51181102362204722" footer="0.47244094488188981"/>
      <printOptions horizontalCentered="1"/>
      <pageSetup paperSize="9" scale="68" orientation="portrait" horizontalDpi="300" verticalDpi="300" r:id="rId5"/>
      <headerFooter alignWithMargins="0">
        <oddFooter>&amp;L&amp;F</oddFooter>
      </headerFooter>
    </customSheetView>
    <customSheetView guid="{48E4810F-6146-4C14-8F36-59B8DFE6A059}" showPageBreaks="1" printArea="1" view="pageBreakPreview" showRuler="0">
      <selection activeCell="E16" sqref="E16"/>
      <rowBreaks count="1" manualBreakCount="1">
        <brk id="69" max="8" man="1"/>
      </rowBreaks>
      <pageMargins left="0.64" right="0.31496062992126" top="0.43" bottom="0.68" header="0.32" footer="0.47244094488188998"/>
      <printOptions horizontalCentered="1"/>
      <pageSetup paperSize="9" scale="83" fitToHeight="2" orientation="portrait" horizontalDpi="300" verticalDpi="300" r:id="rId6"/>
      <headerFooter alignWithMargins="0">
        <oddFooter>&amp;L&amp;F</oddFooter>
      </headerFooter>
    </customSheetView>
    <customSheetView guid="{A1522A40-B5BC-44D0-9136-DB30FC7281DC}" showPageBreaks="1" printArea="1" view="pageBreakPreview" showRuler="0" topLeftCell="A19">
      <selection activeCell="G25" sqref="G25"/>
      <rowBreaks count="1" manualBreakCount="1">
        <brk id="69" max="8" man="1"/>
      </rowBreaks>
      <pageMargins left="0.64" right="0.31496062992126" top="0.43" bottom="0.68" header="0.32" footer="0.47244094488188998"/>
      <printOptions horizontalCentered="1"/>
      <pageSetup paperSize="9" scale="83" fitToHeight="2" orientation="portrait" horizontalDpi="300" verticalDpi="300" r:id="rId7"/>
      <headerFooter alignWithMargins="0">
        <oddFooter>&amp;L&amp;F</oddFooter>
      </headerFooter>
    </customSheetView>
    <customSheetView guid="{D98891AD-6496-4358-A1D0-6DFE11F56916}" showPageBreaks="1" printArea="1" view="pageBreakPreview" topLeftCell="A4">
      <selection activeCell="F13" sqref="F13"/>
      <rowBreaks count="1" manualBreakCount="1">
        <brk id="69" max="8" man="1"/>
      </rowBreaks>
      <pageMargins left="0.64" right="0.31496062992126" top="0.43" bottom="0.68" header="0.32" footer="0.47244094488188998"/>
      <printOptions horizontalCentered="1"/>
      <pageSetup paperSize="9" scale="83" fitToHeight="2" orientation="portrait" horizontalDpi="300" verticalDpi="300" r:id="rId8"/>
      <headerFooter alignWithMargins="0">
        <oddFooter>&amp;L&amp;F</oddFooter>
      </headerFooter>
    </customSheetView>
    <customSheetView guid="{4A0D9B60-B85C-492A-A402-81F560D52937}" showPageBreaks="1" printArea="1" view="pageBreakPreview" topLeftCell="A16">
      <selection activeCell="K24" sqref="K24"/>
      <rowBreaks count="1" manualBreakCount="1">
        <brk id="69" max="8" man="1"/>
      </rowBreaks>
      <pageMargins left="0.64" right="0.31496062992126" top="0.43" bottom="0.68" header="0.32" footer="0.47244094488188998"/>
      <printOptions horizontalCentered="1"/>
      <pageSetup paperSize="9" scale="83" fitToHeight="2" orientation="portrait" horizontalDpi="300" verticalDpi="300" r:id="rId9"/>
      <headerFooter alignWithMargins="0">
        <oddFooter>&amp;L&amp;F</oddFooter>
      </headerFooter>
    </customSheetView>
  </customSheetViews>
  <mergeCells count="2">
    <mergeCell ref="C1:H1"/>
    <mergeCell ref="B3:F3"/>
  </mergeCells>
  <phoneticPr fontId="5" type="noConversion"/>
  <dataValidations disablePrompts="1" count="1">
    <dataValidation type="list" allowBlank="1" showInputMessage="1" showErrorMessage="1" sqref="E90" xr:uid="{00000000-0002-0000-0000-000000000000}">
      <formula1>"Yes,No"</formula1>
    </dataValidation>
  </dataValidations>
  <printOptions horizontalCentered="1"/>
  <pageMargins left="0.64" right="0.31496062992126" top="0.43" bottom="0.68" header="0.32" footer="0.47244094488188998"/>
  <pageSetup paperSize="9" scale="83" fitToHeight="2" orientation="portrait" horizontalDpi="300" verticalDpi="300" r:id="rId10"/>
  <headerFooter alignWithMargins="0">
    <oddFooter>&amp;L&amp;F</oddFooter>
  </headerFooter>
  <rowBreaks count="1" manualBreakCount="1">
    <brk id="69" max="8" man="1"/>
  </rowBreaks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34</vt:i4>
      </vt:variant>
    </vt:vector>
  </HeadingPairs>
  <TitlesOfParts>
    <vt:vector size="35" baseType="lpstr">
      <vt:lpstr>Beam</vt:lpstr>
      <vt:lpstr>AREA</vt:lpstr>
      <vt:lpstr>BF</vt:lpstr>
      <vt:lpstr>BT</vt:lpstr>
      <vt:lpstr>Cb</vt:lpstr>
      <vt:lpstr>Cmx</vt:lpstr>
      <vt:lpstr>Cmy</vt:lpstr>
      <vt:lpstr>d</vt:lpstr>
      <vt:lpstr>FA</vt:lpstr>
      <vt:lpstr>FY</vt:lpstr>
      <vt:lpstr>hw</vt:lpstr>
      <vt:lpstr>IXX</vt:lpstr>
      <vt:lpstr>IYY</vt:lpstr>
      <vt:lpstr>KLR</vt:lpstr>
      <vt:lpstr>KLX</vt:lpstr>
      <vt:lpstr>KLY</vt:lpstr>
      <vt:lpstr>Lb</vt:lpstr>
      <vt:lpstr>Lc</vt:lpstr>
      <vt:lpstr>Lu</vt:lpstr>
      <vt:lpstr>MX</vt:lpstr>
      <vt:lpstr>MY</vt:lpstr>
      <vt:lpstr>N</vt:lpstr>
      <vt:lpstr>Beam!Print_Area</vt:lpstr>
      <vt:lpstr>Beam!Print_Titles</vt:lpstr>
      <vt:lpstr>prof</vt:lpstr>
      <vt:lpstr>Q</vt:lpstr>
      <vt:lpstr>RT</vt:lpstr>
      <vt:lpstr>RXX</vt:lpstr>
      <vt:lpstr>RYY</vt:lpstr>
      <vt:lpstr>S</vt:lpstr>
      <vt:lpstr>T</vt:lpstr>
      <vt:lpstr>TT</vt:lpstr>
      <vt:lpstr>word</vt:lpstr>
      <vt:lpstr>ZXX</vt:lpstr>
      <vt:lpstr>ZYY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Yousri</dc:creator>
  <cp:lastModifiedBy>Mohamed Helmy</cp:lastModifiedBy>
  <cp:lastPrinted>2012-03-19T13:45:41Z</cp:lastPrinted>
  <dcterms:created xsi:type="dcterms:W3CDTF">2000-02-06T21:38:54Z</dcterms:created>
  <dcterms:modified xsi:type="dcterms:W3CDTF">2020-05-06T09:35:47Z</dcterms:modified>
</cp:coreProperties>
</file>