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lmy.COZMOS\Desktop\"/>
    </mc:Choice>
  </mc:AlternateContent>
  <xr:revisionPtr revIDLastSave="0" documentId="13_ncr:1_{846FDF40-6B4A-42B5-8A38-DB53AA7FF673}" xr6:coauthVersionLast="45" xr6:coauthVersionMax="45" xr10:uidLastSave="{00000000-0000-0000-0000-000000000000}"/>
  <workbookProtection workbookAlgorithmName="SHA-512" workbookHashValue="lZuThWmKtw3evSkXykBSxbGpMyCRWO8MSsEcjybh74zRQfhfH9X/glA4FIl90EGs+Zj/4LQ+kiPPo3VlZIimYw==" workbookSaltValue="twsrrwuuClJtz9sA7/Tvdg==" workbookSpinCount="100000" revisionsPassword="DD32" lockStructure="1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t_n">Sheet1!$B$52</definedName>
    <definedName name="Bt_S">Sheet1!$C$55</definedName>
    <definedName name="FY">Sheet1!$B$12</definedName>
    <definedName name="Pl">Sheet1!$B$49</definedName>
    <definedName name="_xlnm.Print_Area" localSheetId="0">Sheet1!$A$1:$H$79</definedName>
    <definedName name="S">Sheet1!$C$64</definedName>
    <definedName name="SIZE">Sheet1!$C$71</definedName>
    <definedName name="Z_0C5208E9_3051_4FC2_8B4B_B958270FD3E7_.wvu.PrintArea" localSheetId="0" hidden="1">Sheet1!$A$1:$H$79</definedName>
    <definedName name="Z_0C5208E9_3051_4FC2_8B4B_B958270FD3E7_.wvu.Rows" localSheetId="0" hidden="1">Sheet1!$17:$17,Sheet1!$19:$19,Sheet1!$22:$23,Sheet1!$25:$25,Sheet1!$32:$32,Sheet1!$36:$36,Sheet1!$39:$39,Sheet1!$42:$43,Sheet1!$46:$46</definedName>
    <definedName name="Z_19234967_C4B5_489A_89E1_ACFDB500E954_.wvu.PrintArea" localSheetId="0" hidden="1">Sheet1!$A$1:$H$79</definedName>
    <definedName name="Z_19234967_C4B5_489A_89E1_ACFDB500E954_.wvu.Rows" localSheetId="0" hidden="1">Sheet1!$17:$17,Sheet1!$19:$19,Sheet1!$22:$23,Sheet1!$25:$25,Sheet1!$32:$32,Sheet1!$36:$36,Sheet1!$39:$39,Sheet1!$42:$43,Sheet1!$46:$46</definedName>
    <definedName name="Z_3F54ED01_F470_44CD_9D95_C83F10D1F47F_.wvu.PrintArea" localSheetId="0" hidden="1">Sheet1!$A$1:$H$79</definedName>
    <definedName name="Z_3F54ED01_F470_44CD_9D95_C83F10D1F47F_.wvu.Rows" localSheetId="0" hidden="1">Sheet1!$17:$17,Sheet1!$19:$19,Sheet1!$22:$23,Sheet1!$25:$25,Sheet1!$32:$32,Sheet1!$36:$36,Sheet1!$39:$39,Sheet1!$42:$43,Sheet1!$46:$46</definedName>
    <definedName name="Z_5DAEFDBE_AD85_4E22_AC29_138B2C643105_.wvu.PrintArea" localSheetId="0" hidden="1">Sheet1!$A$1:$H$76</definedName>
    <definedName name="Z_5DAEFDBE_AD85_4E22_AC29_138B2C643105_.wvu.Rows" localSheetId="0" hidden="1">Sheet1!$17:$17,Sheet1!$19:$19,Sheet1!$22:$23,Sheet1!$25:$25,Sheet1!$32:$32,Sheet1!$36:$36,Sheet1!$39:$39,Sheet1!$42:$43,Sheet1!$46:$46</definedName>
    <definedName name="Z_76A51612_6EF4_4E75_84B4_1099D28C0721_.wvu.PrintArea" localSheetId="0" hidden="1">Sheet1!$A$1:$H$76</definedName>
    <definedName name="Z_76A51612_6EF4_4E75_84B4_1099D28C0721_.wvu.Rows" localSheetId="0" hidden="1">Sheet1!$17:$17,Sheet1!$19:$19,Sheet1!$22:$23,Sheet1!$25:$25,Sheet1!$32:$32,Sheet1!$36:$36,Sheet1!$39:$39,Sheet1!$42:$43,Sheet1!$46:$46</definedName>
    <definedName name="Z_C1DC9CC7_86F5_4DFC_8546_62821D47C9EC_.wvu.PrintArea" localSheetId="0" hidden="1">Sheet1!$A$1:$H$79</definedName>
    <definedName name="Z_C1DC9CC7_86F5_4DFC_8546_62821D47C9EC_.wvu.Rows" localSheetId="0" hidden="1">Sheet1!$17:$17,Sheet1!$19:$19,Sheet1!$22:$23,Sheet1!$25:$25,Sheet1!$32:$32,Sheet1!$36:$36,Sheet1!$39:$39,Sheet1!$42:$43,Sheet1!$46:$46</definedName>
  </definedNames>
  <calcPr calcId="181029"/>
  <customWorkbookViews>
    <customWorkbookView name="Mohamed Helmy - Personal View" guid="{3F54ED01-F470-44CD-9D95-C83F10D1F47F}" mergeInterval="0" personalView="1" maximized="1" xWindow="-8" yWindow="-8" windowWidth="1936" windowHeight="1066" activeSheetId="1"/>
    <customWorkbookView name="mhelmy - Personal View" guid="{0C5208E9-3051-4FC2-8B4B-B958270FD3E7}" mergeInterval="0" personalView="1" maximized="1" xWindow="1" yWindow="1" windowWidth="1362" windowHeight="548" activeSheetId="1" showComments="commIndAndComment"/>
    <customWorkbookView name="M.HELMY - Personal View" guid="{5DAEFDBE-AD85-4E22-AC29-138B2C643105}" mergeInterval="0" personalView="1" maximized="1" windowWidth="1356" windowHeight="602" activeSheetId="1"/>
    <customWorkbookView name="WW - Personal View" guid="{76A51612-6EF4-4E75-84B4-1099D28C0721}" mergeInterval="0" personalView="1" maximized="1" windowWidth="1151" windowHeight="628" activeSheetId="1"/>
    <customWorkbookView name="mhelmy-7 - Personal View" guid="{19234967-C4B5-489A-89E1-ACFDB500E954}" mergeInterval="0" personalView="1" maximized="1" xWindow="1" yWindow="1" windowWidth="1436" windowHeight="670" activeSheetId="1"/>
    <customWorkbookView name="Mina Wadie - Personal View" guid="{C1DC9CC7-86F5-4DFC-8546-62821D47C9EC}" mergeInterval="0" personalView="1" windowWidth="960" windowHeight="104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" l="1"/>
  <c r="E52" i="1" s="1"/>
  <c r="I11" i="1"/>
  <c r="J11" i="1" s="1"/>
  <c r="B14" i="1" s="1"/>
  <c r="B27" i="1"/>
  <c r="B31" i="1"/>
  <c r="B32" i="1"/>
  <c r="B33" i="1"/>
  <c r="J44" i="1"/>
  <c r="F59" i="1" s="1"/>
  <c r="H54" i="1"/>
  <c r="D61" i="1" s="1"/>
  <c r="F55" i="1"/>
  <c r="E56" i="1"/>
  <c r="B61" i="1" s="1"/>
  <c r="I56" i="1"/>
  <c r="C57" i="1"/>
  <c r="I57" i="1"/>
  <c r="C60" i="1"/>
  <c r="E60" i="1" s="1"/>
  <c r="F60" i="1"/>
  <c r="J61" i="1"/>
  <c r="K61" i="1"/>
  <c r="F62" i="1"/>
  <c r="J63" i="1"/>
  <c r="C65" i="1"/>
  <c r="M65" i="1"/>
  <c r="D76" i="1" s="1"/>
  <c r="H67" i="1"/>
  <c r="C68" i="1"/>
  <c r="F68" i="1"/>
  <c r="J68" i="1"/>
  <c r="C70" i="1"/>
  <c r="K70" i="1"/>
  <c r="F65" i="1" s="1"/>
  <c r="G71" i="1"/>
  <c r="F72" i="1"/>
  <c r="A74" i="1"/>
  <c r="D74" i="1"/>
  <c r="J74" i="1"/>
  <c r="K74" i="1"/>
  <c r="A75" i="1"/>
  <c r="D75" i="1"/>
  <c r="F75" i="1"/>
  <c r="G76" i="1"/>
  <c r="I76" i="1"/>
  <c r="C75" i="1" s="1"/>
  <c r="J79" i="1"/>
  <c r="D81" i="1"/>
  <c r="E81" i="1"/>
  <c r="F81" i="1" s="1"/>
  <c r="D82" i="1"/>
  <c r="E82" i="1"/>
  <c r="F82" i="1"/>
  <c r="D83" i="1"/>
  <c r="E83" i="1"/>
  <c r="F83" i="1"/>
  <c r="D84" i="1"/>
  <c r="E84" i="1"/>
  <c r="F84" i="1"/>
  <c r="D85" i="1"/>
  <c r="E85" i="1"/>
  <c r="F85" i="1" s="1"/>
  <c r="D86" i="1"/>
  <c r="E86" i="1"/>
  <c r="F86" i="1"/>
  <c r="D87" i="1"/>
  <c r="E87" i="1"/>
  <c r="F87" i="1"/>
  <c r="D88" i="1"/>
  <c r="E88" i="1"/>
  <c r="F88" i="1"/>
  <c r="D89" i="1"/>
  <c r="E89" i="1"/>
  <c r="F89" i="1" s="1"/>
  <c r="D90" i="1"/>
  <c r="E90" i="1"/>
  <c r="F90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E106" i="1"/>
  <c r="G106" i="1" s="1"/>
  <c r="H106" i="1"/>
  <c r="E107" i="1"/>
  <c r="G107" i="1" s="1"/>
  <c r="H107" i="1"/>
  <c r="E108" i="1"/>
  <c r="G108" i="1"/>
  <c r="H108" i="1"/>
  <c r="E109" i="1"/>
  <c r="H109" i="1" s="1"/>
  <c r="G109" i="1"/>
  <c r="E110" i="1"/>
  <c r="H110" i="1" s="1"/>
  <c r="G110" i="1"/>
  <c r="D115" i="1"/>
  <c r="F115" i="1"/>
  <c r="H115" i="1"/>
  <c r="V439" i="1"/>
  <c r="X439" i="1"/>
  <c r="V440" i="1"/>
  <c r="X440" i="1"/>
  <c r="V441" i="1"/>
  <c r="X441" i="1"/>
  <c r="V442" i="1"/>
  <c r="X442" i="1"/>
  <c r="V443" i="1"/>
  <c r="X443" i="1"/>
  <c r="V444" i="1"/>
  <c r="X444" i="1"/>
  <c r="V445" i="1"/>
  <c r="X445" i="1"/>
  <c r="V446" i="1"/>
  <c r="X446" i="1"/>
  <c r="V447" i="1"/>
  <c r="X447" i="1"/>
  <c r="V448" i="1"/>
  <c r="X448" i="1"/>
  <c r="V449" i="1"/>
  <c r="X449" i="1"/>
  <c r="V450" i="1"/>
  <c r="X450" i="1"/>
  <c r="V451" i="1"/>
  <c r="X451" i="1"/>
  <c r="V452" i="1"/>
  <c r="X452" i="1"/>
  <c r="V453" i="1"/>
  <c r="X453" i="1"/>
  <c r="V454" i="1"/>
  <c r="X454" i="1"/>
  <c r="V455" i="1"/>
  <c r="X455" i="1"/>
  <c r="V456" i="1"/>
  <c r="X456" i="1"/>
  <c r="V457" i="1"/>
  <c r="X457" i="1"/>
  <c r="V458" i="1"/>
  <c r="X458" i="1"/>
  <c r="V459" i="1"/>
  <c r="X459" i="1"/>
  <c r="V460" i="1"/>
  <c r="X460" i="1"/>
  <c r="V461" i="1"/>
  <c r="X461" i="1"/>
  <c r="V462" i="1"/>
  <c r="X462" i="1"/>
  <c r="V463" i="1"/>
  <c r="X463" i="1"/>
  <c r="V464" i="1"/>
  <c r="X464" i="1"/>
  <c r="V465" i="1"/>
  <c r="X465" i="1"/>
  <c r="V466" i="1"/>
  <c r="X466" i="1"/>
  <c r="V467" i="1"/>
  <c r="X467" i="1"/>
  <c r="V468" i="1"/>
  <c r="X468" i="1"/>
  <c r="V469" i="1"/>
  <c r="X469" i="1"/>
  <c r="V470" i="1"/>
  <c r="X470" i="1"/>
  <c r="V471" i="1"/>
  <c r="X471" i="1"/>
  <c r="V472" i="1"/>
  <c r="X472" i="1"/>
  <c r="V473" i="1"/>
  <c r="X473" i="1"/>
  <c r="V474" i="1"/>
  <c r="X474" i="1"/>
  <c r="V475" i="1"/>
  <c r="X475" i="1"/>
  <c r="V476" i="1"/>
  <c r="X476" i="1"/>
  <c r="V477" i="1"/>
  <c r="X477" i="1"/>
  <c r="V478" i="1"/>
  <c r="X478" i="1"/>
  <c r="V479" i="1"/>
  <c r="X479" i="1"/>
  <c r="V480" i="1"/>
  <c r="X480" i="1"/>
  <c r="V481" i="1"/>
  <c r="X481" i="1"/>
  <c r="V482" i="1"/>
  <c r="X482" i="1"/>
  <c r="V483" i="1"/>
  <c r="X483" i="1"/>
  <c r="V484" i="1"/>
  <c r="X484" i="1"/>
  <c r="V485" i="1"/>
  <c r="X485" i="1"/>
  <c r="V486" i="1"/>
  <c r="X486" i="1"/>
  <c r="V487" i="1"/>
  <c r="X487" i="1"/>
  <c r="V488" i="1"/>
  <c r="X488" i="1"/>
  <c r="V489" i="1"/>
  <c r="X489" i="1"/>
  <c r="V490" i="1"/>
  <c r="X490" i="1"/>
  <c r="V491" i="1"/>
  <c r="X491" i="1"/>
  <c r="V492" i="1"/>
  <c r="X492" i="1"/>
  <c r="V493" i="1"/>
  <c r="X493" i="1"/>
  <c r="V494" i="1"/>
  <c r="X494" i="1"/>
  <c r="V495" i="1"/>
  <c r="X495" i="1"/>
  <c r="V496" i="1"/>
  <c r="X496" i="1"/>
  <c r="V497" i="1"/>
  <c r="X497" i="1"/>
  <c r="V498" i="1"/>
  <c r="X498" i="1"/>
  <c r="V499" i="1"/>
  <c r="X499" i="1"/>
  <c r="V500" i="1"/>
  <c r="X500" i="1"/>
  <c r="V501" i="1"/>
  <c r="X501" i="1"/>
  <c r="V502" i="1"/>
  <c r="X502" i="1"/>
  <c r="V503" i="1"/>
  <c r="X503" i="1"/>
  <c r="V504" i="1"/>
  <c r="X504" i="1"/>
  <c r="V505" i="1"/>
  <c r="X505" i="1"/>
  <c r="V506" i="1"/>
  <c r="X506" i="1"/>
  <c r="V507" i="1"/>
  <c r="X507" i="1"/>
  <c r="V508" i="1"/>
  <c r="X508" i="1"/>
  <c r="V509" i="1"/>
  <c r="X509" i="1"/>
  <c r="V510" i="1"/>
  <c r="X510" i="1"/>
  <c r="V511" i="1"/>
  <c r="X511" i="1"/>
  <c r="V512" i="1"/>
  <c r="X512" i="1"/>
  <c r="V513" i="1"/>
  <c r="X513" i="1"/>
  <c r="V514" i="1"/>
  <c r="X514" i="1"/>
  <c r="V515" i="1"/>
  <c r="X515" i="1"/>
  <c r="V516" i="1"/>
  <c r="X516" i="1"/>
  <c r="V517" i="1"/>
  <c r="X517" i="1"/>
  <c r="V518" i="1"/>
  <c r="X518" i="1"/>
  <c r="V519" i="1"/>
  <c r="X519" i="1"/>
  <c r="V520" i="1"/>
  <c r="X520" i="1"/>
  <c r="V521" i="1"/>
  <c r="X521" i="1"/>
  <c r="V522" i="1"/>
  <c r="X522" i="1"/>
  <c r="V523" i="1"/>
  <c r="X523" i="1"/>
  <c r="V524" i="1"/>
  <c r="X524" i="1"/>
  <c r="V525" i="1"/>
  <c r="X525" i="1"/>
  <c r="V526" i="1"/>
  <c r="X526" i="1"/>
  <c r="V527" i="1"/>
  <c r="X527" i="1"/>
  <c r="V528" i="1"/>
  <c r="X528" i="1"/>
  <c r="V529" i="1"/>
  <c r="X529" i="1"/>
  <c r="V530" i="1"/>
  <c r="X530" i="1"/>
  <c r="V531" i="1"/>
  <c r="X531" i="1"/>
  <c r="V532" i="1"/>
  <c r="X532" i="1"/>
  <c r="V533" i="1"/>
  <c r="X533" i="1"/>
  <c r="V534" i="1"/>
  <c r="X534" i="1"/>
  <c r="V535" i="1"/>
  <c r="X535" i="1"/>
  <c r="V536" i="1"/>
  <c r="X536" i="1"/>
  <c r="V537" i="1"/>
  <c r="X537" i="1"/>
  <c r="V538" i="1"/>
  <c r="X538" i="1"/>
  <c r="V539" i="1"/>
  <c r="X539" i="1"/>
  <c r="V540" i="1"/>
  <c r="X540" i="1"/>
  <c r="V541" i="1"/>
  <c r="X541" i="1"/>
  <c r="V542" i="1"/>
  <c r="X542" i="1"/>
  <c r="V543" i="1"/>
  <c r="X543" i="1"/>
  <c r="V544" i="1"/>
  <c r="X544" i="1"/>
  <c r="V545" i="1"/>
  <c r="X545" i="1"/>
  <c r="V546" i="1"/>
  <c r="X546" i="1"/>
  <c r="V547" i="1"/>
  <c r="X547" i="1"/>
  <c r="V548" i="1"/>
  <c r="X548" i="1"/>
  <c r="V549" i="1"/>
  <c r="X549" i="1"/>
  <c r="V550" i="1"/>
  <c r="X550" i="1"/>
  <c r="V551" i="1"/>
  <c r="X551" i="1"/>
  <c r="V552" i="1"/>
  <c r="X552" i="1"/>
  <c r="V553" i="1"/>
  <c r="X553" i="1"/>
  <c r="V554" i="1"/>
  <c r="X554" i="1"/>
  <c r="V555" i="1"/>
  <c r="X555" i="1"/>
  <c r="V556" i="1"/>
  <c r="X556" i="1"/>
  <c r="V557" i="1"/>
  <c r="X557" i="1"/>
  <c r="V558" i="1"/>
  <c r="X558" i="1"/>
  <c r="V559" i="1"/>
  <c r="X559" i="1"/>
  <c r="V560" i="1"/>
  <c r="X560" i="1"/>
  <c r="V561" i="1"/>
  <c r="X561" i="1"/>
  <c r="V562" i="1"/>
  <c r="X562" i="1"/>
  <c r="V563" i="1"/>
  <c r="X563" i="1"/>
  <c r="V564" i="1"/>
  <c r="X564" i="1"/>
  <c r="V565" i="1"/>
  <c r="X565" i="1"/>
  <c r="V566" i="1"/>
  <c r="X566" i="1"/>
  <c r="V567" i="1"/>
  <c r="X567" i="1"/>
  <c r="V568" i="1"/>
  <c r="X568" i="1"/>
  <c r="V569" i="1"/>
  <c r="X569" i="1"/>
  <c r="V570" i="1"/>
  <c r="X570" i="1"/>
  <c r="V571" i="1"/>
  <c r="X571" i="1"/>
  <c r="V572" i="1"/>
  <c r="X572" i="1"/>
  <c r="V573" i="1"/>
  <c r="X573" i="1"/>
  <c r="V574" i="1"/>
  <c r="X574" i="1"/>
  <c r="V575" i="1"/>
  <c r="X575" i="1"/>
  <c r="V576" i="1"/>
  <c r="X576" i="1"/>
  <c r="V577" i="1"/>
  <c r="X577" i="1"/>
  <c r="V578" i="1"/>
  <c r="X578" i="1"/>
  <c r="V579" i="1"/>
  <c r="X579" i="1"/>
  <c r="V580" i="1"/>
  <c r="X580" i="1"/>
  <c r="V581" i="1"/>
  <c r="X581" i="1"/>
  <c r="V582" i="1"/>
  <c r="X582" i="1"/>
  <c r="V583" i="1"/>
  <c r="X583" i="1"/>
  <c r="V584" i="1"/>
  <c r="X584" i="1"/>
  <c r="V585" i="1"/>
  <c r="X585" i="1"/>
  <c r="V586" i="1"/>
  <c r="X586" i="1"/>
  <c r="V587" i="1"/>
  <c r="X587" i="1"/>
  <c r="V588" i="1"/>
  <c r="X588" i="1"/>
  <c r="V589" i="1"/>
  <c r="X589" i="1"/>
  <c r="V590" i="1"/>
  <c r="X590" i="1"/>
  <c r="V591" i="1"/>
  <c r="X591" i="1"/>
  <c r="V592" i="1"/>
  <c r="X592" i="1"/>
  <c r="V593" i="1"/>
  <c r="X593" i="1"/>
  <c r="V594" i="1"/>
  <c r="X594" i="1"/>
  <c r="V595" i="1"/>
  <c r="X595" i="1"/>
  <c r="V596" i="1"/>
  <c r="X596" i="1"/>
  <c r="V597" i="1"/>
  <c r="X597" i="1"/>
  <c r="V598" i="1"/>
  <c r="X598" i="1"/>
  <c r="V599" i="1"/>
  <c r="X599" i="1"/>
  <c r="V600" i="1"/>
  <c r="X600" i="1"/>
  <c r="V601" i="1"/>
  <c r="X601" i="1"/>
  <c r="V602" i="1"/>
  <c r="X602" i="1"/>
  <c r="V603" i="1"/>
  <c r="X603" i="1"/>
  <c r="V604" i="1"/>
  <c r="X604" i="1"/>
  <c r="V605" i="1"/>
  <c r="X605" i="1"/>
  <c r="V606" i="1"/>
  <c r="X606" i="1"/>
  <c r="V607" i="1"/>
  <c r="X607" i="1"/>
  <c r="V608" i="1"/>
  <c r="X608" i="1"/>
  <c r="V609" i="1"/>
  <c r="X609" i="1"/>
  <c r="V610" i="1"/>
  <c r="X610" i="1"/>
  <c r="V611" i="1"/>
  <c r="X611" i="1"/>
  <c r="V612" i="1"/>
  <c r="X612" i="1"/>
  <c r="V613" i="1"/>
  <c r="X613" i="1"/>
  <c r="V614" i="1"/>
  <c r="X614" i="1"/>
  <c r="V615" i="1"/>
  <c r="X615" i="1"/>
  <c r="V616" i="1"/>
  <c r="X616" i="1"/>
  <c r="V617" i="1"/>
  <c r="X617" i="1"/>
  <c r="V618" i="1"/>
  <c r="X618" i="1"/>
  <c r="V619" i="1"/>
  <c r="X619" i="1"/>
  <c r="V620" i="1"/>
  <c r="X620" i="1"/>
  <c r="V621" i="1"/>
  <c r="X621" i="1"/>
  <c r="V622" i="1"/>
  <c r="X622" i="1"/>
  <c r="V623" i="1"/>
  <c r="X623" i="1"/>
  <c r="V624" i="1"/>
  <c r="X624" i="1"/>
  <c r="V625" i="1"/>
  <c r="X625" i="1"/>
  <c r="V626" i="1"/>
  <c r="X626" i="1"/>
  <c r="V627" i="1"/>
  <c r="X627" i="1"/>
  <c r="V628" i="1"/>
  <c r="X628" i="1"/>
  <c r="V629" i="1"/>
  <c r="X629" i="1"/>
  <c r="V630" i="1"/>
  <c r="X630" i="1"/>
  <c r="V631" i="1"/>
  <c r="X631" i="1"/>
  <c r="V632" i="1"/>
  <c r="X632" i="1"/>
  <c r="V633" i="1"/>
  <c r="X633" i="1"/>
  <c r="V634" i="1"/>
  <c r="X634" i="1"/>
  <c r="V635" i="1"/>
  <c r="X635" i="1"/>
  <c r="V636" i="1"/>
  <c r="X636" i="1"/>
  <c r="V637" i="1"/>
  <c r="X637" i="1"/>
  <c r="V638" i="1"/>
  <c r="X638" i="1"/>
  <c r="V639" i="1"/>
  <c r="X639" i="1"/>
  <c r="V640" i="1"/>
  <c r="X640" i="1"/>
  <c r="V641" i="1"/>
  <c r="X641" i="1"/>
  <c r="V642" i="1"/>
  <c r="X642" i="1"/>
  <c r="V643" i="1"/>
  <c r="X643" i="1"/>
  <c r="V644" i="1"/>
  <c r="X644" i="1"/>
  <c r="V645" i="1"/>
  <c r="X645" i="1"/>
  <c r="V646" i="1"/>
  <c r="X646" i="1"/>
  <c r="E68" i="1" l="1"/>
  <c r="C74" i="1"/>
  <c r="B74" i="1"/>
  <c r="O11" i="1"/>
  <c r="B16" i="1" s="1"/>
  <c r="B38" i="1" s="1"/>
  <c r="C76" i="1"/>
  <c r="E75" i="1"/>
  <c r="D62" i="1"/>
  <c r="H53" i="1"/>
  <c r="E53" i="1" s="1"/>
  <c r="E54" i="1" s="1"/>
  <c r="C58" i="1" s="1"/>
  <c r="C59" i="1" s="1"/>
  <c r="J62" i="1"/>
  <c r="H61" i="1"/>
  <c r="H52" i="1"/>
  <c r="F76" i="1"/>
  <c r="B75" i="1"/>
  <c r="H60" i="1"/>
  <c r="P11" i="1"/>
  <c r="F16" i="1" s="1"/>
  <c r="N11" i="1"/>
  <c r="F13" i="1" s="1"/>
  <c r="G13" i="1" s="1"/>
  <c r="A76" i="1"/>
  <c r="G74" i="1"/>
  <c r="H68" i="1"/>
  <c r="M11" i="1"/>
  <c r="F15" i="1" s="1"/>
  <c r="L11" i="1"/>
  <c r="B15" i="1" s="1"/>
  <c r="B76" i="1"/>
  <c r="H75" i="1"/>
  <c r="F74" i="1"/>
  <c r="E74" i="1" s="1"/>
  <c r="G75" i="1"/>
  <c r="K11" i="1"/>
  <c r="F14" i="1" s="1"/>
  <c r="I53" i="1" s="1"/>
  <c r="F64" i="1" s="1"/>
  <c r="B40" i="1" l="1"/>
  <c r="E59" i="1"/>
  <c r="H59" i="1"/>
  <c r="H74" i="1"/>
  <c r="C114" i="1"/>
  <c r="C115" i="1" s="1"/>
  <c r="E114" i="1"/>
  <c r="E115" i="1" s="1"/>
  <c r="G114" i="1"/>
  <c r="G115" i="1" s="1"/>
  <c r="E37" i="1"/>
  <c r="B37" i="1"/>
  <c r="E76" i="1"/>
  <c r="H76" i="1"/>
  <c r="H50" i="1"/>
  <c r="J50" i="1"/>
  <c r="E29" i="1"/>
  <c r="E62" i="1"/>
  <c r="H62" i="1"/>
  <c r="B26" i="1"/>
  <c r="K52" i="1" s="1"/>
  <c r="E26" i="1"/>
  <c r="F31" i="1" s="1"/>
  <c r="G26" i="1" l="1"/>
  <c r="F30" i="1"/>
  <c r="E27" i="1" l="1"/>
  <c r="H27" i="1" s="1"/>
  <c r="E28" i="1"/>
  <c r="H28" i="1" s="1"/>
  <c r="B29" i="1"/>
  <c r="B30" i="1" l="1"/>
  <c r="C30" i="1" l="1"/>
  <c r="H30" i="1"/>
  <c r="H31" i="1"/>
  <c r="B45" i="1" l="1"/>
  <c r="H45" i="1" s="1"/>
  <c r="B44" i="1"/>
  <c r="H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Helmy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USE POSITIVE VALUE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USE POSITIVE VALUE</t>
        </r>
      </text>
    </comment>
  </commentList>
</comments>
</file>

<file path=xl/sharedStrings.xml><?xml version="1.0" encoding="utf-8"?>
<sst xmlns="http://schemas.openxmlformats.org/spreadsheetml/2006/main" count="881" uniqueCount="809">
  <si>
    <t>ton</t>
  </si>
  <si>
    <t>cm</t>
  </si>
  <si>
    <t>Designation</t>
  </si>
  <si>
    <t>Mass Per</t>
  </si>
  <si>
    <t>Area</t>
  </si>
  <si>
    <t>Ratio for</t>
  </si>
  <si>
    <t>Second</t>
  </si>
  <si>
    <t>Radius</t>
  </si>
  <si>
    <t>Outside</t>
  </si>
  <si>
    <t>Thickness</t>
  </si>
  <si>
    <t>metre</t>
  </si>
  <si>
    <t>of</t>
  </si>
  <si>
    <t>Local</t>
  </si>
  <si>
    <t>Moment</t>
  </si>
  <si>
    <t>Diameter</t>
  </si>
  <si>
    <t>Section</t>
  </si>
  <si>
    <t>Buckling</t>
  </si>
  <si>
    <t>of Area</t>
  </si>
  <si>
    <t>Gyration</t>
  </si>
  <si>
    <t>D</t>
  </si>
  <si>
    <t>t</t>
  </si>
  <si>
    <t> </t>
  </si>
  <si>
    <t>A</t>
  </si>
  <si>
    <t>D/t</t>
  </si>
  <si>
    <t>I</t>
  </si>
  <si>
    <t>r</t>
  </si>
  <si>
    <t>mm</t>
  </si>
  <si>
    <t>kg/m</t>
  </si>
  <si>
    <r>
      <t>cm</t>
    </r>
    <r>
      <rPr>
        <vertAlign val="superscript"/>
        <sz val="10"/>
        <rFont val="Arial"/>
        <family val="2"/>
      </rPr>
      <t>2</t>
    </r>
  </si>
  <si>
    <r>
      <t>cm</t>
    </r>
    <r>
      <rPr>
        <vertAlign val="superscript"/>
        <sz val="10"/>
        <rFont val="Arial"/>
        <family val="2"/>
      </rPr>
      <t>4</t>
    </r>
  </si>
  <si>
    <t>26.9X2</t>
  </si>
  <si>
    <t>26.9X2.5</t>
  </si>
  <si>
    <t>26.9X3.2</t>
  </si>
  <si>
    <t>33.7X2</t>
  </si>
  <si>
    <t>33.7X2.5</t>
  </si>
  <si>
    <t>33.7X3.2</t>
  </si>
  <si>
    <t>33.7X4</t>
  </si>
  <si>
    <t>42.4X2.5</t>
  </si>
  <si>
    <t>42.4X3</t>
  </si>
  <si>
    <t>42.4X3.2</t>
  </si>
  <si>
    <t>42.4X3.6</t>
  </si>
  <si>
    <t>42.4X4</t>
  </si>
  <si>
    <t>48.3X2.5</t>
  </si>
  <si>
    <t>48.3X3</t>
  </si>
  <si>
    <t>48.3X3.2</t>
  </si>
  <si>
    <t>48.3X3.6</t>
  </si>
  <si>
    <t>48.3X4</t>
  </si>
  <si>
    <t>60.3X2.5</t>
  </si>
  <si>
    <t>60.3X3</t>
  </si>
  <si>
    <t>60.3X3.2</t>
  </si>
  <si>
    <t>60.3X3.6</t>
  </si>
  <si>
    <t>60.3X4</t>
  </si>
  <si>
    <t>76.1X2.5</t>
  </si>
  <si>
    <t>76.1X3</t>
  </si>
  <si>
    <t>76.1X3.2</t>
  </si>
  <si>
    <t>76.1X3.6</t>
  </si>
  <si>
    <t>76.1X4</t>
  </si>
  <si>
    <t>88.9X3</t>
  </si>
  <si>
    <t>88.9X3.2</t>
  </si>
  <si>
    <t>88.9X4</t>
  </si>
  <si>
    <t>88.9X5</t>
  </si>
  <si>
    <t>114.3X3</t>
  </si>
  <si>
    <t>114.3X3.2</t>
  </si>
  <si>
    <t>114.3X3.6</t>
  </si>
  <si>
    <t>114.3X5</t>
  </si>
  <si>
    <t>114.3X6</t>
  </si>
  <si>
    <t>114.3X6.3</t>
  </si>
  <si>
    <t>139.7X5</t>
  </si>
  <si>
    <t>139.7X6.3</t>
  </si>
  <si>
    <t>139.7X8</t>
  </si>
  <si>
    <t>139.7X10</t>
  </si>
  <si>
    <t>168.3X4</t>
  </si>
  <si>
    <t>168.3X5</t>
  </si>
  <si>
    <t>168.3X6.3</t>
  </si>
  <si>
    <t>168.3X8</t>
  </si>
  <si>
    <t>168.3X10</t>
  </si>
  <si>
    <t>168.3X12.5</t>
  </si>
  <si>
    <t>193.7X4</t>
  </si>
  <si>
    <t>193.7X4.5</t>
  </si>
  <si>
    <t>193.7X5</t>
  </si>
  <si>
    <t>193.7X6</t>
  </si>
  <si>
    <t>193.7X6.3</t>
  </si>
  <si>
    <t>193.7X8</t>
  </si>
  <si>
    <t>193.7X10</t>
  </si>
  <si>
    <t>193.7X12.5</t>
  </si>
  <si>
    <t>219.1X4</t>
  </si>
  <si>
    <t>219.1X4.5</t>
  </si>
  <si>
    <t>219.1X5</t>
  </si>
  <si>
    <t>219.1X6</t>
  </si>
  <si>
    <t>219.1X6.3</t>
  </si>
  <si>
    <t>219.1X8</t>
  </si>
  <si>
    <t>219.1X10</t>
  </si>
  <si>
    <t>219.1X12.5</t>
  </si>
  <si>
    <t>219.1X16</t>
  </si>
  <si>
    <t>244.5X5</t>
  </si>
  <si>
    <t>244.5X6</t>
  </si>
  <si>
    <t>244.5X6.3</t>
  </si>
  <si>
    <t>244.5X8</t>
  </si>
  <si>
    <t>244.5X10</t>
  </si>
  <si>
    <t>244.5X12.5</t>
  </si>
  <si>
    <t>244.5X16</t>
  </si>
  <si>
    <t>273X5</t>
  </si>
  <si>
    <t>273X6</t>
  </si>
  <si>
    <t>273X6.3</t>
  </si>
  <si>
    <t>273X8</t>
  </si>
  <si>
    <t>273X10</t>
  </si>
  <si>
    <t>273X12.5</t>
  </si>
  <si>
    <t>273X16</t>
  </si>
  <si>
    <t>323.9X5</t>
  </si>
  <si>
    <t>323.9X6</t>
  </si>
  <si>
    <t>323.9X6.3</t>
  </si>
  <si>
    <t>323.9X8</t>
  </si>
  <si>
    <t>323.9X10</t>
  </si>
  <si>
    <t>323.9X12.5</t>
  </si>
  <si>
    <t>323.9X16</t>
  </si>
  <si>
    <t>355.6X5</t>
  </si>
  <si>
    <t>355.6X6.3</t>
  </si>
  <si>
    <t>355.6X8</t>
  </si>
  <si>
    <t>355.6X10</t>
  </si>
  <si>
    <t>355.6X12.5</t>
  </si>
  <si>
    <t>355.6X16</t>
  </si>
  <si>
    <t>406.4X6.3</t>
  </si>
  <si>
    <t>406.4X8</t>
  </si>
  <si>
    <t>406.4X10</t>
  </si>
  <si>
    <t>406.4X12.5</t>
  </si>
  <si>
    <t>406.4X16</t>
  </si>
  <si>
    <t>457X6.3</t>
  </si>
  <si>
    <t>457X8</t>
  </si>
  <si>
    <t>457X10</t>
  </si>
  <si>
    <t>457X12.5</t>
  </si>
  <si>
    <t>457X16</t>
  </si>
  <si>
    <t>457X17.5</t>
  </si>
  <si>
    <t>457X19.1</t>
  </si>
  <si>
    <t>508X6.3</t>
  </si>
  <si>
    <t>508X8</t>
  </si>
  <si>
    <t>508X10</t>
  </si>
  <si>
    <t>508X12.5</t>
  </si>
  <si>
    <t>508X16</t>
  </si>
  <si>
    <t>508X17.5</t>
  </si>
  <si>
    <t>508X19.1</t>
  </si>
  <si>
    <t>559X6.4</t>
  </si>
  <si>
    <t>559X7.9</t>
  </si>
  <si>
    <t>559X8.7</t>
  </si>
  <si>
    <t>559X9.5</t>
  </si>
  <si>
    <t>559X10.3</t>
  </si>
  <si>
    <t>559X11.1</t>
  </si>
  <si>
    <t>559X11.9</t>
  </si>
  <si>
    <t>559X12.7</t>
  </si>
  <si>
    <t>559X14.3</t>
  </si>
  <si>
    <t>559X15.9</t>
  </si>
  <si>
    <t>559X17.5</t>
  </si>
  <si>
    <t>559X19.1</t>
  </si>
  <si>
    <t>559X20.6</t>
  </si>
  <si>
    <t>559X22.2</t>
  </si>
  <si>
    <t>PROFILE</t>
  </si>
  <si>
    <t>PROPERTIES OF SECTION</t>
  </si>
  <si>
    <t>TITLE</t>
  </si>
  <si>
    <t>STRAINING ACTION:</t>
  </si>
  <si>
    <t>Yield stress  =</t>
  </si>
  <si>
    <r>
      <t>t \ cm</t>
    </r>
    <r>
      <rPr>
        <vertAlign val="superscript"/>
        <sz val="10"/>
        <rFont val="Arial"/>
        <family val="2"/>
      </rPr>
      <t>2</t>
    </r>
  </si>
  <si>
    <t>Cm</t>
  </si>
  <si>
    <t xml:space="preserve">PIPE THICK   </t>
  </si>
  <si>
    <t>WEIGHT</t>
  </si>
  <si>
    <t>AREA</t>
  </si>
  <si>
    <r>
      <t>Cm</t>
    </r>
    <r>
      <rPr>
        <vertAlign val="superscript"/>
        <sz val="10"/>
        <color indexed="39"/>
        <rFont val="Arial"/>
        <family val="2"/>
      </rPr>
      <t>2</t>
    </r>
  </si>
  <si>
    <r>
      <t>Cm</t>
    </r>
    <r>
      <rPr>
        <vertAlign val="superscript"/>
        <sz val="10"/>
        <color indexed="39"/>
        <rFont val="Arial"/>
        <family val="2"/>
      </rPr>
      <t>4</t>
    </r>
  </si>
  <si>
    <t>CONSTRAINTS :</t>
  </si>
  <si>
    <t>KLx         =</t>
  </si>
  <si>
    <t>KLy         =</t>
  </si>
  <si>
    <t>ALLOWABLE STRESSES :-</t>
  </si>
  <si>
    <r>
      <t>t \ cm</t>
    </r>
    <r>
      <rPr>
        <vertAlign val="superscript"/>
        <sz val="10"/>
        <color indexed="12"/>
        <rFont val="Arial"/>
        <family val="2"/>
      </rPr>
      <t>2</t>
    </r>
  </si>
  <si>
    <t>T(TENSION)   =</t>
  </si>
  <si>
    <t>N(COMP)       =</t>
  </si>
  <si>
    <r>
      <t>KL</t>
    </r>
    <r>
      <rPr>
        <vertAlign val="subscript"/>
        <sz val="10"/>
        <color indexed="12"/>
        <rFont val="Arial"/>
        <family val="2"/>
      </rPr>
      <t>x</t>
    </r>
    <r>
      <rPr>
        <sz val="10"/>
        <color indexed="12"/>
        <rFont val="Arial"/>
        <family val="2"/>
      </rPr>
      <t xml:space="preserve"> / R</t>
    </r>
    <r>
      <rPr>
        <vertAlign val="subscript"/>
        <sz val="10"/>
        <color indexed="12"/>
        <rFont val="Arial"/>
        <family val="2"/>
      </rPr>
      <t xml:space="preserve">x </t>
    </r>
    <r>
      <rPr>
        <sz val="10"/>
        <color indexed="12"/>
        <rFont val="Arial"/>
        <family val="2"/>
      </rPr>
      <t xml:space="preserve">       =</t>
    </r>
  </si>
  <si>
    <r>
      <t>KL</t>
    </r>
    <r>
      <rPr>
        <vertAlign val="subscript"/>
        <sz val="10"/>
        <color indexed="12"/>
        <rFont val="Arial"/>
        <family val="2"/>
      </rPr>
      <t>y</t>
    </r>
    <r>
      <rPr>
        <sz val="10"/>
        <color indexed="12"/>
        <rFont val="Arial"/>
        <family val="2"/>
      </rPr>
      <t xml:space="preserve"> / R</t>
    </r>
    <r>
      <rPr>
        <vertAlign val="subscript"/>
        <sz val="10"/>
        <color indexed="12"/>
        <rFont val="Arial"/>
        <family val="2"/>
      </rPr>
      <t xml:space="preserve">y     </t>
    </r>
    <r>
      <rPr>
        <sz val="10"/>
        <color indexed="12"/>
        <rFont val="Arial"/>
        <family val="2"/>
      </rPr>
      <t>=</t>
    </r>
  </si>
  <si>
    <t>(KL / R)max =</t>
  </si>
  <si>
    <r>
      <t>l</t>
    </r>
    <r>
      <rPr>
        <sz val="10"/>
        <color indexed="12"/>
        <rFont val="Arial"/>
        <family val="2"/>
      </rPr>
      <t xml:space="preserve"> max. ( Compression )</t>
    </r>
  </si>
  <si>
    <r>
      <t>l</t>
    </r>
    <r>
      <rPr>
        <sz val="10"/>
        <color indexed="12"/>
        <rFont val="Arial"/>
        <family val="2"/>
      </rPr>
      <t xml:space="preserve"> ( Compression )</t>
    </r>
  </si>
  <si>
    <r>
      <t>l</t>
    </r>
    <r>
      <rPr>
        <sz val="10"/>
        <color indexed="12"/>
        <rFont val="Arial"/>
        <family val="2"/>
      </rPr>
      <t xml:space="preserve"> max. ( Tension )</t>
    </r>
  </si>
  <si>
    <r>
      <t>l</t>
    </r>
    <r>
      <rPr>
        <sz val="10"/>
        <color indexed="12"/>
        <rFont val="Arial"/>
        <family val="2"/>
      </rPr>
      <t xml:space="preserve">  ( Tension )</t>
    </r>
  </si>
  <si>
    <t>I.R. (COMP)            =</t>
  </si>
  <si>
    <t>I.R. (TENSION)        =</t>
  </si>
  <si>
    <t>FACTOR</t>
  </si>
  <si>
    <t>ACTUAL STRESSES :-</t>
  </si>
  <si>
    <t>INTERACTION RATIO :-</t>
  </si>
  <si>
    <t>193.7X5.4</t>
  </si>
  <si>
    <t>610X6.4</t>
  </si>
  <si>
    <t>610X7.9</t>
  </si>
  <si>
    <t>610X8.7</t>
  </si>
  <si>
    <t>610X9.5</t>
  </si>
  <si>
    <t>610X10.3</t>
  </si>
  <si>
    <t>610X11.1</t>
  </si>
  <si>
    <t>610X11.9</t>
  </si>
  <si>
    <t>610X12.7</t>
  </si>
  <si>
    <t>610X14.3</t>
  </si>
  <si>
    <t>610X15.9</t>
  </si>
  <si>
    <t>610X17.5</t>
  </si>
  <si>
    <t>610X19.1</t>
  </si>
  <si>
    <t>610X20.6</t>
  </si>
  <si>
    <t>610X22.2</t>
  </si>
  <si>
    <t>610X23.8</t>
  </si>
  <si>
    <t>660X6.4</t>
  </si>
  <si>
    <t>660X7.9</t>
  </si>
  <si>
    <t>660X8.7</t>
  </si>
  <si>
    <t>660X9.5</t>
  </si>
  <si>
    <t>660X10.3</t>
  </si>
  <si>
    <t>660X11.1</t>
  </si>
  <si>
    <t>660X11.9</t>
  </si>
  <si>
    <t>660X12.7</t>
  </si>
  <si>
    <t>660X14.3</t>
  </si>
  <si>
    <t>660X15.9</t>
  </si>
  <si>
    <t>660X17.5</t>
  </si>
  <si>
    <t>660X19.1</t>
  </si>
  <si>
    <t>660X20.6</t>
  </si>
  <si>
    <t>660X22.2</t>
  </si>
  <si>
    <t>660X23.8</t>
  </si>
  <si>
    <t>660X25.4</t>
  </si>
  <si>
    <t>711X6.4</t>
  </si>
  <si>
    <t>711X7.9</t>
  </si>
  <si>
    <t>711X8.7</t>
  </si>
  <si>
    <t>711X9.5</t>
  </si>
  <si>
    <t>711X10.3</t>
  </si>
  <si>
    <t>711X11.1</t>
  </si>
  <si>
    <t>711X11.9</t>
  </si>
  <si>
    <t>711X12.7</t>
  </si>
  <si>
    <t>711X14.3</t>
  </si>
  <si>
    <t>711X15.9</t>
  </si>
  <si>
    <t>711X17.5</t>
  </si>
  <si>
    <t>711X19.1</t>
  </si>
  <si>
    <t>711X20.6</t>
  </si>
  <si>
    <t>711X22.2</t>
  </si>
  <si>
    <t>711X23.8</t>
  </si>
  <si>
    <t>711X25.4</t>
  </si>
  <si>
    <t>711X28.6</t>
  </si>
  <si>
    <t>762X6.4</t>
  </si>
  <si>
    <t>762X7.9</t>
  </si>
  <si>
    <t>762X8.7</t>
  </si>
  <si>
    <t>762X9.5</t>
  </si>
  <si>
    <t>762X10.3</t>
  </si>
  <si>
    <t>762X11.1</t>
  </si>
  <si>
    <t>762X11.9</t>
  </si>
  <si>
    <t>762X12.7</t>
  </si>
  <si>
    <t>762X14.3</t>
  </si>
  <si>
    <t>762X15.9</t>
  </si>
  <si>
    <t>762X17.5</t>
  </si>
  <si>
    <t>762X19.1</t>
  </si>
  <si>
    <t>762X20.6</t>
  </si>
  <si>
    <t>762X22.2</t>
  </si>
  <si>
    <t>762X23.8</t>
  </si>
  <si>
    <t>762X25.4</t>
  </si>
  <si>
    <t>762X27</t>
  </si>
  <si>
    <t>762X28.6</t>
  </si>
  <si>
    <t>813X7.9</t>
  </si>
  <si>
    <t>813X8.7</t>
  </si>
  <si>
    <t>813X9.5</t>
  </si>
  <si>
    <t>813X10.3</t>
  </si>
  <si>
    <t>813X11.1</t>
  </si>
  <si>
    <t>813X11.9</t>
  </si>
  <si>
    <t>813X12.7</t>
  </si>
  <si>
    <t>813X14.3</t>
  </si>
  <si>
    <t>813X15.9</t>
  </si>
  <si>
    <t>813X17.5</t>
  </si>
  <si>
    <t>813X19.1</t>
  </si>
  <si>
    <t>813X20.6</t>
  </si>
  <si>
    <t>813X22.2</t>
  </si>
  <si>
    <t>813X23.8</t>
  </si>
  <si>
    <t>813X25.4</t>
  </si>
  <si>
    <t>813X27</t>
  </si>
  <si>
    <t>813X28.6</t>
  </si>
  <si>
    <t>864X7.9</t>
  </si>
  <si>
    <t>864X8.7</t>
  </si>
  <si>
    <t>864X9.5</t>
  </si>
  <si>
    <t>864X10.3</t>
  </si>
  <si>
    <t>864X11.1</t>
  </si>
  <si>
    <t>864X11.9</t>
  </si>
  <si>
    <t>864X12.7</t>
  </si>
  <si>
    <t>864X14.3</t>
  </si>
  <si>
    <t>864X15.9</t>
  </si>
  <si>
    <t>864X17.5</t>
  </si>
  <si>
    <t>864X19.1</t>
  </si>
  <si>
    <t>864X20.6</t>
  </si>
  <si>
    <t>864X22.2</t>
  </si>
  <si>
    <t>864X23.8</t>
  </si>
  <si>
    <t>864X25.4</t>
  </si>
  <si>
    <t>864X27</t>
  </si>
  <si>
    <t>864X28.6</t>
  </si>
  <si>
    <t>914X7.9</t>
  </si>
  <si>
    <t>914X8.7</t>
  </si>
  <si>
    <t>914X9.5</t>
  </si>
  <si>
    <t>914X10.3</t>
  </si>
  <si>
    <t>914X11.1</t>
  </si>
  <si>
    <t>914X11.9</t>
  </si>
  <si>
    <t>914X12.7</t>
  </si>
  <si>
    <t>914X14.3</t>
  </si>
  <si>
    <t>914X15.9</t>
  </si>
  <si>
    <t>914X17.5</t>
  </si>
  <si>
    <t>914X19.1</t>
  </si>
  <si>
    <t>914X20.6</t>
  </si>
  <si>
    <t>914X22.2</t>
  </si>
  <si>
    <t>914X23.8</t>
  </si>
  <si>
    <t>914X25.4</t>
  </si>
  <si>
    <t>914X27</t>
  </si>
  <si>
    <t>914X28.6</t>
  </si>
  <si>
    <t>965X7.9</t>
  </si>
  <si>
    <t>965X8.7</t>
  </si>
  <si>
    <t>965X9.5</t>
  </si>
  <si>
    <t>965X10.3</t>
  </si>
  <si>
    <t>965X11.1</t>
  </si>
  <si>
    <t>965X11.9</t>
  </si>
  <si>
    <t>965X12.7</t>
  </si>
  <si>
    <t>965X14.3</t>
  </si>
  <si>
    <t>965X15.9</t>
  </si>
  <si>
    <t>965X17.5</t>
  </si>
  <si>
    <t>965X19.1</t>
  </si>
  <si>
    <t>965X20.6</t>
  </si>
  <si>
    <t>965X22.2</t>
  </si>
  <si>
    <t>965X23.8</t>
  </si>
  <si>
    <t>965X25.4</t>
  </si>
  <si>
    <t>965X27</t>
  </si>
  <si>
    <t>965X28.6</t>
  </si>
  <si>
    <t>1016X7.9</t>
  </si>
  <si>
    <t>1016X8.7</t>
  </si>
  <si>
    <t>1016X9.5</t>
  </si>
  <si>
    <t>1016X10.3</t>
  </si>
  <si>
    <t>1016X11.1</t>
  </si>
  <si>
    <t>1016X11.9</t>
  </si>
  <si>
    <t>1016X12.7</t>
  </si>
  <si>
    <t>1016X14.3</t>
  </si>
  <si>
    <t>1016X15.9</t>
  </si>
  <si>
    <t>1016X17.5</t>
  </si>
  <si>
    <t>1016X19.1</t>
  </si>
  <si>
    <t>1016X20.6</t>
  </si>
  <si>
    <t>1016X22.2</t>
  </si>
  <si>
    <t>1016X23.8</t>
  </si>
  <si>
    <t>1016X25.4</t>
  </si>
  <si>
    <t>1016X27</t>
  </si>
  <si>
    <t>1016X28.6</t>
  </si>
  <si>
    <t>1067X9.5</t>
  </si>
  <si>
    <t>1067X10.3</t>
  </si>
  <si>
    <t>1067X11.1</t>
  </si>
  <si>
    <t>1067X11.9</t>
  </si>
  <si>
    <t>1067X12.7</t>
  </si>
  <si>
    <t>1067X14.3</t>
  </si>
  <si>
    <t>1067X15.9</t>
  </si>
  <si>
    <t>1067X17.5</t>
  </si>
  <si>
    <t>1067X19.1</t>
  </si>
  <si>
    <t>1067X20.6</t>
  </si>
  <si>
    <t>1067X22.2</t>
  </si>
  <si>
    <t>1067X23.8</t>
  </si>
  <si>
    <t>1067X25.4</t>
  </si>
  <si>
    <t>1067X27</t>
  </si>
  <si>
    <t>1067X28.6</t>
  </si>
  <si>
    <t>1118X9.5</t>
  </si>
  <si>
    <t>1118X10.3</t>
  </si>
  <si>
    <t>1118X11.1</t>
  </si>
  <si>
    <t>1118X11.9</t>
  </si>
  <si>
    <t>1118X12.7</t>
  </si>
  <si>
    <t>1118X14.3</t>
  </si>
  <si>
    <t>1118X15.9</t>
  </si>
  <si>
    <t>1118X17.5</t>
  </si>
  <si>
    <t>1118X19.1</t>
  </si>
  <si>
    <t>1118X20.6</t>
  </si>
  <si>
    <t>1118X22.2</t>
  </si>
  <si>
    <t>1168X9.5</t>
  </si>
  <si>
    <t>1168X10.3</t>
  </si>
  <si>
    <t>1168X11.1</t>
  </si>
  <si>
    <t>1168X11.9</t>
  </si>
  <si>
    <t>1168X12.7</t>
  </si>
  <si>
    <t>1168X14.3</t>
  </si>
  <si>
    <t>1168X15.9</t>
  </si>
  <si>
    <t>1168X17.5</t>
  </si>
  <si>
    <t>1168X19.1</t>
  </si>
  <si>
    <t>1168X20.6</t>
  </si>
  <si>
    <t>1168X22.2</t>
  </si>
  <si>
    <t>1219X9.5</t>
  </si>
  <si>
    <t>1219X10.3</t>
  </si>
  <si>
    <t>1219X11.1</t>
  </si>
  <si>
    <t>1219X11.9</t>
  </si>
  <si>
    <t>1219X12.7</t>
  </si>
  <si>
    <t>1219X14.3</t>
  </si>
  <si>
    <t>1219X15.9</t>
  </si>
  <si>
    <t>1219X17.5</t>
  </si>
  <si>
    <t>1219X19.1</t>
  </si>
  <si>
    <t>1219X20.6</t>
  </si>
  <si>
    <t>1219X22.2</t>
  </si>
  <si>
    <t>1270X9.5</t>
  </si>
  <si>
    <t>1270X10.3</t>
  </si>
  <si>
    <t>1270X11.1</t>
  </si>
  <si>
    <t>1270X11.9</t>
  </si>
  <si>
    <t>1270X12.7</t>
  </si>
  <si>
    <t>1270X14.3</t>
  </si>
  <si>
    <t>1270X15.9</t>
  </si>
  <si>
    <t>1270X17.5</t>
  </si>
  <si>
    <t>1270X19.1</t>
  </si>
  <si>
    <t>1270X20.6</t>
  </si>
  <si>
    <t>1270X22.2</t>
  </si>
  <si>
    <t>1321X9.5</t>
  </si>
  <si>
    <t>1321X10.3</t>
  </si>
  <si>
    <t>1321X11.1</t>
  </si>
  <si>
    <t>1321X11.9</t>
  </si>
  <si>
    <t>1321X12.7</t>
  </si>
  <si>
    <t>1321X14.3</t>
  </si>
  <si>
    <t>1321X15.9</t>
  </si>
  <si>
    <t>1321X17.5</t>
  </si>
  <si>
    <t>1321X19.1</t>
  </si>
  <si>
    <t>1321X20.6</t>
  </si>
  <si>
    <t>1321X22.2</t>
  </si>
  <si>
    <t>1372X9.5</t>
  </si>
  <si>
    <t>1372X10.3</t>
  </si>
  <si>
    <t>1372X11.1</t>
  </si>
  <si>
    <t>1372X11.9</t>
  </si>
  <si>
    <t>1372X12.7</t>
  </si>
  <si>
    <t>1372X14.3</t>
  </si>
  <si>
    <t>1372X15.9</t>
  </si>
  <si>
    <t>1372X17.5</t>
  </si>
  <si>
    <t>1372X19.1</t>
  </si>
  <si>
    <t>1372X20.6</t>
  </si>
  <si>
    <t>1372X22.2</t>
  </si>
  <si>
    <t>1422X11.9</t>
  </si>
  <si>
    <t>1422X12.7</t>
  </si>
  <si>
    <t>1422X14.3</t>
  </si>
  <si>
    <t>1422X15.9</t>
  </si>
  <si>
    <t>1422X17.5</t>
  </si>
  <si>
    <t>1422X19.1</t>
  </si>
  <si>
    <t>1422X20.6</t>
  </si>
  <si>
    <t>1422X22.2</t>
  </si>
  <si>
    <t>1473X11.9</t>
  </si>
  <si>
    <t>1473X12.7</t>
  </si>
  <si>
    <t>1473X14.3</t>
  </si>
  <si>
    <t>1473X15.9</t>
  </si>
  <si>
    <t>1473X17.5</t>
  </si>
  <si>
    <t>1473X19.1</t>
  </si>
  <si>
    <t>1473X20.6</t>
  </si>
  <si>
    <t>1473X22.2</t>
  </si>
  <si>
    <t>1524X11.9</t>
  </si>
  <si>
    <t>1524X12.7</t>
  </si>
  <si>
    <t>1524X14.3</t>
  </si>
  <si>
    <t>1524X15.9</t>
  </si>
  <si>
    <t>1524X17.5</t>
  </si>
  <si>
    <t>1524X19.1</t>
  </si>
  <si>
    <t>1524X20.6</t>
  </si>
  <si>
    <t>1524X22.2</t>
  </si>
  <si>
    <t>1626X11.9</t>
  </si>
  <si>
    <t>1626X12.7</t>
  </si>
  <si>
    <t>1626X14.3</t>
  </si>
  <si>
    <t>1626X15.9</t>
  </si>
  <si>
    <t>1626X17.5</t>
  </si>
  <si>
    <t>1626X19.1</t>
  </si>
  <si>
    <t>1626X20.6</t>
  </si>
  <si>
    <t>1626X22.2</t>
  </si>
  <si>
    <t>1676X11.9</t>
  </si>
  <si>
    <t>1676X12.7</t>
  </si>
  <si>
    <t>1676X14.3</t>
  </si>
  <si>
    <t>1676X15.9</t>
  </si>
  <si>
    <t>1676X17.5</t>
  </si>
  <si>
    <t>1676X19.1</t>
  </si>
  <si>
    <t>1676X20.6</t>
  </si>
  <si>
    <t>1676X22.2</t>
  </si>
  <si>
    <t>1829X11.9</t>
  </si>
  <si>
    <t>1829X12.7</t>
  </si>
  <si>
    <t>1829X14.3</t>
  </si>
  <si>
    <t>1829X15.9</t>
  </si>
  <si>
    <t>1829X17.5</t>
  </si>
  <si>
    <t>1829X19.1</t>
  </si>
  <si>
    <t>1829X20.6</t>
  </si>
  <si>
    <t>1829X22.2</t>
  </si>
  <si>
    <t>2020X11.9</t>
  </si>
  <si>
    <t>2020X12.7</t>
  </si>
  <si>
    <t>2020X14.3</t>
  </si>
  <si>
    <t>2020X15.9</t>
  </si>
  <si>
    <t>2020X17.5</t>
  </si>
  <si>
    <t>2020X19.1</t>
  </si>
  <si>
    <t>2020X20.6</t>
  </si>
  <si>
    <t>2020X22.2</t>
  </si>
  <si>
    <t>2134X11.9</t>
  </si>
  <si>
    <t>2134X12.7</t>
  </si>
  <si>
    <t>2134X14.3</t>
  </si>
  <si>
    <t>2134X15.9</t>
  </si>
  <si>
    <t>2134X17.5</t>
  </si>
  <si>
    <t>2134X19.1</t>
  </si>
  <si>
    <t>2134X20.6</t>
  </si>
  <si>
    <t>2134X22.2</t>
  </si>
  <si>
    <t>YB-STWSP102X2</t>
  </si>
  <si>
    <t>YB-STWSP102X2.5</t>
  </si>
  <si>
    <t>YB-STWSP102X3</t>
  </si>
  <si>
    <t>YB-STWSP102X3.5</t>
  </si>
  <si>
    <t>YB-STWSP102X4</t>
  </si>
  <si>
    <t>YB-STWSP102X4.5</t>
  </si>
  <si>
    <t>YB-STWSP102X5</t>
  </si>
  <si>
    <t>YB-STWSP108X3</t>
  </si>
  <si>
    <t>YB-STWSP108X3.5</t>
  </si>
  <si>
    <t>YB-STWSP108X4</t>
  </si>
  <si>
    <t>YB-STWSP114X3</t>
  </si>
  <si>
    <t>YB-STWSP114X3.5</t>
  </si>
  <si>
    <t>YB-STWSP114X4</t>
  </si>
  <si>
    <t>YB-STWSP114X4.5</t>
  </si>
  <si>
    <t>YB-STWSP114X5</t>
  </si>
  <si>
    <t>YB-STWSP121X3</t>
  </si>
  <si>
    <t>YB-STWSP121X3.5</t>
  </si>
  <si>
    <t>YB-STWSP121X4</t>
  </si>
  <si>
    <t>YB-STWSP127X3</t>
  </si>
  <si>
    <t>YB-STWSP127X3.5</t>
  </si>
  <si>
    <t>YB-STWSP127X4</t>
  </si>
  <si>
    <t>YB-STWSP127X4.5</t>
  </si>
  <si>
    <t>YB-STWSP127X5</t>
  </si>
  <si>
    <t>YB-STWSP133X3.5</t>
  </si>
  <si>
    <t>YB-STWSP133X4</t>
  </si>
  <si>
    <t>YB-STWSP133X4.5</t>
  </si>
  <si>
    <t>YB-STWSP133X5</t>
  </si>
  <si>
    <t>YB-STWSP140X3.5</t>
  </si>
  <si>
    <t>YB-STWSP140X4</t>
  </si>
  <si>
    <t>YB-STWSP140X4.5</t>
  </si>
  <si>
    <t>YB-STWSP140X5</t>
  </si>
  <si>
    <t>YB-STWSP140X5.5</t>
  </si>
  <si>
    <t>YB-STWSP152X3.5</t>
  </si>
  <si>
    <t>YB-STWSP152X4</t>
  </si>
  <si>
    <t>YB-STWSP152X4.5</t>
  </si>
  <si>
    <t>YB-STWSP152X5</t>
  </si>
  <si>
    <t>YB-STWSP152X5.5</t>
  </si>
  <si>
    <t>YB-STWSP32X2</t>
  </si>
  <si>
    <t>YB-STWSP32X2.5</t>
  </si>
  <si>
    <t>YB-STWSP38X2</t>
  </si>
  <si>
    <t>YB-STWSP38X2.5</t>
  </si>
  <si>
    <t>YB-STWSP40X2</t>
  </si>
  <si>
    <t>YB-STWSP40X2.5</t>
  </si>
  <si>
    <t>YB-STWSP42X2</t>
  </si>
  <si>
    <t>YB-STWSP42X2.5</t>
  </si>
  <si>
    <t>YB-STWSP45X2</t>
  </si>
  <si>
    <t>YB-STWSP45X2.5</t>
  </si>
  <si>
    <t>YB-STWSP45X3</t>
  </si>
  <si>
    <t>YB-STWSP51X2</t>
  </si>
  <si>
    <t>YB-STWSP51X2.5</t>
  </si>
  <si>
    <t>YB-STWSP51X3</t>
  </si>
  <si>
    <t>YB-STWSP51X3.5</t>
  </si>
  <si>
    <t>YB-STWSP53X2</t>
  </si>
  <si>
    <t>YB-STWSP53X2.5</t>
  </si>
  <si>
    <t>YB-STWSP53X3</t>
  </si>
  <si>
    <t>YB-STWSP53X3.5</t>
  </si>
  <si>
    <t>YB-STWSP57X2</t>
  </si>
  <si>
    <t>YB-STWSP57X2.5</t>
  </si>
  <si>
    <t>YB-STWSP57X3</t>
  </si>
  <si>
    <t>YB-STWSP57X3.5</t>
  </si>
  <si>
    <t>YB-STWSP60X2</t>
  </si>
  <si>
    <t>YB-STWSP60X2.5</t>
  </si>
  <si>
    <t>YB-STWSP60X3</t>
  </si>
  <si>
    <t>YB-STWSP60X3.5</t>
  </si>
  <si>
    <t>YB-STWSP63.5X2</t>
  </si>
  <si>
    <t>YB-STWSP63.5X2.5</t>
  </si>
  <si>
    <t>YB-STWSP63.5X3</t>
  </si>
  <si>
    <t>YB-STWSP63.5X3.5</t>
  </si>
  <si>
    <t>YB-STWSP70X2</t>
  </si>
  <si>
    <t>YB-STWSP70X2.5</t>
  </si>
  <si>
    <t>YB-STWSP70X3</t>
  </si>
  <si>
    <t>YB-STWSP70X3.5</t>
  </si>
  <si>
    <t>YB-STWSP70X4.5</t>
  </si>
  <si>
    <t>YB-STWSP76X2</t>
  </si>
  <si>
    <t>YB-STWSP76X2.5</t>
  </si>
  <si>
    <t>YB-STWSP76X3</t>
  </si>
  <si>
    <t>YB-STWSP76X3.5</t>
  </si>
  <si>
    <t>YB-STWSP76X4</t>
  </si>
  <si>
    <t>YB-STWSP76X4.6</t>
  </si>
  <si>
    <t>YB-STWSP83X2</t>
  </si>
  <si>
    <t>YB-STWSP83X2.5</t>
  </si>
  <si>
    <t>YB-STWSP83X3</t>
  </si>
  <si>
    <t>YB-STWSP83X3.5</t>
  </si>
  <si>
    <t>YB-STWSP83X4</t>
  </si>
  <si>
    <t>YB-STWSP83X4.5</t>
  </si>
  <si>
    <t>YB-STWSP89X2</t>
  </si>
  <si>
    <t>YB-STWSP89X2.5</t>
  </si>
  <si>
    <t>YB-STWSP89X3</t>
  </si>
  <si>
    <t>YB-STWSP89X3.5</t>
  </si>
  <si>
    <t>YB-STWSP89X4</t>
  </si>
  <si>
    <t>YB-STWSP89X4.5</t>
  </si>
  <si>
    <t>YB-STWSP95X2</t>
  </si>
  <si>
    <t>YB-STWSP95X2.5</t>
  </si>
  <si>
    <t>YB-STWSP95X3</t>
  </si>
  <si>
    <t>YB-STWSP95X3.5</t>
  </si>
  <si>
    <t>D / t</t>
  </si>
  <si>
    <t>PIPE  DIAMETER</t>
  </si>
  <si>
    <t>Raduis of gyration</t>
  </si>
  <si>
    <t>CASE TYPE</t>
  </si>
  <si>
    <t>GB-SSP159X10</t>
  </si>
  <si>
    <t>GB-SSP159X4.5</t>
  </si>
  <si>
    <t>GB-SSP159X5</t>
  </si>
  <si>
    <t>GB-SSP159X5.5</t>
  </si>
  <si>
    <t>GB-SSP159X6</t>
  </si>
  <si>
    <t>GB-SSP159X6.5</t>
  </si>
  <si>
    <t>GB-SSP159X7</t>
  </si>
  <si>
    <t>GB-SSP159X7.5</t>
  </si>
  <si>
    <t>GB-SSP159X8</t>
  </si>
  <si>
    <t>GB-SSP159X9</t>
  </si>
  <si>
    <t>GB-SSP168X10</t>
  </si>
  <si>
    <t>GB-SSP168X4.5</t>
  </si>
  <si>
    <t>GB-SSP168X5</t>
  </si>
  <si>
    <t>GB-SSP168X5.5</t>
  </si>
  <si>
    <t>GB-SSP168X6</t>
  </si>
  <si>
    <t>GB-SSP168X6.5</t>
  </si>
  <si>
    <t>GB-SSP168X7</t>
  </si>
  <si>
    <t>GB-SSP168X7.5</t>
  </si>
  <si>
    <t>GB-SSP168X8</t>
  </si>
  <si>
    <t>GB-SSP168X9</t>
  </si>
  <si>
    <t>GB-SSP180X10</t>
  </si>
  <si>
    <t>GB-SSP180X12</t>
  </si>
  <si>
    <t>GB-SSP180X5</t>
  </si>
  <si>
    <t>GB-SSP180X5.5</t>
  </si>
  <si>
    <t>GB-SSP180X6</t>
  </si>
  <si>
    <t>GB-SSP180X6.5</t>
  </si>
  <si>
    <t>GB-SSP180X7</t>
  </si>
  <si>
    <t>GB-SSP180X7.5</t>
  </si>
  <si>
    <t>GB-SSP180X8</t>
  </si>
  <si>
    <t>GB-SSP180X9</t>
  </si>
  <si>
    <t>GB-SSP194X10</t>
  </si>
  <si>
    <t>GB-SSP194X12</t>
  </si>
  <si>
    <t>GB-SSP194X5</t>
  </si>
  <si>
    <t>GB-SSP194X5.5</t>
  </si>
  <si>
    <t>GB-SSP194X6</t>
  </si>
  <si>
    <t>GB-SSP194X6.5</t>
  </si>
  <si>
    <t>GB-SSP194X7</t>
  </si>
  <si>
    <t>GB-SSP194X7.5</t>
  </si>
  <si>
    <t>GB-SSP194X8</t>
  </si>
  <si>
    <t>GB-SSP194X9</t>
  </si>
  <si>
    <t>GB-SSP203X10</t>
  </si>
  <si>
    <t>GB-SSP203X12</t>
  </si>
  <si>
    <t>GB-SSP203X14</t>
  </si>
  <si>
    <t>GB-SSP203X16</t>
  </si>
  <si>
    <t>GB-SSP203X6</t>
  </si>
  <si>
    <t>GB-SSP203X6.5</t>
  </si>
  <si>
    <t>GB-SSP203X7</t>
  </si>
  <si>
    <t>GB-SSP203X7.5</t>
  </si>
  <si>
    <t>GB-SSP203X8</t>
  </si>
  <si>
    <t>GB-SSP203X9</t>
  </si>
  <si>
    <t>GB-SSP219X10</t>
  </si>
  <si>
    <t>GB-SSP219X12</t>
  </si>
  <si>
    <t>GB-SSP219X14</t>
  </si>
  <si>
    <t>GB-SSP219X16</t>
  </si>
  <si>
    <t>GB-SSP219X6</t>
  </si>
  <si>
    <t>GB-SSP219X6.5</t>
  </si>
  <si>
    <t>GB-SSP219X7</t>
  </si>
  <si>
    <t>GB-SSP219X7.5</t>
  </si>
  <si>
    <t>GB-SSP219X8</t>
  </si>
  <si>
    <t>GB-SSP219X9</t>
  </si>
  <si>
    <t>GB-SSP245X10</t>
  </si>
  <si>
    <t>GB-SSP245X12</t>
  </si>
  <si>
    <t>GB-SSP245X14</t>
  </si>
  <si>
    <t>GB-SSP245X16</t>
  </si>
  <si>
    <t>GB-SSP245X6.5</t>
  </si>
  <si>
    <t>GB-SSP245X7</t>
  </si>
  <si>
    <t>GB-SSP245X7.5</t>
  </si>
  <si>
    <t>GB-SSP245X8</t>
  </si>
  <si>
    <t>GB-SSP245X9</t>
  </si>
  <si>
    <t>GB-SSP273X10</t>
  </si>
  <si>
    <t>GB-SSP273X12</t>
  </si>
  <si>
    <t>GB-SSP273X14</t>
  </si>
  <si>
    <t>GB-SSP273X16</t>
  </si>
  <si>
    <t>GB-SSP273X6.5</t>
  </si>
  <si>
    <t>GB-SSP273X7</t>
  </si>
  <si>
    <t>GB-SSP273X7.5</t>
  </si>
  <si>
    <t>GB-SSP273X8</t>
  </si>
  <si>
    <t>GB-SSP273X9</t>
  </si>
  <si>
    <t>GB-SSP299X10</t>
  </si>
  <si>
    <t>GB-SSP299X12</t>
  </si>
  <si>
    <t>GB-SSP299X14</t>
  </si>
  <si>
    <t>GB-SSP299X16</t>
  </si>
  <si>
    <t>GB-SSP299X7.5</t>
  </si>
  <si>
    <t>GB-SSP299X8</t>
  </si>
  <si>
    <t>GB-SSP299X9</t>
  </si>
  <si>
    <t>GB-SSP325X10</t>
  </si>
  <si>
    <t>GB-SSP325X12</t>
  </si>
  <si>
    <t>GB-SSP325X14</t>
  </si>
  <si>
    <t>GB-SSP325X16</t>
  </si>
  <si>
    <t>GB-SSP325X7.5</t>
  </si>
  <si>
    <t>GB-SSP325X8</t>
  </si>
  <si>
    <t>GB-SSP325X9</t>
  </si>
  <si>
    <t>GB-SSP351X10</t>
  </si>
  <si>
    <t>GB-SSP351X12</t>
  </si>
  <si>
    <t>GB-SSP351X14</t>
  </si>
  <si>
    <t>GB-SSP351X16</t>
  </si>
  <si>
    <t>GB-SSP351X8</t>
  </si>
  <si>
    <t>GB-SSP351X9</t>
  </si>
  <si>
    <t>Moment Of Inertia</t>
  </si>
  <si>
    <t>Mx       =</t>
  </si>
  <si>
    <t>My       =</t>
  </si>
  <si>
    <t>m.ton</t>
  </si>
  <si>
    <t>MEMBER TYPE</t>
  </si>
  <si>
    <t>"B"=Bracing,"M"=NORMAL MEMBER</t>
  </si>
  <si>
    <t>PIPE-102X5</t>
  </si>
  <si>
    <t>PIPE-159X10</t>
  </si>
  <si>
    <t>PIPE-159X6</t>
  </si>
  <si>
    <t>PIPE-300X6</t>
  </si>
  <si>
    <t>PIPE-300X8</t>
  </si>
  <si>
    <t>PIPE-400X8</t>
  </si>
  <si>
    <t>PIPE-500X10</t>
  </si>
  <si>
    <t>PIPE-500X16</t>
  </si>
  <si>
    <t>PIPE-500X8</t>
  </si>
  <si>
    <t>PIPE-600X10</t>
  </si>
  <si>
    <t>PIPE-600X14</t>
  </si>
  <si>
    <t>PIPE-600X16</t>
  </si>
  <si>
    <t>PIPE-650X16</t>
  </si>
  <si>
    <t>PIPE-88.9X4</t>
  </si>
  <si>
    <t>BOLTS DESIGN</t>
  </si>
  <si>
    <r>
      <t>R</t>
    </r>
    <r>
      <rPr>
        <vertAlign val="subscript"/>
        <sz val="10"/>
        <color indexed="39"/>
        <rFont val="Arial"/>
        <family val="2"/>
        <charset val="178"/>
      </rPr>
      <t>S.S</t>
    </r>
  </si>
  <si>
    <r>
      <t>P</t>
    </r>
    <r>
      <rPr>
        <vertAlign val="subscript"/>
        <sz val="10"/>
        <color indexed="39"/>
        <rFont val="Arial"/>
        <family val="2"/>
        <charset val="178"/>
      </rPr>
      <t>S</t>
    </r>
  </si>
  <si>
    <t>No of Bolts</t>
  </si>
  <si>
    <t>Nr</t>
  </si>
  <si>
    <t>E / d  =</t>
  </si>
  <si>
    <t>Bolt Type</t>
  </si>
  <si>
    <r>
      <t>R</t>
    </r>
    <r>
      <rPr>
        <vertAlign val="subscript"/>
        <sz val="10"/>
        <color indexed="39"/>
        <rFont val="Arial"/>
        <family val="2"/>
        <charset val="178"/>
      </rPr>
      <t>b</t>
    </r>
  </si>
  <si>
    <r>
      <t xml:space="preserve">a </t>
    </r>
    <r>
      <rPr>
        <vertAlign val="subscript"/>
        <sz val="12"/>
        <color indexed="12"/>
        <rFont val="Arial"/>
        <family val="2"/>
      </rPr>
      <t>Bearing</t>
    </r>
  </si>
  <si>
    <t>Bolt Diameter (d)</t>
  </si>
  <si>
    <r>
      <t>R</t>
    </r>
    <r>
      <rPr>
        <vertAlign val="subscript"/>
        <sz val="10"/>
        <color indexed="39"/>
        <rFont val="Arial"/>
        <family val="2"/>
        <charset val="178"/>
      </rPr>
      <t>L</t>
    </r>
  </si>
  <si>
    <r>
      <t xml:space="preserve">f </t>
    </r>
    <r>
      <rPr>
        <vertAlign val="subscript"/>
        <sz val="12"/>
        <color indexed="12"/>
        <rFont val="Arial"/>
        <family val="2"/>
      </rPr>
      <t>Holes Size</t>
    </r>
  </si>
  <si>
    <t>PIPE THICK</t>
  </si>
  <si>
    <t>Calculated</t>
  </si>
  <si>
    <t>Shear Planes</t>
  </si>
  <si>
    <t>Minimum distance b/w bolts</t>
  </si>
  <si>
    <t>Minimum edge distance (E)</t>
  </si>
  <si>
    <t>Direct Shearing Force per Bolt</t>
  </si>
  <si>
    <t>Allowable Shear</t>
  </si>
  <si>
    <t>InterAction Ratio</t>
  </si>
  <si>
    <t>I.R</t>
  </si>
  <si>
    <t>SECTION</t>
  </si>
  <si>
    <t>GUSSET</t>
  </si>
  <si>
    <t>Minimum Plate thickness for Bearing</t>
  </si>
  <si>
    <r>
      <t>f</t>
    </r>
    <r>
      <rPr>
        <vertAlign val="subscript"/>
        <sz val="10"/>
        <color indexed="8"/>
        <rFont val="Arial"/>
        <family val="2"/>
      </rPr>
      <t>ult</t>
    </r>
  </si>
  <si>
    <r>
      <t>Ansh  (cm</t>
    </r>
    <r>
      <rPr>
        <vertAlign val="superscript"/>
        <sz val="10"/>
        <color indexed="12"/>
        <rFont val="Arial"/>
        <family val="2"/>
      </rPr>
      <t>2</t>
    </r>
    <r>
      <rPr>
        <sz val="10"/>
        <color indexed="12"/>
        <rFont val="Arial"/>
        <family val="2"/>
        <charset val="178"/>
      </rPr>
      <t xml:space="preserve">)   </t>
    </r>
  </si>
  <si>
    <r>
      <t>At  (cm</t>
    </r>
    <r>
      <rPr>
        <vertAlign val="superscript"/>
        <sz val="10"/>
        <color indexed="12"/>
        <rFont val="Arial"/>
        <family val="2"/>
      </rPr>
      <t>2</t>
    </r>
    <r>
      <rPr>
        <sz val="10"/>
        <color indexed="12"/>
        <rFont val="Arial"/>
        <family val="2"/>
        <charset val="178"/>
      </rPr>
      <t>)    =</t>
    </r>
  </si>
  <si>
    <t xml:space="preserve">Check on Gusset Pl. thickness </t>
  </si>
  <si>
    <t>Block shear rupture  = 0.4 Fy*Ansh+ 0.725 Fy*At*n =</t>
  </si>
  <si>
    <t>WELD DESIGN :</t>
  </si>
  <si>
    <t>No. of welding lines</t>
  </si>
  <si>
    <t>Q-345B</t>
  </si>
  <si>
    <t>Steel Grade of Gusset Plate</t>
  </si>
  <si>
    <t>fy gusset</t>
  </si>
  <si>
    <t>Min weld length</t>
  </si>
  <si>
    <t>fq</t>
  </si>
  <si>
    <t>=</t>
  </si>
  <si>
    <r>
      <t>t/cm</t>
    </r>
    <r>
      <rPr>
        <vertAlign val="superscript"/>
        <sz val="10"/>
        <color indexed="39"/>
        <rFont val="Arial"/>
        <family val="2"/>
        <charset val="178"/>
      </rPr>
      <t>2</t>
    </r>
  </si>
  <si>
    <t>BOLT DIAM.</t>
  </si>
  <si>
    <t>NET AREA</t>
  </si>
  <si>
    <t>Thread DIAM.</t>
  </si>
  <si>
    <t>Ps</t>
  </si>
  <si>
    <t>BOLT-GRADE</t>
  </si>
  <si>
    <t>FUB
ton/cm2</t>
  </si>
  <si>
    <t>FYB
ton/cm2</t>
  </si>
  <si>
    <t>qs.s
ton/cm2</t>
  </si>
  <si>
    <t>ft
ton/cm2</t>
  </si>
  <si>
    <t>t&lt;40 mm</t>
  </si>
  <si>
    <t>Steel Grade</t>
  </si>
  <si>
    <r>
      <t>F</t>
    </r>
    <r>
      <rPr>
        <vertAlign val="subscript"/>
        <sz val="10"/>
        <rFont val="Arial"/>
        <family val="2"/>
      </rPr>
      <t>y</t>
    </r>
  </si>
  <si>
    <r>
      <t>F</t>
    </r>
    <r>
      <rPr>
        <vertAlign val="subscript"/>
        <sz val="10"/>
        <rFont val="Arial"/>
        <family val="2"/>
      </rPr>
      <t>u</t>
    </r>
  </si>
  <si>
    <r>
      <t>F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</si>
  <si>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crp</t>
    </r>
  </si>
  <si>
    <r>
      <t>F</t>
    </r>
    <r>
      <rPr>
        <vertAlign val="subscript"/>
        <sz val="10"/>
        <rFont val="Arial"/>
        <family val="2"/>
      </rPr>
      <t>b</t>
    </r>
  </si>
  <si>
    <r>
      <t>q</t>
    </r>
    <r>
      <rPr>
        <vertAlign val="subscript"/>
        <sz val="12"/>
        <rFont val="Arial"/>
        <family val="2"/>
        <charset val="178"/>
      </rPr>
      <t>t</t>
    </r>
  </si>
  <si>
    <t>St-37</t>
  </si>
  <si>
    <t>St-44</t>
  </si>
  <si>
    <t>St-52</t>
  </si>
  <si>
    <t>Q-235B</t>
  </si>
  <si>
    <t>Edge Distance
----------------------
Bolt Diameter</t>
  </si>
  <si>
    <t>a</t>
  </si>
  <si>
    <t>Steel grade</t>
  </si>
  <si>
    <t>Min.Gusset Pl. width =</t>
  </si>
  <si>
    <t>Inclination of Member</t>
  </si>
  <si>
    <t>degrees</t>
  </si>
  <si>
    <t>Radian</t>
  </si>
  <si>
    <r>
      <t>f</t>
    </r>
    <r>
      <rPr>
        <vertAlign val="subscript"/>
        <sz val="10"/>
        <rFont val="Arial"/>
        <family val="2"/>
      </rPr>
      <t>t</t>
    </r>
  </si>
  <si>
    <t>PIPE-650X20</t>
  </si>
  <si>
    <t>Gusset Pl. number =</t>
  </si>
  <si>
    <t xml:space="preserve">Fillet Weld </t>
  </si>
  <si>
    <t xml:space="preserve">Butt Weld </t>
  </si>
  <si>
    <t>S2 Welding type :</t>
  </si>
  <si>
    <t>Bearing Type</t>
  </si>
  <si>
    <t>No. of welding lines for all sides/per plate</t>
  </si>
  <si>
    <t>CONNECTION DESIGN:</t>
  </si>
  <si>
    <t>Gusset plate data:</t>
  </si>
  <si>
    <t>G. pl. thickness=</t>
  </si>
  <si>
    <t>Edge distance</t>
  </si>
  <si>
    <t>Pitch distance</t>
  </si>
  <si>
    <t xml:space="preserve">ton   </t>
  </si>
  <si>
    <t>mm     No rows  =</t>
  </si>
  <si>
    <t>mm No bolts/row=</t>
  </si>
  <si>
    <t>G. pl. length perpendicular on pipe W1 =</t>
  </si>
  <si>
    <t>G. pl. length along pipe=</t>
  </si>
  <si>
    <t>Welding length =G. pl. length along pipe=</t>
  </si>
  <si>
    <t>Clearness per one side =</t>
  </si>
  <si>
    <t>Gusset plate width W1=</t>
  </si>
  <si>
    <t xml:space="preserve"> min G. pl = pipe+clearness</t>
  </si>
  <si>
    <t>Fbx              =</t>
  </si>
  <si>
    <t>Fby             =</t>
  </si>
  <si>
    <r>
      <t>t \ cm</t>
    </r>
    <r>
      <rPr>
        <vertAlign val="superscript"/>
        <sz val="10"/>
        <color indexed="12"/>
        <rFont val="Arial"/>
        <family val="2"/>
      </rPr>
      <t>3</t>
    </r>
    <r>
      <rPr>
        <sz val="10"/>
        <rFont val="Arial"/>
      </rPr>
      <t/>
    </r>
  </si>
  <si>
    <r>
      <t>F</t>
    </r>
    <r>
      <rPr>
        <vertAlign val="subscript"/>
        <sz val="10"/>
        <color indexed="12"/>
        <rFont val="Arial"/>
        <family val="2"/>
      </rPr>
      <t xml:space="preserve">bx                   </t>
    </r>
    <r>
      <rPr>
        <sz val="10"/>
        <color indexed="12"/>
        <rFont val="Arial"/>
        <family val="2"/>
      </rPr>
      <t xml:space="preserve"> =</t>
    </r>
  </si>
  <si>
    <r>
      <t>F</t>
    </r>
    <r>
      <rPr>
        <vertAlign val="subscript"/>
        <sz val="10"/>
        <color indexed="12"/>
        <rFont val="Arial"/>
        <family val="2"/>
      </rPr>
      <t xml:space="preserve">by                   </t>
    </r>
    <r>
      <rPr>
        <sz val="10"/>
        <color indexed="12"/>
        <rFont val="Arial"/>
        <family val="2"/>
      </rPr>
      <t xml:space="preserve"> =</t>
    </r>
  </si>
  <si>
    <t>Fc               =</t>
  </si>
  <si>
    <t>Cmy   =</t>
  </si>
  <si>
    <t>Cmx   =</t>
  </si>
  <si>
    <t>Fca/Fc     =</t>
  </si>
  <si>
    <r>
      <t>fc</t>
    </r>
    <r>
      <rPr>
        <vertAlign val="subscript"/>
        <sz val="10"/>
        <color indexed="12"/>
        <rFont val="Arial"/>
        <family val="2"/>
      </rPr>
      <t xml:space="preserve">a                </t>
    </r>
    <r>
      <rPr>
        <sz val="10"/>
        <color indexed="12"/>
        <rFont val="Arial"/>
        <family val="2"/>
      </rPr>
      <t xml:space="preserve">  =</t>
    </r>
  </si>
  <si>
    <r>
      <t>f</t>
    </r>
    <r>
      <rPr>
        <vertAlign val="subscript"/>
        <sz val="10"/>
        <color indexed="12"/>
        <rFont val="Arial"/>
        <family val="2"/>
      </rPr>
      <t xml:space="preserve">t                  </t>
    </r>
    <r>
      <rPr>
        <sz val="10"/>
        <color indexed="12"/>
        <rFont val="Arial"/>
        <family val="2"/>
      </rPr>
      <t xml:space="preserve"> =</t>
    </r>
  </si>
  <si>
    <t>Fex                       =</t>
  </si>
  <si>
    <t>Fey                       =</t>
  </si>
  <si>
    <t>A1              =</t>
  </si>
  <si>
    <t>A2              =</t>
  </si>
  <si>
    <t>Ft               =</t>
  </si>
  <si>
    <t>ONE</t>
  </si>
  <si>
    <t>Weld Size S (between G. pl. &amp; pipe)</t>
  </si>
  <si>
    <t>Weld Size S1 (weld between beam and G. pl. )</t>
  </si>
  <si>
    <t>B</t>
  </si>
  <si>
    <t>219X4</t>
  </si>
  <si>
    <r>
      <t>DESIGN OF PIPE SECTION (ECOP)</t>
    </r>
    <r>
      <rPr>
        <b/>
        <vertAlign val="superscript"/>
        <sz val="12"/>
        <rFont val="Arial"/>
        <family val="2"/>
      </rPr>
      <t>5</t>
    </r>
    <r>
      <rPr>
        <b/>
        <sz val="12"/>
        <rFont val="Arial"/>
        <family val="2"/>
      </rPr>
      <t xml:space="preserve">
SUBJECTED TO N , Mx ,My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</si>
</sst>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  <charset val="178"/>
    </font>
    <font>
      <sz val="10"/>
      <color indexed="10"/>
      <name val="Arial"/>
      <family val="2"/>
      <charset val="178"/>
    </font>
    <font>
      <sz val="8"/>
      <name val="Arial"/>
      <family val="2"/>
      <charset val="178"/>
    </font>
    <font>
      <sz val="8"/>
      <color indexed="8"/>
      <name val="Arial"/>
      <family val="2"/>
      <charset val="178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10"/>
      <color indexed="39"/>
      <name val="Arial"/>
      <family val="2"/>
      <charset val="178"/>
    </font>
    <font>
      <sz val="10"/>
      <color indexed="10"/>
      <name val="Arial"/>
      <family val="2"/>
    </font>
    <font>
      <vertAlign val="superscript"/>
      <sz val="10"/>
      <color indexed="12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vertAlign val="superscript"/>
      <sz val="10"/>
      <color indexed="39"/>
      <name val="Arial"/>
      <family val="2"/>
    </font>
    <font>
      <vertAlign val="subscript"/>
      <sz val="10"/>
      <color indexed="12"/>
      <name val="Arial"/>
      <family val="2"/>
    </font>
    <font>
      <sz val="10"/>
      <color indexed="12"/>
      <name val="Arial"/>
      <family val="2"/>
    </font>
    <font>
      <sz val="12"/>
      <color indexed="12"/>
      <name val="Symbol"/>
      <family val="1"/>
      <charset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178"/>
    </font>
    <font>
      <sz val="8"/>
      <color indexed="39"/>
      <name val="Arial"/>
      <family val="2"/>
      <charset val="178"/>
    </font>
    <font>
      <vertAlign val="subscript"/>
      <sz val="10"/>
      <color indexed="39"/>
      <name val="Arial"/>
      <family val="2"/>
      <charset val="178"/>
    </font>
    <font>
      <sz val="10"/>
      <color indexed="10"/>
      <name val="Arial"/>
      <family val="2"/>
    </font>
    <font>
      <vertAlign val="subscript"/>
      <sz val="12"/>
      <color indexed="12"/>
      <name val="Arial"/>
      <family val="2"/>
    </font>
    <font>
      <sz val="10"/>
      <color indexed="8"/>
      <name val="Arial"/>
      <family val="2"/>
      <charset val="178"/>
    </font>
    <font>
      <b/>
      <sz val="10"/>
      <color indexed="10"/>
      <name val="Arial"/>
      <family val="2"/>
    </font>
    <font>
      <vertAlign val="subscript"/>
      <sz val="10"/>
      <color indexed="8"/>
      <name val="Arial"/>
      <family val="2"/>
    </font>
    <font>
      <sz val="10"/>
      <color indexed="12"/>
      <name val="Arial"/>
      <family val="2"/>
      <charset val="178"/>
    </font>
    <font>
      <sz val="10"/>
      <color indexed="10"/>
      <name val="Arial"/>
      <family val="2"/>
    </font>
    <font>
      <sz val="10"/>
      <color indexed="56"/>
      <name val="Arial"/>
      <family val="2"/>
    </font>
    <font>
      <vertAlign val="superscript"/>
      <sz val="10"/>
      <color indexed="39"/>
      <name val="Arial"/>
      <family val="2"/>
      <charset val="178"/>
    </font>
    <font>
      <sz val="10"/>
      <color indexed="17"/>
      <name val="Arial"/>
      <family val="2"/>
      <charset val="178"/>
    </font>
    <font>
      <sz val="8"/>
      <color indexed="12"/>
      <name val="Arial"/>
      <family val="2"/>
      <charset val="178"/>
    </font>
    <font>
      <sz val="8"/>
      <color indexed="10"/>
      <name val="Arial"/>
      <family val="2"/>
      <charset val="178"/>
    </font>
    <font>
      <vertAlign val="subscript"/>
      <sz val="10"/>
      <name val="Arial"/>
      <family val="2"/>
    </font>
    <font>
      <sz val="12"/>
      <name val="Arial"/>
      <family val="2"/>
      <charset val="178"/>
    </font>
    <font>
      <vertAlign val="subscript"/>
      <sz val="12"/>
      <name val="Arial"/>
      <family val="2"/>
      <charset val="178"/>
    </font>
    <font>
      <sz val="10"/>
      <name val="Arial"/>
      <family val="2"/>
      <charset val="178"/>
    </font>
    <font>
      <sz val="12"/>
      <name val="Symbol"/>
      <family val="1"/>
      <charset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3"/>
      <name val="Arial"/>
      <family val="2"/>
    </font>
    <font>
      <sz val="9"/>
      <color indexed="10"/>
      <name val="Arial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readingOrder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Continuous" vertical="center"/>
    </xf>
    <xf numFmtId="2" fontId="0" fillId="0" borderId="1" xfId="0" applyNumberFormat="1" applyBorder="1" applyAlignment="1">
      <alignment horizontal="centerContinuous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0" fontId="1" fillId="0" borderId="0" xfId="0" applyFont="1"/>
    <xf numFmtId="0" fontId="8" fillId="0" borderId="0" xfId="0" applyFont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vertical="center"/>
      <protection locked="0"/>
    </xf>
    <xf numFmtId="0" fontId="8" fillId="3" borderId="0" xfId="0" applyFont="1" applyFill="1" applyBorder="1" applyAlignment="1" applyProtection="1">
      <alignment horizontal="left" vertical="center"/>
    </xf>
    <xf numFmtId="0" fontId="10" fillId="3" borderId="0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horizontal="right" vertical="center"/>
    </xf>
    <xf numFmtId="0" fontId="11" fillId="3" borderId="0" xfId="0" applyFont="1" applyFill="1" applyBorder="1" applyAlignment="1" applyProtection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left" vertical="center"/>
    </xf>
    <xf numFmtId="2" fontId="15" fillId="0" borderId="0" xfId="0" applyNumberFormat="1" applyFont="1" applyAlignment="1">
      <alignment horizontal="right"/>
    </xf>
    <xf numFmtId="0" fontId="18" fillId="0" borderId="0" xfId="0" applyFont="1" applyBorder="1" applyAlignment="1">
      <alignment horizontal="left" vertical="center"/>
    </xf>
    <xf numFmtId="2" fontId="15" fillId="0" borderId="0" xfId="0" applyNumberFormat="1" applyFont="1" applyAlignment="1">
      <alignment horizontal="center"/>
    </xf>
    <xf numFmtId="164" fontId="15" fillId="0" borderId="0" xfId="0" applyNumberFormat="1" applyFont="1"/>
    <xf numFmtId="0" fontId="13" fillId="0" borderId="0" xfId="0" applyFont="1" applyBorder="1"/>
    <xf numFmtId="0" fontId="22" fillId="0" borderId="0" xfId="0" applyFont="1" applyBorder="1" applyProtection="1">
      <protection hidden="1"/>
    </xf>
    <xf numFmtId="2" fontId="9" fillId="0" borderId="0" xfId="0" applyNumberFormat="1" applyFont="1" applyBorder="1" applyProtection="1">
      <protection hidden="1"/>
    </xf>
    <xf numFmtId="0" fontId="14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 applyProtection="1"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24" fillId="4" borderId="1" xfId="0" applyFont="1" applyFill="1" applyBorder="1" applyAlignment="1" applyProtection="1">
      <alignment horizontal="center" vertical="center"/>
      <protection hidden="1"/>
    </xf>
    <xf numFmtId="0" fontId="21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left" vertical="center"/>
      <protection locked="0"/>
    </xf>
    <xf numFmtId="2" fontId="0" fillId="0" borderId="1" xfId="0" applyNumberFormat="1" applyBorder="1" applyAlignment="1">
      <alignment horizont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vertical="center"/>
      <protection hidden="1"/>
    </xf>
    <xf numFmtId="0" fontId="8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ill="1" applyBorder="1" applyProtection="1">
      <protection hidden="1"/>
    </xf>
    <xf numFmtId="0" fontId="10" fillId="3" borderId="0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 applyProtection="1">
      <alignment vertical="center"/>
      <protection hidden="1"/>
    </xf>
    <xf numFmtId="0" fontId="9" fillId="2" borderId="1" xfId="0" applyFont="1" applyFill="1" applyBorder="1" applyAlignment="1" applyProtection="1">
      <alignment horizontal="center"/>
      <protection locked="0"/>
    </xf>
    <xf numFmtId="2" fontId="9" fillId="0" borderId="0" xfId="0" applyNumberFormat="1" applyFont="1" applyBorder="1" applyProtection="1">
      <protection locked="0"/>
    </xf>
    <xf numFmtId="0" fontId="23" fillId="0" borderId="0" xfId="0" applyFont="1" applyBorder="1" applyProtection="1">
      <protection hidden="1"/>
    </xf>
    <xf numFmtId="164" fontId="27" fillId="0" borderId="0" xfId="0" applyNumberFormat="1" applyFont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27" fillId="0" borderId="0" xfId="0" applyFont="1" applyBorder="1" applyAlignment="1" applyProtection="1">
      <alignment horizontal="center"/>
      <protection locked="0"/>
    </xf>
    <xf numFmtId="0" fontId="27" fillId="2" borderId="1" xfId="0" applyFont="1" applyFill="1" applyBorder="1" applyAlignment="1" applyProtection="1">
      <alignment horizontal="center"/>
      <protection locked="0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1" fontId="9" fillId="2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Border="1" applyProtection="1">
      <protection hidden="1"/>
    </xf>
    <xf numFmtId="0" fontId="14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" fontId="0" fillId="0" borderId="0" xfId="0" applyNumberFormat="1" applyBorder="1" applyProtection="1">
      <protection hidden="1"/>
    </xf>
    <xf numFmtId="1" fontId="30" fillId="4" borderId="1" xfId="0" applyNumberFormat="1" applyFont="1" applyFill="1" applyBorder="1" applyAlignment="1" applyProtection="1">
      <alignment horizontal="center"/>
      <protection locked="0"/>
    </xf>
    <xf numFmtId="165" fontId="9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Protection="1">
      <protection hidden="1"/>
    </xf>
    <xf numFmtId="1" fontId="9" fillId="0" borderId="0" xfId="0" applyNumberFormat="1" applyFont="1" applyBorder="1" applyAlignment="1" applyProtection="1">
      <alignment horizontal="center"/>
      <protection hidden="1"/>
    </xf>
    <xf numFmtId="165" fontId="32" fillId="0" borderId="0" xfId="0" applyNumberFormat="1" applyFont="1" applyFill="1" applyBorder="1" applyAlignment="1" applyProtection="1">
      <alignment horizontal="center"/>
      <protection hidden="1"/>
    </xf>
    <xf numFmtId="1" fontId="33" fillId="0" borderId="0" xfId="0" applyNumberFormat="1" applyFont="1" applyFill="1" applyBorder="1" applyAlignment="1" applyProtection="1">
      <alignment horizontal="center"/>
      <protection hidden="1"/>
    </xf>
    <xf numFmtId="164" fontId="30" fillId="4" borderId="1" xfId="0" applyNumberFormat="1" applyFont="1" applyFill="1" applyBorder="1" applyAlignment="1" applyProtection="1">
      <alignment horizontal="center"/>
      <protection hidden="1"/>
    </xf>
    <xf numFmtId="2" fontId="9" fillId="0" borderId="0" xfId="0" applyNumberFormat="1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32" fillId="0" borderId="0" xfId="0" applyFont="1" applyFill="1" applyBorder="1" applyAlignment="1" applyProtection="1">
      <alignment horizontal="left"/>
      <protection hidden="1"/>
    </xf>
    <xf numFmtId="0" fontId="32" fillId="0" borderId="0" xfId="0" applyFont="1" applyBorder="1" applyProtection="1">
      <protection hidden="1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horizontal="right"/>
      <protection hidden="1"/>
    </xf>
    <xf numFmtId="2" fontId="9" fillId="0" borderId="0" xfId="0" applyNumberFormat="1" applyFont="1" applyFill="1" applyBorder="1" applyAlignment="1" applyProtection="1">
      <protection locked="0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left"/>
      <protection hidden="1"/>
    </xf>
    <xf numFmtId="0" fontId="10" fillId="0" borderId="3" xfId="0" applyFont="1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37" fillId="0" borderId="5" xfId="0" applyFont="1" applyBorder="1" applyAlignment="1" applyProtection="1">
      <alignment horizontal="left"/>
      <protection hidden="1"/>
    </xf>
    <xf numFmtId="0" fontId="38" fillId="0" borderId="6" xfId="0" applyFont="1" applyBorder="1" applyAlignment="1" applyProtection="1">
      <alignment horizontal="left"/>
      <protection hidden="1"/>
    </xf>
    <xf numFmtId="2" fontId="0" fillId="0" borderId="6" xfId="0" applyNumberFormat="1" applyBorder="1" applyAlignment="1" applyProtection="1">
      <alignment horizontal="left"/>
      <protection hidden="1"/>
    </xf>
    <xf numFmtId="164" fontId="0" fillId="0" borderId="6" xfId="0" applyNumberFormat="1" applyBorder="1" applyAlignment="1" applyProtection="1">
      <alignment horizontal="left"/>
      <protection hidden="1"/>
    </xf>
    <xf numFmtId="2" fontId="0" fillId="0" borderId="7" xfId="0" applyNumberFormat="1" applyBorder="1" applyAlignment="1" applyProtection="1">
      <alignment horizontal="left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37" fillId="0" borderId="8" xfId="0" applyFont="1" applyBorder="1" applyAlignment="1" applyProtection="1">
      <alignment horizontal="left"/>
      <protection hidden="1"/>
    </xf>
    <xf numFmtId="0" fontId="38" fillId="0" borderId="9" xfId="0" applyFont="1" applyBorder="1" applyAlignment="1" applyProtection="1">
      <alignment horizontal="left"/>
      <protection hidden="1"/>
    </xf>
    <xf numFmtId="2" fontId="0" fillId="0" borderId="9" xfId="0" applyNumberFormat="1" applyBorder="1" applyAlignment="1" applyProtection="1">
      <alignment horizontal="left"/>
      <protection hidden="1"/>
    </xf>
    <xf numFmtId="2" fontId="0" fillId="0" borderId="10" xfId="0" applyNumberFormat="1" applyBorder="1" applyAlignment="1" applyProtection="1">
      <alignment horizontal="left"/>
      <protection hidden="1"/>
    </xf>
    <xf numFmtId="2" fontId="0" fillId="0" borderId="0" xfId="0" applyNumberFormat="1" applyAlignment="1" applyProtection="1">
      <alignment horizontal="center"/>
      <protection hidden="1"/>
    </xf>
    <xf numFmtId="0" fontId="37" fillId="0" borderId="11" xfId="0" applyFont="1" applyBorder="1" applyAlignment="1" applyProtection="1">
      <alignment horizontal="left"/>
      <protection hidden="1"/>
    </xf>
    <xf numFmtId="0" fontId="38" fillId="0" borderId="12" xfId="0" applyFont="1" applyBorder="1" applyAlignment="1" applyProtection="1">
      <alignment horizontal="left"/>
      <protection hidden="1"/>
    </xf>
    <xf numFmtId="2" fontId="0" fillId="0" borderId="12" xfId="0" applyNumberFormat="1" applyBorder="1" applyAlignment="1" applyProtection="1">
      <alignment horizontal="left"/>
      <protection hidden="1"/>
    </xf>
    <xf numFmtId="2" fontId="0" fillId="0" borderId="13" xfId="0" applyNumberFormat="1" applyBorder="1" applyAlignment="1" applyProtection="1">
      <alignment horizontal="left"/>
      <protection hidden="1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2" fontId="0" fillId="0" borderId="0" xfId="0" applyNumberFormat="1" applyAlignment="1" applyProtection="1">
      <alignment horizontal="left"/>
      <protection hidden="1"/>
    </xf>
    <xf numFmtId="2" fontId="0" fillId="0" borderId="0" xfId="0" applyNumberFormat="1" applyProtection="1"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165" fontId="10" fillId="0" borderId="5" xfId="0" applyNumberFormat="1" applyFont="1" applyBorder="1" applyAlignment="1" applyProtection="1">
      <alignment horizontal="center" vertical="center"/>
      <protection hidden="1"/>
    </xf>
    <xf numFmtId="0" fontId="10" fillId="0" borderId="6" xfId="0" applyFont="1" applyFill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65" fontId="10" fillId="0" borderId="8" xfId="0" applyNumberFormat="1" applyFont="1" applyBorder="1" applyAlignment="1" applyProtection="1">
      <alignment horizontal="center" vertical="center"/>
      <protection hidden="1"/>
    </xf>
    <xf numFmtId="0" fontId="10" fillId="0" borderId="9" xfId="0" applyFont="1" applyFill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165" fontId="10" fillId="0" borderId="11" xfId="0" applyNumberFormat="1" applyFont="1" applyBorder="1" applyAlignment="1" applyProtection="1">
      <alignment horizontal="center" vertic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10" fillId="0" borderId="17" xfId="0" applyFont="1" applyBorder="1" applyAlignment="1" applyProtection="1">
      <alignment horizontal="left" vertical="center"/>
      <protection hidden="1"/>
    </xf>
    <xf numFmtId="0" fontId="10" fillId="0" borderId="18" xfId="0" applyFont="1" applyBorder="1" applyAlignment="1" applyProtection="1">
      <alignment horizontal="left" vertical="center"/>
      <protection hidden="1"/>
    </xf>
    <xf numFmtId="0" fontId="10" fillId="0" borderId="19" xfId="0" applyFont="1" applyBorder="1" applyAlignment="1" applyProtection="1">
      <alignment horizontal="left" vertical="center"/>
      <protection hidden="1"/>
    </xf>
    <xf numFmtId="0" fontId="0" fillId="0" borderId="20" xfId="0" applyBorder="1" applyAlignment="1" applyProtection="1">
      <alignment horizontal="left" vertical="center" wrapText="1"/>
      <protection hidden="1"/>
    </xf>
    <xf numFmtId="0" fontId="0" fillId="0" borderId="21" xfId="0" applyBorder="1" applyAlignment="1" applyProtection="1">
      <alignment horizontal="left"/>
      <protection hidden="1"/>
    </xf>
    <xf numFmtId="0" fontId="40" fillId="0" borderId="22" xfId="0" applyFont="1" applyBorder="1" applyAlignment="1" applyProtection="1">
      <alignment horizontal="left"/>
      <protection hidden="1"/>
    </xf>
    <xf numFmtId="0" fontId="0" fillId="0" borderId="23" xfId="0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24" xfId="0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0" fontId="0" fillId="0" borderId="25" xfId="0" applyBorder="1" applyAlignment="1" applyProtection="1">
      <alignment horizontal="left"/>
      <protection hidden="1"/>
    </xf>
    <xf numFmtId="0" fontId="0" fillId="0" borderId="26" xfId="0" applyBorder="1" applyAlignment="1" applyProtection="1">
      <alignment horizontal="left"/>
      <protection hidden="1"/>
    </xf>
    <xf numFmtId="0" fontId="0" fillId="0" borderId="27" xfId="0" applyBorder="1" applyAlignment="1" applyProtection="1">
      <alignment horizontal="left"/>
      <protection hidden="1"/>
    </xf>
    <xf numFmtId="0" fontId="42" fillId="0" borderId="28" xfId="0" applyFont="1" applyBorder="1" applyAlignment="1" applyProtection="1">
      <alignment vertical="center" wrapText="1"/>
      <protection hidden="1"/>
    </xf>
    <xf numFmtId="0" fontId="42" fillId="0" borderId="29" xfId="0" applyFont="1" applyBorder="1" applyAlignment="1" applyProtection="1">
      <alignment vertical="center"/>
      <protection hidden="1"/>
    </xf>
    <xf numFmtId="0" fontId="42" fillId="0" borderId="30" xfId="0" applyFont="1" applyBorder="1" applyAlignment="1" applyProtection="1">
      <alignment vertical="center"/>
      <protection hidden="1"/>
    </xf>
    <xf numFmtId="0" fontId="42" fillId="0" borderId="31" xfId="0" applyFont="1" applyBorder="1" applyAlignment="1" applyProtection="1">
      <alignment vertical="center"/>
      <protection hidden="1"/>
    </xf>
    <xf numFmtId="0" fontId="42" fillId="0" borderId="0" xfId="0" applyFont="1" applyAlignment="1" applyProtection="1">
      <alignment vertical="center"/>
      <protection hidden="1"/>
    </xf>
    <xf numFmtId="0" fontId="43" fillId="0" borderId="32" xfId="0" applyFont="1" applyBorder="1" applyAlignment="1" applyProtection="1">
      <alignment vertical="center"/>
      <protection hidden="1"/>
    </xf>
    <xf numFmtId="0" fontId="42" fillId="0" borderId="25" xfId="0" applyFont="1" applyBorder="1" applyAlignment="1" applyProtection="1">
      <alignment vertical="center"/>
      <protection hidden="1"/>
    </xf>
    <xf numFmtId="0" fontId="42" fillId="0" borderId="26" xfId="0" applyFont="1" applyBorder="1" applyAlignment="1" applyProtection="1">
      <alignment vertical="center"/>
      <protection hidden="1"/>
    </xf>
    <xf numFmtId="0" fontId="42" fillId="0" borderId="27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right" vertical="center"/>
      <protection locked="0"/>
    </xf>
    <xf numFmtId="164" fontId="27" fillId="0" borderId="0" xfId="0" applyNumberFormat="1" applyFont="1" applyAlignment="1" applyProtection="1">
      <alignment horizontal="left"/>
      <protection locked="0"/>
    </xf>
    <xf numFmtId="0" fontId="0" fillId="0" borderId="18" xfId="0" applyBorder="1" applyProtection="1">
      <protection hidden="1"/>
    </xf>
    <xf numFmtId="2" fontId="9" fillId="2" borderId="1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Protection="1">
      <protection hidden="1"/>
    </xf>
    <xf numFmtId="0" fontId="45" fillId="0" borderId="0" xfId="0" applyFont="1"/>
    <xf numFmtId="0" fontId="45" fillId="0" borderId="0" xfId="0" applyFont="1" applyBorder="1" applyProtection="1">
      <protection hidden="1"/>
    </xf>
    <xf numFmtId="2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47" fillId="0" borderId="0" xfId="0" applyFont="1" applyBorder="1"/>
    <xf numFmtId="1" fontId="42" fillId="0" borderId="0" xfId="0" applyNumberFormat="1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46" fillId="2" borderId="0" xfId="0" applyFont="1" applyFill="1" applyBorder="1" applyProtection="1"/>
    <xf numFmtId="0" fontId="0" fillId="2" borderId="0" xfId="0" applyFill="1" applyBorder="1" applyProtection="1"/>
    <xf numFmtId="1" fontId="46" fillId="2" borderId="0" xfId="0" applyNumberFormat="1" applyFont="1" applyFill="1" applyBorder="1" applyProtection="1"/>
    <xf numFmtId="0" fontId="44" fillId="0" borderId="0" xfId="0" applyFont="1" applyProtection="1"/>
    <xf numFmtId="2" fontId="10" fillId="0" borderId="0" xfId="0" applyNumberFormat="1" applyFont="1" applyAlignment="1" applyProtection="1">
      <alignment horizontal="center"/>
    </xf>
    <xf numFmtId="0" fontId="10" fillId="0" borderId="0" xfId="0" applyFont="1" applyProtection="1"/>
    <xf numFmtId="0" fontId="8" fillId="0" borderId="0" xfId="0" applyFont="1" applyBorder="1" applyAlignment="1" applyProtection="1">
      <alignment horizontal="center"/>
    </xf>
    <xf numFmtId="1" fontId="9" fillId="0" borderId="0" xfId="0" applyNumberFormat="1" applyFont="1" applyFill="1" applyBorder="1" applyAlignment="1" applyProtection="1">
      <alignment horizontal="center"/>
    </xf>
    <xf numFmtId="0" fontId="23" fillId="0" borderId="0" xfId="0" applyFont="1" applyBorder="1" applyProtection="1"/>
    <xf numFmtId="0" fontId="29" fillId="0" borderId="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3" fillId="0" borderId="0" xfId="0" applyFont="1" applyFill="1" applyBorder="1" applyProtection="1"/>
    <xf numFmtId="0" fontId="29" fillId="0" borderId="0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0" xfId="0" applyNumberFormat="1" applyProtection="1"/>
    <xf numFmtId="2" fontId="36" fillId="0" borderId="1" xfId="0" applyNumberFormat="1" applyFont="1" applyFill="1" applyBorder="1" applyAlignment="1" applyProtection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9" fillId="2" borderId="39" xfId="0" applyFont="1" applyFill="1" applyBorder="1" applyAlignment="1" applyProtection="1">
      <alignment horizontal="left" vertical="center"/>
      <protection locked="0"/>
    </xf>
    <xf numFmtId="0" fontId="0" fillId="0" borderId="40" xfId="0" applyBorder="1" applyAlignment="1" applyProtection="1">
      <alignment horizontal="left" vertical="center"/>
      <protection locked="0"/>
    </xf>
    <xf numFmtId="0" fontId="0" fillId="0" borderId="40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1390650</xdr:colOff>
      <xdr:row>1</xdr:row>
      <xdr:rowOff>9525</xdr:rowOff>
    </xdr:to>
    <xdr:pic>
      <xdr:nvPicPr>
        <xdr:cNvPr id="1256" name="Picture 2" descr="Elogo">
          <a:extLst>
            <a:ext uri="{FF2B5EF4-FFF2-40B4-BE49-F238E27FC236}">
              <a16:creationId xmlns:a16="http://schemas.microsoft.com/office/drawing/2014/main" id="{99FEDE35-3955-447D-B8E3-2F9AE79F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13716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6"/>
  <sheetViews>
    <sheetView tabSelected="1" view="pageBreakPreview" zoomScaleNormal="100" workbookViewId="0">
      <selection activeCell="G11" sqref="G11"/>
    </sheetView>
  </sheetViews>
  <sheetFormatPr defaultRowHeight="12.75" x14ac:dyDescent="0.2"/>
  <cols>
    <col min="1" max="1" width="21.28515625" customWidth="1"/>
    <col min="2" max="2" width="18.85546875" customWidth="1"/>
    <col min="3" max="3" width="11.85546875" customWidth="1"/>
    <col min="4" max="4" width="15.5703125" customWidth="1"/>
    <col min="5" max="5" width="18.42578125" customWidth="1"/>
    <col min="6" max="6" width="13.7109375" customWidth="1"/>
    <col min="7" max="7" width="12.42578125" customWidth="1"/>
    <col min="8" max="8" width="16.28515625" customWidth="1"/>
    <col min="9" max="9" width="18.5703125" customWidth="1"/>
    <col min="10" max="10" width="11.5703125" customWidth="1"/>
    <col min="15" max="15" width="12.140625" customWidth="1"/>
    <col min="19" max="19" width="19.28515625" style="39" customWidth="1"/>
    <col min="20" max="22" width="9.140625" style="39"/>
    <col min="23" max="24" width="9.28515625" style="39" bestFit="1" customWidth="1"/>
    <col min="25" max="25" width="9.5703125" style="39" bestFit="1" customWidth="1"/>
    <col min="26" max="26" width="9.28515625" style="39" bestFit="1" customWidth="1"/>
  </cols>
  <sheetData>
    <row r="1" spans="1:26" ht="97.5" customHeight="1" thickBot="1" x14ac:dyDescent="0.25">
      <c r="A1" s="40"/>
      <c r="B1" s="181" t="s">
        <v>808</v>
      </c>
      <c r="C1" s="182"/>
      <c r="D1" s="182"/>
      <c r="E1" s="182"/>
      <c r="F1" s="182"/>
      <c r="G1" s="182"/>
      <c r="H1" s="183"/>
      <c r="I1" s="16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 x14ac:dyDescent="0.2">
      <c r="A3" s="17" t="s">
        <v>156</v>
      </c>
      <c r="B3" s="184" t="s">
        <v>807</v>
      </c>
      <c r="C3" s="185"/>
      <c r="D3" s="185"/>
      <c r="E3" s="185"/>
      <c r="F3" s="185"/>
      <c r="G3" s="186"/>
      <c r="H3" s="187"/>
      <c r="J3" s="1"/>
    </row>
    <row r="4" spans="1:26" x14ac:dyDescent="0.2">
      <c r="J4" s="1"/>
    </row>
    <row r="5" spans="1:26" x14ac:dyDescent="0.2">
      <c r="A5" s="19" t="s">
        <v>157</v>
      </c>
      <c r="B5" s="20"/>
      <c r="C5" s="21"/>
      <c r="D5" s="20"/>
      <c r="E5" s="20"/>
      <c r="F5" s="21"/>
      <c r="G5" s="22"/>
      <c r="H5" s="22"/>
      <c r="I5" s="1"/>
      <c r="J5" s="1"/>
      <c r="S5" s="177" t="s">
        <v>154</v>
      </c>
      <c r="T5" s="8" t="s">
        <v>2</v>
      </c>
      <c r="U5" s="9"/>
      <c r="V5" s="8" t="s">
        <v>3</v>
      </c>
      <c r="W5" s="8" t="s">
        <v>4</v>
      </c>
      <c r="X5" s="8" t="s">
        <v>5</v>
      </c>
      <c r="Y5" s="8" t="s">
        <v>6</v>
      </c>
      <c r="Z5" s="8" t="s">
        <v>7</v>
      </c>
    </row>
    <row r="6" spans="1:26" x14ac:dyDescent="0.2">
      <c r="A6" s="23"/>
      <c r="I6" s="180" t="s">
        <v>154</v>
      </c>
      <c r="J6" s="12" t="s">
        <v>2</v>
      </c>
      <c r="K6" s="13"/>
      <c r="L6" s="11" t="s">
        <v>3</v>
      </c>
      <c r="M6" s="11" t="s">
        <v>4</v>
      </c>
      <c r="N6" s="11" t="s">
        <v>5</v>
      </c>
      <c r="O6" s="11" t="s">
        <v>6</v>
      </c>
      <c r="P6" s="11" t="s">
        <v>7</v>
      </c>
      <c r="S6" s="178"/>
      <c r="T6" s="8" t="s">
        <v>8</v>
      </c>
      <c r="U6" s="8" t="s">
        <v>9</v>
      </c>
      <c r="V6" s="8" t="s">
        <v>10</v>
      </c>
      <c r="W6" s="8" t="s">
        <v>11</v>
      </c>
      <c r="X6" s="8" t="s">
        <v>12</v>
      </c>
      <c r="Y6" s="8" t="s">
        <v>13</v>
      </c>
      <c r="Z6" s="8" t="s">
        <v>11</v>
      </c>
    </row>
    <row r="7" spans="1:26" x14ac:dyDescent="0.2">
      <c r="A7" s="24" t="s">
        <v>172</v>
      </c>
      <c r="B7" s="18">
        <v>4.5</v>
      </c>
      <c r="C7" s="24" t="s">
        <v>0</v>
      </c>
      <c r="D7" s="24" t="s">
        <v>680</v>
      </c>
      <c r="E7" s="18">
        <v>0</v>
      </c>
      <c r="F7" s="24" t="s">
        <v>682</v>
      </c>
      <c r="G7" s="24" t="s">
        <v>580</v>
      </c>
      <c r="H7" s="18" t="s">
        <v>803</v>
      </c>
      <c r="I7" s="180"/>
      <c r="J7" s="11" t="s">
        <v>8</v>
      </c>
      <c r="K7" s="14" t="s">
        <v>9</v>
      </c>
      <c r="L7" s="11" t="s">
        <v>10</v>
      </c>
      <c r="M7" s="11" t="s">
        <v>11</v>
      </c>
      <c r="N7" s="11" t="s">
        <v>12</v>
      </c>
      <c r="O7" s="11" t="s">
        <v>13</v>
      </c>
      <c r="P7" s="11" t="s">
        <v>11</v>
      </c>
      <c r="S7" s="178"/>
      <c r="T7" s="8" t="s">
        <v>14</v>
      </c>
      <c r="U7" s="9"/>
      <c r="V7" s="8"/>
      <c r="W7" s="8" t="s">
        <v>15</v>
      </c>
      <c r="X7" s="8" t="s">
        <v>16</v>
      </c>
      <c r="Y7" s="8" t="s">
        <v>17</v>
      </c>
      <c r="Z7" s="8" t="s">
        <v>18</v>
      </c>
    </row>
    <row r="8" spans="1:26" x14ac:dyDescent="0.2">
      <c r="A8" s="24" t="s">
        <v>171</v>
      </c>
      <c r="B8" s="18">
        <v>5</v>
      </c>
      <c r="C8" s="24" t="s">
        <v>0</v>
      </c>
      <c r="D8" s="24" t="s">
        <v>681</v>
      </c>
      <c r="E8" s="18">
        <v>0</v>
      </c>
      <c r="F8" s="24" t="s">
        <v>682</v>
      </c>
      <c r="I8" s="180"/>
      <c r="J8" s="11"/>
      <c r="K8" s="14"/>
      <c r="L8" s="11"/>
      <c r="M8" s="11"/>
      <c r="N8" s="11"/>
      <c r="O8" s="11"/>
      <c r="P8" s="11"/>
      <c r="S8" s="178"/>
      <c r="T8" s="8"/>
      <c r="U8" s="9"/>
      <c r="V8" s="8"/>
      <c r="W8" s="8"/>
      <c r="X8" s="8"/>
      <c r="Y8" s="8"/>
      <c r="Z8" s="8"/>
    </row>
    <row r="9" spans="1:26" ht="14.25" x14ac:dyDescent="0.2">
      <c r="I9" s="180"/>
      <c r="J9" s="11" t="s">
        <v>19</v>
      </c>
      <c r="K9" s="11" t="s">
        <v>20</v>
      </c>
      <c r="L9" s="11" t="s">
        <v>21</v>
      </c>
      <c r="M9" s="11" t="s">
        <v>22</v>
      </c>
      <c r="N9" s="11" t="s">
        <v>23</v>
      </c>
      <c r="O9" s="11" t="s">
        <v>24</v>
      </c>
      <c r="P9" s="11" t="s">
        <v>25</v>
      </c>
      <c r="S9" s="179"/>
      <c r="T9" s="8" t="s">
        <v>26</v>
      </c>
      <c r="U9" s="8" t="s">
        <v>26</v>
      </c>
      <c r="V9" s="8" t="s">
        <v>27</v>
      </c>
      <c r="W9" s="8" t="s">
        <v>28</v>
      </c>
      <c r="X9" s="8" t="s">
        <v>21</v>
      </c>
      <c r="Y9" s="8" t="s">
        <v>29</v>
      </c>
      <c r="Z9" s="8" t="s">
        <v>1</v>
      </c>
    </row>
    <row r="10" spans="1:26" ht="14.25" x14ac:dyDescent="0.2">
      <c r="A10" s="19" t="s">
        <v>155</v>
      </c>
      <c r="B10" s="19"/>
      <c r="C10" s="19"/>
      <c r="D10" s="19"/>
      <c r="E10" s="19"/>
      <c r="F10" s="19"/>
      <c r="G10" s="19"/>
      <c r="H10" s="19"/>
      <c r="I10" s="180"/>
      <c r="J10" s="11" t="s">
        <v>26</v>
      </c>
      <c r="K10" s="11" t="s">
        <v>26</v>
      </c>
      <c r="L10" s="11" t="s">
        <v>27</v>
      </c>
      <c r="M10" s="11" t="s">
        <v>28</v>
      </c>
      <c r="N10" s="11" t="s">
        <v>21</v>
      </c>
      <c r="O10" s="11" t="s">
        <v>29</v>
      </c>
      <c r="P10" s="11" t="s">
        <v>1</v>
      </c>
      <c r="S10" s="9" t="s">
        <v>30</v>
      </c>
      <c r="T10" s="9">
        <v>26.9</v>
      </c>
      <c r="U10" s="9">
        <v>2</v>
      </c>
      <c r="V10" s="9">
        <v>1.23</v>
      </c>
      <c r="W10" s="9">
        <v>1.56</v>
      </c>
      <c r="X10" s="9">
        <v>13.45</v>
      </c>
      <c r="Y10" s="9">
        <v>1.22</v>
      </c>
      <c r="Z10" s="9">
        <v>0.88300000000000001</v>
      </c>
    </row>
    <row r="11" spans="1:26" x14ac:dyDescent="0.2">
      <c r="A11" s="50" t="s">
        <v>760</v>
      </c>
      <c r="B11" s="146" t="s">
        <v>754</v>
      </c>
      <c r="I11" s="15" t="str">
        <f>B13</f>
        <v>168.3X4</v>
      </c>
      <c r="J11" s="42">
        <f>VLOOKUP(I11,S10:Z646,2,0)</f>
        <v>168.3</v>
      </c>
      <c r="K11" s="42">
        <f>VLOOKUP(I11,S10:Z646,3,0)</f>
        <v>4</v>
      </c>
      <c r="L11" s="42">
        <f>VLOOKUP(I11,S10:Z646,4,0)</f>
        <v>16.2</v>
      </c>
      <c r="M11" s="42">
        <f>VLOOKUP(I11,S10:Z646,5,0)</f>
        <v>20.6</v>
      </c>
      <c r="N11" s="42">
        <f>VLOOKUP(I11,S10:Z646,6,0)</f>
        <v>42.08</v>
      </c>
      <c r="O11" s="42">
        <f>VLOOKUP(I11,S10:Z646,7,0)</f>
        <v>697</v>
      </c>
      <c r="P11" s="42">
        <f>VLOOKUP(I11,S10:Z646,8,0)</f>
        <v>5.81</v>
      </c>
      <c r="S11" s="9" t="s">
        <v>31</v>
      </c>
      <c r="T11" s="9">
        <v>26.9</v>
      </c>
      <c r="U11" s="9">
        <v>2.5</v>
      </c>
      <c r="V11" s="9">
        <v>1.5</v>
      </c>
      <c r="W11" s="9">
        <v>1.92</v>
      </c>
      <c r="X11" s="9">
        <v>10.76</v>
      </c>
      <c r="Y11" s="9">
        <v>1.44</v>
      </c>
      <c r="Z11" s="9">
        <v>0.86699999999999999</v>
      </c>
    </row>
    <row r="12" spans="1:26" ht="14.25" x14ac:dyDescent="0.2">
      <c r="A12" s="24" t="s">
        <v>158</v>
      </c>
      <c r="B12" s="18">
        <v>2.4</v>
      </c>
      <c r="C12" t="s">
        <v>159</v>
      </c>
      <c r="E12" s="25" t="s">
        <v>683</v>
      </c>
      <c r="F12" s="43" t="s">
        <v>806</v>
      </c>
      <c r="G12" s="44" t="s">
        <v>684</v>
      </c>
      <c r="J12" s="1"/>
      <c r="S12" s="9" t="s">
        <v>32</v>
      </c>
      <c r="T12" s="9">
        <v>26.9</v>
      </c>
      <c r="U12" s="9">
        <v>3.2</v>
      </c>
      <c r="V12" s="9">
        <v>1.87</v>
      </c>
      <c r="W12" s="9">
        <v>2.38</v>
      </c>
      <c r="X12" s="9">
        <v>8.41</v>
      </c>
      <c r="Y12" s="9">
        <v>1.7</v>
      </c>
      <c r="Z12" s="9">
        <v>0.84599999999999997</v>
      </c>
    </row>
    <row r="13" spans="1:26" ht="15.75" x14ac:dyDescent="0.25">
      <c r="A13" s="25" t="s">
        <v>154</v>
      </c>
      <c r="B13" s="41" t="s">
        <v>71</v>
      </c>
      <c r="C13" s="28"/>
      <c r="D13" s="28"/>
      <c r="E13" s="24" t="s">
        <v>577</v>
      </c>
      <c r="F13" s="27">
        <f>N11</f>
        <v>42.08</v>
      </c>
      <c r="G13" s="26" t="str">
        <f>IF((F13&lt;=(165/FY)),"Compact",(IF(F13&lt;=(211/FY),"Non Compact","Slender")))</f>
        <v>Compact</v>
      </c>
      <c r="I13" s="4"/>
      <c r="J13" s="1"/>
      <c r="S13" s="9" t="s">
        <v>33</v>
      </c>
      <c r="T13" s="9">
        <v>33.700000000000003</v>
      </c>
      <c r="U13" s="9">
        <v>2</v>
      </c>
      <c r="V13" s="9">
        <v>1.56</v>
      </c>
      <c r="W13" s="9">
        <v>1.99</v>
      </c>
      <c r="X13" s="9">
        <v>16.850000000000001</v>
      </c>
      <c r="Y13" s="9">
        <v>2.5099999999999998</v>
      </c>
      <c r="Z13" s="9">
        <v>1.1200000000000001</v>
      </c>
    </row>
    <row r="14" spans="1:26" ht="15.75" x14ac:dyDescent="0.25">
      <c r="A14" s="25" t="s">
        <v>578</v>
      </c>
      <c r="B14" s="27">
        <f>J11</f>
        <v>168.3</v>
      </c>
      <c r="C14" s="26" t="s">
        <v>26</v>
      </c>
      <c r="E14" s="25" t="s">
        <v>161</v>
      </c>
      <c r="F14" s="27">
        <f>K11</f>
        <v>4</v>
      </c>
      <c r="G14" s="26" t="s">
        <v>26</v>
      </c>
      <c r="I14" s="4"/>
      <c r="S14" s="9" t="s">
        <v>34</v>
      </c>
      <c r="T14" s="9">
        <v>33.700000000000003</v>
      </c>
      <c r="U14" s="9">
        <v>2.5</v>
      </c>
      <c r="V14" s="9">
        <v>1.92</v>
      </c>
      <c r="W14" s="9">
        <v>2.4500000000000002</v>
      </c>
      <c r="X14" s="9">
        <v>13.48</v>
      </c>
      <c r="Y14" s="9">
        <v>3</v>
      </c>
      <c r="Z14" s="9">
        <v>1.1100000000000001</v>
      </c>
    </row>
    <row r="15" spans="1:26" ht="14.25" x14ac:dyDescent="0.2">
      <c r="A15" s="25" t="s">
        <v>162</v>
      </c>
      <c r="B15" s="27">
        <f>L11</f>
        <v>16.2</v>
      </c>
      <c r="C15" s="26" t="s">
        <v>27</v>
      </c>
      <c r="E15" s="25" t="s">
        <v>163</v>
      </c>
      <c r="F15" s="27">
        <f>M11</f>
        <v>20.6</v>
      </c>
      <c r="G15" s="26" t="s">
        <v>164</v>
      </c>
      <c r="J15" s="1"/>
      <c r="S15" s="9" t="s">
        <v>35</v>
      </c>
      <c r="T15" s="9">
        <v>33.700000000000003</v>
      </c>
      <c r="U15" s="9">
        <v>3.2</v>
      </c>
      <c r="V15" s="9">
        <v>2.41</v>
      </c>
      <c r="W15" s="9">
        <v>3.07</v>
      </c>
      <c r="X15" s="9">
        <v>10.53</v>
      </c>
      <c r="Y15" s="9">
        <v>3.6</v>
      </c>
      <c r="Z15" s="9">
        <v>1.08</v>
      </c>
    </row>
    <row r="16" spans="1:26" ht="15.75" x14ac:dyDescent="0.25">
      <c r="A16" s="25" t="s">
        <v>679</v>
      </c>
      <c r="B16" s="27">
        <f>O11</f>
        <v>697</v>
      </c>
      <c r="C16" s="26" t="s">
        <v>165</v>
      </c>
      <c r="D16" s="4"/>
      <c r="E16" s="25" t="s">
        <v>579</v>
      </c>
      <c r="F16" s="27">
        <f>P11</f>
        <v>5.81</v>
      </c>
      <c r="G16" s="26" t="s">
        <v>160</v>
      </c>
      <c r="I16" s="2"/>
      <c r="J16" s="1"/>
      <c r="S16" s="9" t="s">
        <v>36</v>
      </c>
      <c r="T16" s="9">
        <v>33.700000000000003</v>
      </c>
      <c r="U16" s="9">
        <v>4</v>
      </c>
      <c r="V16" s="9">
        <v>2.93</v>
      </c>
      <c r="W16" s="9">
        <v>3.73</v>
      </c>
      <c r="X16" s="9">
        <v>8.43</v>
      </c>
      <c r="Y16" s="9">
        <v>4.1900000000000004</v>
      </c>
      <c r="Z16" s="9">
        <v>1.06</v>
      </c>
    </row>
    <row r="17" spans="1:26" ht="15.75" hidden="1" x14ac:dyDescent="0.25">
      <c r="A17" s="3"/>
      <c r="B17" s="7"/>
      <c r="C17" s="6"/>
      <c r="D17" s="4"/>
      <c r="E17" s="2"/>
      <c r="F17" s="2"/>
      <c r="I17" s="2"/>
      <c r="J17" s="1"/>
      <c r="S17" s="9" t="s">
        <v>37</v>
      </c>
      <c r="T17" s="9">
        <v>42.4</v>
      </c>
      <c r="U17" s="9">
        <v>2.5</v>
      </c>
      <c r="V17" s="9">
        <v>2.46</v>
      </c>
      <c r="W17" s="9">
        <v>3.13</v>
      </c>
      <c r="X17" s="9">
        <v>16.96</v>
      </c>
      <c r="Y17" s="9">
        <v>6.26</v>
      </c>
      <c r="Z17" s="9">
        <v>1.41</v>
      </c>
    </row>
    <row r="18" spans="1:26" ht="15" x14ac:dyDescent="0.2">
      <c r="A18" s="19" t="s">
        <v>166</v>
      </c>
      <c r="B18" s="20"/>
      <c r="C18" s="21"/>
      <c r="D18" s="20"/>
      <c r="E18" s="20"/>
      <c r="F18" s="21"/>
      <c r="G18" s="22"/>
      <c r="H18" s="22"/>
      <c r="I18" s="2"/>
      <c r="J18" s="1"/>
      <c r="S18" s="9" t="s">
        <v>38</v>
      </c>
      <c r="T18" s="9">
        <v>42.4</v>
      </c>
      <c r="U18" s="9">
        <v>3</v>
      </c>
      <c r="V18" s="9">
        <v>2.91</v>
      </c>
      <c r="W18" s="9">
        <v>3.71</v>
      </c>
      <c r="X18" s="9">
        <v>14.13</v>
      </c>
      <c r="Y18" s="9">
        <v>7.25</v>
      </c>
      <c r="Z18" s="9">
        <v>1.4</v>
      </c>
    </row>
    <row r="19" spans="1:26" ht="15" hidden="1" x14ac:dyDescent="0.2">
      <c r="I19" s="2"/>
      <c r="J19" s="1"/>
      <c r="S19" s="9" t="s">
        <v>39</v>
      </c>
      <c r="T19" s="9">
        <v>42.4</v>
      </c>
      <c r="U19" s="9">
        <v>3.2</v>
      </c>
      <c r="V19" s="9">
        <v>3.09</v>
      </c>
      <c r="W19" s="9">
        <v>3.94</v>
      </c>
      <c r="X19" s="9">
        <v>13.25</v>
      </c>
      <c r="Y19" s="9">
        <v>7.62</v>
      </c>
      <c r="Z19" s="9">
        <v>1.39</v>
      </c>
    </row>
    <row r="20" spans="1:26" ht="15" x14ac:dyDescent="0.2">
      <c r="A20" s="24" t="s">
        <v>167</v>
      </c>
      <c r="B20" s="18">
        <v>940</v>
      </c>
      <c r="C20" s="24" t="s">
        <v>160</v>
      </c>
      <c r="E20" s="24" t="s">
        <v>794</v>
      </c>
      <c r="F20" s="18">
        <v>1</v>
      </c>
      <c r="I20" s="2"/>
      <c r="J20" s="1"/>
      <c r="S20" s="9" t="s">
        <v>40</v>
      </c>
      <c r="T20" s="9">
        <v>42.4</v>
      </c>
      <c r="U20" s="9">
        <v>3.6</v>
      </c>
      <c r="V20" s="9">
        <v>3.44</v>
      </c>
      <c r="W20" s="9">
        <v>4.3899999999999997</v>
      </c>
      <c r="X20" s="9">
        <v>11.78</v>
      </c>
      <c r="Y20" s="9">
        <v>8.33</v>
      </c>
      <c r="Z20" s="9">
        <v>1.38</v>
      </c>
    </row>
    <row r="21" spans="1:26" ht="15" x14ac:dyDescent="0.2">
      <c r="A21" s="24" t="s">
        <v>168</v>
      </c>
      <c r="B21" s="18">
        <v>940</v>
      </c>
      <c r="C21" s="24" t="s">
        <v>160</v>
      </c>
      <c r="E21" s="24" t="s">
        <v>793</v>
      </c>
      <c r="F21" s="18">
        <v>1</v>
      </c>
      <c r="I21" s="2"/>
      <c r="J21" s="1"/>
      <c r="S21" s="9" t="s">
        <v>41</v>
      </c>
      <c r="T21" s="9">
        <v>42.4</v>
      </c>
      <c r="U21" s="9">
        <v>4</v>
      </c>
      <c r="V21" s="9">
        <v>3.79</v>
      </c>
      <c r="W21" s="9">
        <v>4.83</v>
      </c>
      <c r="X21" s="9">
        <v>10.6</v>
      </c>
      <c r="Y21" s="9">
        <v>8.99</v>
      </c>
      <c r="Z21" s="9">
        <v>1.36</v>
      </c>
    </row>
    <row r="22" spans="1:26" ht="15.75" hidden="1" x14ac:dyDescent="0.25">
      <c r="A22" s="1"/>
      <c r="B22" s="2"/>
      <c r="C22" s="2"/>
      <c r="D22" s="2"/>
      <c r="E22" s="2"/>
      <c r="F22" s="2"/>
      <c r="G22" s="4"/>
      <c r="I22" s="2"/>
      <c r="J22" s="1"/>
      <c r="S22" s="9" t="s">
        <v>42</v>
      </c>
      <c r="T22" s="9">
        <v>48.3</v>
      </c>
      <c r="U22" s="9">
        <v>2.5</v>
      </c>
      <c r="V22" s="9">
        <v>2.82</v>
      </c>
      <c r="W22" s="9">
        <v>3.6</v>
      </c>
      <c r="X22" s="9">
        <v>19.32</v>
      </c>
      <c r="Y22" s="9">
        <v>9.4600000000000009</v>
      </c>
      <c r="Z22" s="9">
        <v>1.62</v>
      </c>
    </row>
    <row r="23" spans="1:26" ht="15.75" hidden="1" x14ac:dyDescent="0.25">
      <c r="A23" s="1"/>
      <c r="B23" s="4"/>
      <c r="C23" s="5"/>
      <c r="D23" s="4"/>
      <c r="E23" s="4"/>
      <c r="F23" s="2"/>
      <c r="G23" s="2"/>
      <c r="H23" s="2"/>
      <c r="I23" s="2"/>
      <c r="J23" s="1"/>
      <c r="S23" s="9" t="s">
        <v>43</v>
      </c>
      <c r="T23" s="9">
        <v>48.3</v>
      </c>
      <c r="U23" s="9">
        <v>3</v>
      </c>
      <c r="V23" s="9">
        <v>3.35</v>
      </c>
      <c r="W23" s="9">
        <v>4.2699999999999996</v>
      </c>
      <c r="X23" s="9">
        <v>16.100000000000001</v>
      </c>
      <c r="Y23" s="9">
        <v>11</v>
      </c>
      <c r="Z23" s="9">
        <v>1.61</v>
      </c>
    </row>
    <row r="24" spans="1:26" ht="15" x14ac:dyDescent="0.2">
      <c r="A24" s="19" t="s">
        <v>169</v>
      </c>
      <c r="B24" s="20"/>
      <c r="C24" s="21"/>
      <c r="D24" s="20"/>
      <c r="E24" s="20"/>
      <c r="F24" s="21"/>
      <c r="G24" s="22"/>
      <c r="H24" s="22"/>
      <c r="I24" s="2"/>
      <c r="S24" s="9" t="s">
        <v>44</v>
      </c>
      <c r="T24" s="9">
        <v>48.3</v>
      </c>
      <c r="U24" s="9">
        <v>3.2</v>
      </c>
      <c r="V24" s="9">
        <v>3.56</v>
      </c>
      <c r="W24" s="9">
        <v>4.53</v>
      </c>
      <c r="X24" s="9">
        <v>15.09</v>
      </c>
      <c r="Y24" s="9">
        <v>11.6</v>
      </c>
      <c r="Z24" s="9">
        <v>1.6</v>
      </c>
    </row>
    <row r="25" spans="1:26" hidden="1" x14ac:dyDescent="0.2">
      <c r="S25" s="9" t="s">
        <v>45</v>
      </c>
      <c r="T25" s="9">
        <v>48.3</v>
      </c>
      <c r="U25" s="9">
        <v>3.6</v>
      </c>
      <c r="V25" s="9">
        <v>3.97</v>
      </c>
      <c r="W25" s="9">
        <v>5.0599999999999996</v>
      </c>
      <c r="X25" s="9">
        <v>13.42</v>
      </c>
      <c r="Y25" s="9">
        <v>12.7</v>
      </c>
      <c r="Z25" s="9">
        <v>1.59</v>
      </c>
    </row>
    <row r="26" spans="1:26" ht="15.75" x14ac:dyDescent="0.3">
      <c r="A26" s="24" t="s">
        <v>173</v>
      </c>
      <c r="B26" s="27">
        <f>B20/F16</f>
        <v>161.79001721170397</v>
      </c>
      <c r="D26" s="24" t="s">
        <v>174</v>
      </c>
      <c r="E26" s="27">
        <f>B21/F16</f>
        <v>161.79001721170397</v>
      </c>
      <c r="F26" s="24" t="s">
        <v>175</v>
      </c>
      <c r="G26" s="29">
        <f>MAX(B26,E26)</f>
        <v>161.79001721170397</v>
      </c>
      <c r="S26" s="9" t="s">
        <v>46</v>
      </c>
      <c r="T26" s="9">
        <v>48.3</v>
      </c>
      <c r="U26" s="9">
        <v>4</v>
      </c>
      <c r="V26" s="9">
        <v>4.37</v>
      </c>
      <c r="W26" s="9">
        <v>5.57</v>
      </c>
      <c r="X26" s="9">
        <v>12.08</v>
      </c>
      <c r="Y26" s="9">
        <v>13.8</v>
      </c>
      <c r="Z26" s="9">
        <v>1.57</v>
      </c>
    </row>
    <row r="27" spans="1:26" ht="15.75" x14ac:dyDescent="0.25">
      <c r="A27" s="32" t="s">
        <v>176</v>
      </c>
      <c r="B27" s="33">
        <f>IF(F12="B",200,180)</f>
        <v>200</v>
      </c>
      <c r="C27" s="34"/>
      <c r="D27" s="32" t="s">
        <v>177</v>
      </c>
      <c r="E27" s="33">
        <f>G26</f>
        <v>161.79001721170397</v>
      </c>
      <c r="F27" s="35"/>
      <c r="G27" s="36"/>
      <c r="H27" s="37" t="str">
        <f>IF(E27&lt;B27,"PASS","FAIL")</f>
        <v>PASS</v>
      </c>
      <c r="I27" s="1"/>
      <c r="J27" s="1"/>
      <c r="S27" s="9" t="s">
        <v>47</v>
      </c>
      <c r="T27" s="9">
        <v>60.3</v>
      </c>
      <c r="U27" s="9">
        <v>2.5</v>
      </c>
      <c r="V27" s="9">
        <v>3.56</v>
      </c>
      <c r="W27" s="9">
        <v>4.54</v>
      </c>
      <c r="X27" s="9">
        <v>24.12</v>
      </c>
      <c r="Y27" s="9">
        <v>19</v>
      </c>
      <c r="Z27" s="9">
        <v>2.0499999999999998</v>
      </c>
    </row>
    <row r="28" spans="1:26" ht="15.75" x14ac:dyDescent="0.25">
      <c r="A28" s="32" t="s">
        <v>178</v>
      </c>
      <c r="B28" s="33">
        <v>300</v>
      </c>
      <c r="C28" s="34"/>
      <c r="D28" s="32" t="s">
        <v>179</v>
      </c>
      <c r="E28" s="33">
        <f>G26</f>
        <v>161.79001721170397</v>
      </c>
      <c r="F28" s="35"/>
      <c r="G28" s="36"/>
      <c r="H28" s="37" t="str">
        <f>IF(E28&lt;B28,"PASS","FAIL")</f>
        <v>PASS</v>
      </c>
      <c r="I28" s="1"/>
      <c r="J28" s="1"/>
      <c r="S28" s="9" t="s">
        <v>48</v>
      </c>
      <c r="T28" s="9">
        <v>60.3</v>
      </c>
      <c r="U28" s="9">
        <v>3</v>
      </c>
      <c r="V28" s="9">
        <v>4.24</v>
      </c>
      <c r="W28" s="9">
        <v>5.4</v>
      </c>
      <c r="X28" s="9">
        <v>20.100000000000001</v>
      </c>
      <c r="Y28" s="9">
        <v>22.2</v>
      </c>
      <c r="Z28" s="9">
        <v>2.0299999999999998</v>
      </c>
    </row>
    <row r="29" spans="1:26" ht="14.25" x14ac:dyDescent="0.2">
      <c r="A29" s="24" t="s">
        <v>792</v>
      </c>
      <c r="B29" s="30">
        <f>IF(G13="SLENDER","#",IF(G26&lt;100,(7/12*B12-(7/12*B12-0.75)/10000*G26^2),7500/G26^2))</f>
        <v>0.28652189904934355</v>
      </c>
      <c r="C29" s="24" t="s">
        <v>170</v>
      </c>
      <c r="D29" s="24" t="s">
        <v>802</v>
      </c>
      <c r="E29" s="30">
        <f>IF(G13="SLENDER","#",7/12*B12)</f>
        <v>1.4000000000000001</v>
      </c>
      <c r="F29" s="24" t="s">
        <v>170</v>
      </c>
      <c r="I29" s="1"/>
      <c r="J29" s="1"/>
      <c r="S29" s="9" t="s">
        <v>49</v>
      </c>
      <c r="T29" s="9">
        <v>60.3</v>
      </c>
      <c r="U29" s="9">
        <v>3.2</v>
      </c>
      <c r="V29" s="9">
        <v>4.51</v>
      </c>
      <c r="W29" s="9">
        <v>5.74</v>
      </c>
      <c r="X29" s="9">
        <v>18.84</v>
      </c>
      <c r="Y29" s="9">
        <v>23.5</v>
      </c>
      <c r="Z29" s="9">
        <v>2.02</v>
      </c>
    </row>
    <row r="30" spans="1:26" x14ac:dyDescent="0.2">
      <c r="A30" s="24" t="s">
        <v>795</v>
      </c>
      <c r="B30" s="30">
        <f>B37/B29</f>
        <v>0.76240804862223688</v>
      </c>
      <c r="C30" s="154" t="str">
        <f>IF(B30&lt;0.15,"&lt;","&gt;")</f>
        <v>&gt;</v>
      </c>
      <c r="D30" s="29">
        <v>0.15</v>
      </c>
      <c r="E30" s="24" t="s">
        <v>798</v>
      </c>
      <c r="F30" s="155">
        <f>7500/B26^2</f>
        <v>0.28652189904934355</v>
      </c>
      <c r="G30" s="24" t="s">
        <v>800</v>
      </c>
      <c r="H30" s="155">
        <f>ABS(IF((B30&gt;0.15),F20/(1-(B37/F30)),1))</f>
        <v>4.2088967837552458</v>
      </c>
      <c r="I30" s="1"/>
      <c r="J30" s="1"/>
      <c r="S30" s="9"/>
      <c r="T30" s="9"/>
      <c r="U30" s="9"/>
      <c r="V30" s="9"/>
      <c r="W30" s="9"/>
      <c r="X30" s="9"/>
      <c r="Y30" s="9"/>
      <c r="Z30" s="9"/>
    </row>
    <row r="31" spans="1:26" ht="14.25" x14ac:dyDescent="0.2">
      <c r="A31" s="31" t="s">
        <v>787</v>
      </c>
      <c r="B31" s="30">
        <f>0.58*FY</f>
        <v>1.3919999999999999</v>
      </c>
      <c r="C31" s="24" t="s">
        <v>170</v>
      </c>
      <c r="E31" s="24" t="s">
        <v>799</v>
      </c>
      <c r="F31" s="155">
        <f>7500/E26^2</f>
        <v>0.28652189904934355</v>
      </c>
      <c r="G31" s="24" t="s">
        <v>801</v>
      </c>
      <c r="H31" s="155">
        <f>ABS(IF((B30&gt;0.15),F21/(1-(B37/F31)),1))</f>
        <v>4.2088967837552458</v>
      </c>
      <c r="I31" s="1"/>
      <c r="J31" s="1"/>
      <c r="S31" s="9" t="s">
        <v>50</v>
      </c>
      <c r="T31" s="9">
        <v>60.3</v>
      </c>
      <c r="U31" s="9">
        <v>3.6</v>
      </c>
      <c r="V31" s="9">
        <v>5.03</v>
      </c>
      <c r="W31" s="9">
        <v>6.41</v>
      </c>
      <c r="X31" s="9">
        <v>16.75</v>
      </c>
      <c r="Y31" s="9">
        <v>25.9</v>
      </c>
      <c r="Z31" s="9">
        <v>2.0099999999999998</v>
      </c>
    </row>
    <row r="32" spans="1:26" ht="14.25" hidden="1" x14ac:dyDescent="0.2">
      <c r="B32" s="30">
        <f>0.58*FY</f>
        <v>1.3919999999999999</v>
      </c>
      <c r="C32" s="24" t="s">
        <v>789</v>
      </c>
      <c r="I32" s="1"/>
      <c r="J32" s="1"/>
      <c r="S32" s="9" t="s">
        <v>51</v>
      </c>
      <c r="T32" s="9">
        <v>60.3</v>
      </c>
      <c r="U32" s="9">
        <v>4</v>
      </c>
      <c r="V32" s="9">
        <v>5.55</v>
      </c>
      <c r="W32" s="9">
        <v>7.07</v>
      </c>
      <c r="X32" s="9">
        <v>15.08</v>
      </c>
      <c r="Y32" s="9">
        <v>28.2</v>
      </c>
      <c r="Z32" s="9">
        <v>2</v>
      </c>
    </row>
    <row r="33" spans="1:26" ht="14.25" x14ac:dyDescent="0.2">
      <c r="A33" s="31" t="s">
        <v>788</v>
      </c>
      <c r="B33" s="30">
        <f>0.58*FY</f>
        <v>1.3919999999999999</v>
      </c>
      <c r="C33" s="24" t="s">
        <v>170</v>
      </c>
      <c r="I33" s="1"/>
      <c r="J33" s="1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31"/>
      <c r="B34" s="30"/>
      <c r="C34" s="24"/>
      <c r="I34" s="1"/>
      <c r="J34" s="1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19" t="s">
        <v>183</v>
      </c>
      <c r="B35" s="20"/>
      <c r="C35" s="21"/>
      <c r="D35" s="20"/>
      <c r="E35" s="20"/>
      <c r="F35" s="21"/>
      <c r="G35" s="22"/>
      <c r="H35" s="22"/>
      <c r="S35" s="9" t="s">
        <v>52</v>
      </c>
      <c r="T35" s="9">
        <v>76.099999999999994</v>
      </c>
      <c r="U35" s="9">
        <v>2.5</v>
      </c>
      <c r="V35" s="9">
        <v>4.54</v>
      </c>
      <c r="W35" s="9">
        <v>5.78</v>
      </c>
      <c r="X35" s="9">
        <v>30.44</v>
      </c>
      <c r="Y35" s="9">
        <v>39.200000000000003</v>
      </c>
      <c r="Z35" s="9">
        <v>2.6</v>
      </c>
    </row>
    <row r="36" spans="1:26" hidden="1" x14ac:dyDescent="0.2">
      <c r="S36" s="9" t="s">
        <v>53</v>
      </c>
      <c r="T36" s="9">
        <v>76.099999999999994</v>
      </c>
      <c r="U36" s="9">
        <v>3</v>
      </c>
      <c r="V36" s="9">
        <v>5.41</v>
      </c>
      <c r="W36" s="9">
        <v>6.89</v>
      </c>
      <c r="X36" s="9">
        <v>25.37</v>
      </c>
      <c r="Y36" s="9">
        <v>46.1</v>
      </c>
      <c r="Z36" s="9">
        <v>2.59</v>
      </c>
    </row>
    <row r="37" spans="1:26" ht="15.75" x14ac:dyDescent="0.3">
      <c r="A37" s="38" t="s">
        <v>796</v>
      </c>
      <c r="B37" s="30">
        <f>B7/F15</f>
        <v>0.21844660194174756</v>
      </c>
      <c r="C37" s="24" t="s">
        <v>170</v>
      </c>
      <c r="D37" s="38" t="s">
        <v>797</v>
      </c>
      <c r="E37" s="30">
        <f>B8/F15</f>
        <v>0.24271844660194172</v>
      </c>
      <c r="F37" s="24" t="s">
        <v>170</v>
      </c>
      <c r="I37" s="1"/>
      <c r="J37" s="1"/>
      <c r="S37" s="9" t="s">
        <v>54</v>
      </c>
      <c r="T37" s="9">
        <v>76.099999999999994</v>
      </c>
      <c r="U37" s="9">
        <v>3.2</v>
      </c>
      <c r="V37" s="9">
        <v>5.75</v>
      </c>
      <c r="W37" s="9">
        <v>7.33</v>
      </c>
      <c r="X37" s="9">
        <v>23.78</v>
      </c>
      <c r="Y37" s="9">
        <v>48.8</v>
      </c>
      <c r="Z37" s="9">
        <v>2.58</v>
      </c>
    </row>
    <row r="38" spans="1:26" ht="15.75" x14ac:dyDescent="0.3">
      <c r="A38" s="38" t="s">
        <v>790</v>
      </c>
      <c r="B38" s="30">
        <f>E7*100*B14/(2*10*B16)</f>
        <v>0</v>
      </c>
      <c r="C38" s="24" t="s">
        <v>170</v>
      </c>
      <c r="D38" s="1"/>
      <c r="I38" s="1"/>
      <c r="J38" s="1"/>
      <c r="S38" s="9" t="s">
        <v>55</v>
      </c>
      <c r="T38" s="9">
        <v>76.099999999999994</v>
      </c>
      <c r="U38" s="9">
        <v>3.6</v>
      </c>
      <c r="V38" s="9">
        <v>6.44</v>
      </c>
      <c r="W38" s="9">
        <v>8.1999999999999993</v>
      </c>
      <c r="X38" s="9">
        <v>21.14</v>
      </c>
      <c r="Y38" s="9">
        <v>54</v>
      </c>
      <c r="Z38" s="9">
        <v>2.57</v>
      </c>
    </row>
    <row r="39" spans="1:26" hidden="1" x14ac:dyDescent="0.2">
      <c r="I39" s="1"/>
      <c r="J39" s="1"/>
      <c r="S39" s="9" t="s">
        <v>56</v>
      </c>
      <c r="T39" s="9">
        <v>76.099999999999994</v>
      </c>
      <c r="U39" s="9">
        <v>4</v>
      </c>
      <c r="V39" s="9">
        <v>7.11</v>
      </c>
      <c r="W39" s="9">
        <v>9.06</v>
      </c>
      <c r="X39" s="9">
        <v>19.03</v>
      </c>
      <c r="Y39" s="9">
        <v>59.1</v>
      </c>
      <c r="Z39" s="9">
        <v>2.5499999999999998</v>
      </c>
    </row>
    <row r="40" spans="1:26" ht="15.75" x14ac:dyDescent="0.3">
      <c r="A40" s="38" t="s">
        <v>791</v>
      </c>
      <c r="B40" s="30">
        <f>E8*100*B14/(2*10*B16)</f>
        <v>0</v>
      </c>
      <c r="C40" s="24" t="s">
        <v>170</v>
      </c>
      <c r="I40" s="1"/>
      <c r="J40" s="1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19" t="s">
        <v>184</v>
      </c>
      <c r="B41" s="20"/>
      <c r="C41" s="21"/>
      <c r="D41" s="20"/>
      <c r="E41" s="20"/>
      <c r="F41" s="21"/>
      <c r="G41" s="22"/>
      <c r="H41" s="22"/>
      <c r="I41" s="1"/>
      <c r="J41" s="1"/>
      <c r="S41" s="9" t="s">
        <v>57</v>
      </c>
      <c r="T41" s="9">
        <v>88.9</v>
      </c>
      <c r="U41" s="9">
        <v>3</v>
      </c>
      <c r="V41" s="9">
        <v>6.36</v>
      </c>
      <c r="W41" s="9">
        <v>8.1</v>
      </c>
      <c r="X41" s="9">
        <v>29.63</v>
      </c>
      <c r="Y41" s="9">
        <v>74.8</v>
      </c>
      <c r="Z41" s="9">
        <v>3.04</v>
      </c>
    </row>
    <row r="42" spans="1:26" hidden="1" x14ac:dyDescent="0.2">
      <c r="I42" s="1"/>
      <c r="J42" s="1"/>
      <c r="S42" s="9" t="s">
        <v>58</v>
      </c>
      <c r="T42" s="9">
        <v>88.9</v>
      </c>
      <c r="U42" s="9">
        <v>3.2</v>
      </c>
      <c r="V42" s="9">
        <v>6.76</v>
      </c>
      <c r="W42" s="9">
        <v>8.6199999999999992</v>
      </c>
      <c r="X42" s="9">
        <v>27.78</v>
      </c>
      <c r="Y42" s="9">
        <v>79.2</v>
      </c>
      <c r="Z42" s="9">
        <v>3.03</v>
      </c>
    </row>
    <row r="43" spans="1:26" hidden="1" x14ac:dyDescent="0.2">
      <c r="S43" s="10" t="s">
        <v>59</v>
      </c>
      <c r="T43" s="9">
        <v>88.9</v>
      </c>
      <c r="U43" s="9">
        <v>4</v>
      </c>
      <c r="V43" s="9">
        <v>8.3800000000000008</v>
      </c>
      <c r="W43" s="9">
        <v>10.7</v>
      </c>
      <c r="X43" s="9">
        <v>22.23</v>
      </c>
      <c r="Y43" s="9">
        <v>96.3</v>
      </c>
      <c r="Z43" s="9">
        <v>3</v>
      </c>
    </row>
    <row r="44" spans="1:26" x14ac:dyDescent="0.2">
      <c r="A44" s="31" t="s">
        <v>180</v>
      </c>
      <c r="B44" s="29">
        <f>B37/B29/J44+B38*H30/B31/J44+B40*H31/B33/J44</f>
        <v>0.76240804862223688</v>
      </c>
      <c r="C44" s="1"/>
      <c r="D44" s="1"/>
      <c r="E44" s="1"/>
      <c r="F44" s="1"/>
      <c r="G44" s="1"/>
      <c r="H44" s="37" t="str">
        <f>IF(B44&lt;1,"PASS","FAIL")</f>
        <v>PASS</v>
      </c>
      <c r="I44" s="158" t="s">
        <v>182</v>
      </c>
      <c r="J44" s="158">
        <f>IF(H7="ONE",1,1.2)</f>
        <v>1</v>
      </c>
      <c r="K44" s="159"/>
      <c r="L44" s="159"/>
      <c r="M44" s="159"/>
      <c r="N44" s="159"/>
      <c r="O44" s="159"/>
      <c r="S44" s="9" t="s">
        <v>60</v>
      </c>
      <c r="T44" s="9">
        <v>88.9</v>
      </c>
      <c r="U44" s="9">
        <v>5</v>
      </c>
      <c r="V44" s="9">
        <v>10.3</v>
      </c>
      <c r="W44" s="9">
        <v>13.2</v>
      </c>
      <c r="X44" s="9">
        <v>17.78</v>
      </c>
      <c r="Y44" s="9">
        <v>116</v>
      </c>
      <c r="Z44" s="9">
        <v>2.97</v>
      </c>
    </row>
    <row r="45" spans="1:26" x14ac:dyDescent="0.2">
      <c r="A45" s="31" t="s">
        <v>181</v>
      </c>
      <c r="B45" s="29">
        <f>E37/E29/J44+B38*H30/B31/J44+B40*H31/B33/J44</f>
        <v>0.17337031900138694</v>
      </c>
      <c r="C45" s="1"/>
      <c r="D45" s="1"/>
      <c r="E45" s="1"/>
      <c r="F45" s="1"/>
      <c r="G45" s="1"/>
      <c r="H45" s="37" t="str">
        <f>IF(B45&lt;1,"PASS","FAIL")</f>
        <v>PASS</v>
      </c>
      <c r="I45" s="158"/>
      <c r="J45" s="158"/>
      <c r="K45" s="159"/>
      <c r="L45" s="159"/>
      <c r="M45" s="159"/>
      <c r="N45" s="159"/>
      <c r="O45" s="159"/>
      <c r="S45" s="9" t="s">
        <v>61</v>
      </c>
      <c r="T45" s="9">
        <v>114.3</v>
      </c>
      <c r="U45" s="9">
        <v>3</v>
      </c>
      <c r="V45" s="9">
        <v>8.23</v>
      </c>
      <c r="W45" s="9">
        <v>10.5</v>
      </c>
      <c r="X45" s="9">
        <v>38.1</v>
      </c>
      <c r="Y45" s="9">
        <v>163</v>
      </c>
      <c r="Z45" s="9">
        <v>3.94</v>
      </c>
    </row>
    <row r="46" spans="1:26" hidden="1" x14ac:dyDescent="0.2">
      <c r="A46" s="31"/>
      <c r="B46" s="29"/>
      <c r="C46" s="1"/>
      <c r="D46" s="1"/>
      <c r="E46" s="1"/>
      <c r="F46" s="1"/>
      <c r="G46" s="1"/>
      <c r="H46" s="1"/>
      <c r="I46" s="158"/>
      <c r="J46" s="158"/>
      <c r="K46" s="159"/>
      <c r="L46" s="159"/>
      <c r="M46" s="159"/>
      <c r="N46" s="159"/>
      <c r="O46" s="15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45" t="s">
        <v>773</v>
      </c>
      <c r="B47" s="46"/>
      <c r="C47" s="46"/>
      <c r="D47" s="46"/>
      <c r="E47" s="46"/>
      <c r="F47" s="47"/>
      <c r="G47" s="47"/>
      <c r="H47" s="47"/>
      <c r="I47" s="158"/>
      <c r="J47" s="158"/>
      <c r="K47" s="159"/>
      <c r="L47" s="159"/>
      <c r="M47" s="159"/>
      <c r="N47" s="159"/>
      <c r="O47" s="15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31" t="s">
        <v>774</v>
      </c>
      <c r="B48" s="78" t="s">
        <v>756</v>
      </c>
      <c r="C48" s="53" t="s">
        <v>731</v>
      </c>
      <c r="D48" s="35"/>
      <c r="E48" s="1"/>
      <c r="F48" s="1"/>
      <c r="G48" s="1"/>
      <c r="H48" s="1"/>
      <c r="I48" s="158"/>
      <c r="J48" s="158"/>
      <c r="K48" s="159"/>
      <c r="L48" s="159"/>
      <c r="M48" s="159"/>
      <c r="N48" s="159"/>
      <c r="O48" s="15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38" t="s">
        <v>775</v>
      </c>
      <c r="B49" s="59">
        <v>8</v>
      </c>
      <c r="C49" s="50" t="s">
        <v>26</v>
      </c>
      <c r="D49" s="76" t="s">
        <v>784</v>
      </c>
      <c r="F49" s="77">
        <v>10</v>
      </c>
      <c r="G49" s="50" t="s">
        <v>26</v>
      </c>
      <c r="H49" s="1"/>
      <c r="I49" s="160" t="s">
        <v>786</v>
      </c>
      <c r="J49" s="161"/>
      <c r="K49" s="159"/>
      <c r="L49" s="159"/>
      <c r="M49" s="159"/>
      <c r="N49" s="159"/>
      <c r="O49" s="15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38" t="s">
        <v>782</v>
      </c>
      <c r="B50" s="59">
        <v>100</v>
      </c>
      <c r="C50" s="50" t="s">
        <v>26</v>
      </c>
      <c r="D50" s="38" t="s">
        <v>781</v>
      </c>
      <c r="E50" s="1"/>
      <c r="F50" s="59">
        <v>190</v>
      </c>
      <c r="G50" s="50" t="s">
        <v>26</v>
      </c>
      <c r="H50" s="156" t="str">
        <f>IF(F50&gt;J62,"","Increase plate width")</f>
        <v/>
      </c>
      <c r="I50" s="160" t="s">
        <v>761</v>
      </c>
      <c r="J50" s="162">
        <f>J62</f>
        <v>188.4</v>
      </c>
      <c r="K50" s="163" t="s">
        <v>26</v>
      </c>
      <c r="L50" s="159"/>
      <c r="M50" s="159"/>
      <c r="N50" s="159"/>
      <c r="O50" s="159"/>
      <c r="S50" s="9" t="s">
        <v>62</v>
      </c>
      <c r="T50" s="9">
        <v>114.3</v>
      </c>
      <c r="U50" s="9">
        <v>3.2</v>
      </c>
      <c r="V50" s="9">
        <v>8.77</v>
      </c>
      <c r="W50" s="9">
        <v>11.2</v>
      </c>
      <c r="X50" s="9">
        <v>35.72</v>
      </c>
      <c r="Y50" s="9">
        <v>172</v>
      </c>
      <c r="Z50" s="9">
        <v>3.93</v>
      </c>
    </row>
    <row r="51" spans="1:26" ht="15.75" x14ac:dyDescent="0.2">
      <c r="A51" s="45" t="s">
        <v>699</v>
      </c>
      <c r="B51" s="46"/>
      <c r="C51" s="46"/>
      <c r="D51" s="46"/>
      <c r="E51" s="46"/>
      <c r="F51" s="47"/>
      <c r="G51" s="47"/>
      <c r="H51" s="47"/>
      <c r="I51" s="159"/>
      <c r="J51" s="62" t="s">
        <v>700</v>
      </c>
      <c r="K51" s="62" t="s">
        <v>701</v>
      </c>
      <c r="L51" s="159"/>
      <c r="M51" s="159"/>
      <c r="N51" s="159"/>
      <c r="O51" s="159"/>
      <c r="S51" s="9" t="s">
        <v>63</v>
      </c>
      <c r="T51" s="9">
        <v>114.3</v>
      </c>
      <c r="U51" s="9">
        <v>3.6</v>
      </c>
      <c r="V51" s="9">
        <v>9.83</v>
      </c>
      <c r="W51" s="9">
        <v>12.5</v>
      </c>
      <c r="X51" s="9">
        <v>31.75</v>
      </c>
      <c r="Y51" s="9">
        <v>192</v>
      </c>
      <c r="Z51" s="9">
        <v>3.92</v>
      </c>
    </row>
    <row r="52" spans="1:26" ht="15.75" x14ac:dyDescent="0.2">
      <c r="A52" s="50" t="s">
        <v>702</v>
      </c>
      <c r="B52" s="51">
        <v>2</v>
      </c>
      <c r="C52" s="34" t="s">
        <v>703</v>
      </c>
      <c r="D52" s="50" t="s">
        <v>700</v>
      </c>
      <c r="E52" s="52">
        <f>IF(C53="Bearing Type",J52,IF(B53&lt;=8.8,K52,J52))</f>
        <v>3.14</v>
      </c>
      <c r="F52" s="34" t="s">
        <v>0</v>
      </c>
      <c r="G52" s="53" t="s">
        <v>704</v>
      </c>
      <c r="H52" s="54">
        <f>IF(OR(C56&lt;I57,Bt_S&lt;I56),"Check",C56/B54)</f>
        <v>3.125</v>
      </c>
      <c r="I52" s="62" t="s">
        <v>711</v>
      </c>
      <c r="J52" s="164">
        <f>IF(B53=10.9,0.2*VLOOKUP(B53,B94:F101,2,FALSE)*(VLOOKUP(B54,B80:G90,2,FALSE)),0.25*VLOOKUP(B53,B94:F101,2,FALSE)*(VLOOKUP(B54,B80:G90,2,FALSE)))</f>
        <v>3.14</v>
      </c>
      <c r="K52" s="164">
        <f>IF(B53&gt;=8.8,IF(B26="ST-52",VLOOKUP(B54,B80:H90,7,FALSE),VLOOKUP(B54,B80:G90,6,FALSE)),0)</f>
        <v>3.16</v>
      </c>
      <c r="L52" s="62" t="s">
        <v>0</v>
      </c>
      <c r="M52" s="159"/>
      <c r="N52" s="159"/>
      <c r="O52" s="159"/>
      <c r="S52" s="9" t="s">
        <v>64</v>
      </c>
      <c r="T52" s="9">
        <v>114.3</v>
      </c>
      <c r="U52" s="9">
        <v>5</v>
      </c>
      <c r="V52" s="9">
        <v>13.5</v>
      </c>
      <c r="W52" s="9">
        <v>17.2</v>
      </c>
      <c r="X52" s="9">
        <v>22.86</v>
      </c>
      <c r="Y52" s="9">
        <v>257</v>
      </c>
      <c r="Z52" s="9">
        <v>3.87</v>
      </c>
    </row>
    <row r="53" spans="1:26" ht="19.5" x14ac:dyDescent="0.35">
      <c r="A53" s="50" t="s">
        <v>705</v>
      </c>
      <c r="B53" s="51">
        <v>10.9</v>
      </c>
      <c r="C53" s="55" t="s">
        <v>771</v>
      </c>
      <c r="D53" s="50" t="s">
        <v>706</v>
      </c>
      <c r="E53" s="52">
        <f>IF(C53="friction type",0,H53*VLOOKUP(B11,B105:H110,3,FALSE)*(B49*B54/100))</f>
        <v>5.5296000000000003</v>
      </c>
      <c r="F53" s="34" t="s">
        <v>0</v>
      </c>
      <c r="G53" s="32" t="s">
        <v>707</v>
      </c>
      <c r="H53" s="54">
        <f>IF(OR(C56&lt;I57,Bt_S&lt;I56),"Check",IF(H52&lt;1.5,0.6,IF(H52&gt;3,1.2,0.6+0.4*(H52-1.5))))</f>
        <v>1.2</v>
      </c>
      <c r="I53" s="164">
        <f>F14</f>
        <v>4</v>
      </c>
      <c r="J53" s="165"/>
      <c r="K53" s="165"/>
      <c r="L53" s="165"/>
      <c r="M53" s="159"/>
      <c r="N53" s="159"/>
      <c r="O53" s="159"/>
      <c r="S53" s="9" t="s">
        <v>65</v>
      </c>
      <c r="T53" s="9">
        <v>114.3</v>
      </c>
      <c r="U53" s="9">
        <v>6</v>
      </c>
      <c r="V53" s="9">
        <v>16</v>
      </c>
      <c r="W53" s="9">
        <v>20.399999999999999</v>
      </c>
      <c r="X53" s="9">
        <v>19.05</v>
      </c>
      <c r="Y53" s="9">
        <v>300</v>
      </c>
      <c r="Z53" s="9">
        <v>3.83</v>
      </c>
    </row>
    <row r="54" spans="1:26" ht="19.5" x14ac:dyDescent="0.35">
      <c r="A54" s="50" t="s">
        <v>708</v>
      </c>
      <c r="B54" s="51">
        <v>16</v>
      </c>
      <c r="C54" s="34" t="s">
        <v>26</v>
      </c>
      <c r="D54" s="50" t="s">
        <v>709</v>
      </c>
      <c r="E54" s="52">
        <f>IF(C53="friction type",E52*H55,MIN(E53,H55*E52))</f>
        <v>3.14</v>
      </c>
      <c r="F54" s="34" t="s">
        <v>0</v>
      </c>
      <c r="G54" s="32" t="s">
        <v>710</v>
      </c>
      <c r="H54" s="56">
        <f>IF(AND(B54&lt;=24,B54&gt;10),B54+2,IF(B54&lt;=14,B54+1,B54+3))</f>
        <v>18</v>
      </c>
      <c r="I54" s="166" t="s">
        <v>712</v>
      </c>
      <c r="J54" s="159"/>
      <c r="K54" s="159"/>
      <c r="L54" s="165"/>
      <c r="M54" s="159"/>
      <c r="N54" s="159"/>
      <c r="O54" s="159"/>
      <c r="S54" s="9" t="s">
        <v>66</v>
      </c>
      <c r="T54" s="9">
        <v>114.3</v>
      </c>
      <c r="U54" s="9">
        <v>6.3</v>
      </c>
      <c r="V54" s="9">
        <v>16.8</v>
      </c>
      <c r="W54" s="9">
        <v>21.4</v>
      </c>
      <c r="X54" s="9">
        <v>18.14</v>
      </c>
      <c r="Y54" s="9">
        <v>313</v>
      </c>
      <c r="Z54" s="9">
        <v>3.82</v>
      </c>
    </row>
    <row r="55" spans="1:26" x14ac:dyDescent="0.2">
      <c r="A55" s="50" t="s">
        <v>777</v>
      </c>
      <c r="B55" s="35"/>
      <c r="C55" s="59">
        <v>89.998999999999995</v>
      </c>
      <c r="D55" s="50" t="s">
        <v>780</v>
      </c>
      <c r="E55" s="59">
        <v>2</v>
      </c>
      <c r="F55" s="152" t="str">
        <f>IF((E55-1)*Bt_S+(2*C56)&lt;F50,"","REDUCE NO. OF BOLTS")</f>
        <v/>
      </c>
      <c r="G55" s="53" t="s">
        <v>713</v>
      </c>
      <c r="H55" s="57">
        <v>1</v>
      </c>
      <c r="I55" s="159"/>
      <c r="J55" s="159"/>
      <c r="K55" s="165"/>
      <c r="L55" s="165"/>
      <c r="M55" s="159"/>
      <c r="N55" s="159"/>
      <c r="O55" s="159"/>
      <c r="S55" s="9" t="s">
        <v>67</v>
      </c>
      <c r="T55" s="9">
        <v>139.69999999999999</v>
      </c>
      <c r="U55" s="9">
        <v>5</v>
      </c>
      <c r="V55" s="9">
        <v>16.600000000000001</v>
      </c>
      <c r="W55" s="9">
        <v>21.2</v>
      </c>
      <c r="X55" s="9">
        <v>27.94</v>
      </c>
      <c r="Y55" s="9">
        <v>481</v>
      </c>
      <c r="Z55" s="9">
        <v>4.7699999999999996</v>
      </c>
    </row>
    <row r="56" spans="1:26" x14ac:dyDescent="0.2">
      <c r="A56" s="50" t="s">
        <v>776</v>
      </c>
      <c r="B56" s="35"/>
      <c r="C56" s="59">
        <v>50</v>
      </c>
      <c r="D56" s="50" t="s">
        <v>779</v>
      </c>
      <c r="E56" s="58">
        <f>Bt_n/E55</f>
        <v>1</v>
      </c>
      <c r="F56" s="35"/>
      <c r="G56" s="48"/>
      <c r="H56" s="48"/>
      <c r="I56" s="167">
        <f>3*B54</f>
        <v>48</v>
      </c>
      <c r="J56" s="168" t="s">
        <v>714</v>
      </c>
      <c r="K56" s="159"/>
      <c r="L56" s="159"/>
      <c r="M56" s="159"/>
      <c r="N56" s="159"/>
      <c r="O56" s="159"/>
      <c r="S56" s="9" t="s">
        <v>68</v>
      </c>
      <c r="T56" s="9">
        <v>139.69999999999999</v>
      </c>
      <c r="U56" s="9">
        <v>6.3</v>
      </c>
      <c r="V56" s="9">
        <v>20.7</v>
      </c>
      <c r="W56" s="9">
        <v>26.4</v>
      </c>
      <c r="X56" s="9">
        <v>22.17</v>
      </c>
      <c r="Y56" s="9">
        <v>589</v>
      </c>
      <c r="Z56" s="9">
        <v>4.72</v>
      </c>
    </row>
    <row r="57" spans="1:26" x14ac:dyDescent="0.2">
      <c r="A57" s="53" t="s">
        <v>716</v>
      </c>
      <c r="B57" s="35"/>
      <c r="C57" s="60">
        <f>ABS(MAX(ABS(B7),ABS(B8)))/Bt_n</f>
        <v>2.5</v>
      </c>
      <c r="D57" s="50" t="s">
        <v>778</v>
      </c>
      <c r="G57" s="35"/>
      <c r="H57" s="35"/>
      <c r="I57" s="167">
        <f>1.5*B54</f>
        <v>24</v>
      </c>
      <c r="J57" s="168" t="s">
        <v>715</v>
      </c>
      <c r="K57" s="159"/>
      <c r="L57" s="159"/>
      <c r="M57" s="159"/>
      <c r="N57" s="159"/>
      <c r="O57" s="159"/>
      <c r="S57" s="9" t="s">
        <v>69</v>
      </c>
      <c r="T57" s="9">
        <v>139.69999999999999</v>
      </c>
      <c r="U57" s="9">
        <v>8</v>
      </c>
      <c r="V57" s="9">
        <v>26</v>
      </c>
      <c r="W57" s="9">
        <v>33.1</v>
      </c>
      <c r="X57" s="9">
        <v>17.46</v>
      </c>
      <c r="Y57" s="9">
        <v>720</v>
      </c>
      <c r="Z57" s="9">
        <v>4.66</v>
      </c>
    </row>
    <row r="58" spans="1:26" x14ac:dyDescent="0.2">
      <c r="A58" s="53" t="s">
        <v>717</v>
      </c>
      <c r="B58" s="61"/>
      <c r="C58" s="60">
        <f>E54</f>
        <v>3.14</v>
      </c>
      <c r="D58" s="50" t="s">
        <v>778</v>
      </c>
      <c r="G58" s="35"/>
      <c r="H58" s="35"/>
      <c r="I58" s="159"/>
      <c r="J58" s="159"/>
      <c r="K58" s="159"/>
      <c r="L58" s="159"/>
      <c r="M58" s="159"/>
      <c r="N58" s="159"/>
      <c r="O58" s="159"/>
      <c r="S58" s="9" t="s">
        <v>70</v>
      </c>
      <c r="T58" s="9">
        <v>139.69999999999999</v>
      </c>
      <c r="U58" s="9">
        <v>10</v>
      </c>
      <c r="V58" s="9">
        <v>32</v>
      </c>
      <c r="W58" s="9">
        <v>40.700000000000003</v>
      </c>
      <c r="X58" s="9">
        <v>13.97</v>
      </c>
      <c r="Y58" s="9">
        <v>862</v>
      </c>
      <c r="Z58" s="9">
        <v>4.5999999999999996</v>
      </c>
    </row>
    <row r="59" spans="1:26" x14ac:dyDescent="0.2">
      <c r="A59" s="53" t="s">
        <v>718</v>
      </c>
      <c r="B59" s="35"/>
      <c r="C59" s="60">
        <f>C57/C58</f>
        <v>0.79617834394904452</v>
      </c>
      <c r="D59" s="50" t="s">
        <v>719</v>
      </c>
      <c r="E59" s="62" t="str">
        <f>IF(C59&gt;1,"&lt;",IF(AND(C59&lt;1,C59&gt;0),"&gt;"," N.A"))</f>
        <v>&gt;</v>
      </c>
      <c r="F59" s="63">
        <f>J44</f>
        <v>1</v>
      </c>
      <c r="G59" s="64"/>
      <c r="H59" s="65" t="str">
        <f>IF(C59&gt;F59,"FAIL","PASS")</f>
        <v>PASS</v>
      </c>
      <c r="I59" s="159"/>
      <c r="J59" s="159"/>
      <c r="K59" s="159"/>
      <c r="L59" s="159"/>
      <c r="M59" s="159"/>
      <c r="N59" s="159"/>
      <c r="O59" s="159"/>
      <c r="S59" s="9" t="s">
        <v>71</v>
      </c>
      <c r="T59" s="9">
        <v>168.3</v>
      </c>
      <c r="U59" s="9">
        <v>4</v>
      </c>
      <c r="V59" s="9">
        <v>16.2</v>
      </c>
      <c r="W59" s="9">
        <v>20.6</v>
      </c>
      <c r="X59" s="9">
        <v>42.08</v>
      </c>
      <c r="Y59" s="9">
        <v>697</v>
      </c>
      <c r="Z59" s="9">
        <v>5.81</v>
      </c>
    </row>
    <row r="60" spans="1:26" x14ac:dyDescent="0.2">
      <c r="A60" s="53" t="s">
        <v>722</v>
      </c>
      <c r="B60" s="35"/>
      <c r="C60" s="66">
        <f>ABS(MAX(ABS(B7),ABS(B8)))/((F50/10))/(VLOOKUP(B48,B105:H110,4,FALSE))*10</f>
        <v>1.2603347449082474</v>
      </c>
      <c r="D60" s="50" t="s">
        <v>26</v>
      </c>
      <c r="E60" s="62" t="str">
        <f>IF(C60&gt;F60,"&gt;","&lt;")</f>
        <v>&lt;</v>
      </c>
      <c r="F60" s="58">
        <f>Pl</f>
        <v>8</v>
      </c>
      <c r="G60" s="50" t="s">
        <v>26</v>
      </c>
      <c r="H60" s="65" t="str">
        <f>IF(C60&gt;Pl,"Increase plate ","Gusset Plate OK")</f>
        <v>Gusset Plate OK</v>
      </c>
      <c r="I60" s="169"/>
      <c r="J60" s="62" t="s">
        <v>720</v>
      </c>
      <c r="K60" s="62" t="s">
        <v>721</v>
      </c>
      <c r="L60" s="165"/>
      <c r="M60" s="159"/>
      <c r="N60" s="159"/>
      <c r="O60" s="159"/>
      <c r="S60" s="9" t="s">
        <v>72</v>
      </c>
      <c r="T60" s="9">
        <v>168.3</v>
      </c>
      <c r="U60" s="9">
        <v>5</v>
      </c>
      <c r="V60" s="9">
        <v>20.100000000000001</v>
      </c>
      <c r="W60" s="9">
        <v>25.7</v>
      </c>
      <c r="X60" s="9">
        <v>33.659999999999997</v>
      </c>
      <c r="Y60" s="9">
        <v>856</v>
      </c>
      <c r="Z60" s="9">
        <v>5.78</v>
      </c>
    </row>
    <row r="61" spans="1:26" ht="15.75" x14ac:dyDescent="0.2">
      <c r="A61" s="67" t="s">
        <v>724</v>
      </c>
      <c r="B61" s="68">
        <f>(E55*((C56+(E56-1)*Bt_S)-((E56-0.5)*H54)))*Pl/100</f>
        <v>6.56</v>
      </c>
      <c r="C61" s="69" t="s">
        <v>725</v>
      </c>
      <c r="D61" s="70">
        <f>((F50/10)-(E55*0.5*(H54/10)+2*C56/10))*Pl/10</f>
        <v>5.76</v>
      </c>
      <c r="E61" s="67" t="s">
        <v>726</v>
      </c>
      <c r="G61" s="35"/>
      <c r="H61" s="71" t="str">
        <f>IF(MAX(B8/((F50-((E55*H54)/10))*Pl/100),(B7/(F50*Pl/100)))&lt;0.72*FY*J44,"SAFE","Increase pl. Dim")</f>
        <v>SAFE</v>
      </c>
      <c r="I61" s="62" t="s">
        <v>723</v>
      </c>
      <c r="J61" s="170">
        <f>VLOOKUP(B48,B106:H110,3,FALSE)</f>
        <v>5.2</v>
      </c>
      <c r="K61" s="170">
        <f>VLOOKUP(B11,B105:H110,3,FALSE)</f>
        <v>3.6</v>
      </c>
      <c r="L61" s="165"/>
      <c r="M61" s="159"/>
      <c r="N61" s="159"/>
      <c r="O61" s="159"/>
      <c r="S61" s="9" t="s">
        <v>73</v>
      </c>
      <c r="T61" s="9">
        <v>168.3</v>
      </c>
      <c r="U61" s="9">
        <v>6.3</v>
      </c>
      <c r="V61" s="9">
        <v>25.2</v>
      </c>
      <c r="W61" s="9">
        <v>32.1</v>
      </c>
      <c r="X61" s="9">
        <v>26.71</v>
      </c>
      <c r="Y61" s="9">
        <v>1053</v>
      </c>
      <c r="Z61" s="9">
        <v>5.73</v>
      </c>
    </row>
    <row r="62" spans="1:26" x14ac:dyDescent="0.2">
      <c r="A62" s="67" t="s">
        <v>727</v>
      </c>
      <c r="B62" s="35"/>
      <c r="D62" s="72">
        <f>(0.4*J68*B61)+(0.725*J68*D61)</f>
        <v>24.479999999999997</v>
      </c>
      <c r="E62" s="62" t="str">
        <f>IF(D62&gt;1,"&gt;",IF(AND(D62&lt;1,D62&gt;0),"&lt;"," N.A"))</f>
        <v>&gt;</v>
      </c>
      <c r="F62" s="63">
        <f>ABS(MAX(ABS(B7),ABS(B8)))</f>
        <v>5</v>
      </c>
      <c r="H62" s="65" t="str">
        <f>IF(D62&lt;F62,"FAIL","PASS")</f>
        <v>PASS</v>
      </c>
      <c r="I62" s="171" t="s">
        <v>761</v>
      </c>
      <c r="J62" s="157">
        <f>CEILING((B14+J63),0.2)</f>
        <v>188.4</v>
      </c>
      <c r="K62" s="25" t="s">
        <v>26</v>
      </c>
      <c r="L62" s="165"/>
      <c r="M62" s="159"/>
      <c r="N62" s="159"/>
      <c r="O62" s="159"/>
      <c r="S62" s="9" t="s">
        <v>74</v>
      </c>
      <c r="T62" s="9">
        <v>168.3</v>
      </c>
      <c r="U62" s="9">
        <v>8</v>
      </c>
      <c r="V62" s="9">
        <v>31.6</v>
      </c>
      <c r="W62" s="9">
        <v>40.299999999999997</v>
      </c>
      <c r="X62" s="9">
        <v>21.04</v>
      </c>
      <c r="Y62" s="9">
        <v>1297</v>
      </c>
      <c r="Z62" s="9">
        <v>5.67</v>
      </c>
    </row>
    <row r="63" spans="1:26" x14ac:dyDescent="0.2">
      <c r="A63" s="73" t="s">
        <v>728</v>
      </c>
      <c r="B63" s="46"/>
      <c r="C63" s="46"/>
      <c r="D63" s="46"/>
      <c r="E63" s="46"/>
      <c r="F63" s="47"/>
      <c r="G63" s="47"/>
      <c r="H63" s="47"/>
      <c r="I63" s="159"/>
      <c r="J63" s="159">
        <f>MAX(2*F49,2*S)</f>
        <v>20</v>
      </c>
      <c r="K63" s="159"/>
      <c r="L63" s="159"/>
      <c r="M63" s="159"/>
      <c r="N63" s="159"/>
      <c r="O63" s="159"/>
      <c r="S63" s="9" t="s">
        <v>75</v>
      </c>
      <c r="T63" s="9">
        <v>168.3</v>
      </c>
      <c r="U63" s="9">
        <v>10</v>
      </c>
      <c r="V63" s="9">
        <v>39</v>
      </c>
      <c r="W63" s="9">
        <v>49.7</v>
      </c>
      <c r="X63" s="9">
        <v>16.829999999999998</v>
      </c>
      <c r="Y63" s="9">
        <v>1564</v>
      </c>
      <c r="Z63" s="9">
        <v>5.61</v>
      </c>
    </row>
    <row r="64" spans="1:26" x14ac:dyDescent="0.2">
      <c r="A64" s="75" t="s">
        <v>804</v>
      </c>
      <c r="B64" s="35"/>
      <c r="C64" s="51">
        <v>4</v>
      </c>
      <c r="D64" s="50" t="s">
        <v>26</v>
      </c>
      <c r="E64" s="35"/>
      <c r="F64" s="61" t="str">
        <f>IF(S&gt;MIN(B49,I53),"Weld size exceeds thickness","")</f>
        <v/>
      </c>
      <c r="G64" s="35"/>
      <c r="H64" s="35"/>
      <c r="I64" s="172"/>
      <c r="J64" s="170"/>
      <c r="K64" s="170"/>
      <c r="L64" s="165"/>
      <c r="M64" s="159"/>
      <c r="N64" s="159"/>
      <c r="O64" s="159"/>
      <c r="S64" s="9" t="s">
        <v>76</v>
      </c>
      <c r="T64" s="9">
        <v>168.3</v>
      </c>
      <c r="U64" s="9">
        <v>12.5</v>
      </c>
      <c r="V64" s="9">
        <v>48</v>
      </c>
      <c r="W64" s="9">
        <v>61.2</v>
      </c>
      <c r="X64" s="9">
        <v>13.46</v>
      </c>
      <c r="Y64" s="9">
        <v>1868</v>
      </c>
      <c r="Z64" s="9">
        <v>5.53</v>
      </c>
    </row>
    <row r="65" spans="1:26" x14ac:dyDescent="0.2">
      <c r="A65" s="76" t="s">
        <v>783</v>
      </c>
      <c r="B65" s="35"/>
      <c r="C65" s="70">
        <f>B50</f>
        <v>100</v>
      </c>
      <c r="D65" s="50" t="s">
        <v>26</v>
      </c>
      <c r="E65" s="35"/>
      <c r="F65" s="61" t="str">
        <f>IF(C65&lt;K70*10,"Increase welding length","")</f>
        <v/>
      </c>
      <c r="G65" s="53"/>
      <c r="H65" s="35"/>
      <c r="I65" s="173"/>
      <c r="J65" s="174"/>
      <c r="K65" s="174"/>
      <c r="L65" s="159"/>
      <c r="M65" s="159">
        <f>IF(B70=M66,1,2)</f>
        <v>1</v>
      </c>
      <c r="N65" s="159"/>
      <c r="O65" s="159"/>
      <c r="S65" s="9" t="s">
        <v>77</v>
      </c>
      <c r="T65" s="9">
        <v>193.7</v>
      </c>
      <c r="U65" s="9">
        <v>4</v>
      </c>
      <c r="V65" s="9">
        <v>18.7</v>
      </c>
      <c r="W65" s="9">
        <v>23.8</v>
      </c>
      <c r="X65" s="9">
        <v>48.43</v>
      </c>
      <c r="Y65" s="9">
        <v>1073</v>
      </c>
      <c r="Z65" s="9">
        <v>6.71</v>
      </c>
    </row>
    <row r="66" spans="1:26" x14ac:dyDescent="0.2">
      <c r="A66" s="76" t="s">
        <v>772</v>
      </c>
      <c r="B66" s="35"/>
      <c r="C66" s="77">
        <v>4</v>
      </c>
      <c r="D66" s="50"/>
      <c r="E66" s="35"/>
      <c r="I66" s="173"/>
      <c r="J66" s="174"/>
      <c r="K66" s="174"/>
      <c r="L66" s="159"/>
      <c r="M66" s="159" t="s">
        <v>768</v>
      </c>
      <c r="N66" s="159">
        <v>1</v>
      </c>
      <c r="O66" s="159"/>
      <c r="S66" s="9" t="s">
        <v>78</v>
      </c>
      <c r="T66" s="9">
        <v>193.7</v>
      </c>
      <c r="U66" s="9">
        <v>4.5</v>
      </c>
      <c r="V66" s="9">
        <v>21</v>
      </c>
      <c r="W66" s="9">
        <v>26.7</v>
      </c>
      <c r="X66" s="9">
        <v>43.04</v>
      </c>
      <c r="Y66" s="9">
        <v>1198</v>
      </c>
      <c r="Z66" s="9">
        <v>6.69</v>
      </c>
    </row>
    <row r="67" spans="1:26" x14ac:dyDescent="0.2">
      <c r="A67" s="67" t="s">
        <v>767</v>
      </c>
      <c r="C67" s="59">
        <v>1</v>
      </c>
      <c r="D67" s="50"/>
      <c r="E67" s="67" t="s">
        <v>726</v>
      </c>
      <c r="F67" s="35"/>
      <c r="G67" s="35"/>
      <c r="H67" s="71" t="str">
        <f>IF(((MAX(ABS(B7),ABS(B8)))/(C67*F50*Pl/100))&lt;J44*0.72*FY,"SAFE","Increase pl. dimension")</f>
        <v>SAFE</v>
      </c>
      <c r="I67" s="173"/>
      <c r="J67" s="62"/>
      <c r="K67" s="62"/>
      <c r="L67" s="159"/>
      <c r="M67" s="159" t="s">
        <v>769</v>
      </c>
      <c r="N67" s="159">
        <v>2</v>
      </c>
      <c r="O67" s="159"/>
      <c r="S67" s="9" t="s">
        <v>79</v>
      </c>
      <c r="T67" s="9">
        <v>193.7</v>
      </c>
      <c r="U67" s="9">
        <v>5</v>
      </c>
      <c r="V67" s="9">
        <v>23.3</v>
      </c>
      <c r="W67" s="9">
        <v>29.6</v>
      </c>
      <c r="X67" s="9">
        <v>38.74</v>
      </c>
      <c r="Y67" s="9">
        <v>1320</v>
      </c>
      <c r="Z67" s="9">
        <v>6.67</v>
      </c>
    </row>
    <row r="68" spans="1:26" ht="14.25" x14ac:dyDescent="0.2">
      <c r="A68" s="76" t="s">
        <v>734</v>
      </c>
      <c r="B68" s="79" t="s">
        <v>735</v>
      </c>
      <c r="C68" s="60">
        <f>(ABS(MAX(ABS(B7),ABS(B8)))/(S*C65*C66*C67/100))</f>
        <v>0.3125</v>
      </c>
      <c r="D68" s="50" t="s">
        <v>736</v>
      </c>
      <c r="E68" s="49" t="str">
        <f>IF(C68&gt;F68,"&gt;","&lt;")</f>
        <v>&lt;</v>
      </c>
      <c r="F68" s="80">
        <f>0.2*VLOOKUP(B11,B106:H110,3,FALSE)</f>
        <v>0.72000000000000008</v>
      </c>
      <c r="G68" s="50" t="s">
        <v>736</v>
      </c>
      <c r="H68" s="65" t="str">
        <f>IF(C68&gt;F68,"FAIL","PASS")</f>
        <v>PASS</v>
      </c>
      <c r="I68" s="62" t="s">
        <v>732</v>
      </c>
      <c r="J68" s="174">
        <f>VLOOKUP(B48,B106:H110,2,FALSE)</f>
        <v>3.6</v>
      </c>
      <c r="K68" s="174"/>
      <c r="L68" s="159"/>
      <c r="M68" s="159"/>
      <c r="N68" s="159"/>
      <c r="O68" s="159"/>
      <c r="S68" s="9" t="s">
        <v>185</v>
      </c>
      <c r="T68" s="9">
        <v>193.7</v>
      </c>
      <c r="U68" s="9">
        <v>5.4</v>
      </c>
      <c r="V68" s="9">
        <v>25.1</v>
      </c>
      <c r="W68" s="9">
        <v>31.9</v>
      </c>
      <c r="X68" s="9">
        <v>38.74</v>
      </c>
      <c r="Y68" s="9">
        <v>1417</v>
      </c>
      <c r="Z68" s="9">
        <v>6.66</v>
      </c>
    </row>
    <row r="69" spans="1:26" x14ac:dyDescent="0.2">
      <c r="I69" s="159"/>
      <c r="J69" s="159"/>
      <c r="K69" s="159"/>
      <c r="L69" s="159"/>
      <c r="M69" s="159"/>
      <c r="N69" s="159"/>
      <c r="O69" s="159"/>
      <c r="S69" s="9" t="s">
        <v>80</v>
      </c>
      <c r="T69" s="9">
        <v>193.7</v>
      </c>
      <c r="U69" s="9">
        <v>6</v>
      </c>
      <c r="V69" s="9">
        <v>27.8</v>
      </c>
      <c r="W69" s="9">
        <v>35.4</v>
      </c>
      <c r="X69" s="9">
        <v>32.28</v>
      </c>
      <c r="Y69" s="9">
        <v>1560</v>
      </c>
      <c r="Z69" s="9">
        <v>6.64</v>
      </c>
    </row>
    <row r="70" spans="1:26" x14ac:dyDescent="0.2">
      <c r="A70" s="150" t="s">
        <v>770</v>
      </c>
      <c r="B70" s="59" t="s">
        <v>768</v>
      </c>
      <c r="C70" s="151" t="str">
        <f>IF(M65=2,"NO CHECK REQUIRED","")</f>
        <v/>
      </c>
      <c r="I70" s="159"/>
      <c r="J70" s="62" t="s">
        <v>733</v>
      </c>
      <c r="K70" s="175">
        <f>(2*S+50)/10</f>
        <v>5.8</v>
      </c>
      <c r="L70" s="159" t="s">
        <v>1</v>
      </c>
      <c r="M70" s="159"/>
      <c r="N70" s="159"/>
      <c r="O70" s="159"/>
      <c r="S70" s="9" t="s">
        <v>81</v>
      </c>
      <c r="T70" s="9">
        <v>193.7</v>
      </c>
      <c r="U70" s="9">
        <v>6.3</v>
      </c>
      <c r="V70" s="9">
        <v>29.1</v>
      </c>
      <c r="W70" s="9">
        <v>37.1</v>
      </c>
      <c r="X70" s="9">
        <v>30.75</v>
      </c>
      <c r="Y70" s="9">
        <v>1630</v>
      </c>
      <c r="Z70" s="9">
        <v>6.63</v>
      </c>
    </row>
    <row r="71" spans="1:26" x14ac:dyDescent="0.2">
      <c r="A71" s="75" t="s">
        <v>805</v>
      </c>
      <c r="B71" s="35"/>
      <c r="C71" s="51">
        <v>5</v>
      </c>
      <c r="D71" s="50" t="s">
        <v>26</v>
      </c>
      <c r="E71" s="76" t="s">
        <v>729</v>
      </c>
      <c r="F71" s="77">
        <v>1</v>
      </c>
      <c r="G71" t="str">
        <f>IF(SIZE&gt;Pl,"Weld size exceeds thickness","")</f>
        <v/>
      </c>
      <c r="I71" s="159"/>
      <c r="J71" s="159"/>
      <c r="K71" s="159"/>
      <c r="L71" s="159"/>
      <c r="M71" s="159"/>
      <c r="N71" s="159"/>
      <c r="O71" s="159"/>
      <c r="S71" s="9" t="s">
        <v>82</v>
      </c>
      <c r="T71" s="9">
        <v>193.7</v>
      </c>
      <c r="U71" s="9">
        <v>8</v>
      </c>
      <c r="V71" s="9">
        <v>36.6</v>
      </c>
      <c r="W71" s="9">
        <v>46.7</v>
      </c>
      <c r="X71" s="9">
        <v>24.21</v>
      </c>
      <c r="Y71" s="9">
        <v>2016</v>
      </c>
      <c r="Z71" s="9">
        <v>6.57</v>
      </c>
    </row>
    <row r="72" spans="1:26" x14ac:dyDescent="0.2">
      <c r="A72" s="76" t="s">
        <v>762</v>
      </c>
      <c r="B72" s="79" t="s">
        <v>735</v>
      </c>
      <c r="C72" s="149">
        <v>30</v>
      </c>
      <c r="D72" s="50" t="s">
        <v>763</v>
      </c>
      <c r="E72" s="35"/>
      <c r="F72" s="147">
        <f>PI()/180*C72</f>
        <v>0.52359877559829882</v>
      </c>
      <c r="G72" s="53" t="s">
        <v>764</v>
      </c>
      <c r="H72" s="35"/>
      <c r="I72" s="173"/>
      <c r="J72" s="174"/>
      <c r="K72" s="174"/>
      <c r="L72" s="159"/>
      <c r="M72" s="159"/>
      <c r="N72" s="159"/>
      <c r="O72" s="159"/>
      <c r="S72" s="9" t="s">
        <v>83</v>
      </c>
      <c r="T72" s="9">
        <v>193.7</v>
      </c>
      <c r="U72" s="9">
        <v>10</v>
      </c>
      <c r="V72" s="9">
        <v>45.3</v>
      </c>
      <c r="W72" s="9">
        <v>57.7</v>
      </c>
      <c r="X72" s="9">
        <v>19.37</v>
      </c>
      <c r="Y72" s="9">
        <v>2442</v>
      </c>
      <c r="Z72" s="9">
        <v>6.5</v>
      </c>
    </row>
    <row r="73" spans="1:26" x14ac:dyDescent="0.2">
      <c r="A73" s="76" t="s">
        <v>785</v>
      </c>
      <c r="B73" s="79"/>
      <c r="C73" s="153">
        <v>150</v>
      </c>
      <c r="D73" s="50" t="s">
        <v>26</v>
      </c>
      <c r="H73" s="50"/>
      <c r="I73" s="173"/>
      <c r="J73" s="62" t="s">
        <v>720</v>
      </c>
      <c r="K73" s="62" t="s">
        <v>721</v>
      </c>
      <c r="L73" s="159"/>
      <c r="M73" s="159"/>
      <c r="N73" s="159"/>
      <c r="O73" s="159"/>
      <c r="S73" s="9" t="s">
        <v>84</v>
      </c>
      <c r="T73" s="9">
        <v>193.7</v>
      </c>
      <c r="U73" s="9">
        <v>12.5</v>
      </c>
      <c r="V73" s="9">
        <v>55.9</v>
      </c>
      <c r="W73" s="9">
        <v>71.2</v>
      </c>
      <c r="X73" s="9">
        <v>15.5</v>
      </c>
      <c r="Y73" s="9">
        <v>2934</v>
      </c>
      <c r="Z73" s="9">
        <v>6.42</v>
      </c>
    </row>
    <row r="74" spans="1:26" ht="15.75" x14ac:dyDescent="0.2">
      <c r="A74" s="76" t="str">
        <f>IF(M65=2,"",("fq"))</f>
        <v>fq</v>
      </c>
      <c r="B74" s="79" t="str">
        <f>IF(M65=2,"","=")</f>
        <v>=</v>
      </c>
      <c r="C74" s="60">
        <f>IF(M65=2,"",(ABS(MAX(ABS(B7),ABS(B8))*COS(F72)/(2*C71*I76/10/10))))</f>
        <v>0.28867513459481292</v>
      </c>
      <c r="D74" s="50" t="str">
        <f>IF(M65=2,"",("t/cm2"))</f>
        <v>t/cm2</v>
      </c>
      <c r="E74" s="49" t="str">
        <f>IF(M65=2,"",(IF(C74&gt;F74,"&gt;","&lt;")))</f>
        <v>&lt;</v>
      </c>
      <c r="F74" s="80">
        <f>IF(M65=2,"",(0.2*VLOOKUP(B48,B106:H110,3,FALSE)*J44))</f>
        <v>1.04</v>
      </c>
      <c r="G74" s="50" t="str">
        <f>IF(M65=2,"",("t/cm2"))</f>
        <v>t/cm2</v>
      </c>
      <c r="H74" s="81" t="str">
        <f>IF(M65=2,"",(IF(C74&gt;F74,"FAIL","PASS")))</f>
        <v>PASS</v>
      </c>
      <c r="I74" s="62" t="s">
        <v>765</v>
      </c>
      <c r="J74" s="174">
        <f>VLOOKUP(B48,B106:H110,4,FALSE)</f>
        <v>2.0880000000000001</v>
      </c>
      <c r="K74" s="174">
        <f>VLOOKUP(B48,B106:H110,4,FALSE)</f>
        <v>2.0880000000000001</v>
      </c>
      <c r="L74" s="159"/>
      <c r="M74" s="159"/>
      <c r="N74" s="159"/>
      <c r="O74" s="159"/>
      <c r="S74" s="9" t="s">
        <v>85</v>
      </c>
      <c r="T74" s="9">
        <v>219.1</v>
      </c>
      <c r="U74" s="9">
        <v>4</v>
      </c>
      <c r="V74" s="9">
        <v>21.2</v>
      </c>
      <c r="W74" s="9">
        <v>27</v>
      </c>
      <c r="X74" s="9">
        <v>54.78</v>
      </c>
      <c r="Y74" s="9">
        <v>1564</v>
      </c>
      <c r="Z74" s="9">
        <v>7.61</v>
      </c>
    </row>
    <row r="75" spans="1:26" x14ac:dyDescent="0.2">
      <c r="A75" s="76" t="str">
        <f>IF(M65=2,"",("ft"))</f>
        <v>ft</v>
      </c>
      <c r="B75" s="79" t="str">
        <f>IF(M65=2,"","=")</f>
        <v>=</v>
      </c>
      <c r="C75" s="60">
        <f>IF(M65=2,"",(ABS(MAX(ABS(B7),ABS(B8)))*SIN(F72)/(2*C71/10*(I76/10))))</f>
        <v>0.16666666666666663</v>
      </c>
      <c r="D75" s="50" t="str">
        <f>IF(M65=2,"",("t/cm2"))</f>
        <v>t/cm2</v>
      </c>
      <c r="E75" s="49" t="str">
        <f>IF(M65=2,"",(IF(C75&gt;F75,"&gt;","&lt;")))</f>
        <v>&lt;</v>
      </c>
      <c r="F75" s="80">
        <f>IF(M65=2,"",(0.2*VLOOKUP(B48,B106:H110,3,FALSE)*J44))</f>
        <v>1.04</v>
      </c>
      <c r="G75" s="50" t="str">
        <f>IF(M65=2,"",("t/cm2"))</f>
        <v>t/cm2</v>
      </c>
      <c r="H75" s="81" t="str">
        <f>IF(M65=2,"",(IF(C75&gt;F75,"FAIL","PASS")))</f>
        <v>PASS</v>
      </c>
      <c r="I75" s="159"/>
      <c r="J75" s="159"/>
      <c r="K75" s="159"/>
      <c r="L75" s="159"/>
      <c r="M75" s="159"/>
      <c r="N75" s="159"/>
      <c r="O75" s="159"/>
      <c r="S75" s="9" t="s">
        <v>86</v>
      </c>
      <c r="T75" s="9">
        <v>219.1</v>
      </c>
      <c r="U75" s="9">
        <v>4.5</v>
      </c>
      <c r="V75" s="9">
        <v>23.8</v>
      </c>
      <c r="W75" s="9">
        <v>30.3</v>
      </c>
      <c r="X75" s="9">
        <v>48.69</v>
      </c>
      <c r="Y75" s="9">
        <v>1747</v>
      </c>
      <c r="Z75" s="9">
        <v>7.59</v>
      </c>
    </row>
    <row r="76" spans="1:26" x14ac:dyDescent="0.2">
      <c r="A76" s="76" t="str">
        <f>IF(M65=2,"",("Feq=( ft2+3 x fq2 ) 1/2 "))</f>
        <v xml:space="preserve">Feq=( ft2+3 x fq2 ) 1/2 </v>
      </c>
      <c r="B76" s="79" t="str">
        <f>IF(M65=2,"","=")</f>
        <v>=</v>
      </c>
      <c r="C76" s="60">
        <f>IF(M65=2,"",((C75^2+3*C74^2)^0.5))</f>
        <v>0.52704627669472992</v>
      </c>
      <c r="D76" s="50" t="str">
        <f>IF(M65=2,"",("t/cm2"))</f>
        <v>t/cm2</v>
      </c>
      <c r="E76" s="49" t="str">
        <f>IF(M65=2,"",(IF(C76&gt;F76,"&gt;","&lt;")))</f>
        <v>&lt;</v>
      </c>
      <c r="F76" s="80">
        <f>IF(M65=2,"",(0.2*VLOOKUP(B48,B106:H110,3,FALSE)*1.1*J44))</f>
        <v>1.1440000000000001</v>
      </c>
      <c r="G76" s="50" t="str">
        <f>IF(M65=2,"",("t/cm2"))</f>
        <v>t/cm2</v>
      </c>
      <c r="H76" s="81" t="str">
        <f>IF(M65=2,"",(IF(C76&gt;F76,"FAIL","PASS")))</f>
        <v>PASS</v>
      </c>
      <c r="I76" s="159">
        <f>F71*C73</f>
        <v>150</v>
      </c>
      <c r="J76" s="62"/>
      <c r="K76" s="175"/>
      <c r="L76" s="159"/>
      <c r="M76" s="159"/>
      <c r="N76" s="159"/>
      <c r="O76" s="159"/>
      <c r="S76" s="9" t="s">
        <v>87</v>
      </c>
      <c r="T76" s="9">
        <v>219.1</v>
      </c>
      <c r="U76" s="9">
        <v>5</v>
      </c>
      <c r="V76" s="9">
        <v>26.4</v>
      </c>
      <c r="W76" s="9">
        <v>33.6</v>
      </c>
      <c r="X76" s="9">
        <v>43.82</v>
      </c>
      <c r="Y76" s="9">
        <v>1928</v>
      </c>
      <c r="Z76" s="9">
        <v>7.57</v>
      </c>
    </row>
    <row r="77" spans="1:26" x14ac:dyDescent="0.2">
      <c r="I77" s="159"/>
      <c r="J77" s="159"/>
      <c r="K77" s="159"/>
      <c r="L77" s="159"/>
      <c r="M77" s="159"/>
      <c r="N77" s="159"/>
      <c r="O77" s="159"/>
      <c r="S77" s="9" t="s">
        <v>88</v>
      </c>
      <c r="T77" s="9">
        <v>219.1</v>
      </c>
      <c r="U77" s="9">
        <v>6</v>
      </c>
      <c r="V77" s="9">
        <v>31.5</v>
      </c>
      <c r="W77" s="9">
        <v>40.200000000000003</v>
      </c>
      <c r="X77" s="9">
        <v>36.520000000000003</v>
      </c>
      <c r="Y77" s="9">
        <v>2282</v>
      </c>
      <c r="Z77" s="9">
        <v>7.54</v>
      </c>
    </row>
    <row r="78" spans="1:26" x14ac:dyDescent="0.2">
      <c r="I78" s="159"/>
      <c r="J78" s="176">
        <v>15</v>
      </c>
      <c r="K78" s="25" t="s">
        <v>763</v>
      </c>
      <c r="L78" s="159"/>
      <c r="M78" s="159"/>
      <c r="N78" s="159"/>
      <c r="O78" s="159"/>
      <c r="S78" s="9" t="s">
        <v>89</v>
      </c>
      <c r="T78" s="9">
        <v>219.1</v>
      </c>
      <c r="U78" s="9">
        <v>6.3</v>
      </c>
      <c r="V78" s="9">
        <v>33.1</v>
      </c>
      <c r="W78" s="9">
        <v>42.1</v>
      </c>
      <c r="X78" s="9">
        <v>34.78</v>
      </c>
      <c r="Y78" s="9">
        <v>2386</v>
      </c>
      <c r="Z78" s="9">
        <v>7.53</v>
      </c>
    </row>
    <row r="79" spans="1:26" ht="13.5" thickBot="1" x14ac:dyDescent="0.25">
      <c r="A79" s="148"/>
      <c r="B79" s="148"/>
      <c r="C79" s="148"/>
      <c r="D79" s="148"/>
      <c r="E79" s="148"/>
      <c r="F79" s="148"/>
      <c r="G79" s="148"/>
      <c r="H79" s="148"/>
      <c r="I79" s="159"/>
      <c r="J79" s="176">
        <f>PI()/180*J78</f>
        <v>0.26179938779914941</v>
      </c>
      <c r="K79" s="168" t="s">
        <v>764</v>
      </c>
      <c r="L79" s="159"/>
      <c r="M79" s="159"/>
      <c r="N79" s="159"/>
      <c r="O79" s="159"/>
      <c r="S79" s="9" t="s">
        <v>90</v>
      </c>
      <c r="T79" s="9">
        <v>219.1</v>
      </c>
      <c r="U79" s="9">
        <v>8</v>
      </c>
      <c r="V79" s="9">
        <v>41.6</v>
      </c>
      <c r="W79" s="9">
        <v>53.1</v>
      </c>
      <c r="X79" s="9">
        <v>27.39</v>
      </c>
      <c r="Y79" s="9">
        <v>2960</v>
      </c>
      <c r="Z79" s="9">
        <v>7.47</v>
      </c>
    </row>
    <row r="80" spans="1:26" ht="13.5" thickBot="1" x14ac:dyDescent="0.25">
      <c r="A80" s="74"/>
      <c r="B80" s="82" t="s">
        <v>737</v>
      </c>
      <c r="C80" s="83" t="s">
        <v>738</v>
      </c>
      <c r="D80" s="84" t="s">
        <v>4</v>
      </c>
      <c r="E80" s="82" t="s">
        <v>739</v>
      </c>
      <c r="F80" s="74"/>
      <c r="G80" s="85" t="s">
        <v>740</v>
      </c>
      <c r="H80" s="74"/>
      <c r="I80" s="74"/>
      <c r="J80" s="74"/>
      <c r="K80" s="48"/>
      <c r="L80" s="48"/>
      <c r="S80" s="9" t="s">
        <v>91</v>
      </c>
      <c r="T80" s="9">
        <v>219.1</v>
      </c>
      <c r="U80" s="9">
        <v>10</v>
      </c>
      <c r="V80" s="9">
        <v>51.6</v>
      </c>
      <c r="W80" s="9">
        <v>65.7</v>
      </c>
      <c r="X80" s="9">
        <v>21.91</v>
      </c>
      <c r="Y80" s="9">
        <v>3598</v>
      </c>
      <c r="Z80" s="9">
        <v>7.4</v>
      </c>
    </row>
    <row r="81" spans="1:26" x14ac:dyDescent="0.2">
      <c r="A81" s="74"/>
      <c r="B81" s="86">
        <v>12</v>
      </c>
      <c r="C81" s="87">
        <v>0.84</v>
      </c>
      <c r="D81" s="88">
        <f>PI()*B81^2/400</f>
        <v>1.1309733552923256</v>
      </c>
      <c r="E81" s="74">
        <f>IF(B81&lt;=14,0.862*B81,IF(B81&gt;=27,0.8955*B81,0.885*B81))</f>
        <v>10.343999999999999</v>
      </c>
      <c r="F81" s="89">
        <f>PI()*E81^2/400</f>
        <v>0.84036296580983061</v>
      </c>
      <c r="G81" s="90">
        <v>1.69</v>
      </c>
      <c r="H81" s="74">
        <v>2.11</v>
      </c>
      <c r="I81" s="91">
        <v>1.4942880768072395</v>
      </c>
      <c r="J81" s="91">
        <v>1.656875965503257</v>
      </c>
      <c r="K81" s="48"/>
      <c r="L81" s="48"/>
      <c r="S81" s="9" t="s">
        <v>92</v>
      </c>
      <c r="T81" s="9">
        <v>219.1</v>
      </c>
      <c r="U81" s="9">
        <v>12.5</v>
      </c>
      <c r="V81" s="9">
        <v>63.7</v>
      </c>
      <c r="W81" s="9">
        <v>81.099999999999994</v>
      </c>
      <c r="X81" s="9">
        <v>17.53</v>
      </c>
      <c r="Y81" s="9">
        <v>4345</v>
      </c>
      <c r="Z81" s="9">
        <v>7.32</v>
      </c>
    </row>
    <row r="82" spans="1:26" x14ac:dyDescent="0.2">
      <c r="A82" s="74"/>
      <c r="B82" s="92">
        <v>14</v>
      </c>
      <c r="C82" s="93">
        <v>1.1499999999999999</v>
      </c>
      <c r="D82" s="94">
        <f>PI()*B82^2/400</f>
        <v>1.5393804002589986</v>
      </c>
      <c r="E82" s="74">
        <f t="shared" ref="E82:E90" si="0">IF(B82&lt;=14,0.862*B82,IF(B82&gt;=27,0.8955*B82,0.885*B82))</f>
        <v>12.068</v>
      </c>
      <c r="F82" s="89">
        <f t="shared" ref="F82:F90" si="1">PI()*E82^2/400</f>
        <v>1.1438273701300472</v>
      </c>
      <c r="G82" s="95">
        <v>2.5499999999999998</v>
      </c>
      <c r="H82" s="96">
        <v>3.1837278106508871</v>
      </c>
      <c r="I82" s="91">
        <v>1.6565106321809515</v>
      </c>
      <c r="J82" s="91">
        <v>2.2551922863794331</v>
      </c>
      <c r="K82" s="48"/>
      <c r="L82" s="48"/>
      <c r="S82" s="9" t="s">
        <v>93</v>
      </c>
      <c r="T82" s="9">
        <v>219.1</v>
      </c>
      <c r="U82" s="9">
        <v>16</v>
      </c>
      <c r="V82" s="9">
        <v>80.099999999999994</v>
      </c>
      <c r="W82" s="9">
        <v>102</v>
      </c>
      <c r="X82" s="9">
        <v>13.69</v>
      </c>
      <c r="Y82" s="9">
        <v>5297</v>
      </c>
      <c r="Z82" s="9">
        <v>7.2</v>
      </c>
    </row>
    <row r="83" spans="1:26" x14ac:dyDescent="0.2">
      <c r="A83" s="74"/>
      <c r="B83" s="92">
        <v>16</v>
      </c>
      <c r="C83" s="93">
        <v>1.57</v>
      </c>
      <c r="D83" s="94">
        <f t="shared" ref="D83:D90" si="2">PI()*B83^2/400</f>
        <v>2.0106192982974678</v>
      </c>
      <c r="E83" s="74">
        <f t="shared" si="0"/>
        <v>14.16</v>
      </c>
      <c r="F83" s="89">
        <f t="shared" si="1"/>
        <v>1.5747672999090341</v>
      </c>
      <c r="G83" s="95">
        <v>3.16</v>
      </c>
      <c r="H83" s="74">
        <v>3.95</v>
      </c>
      <c r="I83" s="91">
        <v>1.5716550630324664</v>
      </c>
      <c r="J83" s="91">
        <v>3.1627041562219169</v>
      </c>
      <c r="K83" s="48"/>
      <c r="L83" s="48"/>
      <c r="S83" s="9" t="s">
        <v>94</v>
      </c>
      <c r="T83" s="9">
        <v>244.5</v>
      </c>
      <c r="U83" s="9">
        <v>5</v>
      </c>
      <c r="V83" s="9">
        <v>29.5</v>
      </c>
      <c r="W83" s="9">
        <v>37.6</v>
      </c>
      <c r="X83" s="9">
        <v>48.9</v>
      </c>
      <c r="Y83" s="9">
        <v>2699</v>
      </c>
      <c r="Z83" s="9">
        <v>8.4700000000000006</v>
      </c>
    </row>
    <row r="84" spans="1:26" x14ac:dyDescent="0.2">
      <c r="A84" s="74"/>
      <c r="B84" s="92">
        <v>20</v>
      </c>
      <c r="C84" s="93">
        <v>2.4500000000000002</v>
      </c>
      <c r="D84" s="94">
        <f t="shared" si="2"/>
        <v>3.1415926535897931</v>
      </c>
      <c r="E84" s="74">
        <f t="shared" si="0"/>
        <v>17.7</v>
      </c>
      <c r="F84" s="89">
        <f t="shared" si="1"/>
        <v>2.4605739061078653</v>
      </c>
      <c r="G84" s="95">
        <v>4.93</v>
      </c>
      <c r="H84" s="74">
        <v>6.17</v>
      </c>
      <c r="I84" s="91">
        <v>1.5692677388860881</v>
      </c>
      <c r="J84" s="91">
        <v>4.9417252440967445</v>
      </c>
      <c r="K84" s="48"/>
      <c r="L84" s="48"/>
      <c r="S84" s="9" t="s">
        <v>95</v>
      </c>
      <c r="T84" s="9">
        <v>244.5</v>
      </c>
      <c r="U84" s="9">
        <v>6</v>
      </c>
      <c r="V84" s="9">
        <v>35.299999999999997</v>
      </c>
      <c r="W84" s="9">
        <v>45</v>
      </c>
      <c r="X84" s="9">
        <v>40.75</v>
      </c>
      <c r="Y84" s="9">
        <v>3199</v>
      </c>
      <c r="Z84" s="9">
        <v>8.43</v>
      </c>
    </row>
    <row r="85" spans="1:26" x14ac:dyDescent="0.2">
      <c r="A85" s="74"/>
      <c r="B85" s="92">
        <v>22</v>
      </c>
      <c r="C85" s="93">
        <v>3.03</v>
      </c>
      <c r="D85" s="94">
        <f>PI()*B85^2/400</f>
        <v>3.8013271108436499</v>
      </c>
      <c r="E85" s="74">
        <f t="shared" si="0"/>
        <v>19.47</v>
      </c>
      <c r="F85" s="89">
        <f t="shared" si="1"/>
        <v>2.9772944263905168</v>
      </c>
      <c r="G85" s="95">
        <v>6.1</v>
      </c>
      <c r="H85" s="74">
        <v>7.63</v>
      </c>
      <c r="I85" s="91">
        <v>1.6047027320009279</v>
      </c>
      <c r="J85" s="91">
        <v>5.9794875453570615</v>
      </c>
      <c r="K85" s="48"/>
      <c r="L85" s="48"/>
      <c r="S85" s="9" t="s">
        <v>96</v>
      </c>
      <c r="T85" s="9">
        <v>244.5</v>
      </c>
      <c r="U85" s="9">
        <v>6.3</v>
      </c>
      <c r="V85" s="9">
        <v>37</v>
      </c>
      <c r="W85" s="9">
        <v>47.1</v>
      </c>
      <c r="X85" s="9">
        <v>38.81</v>
      </c>
      <c r="Y85" s="9">
        <v>3346</v>
      </c>
      <c r="Z85" s="9">
        <v>8.42</v>
      </c>
    </row>
    <row r="86" spans="1:26" x14ac:dyDescent="0.2">
      <c r="A86" s="74"/>
      <c r="B86" s="92">
        <v>24</v>
      </c>
      <c r="C86" s="93">
        <v>3.53</v>
      </c>
      <c r="D86" s="94">
        <f t="shared" si="2"/>
        <v>4.5238934211693023</v>
      </c>
      <c r="E86" s="74">
        <f t="shared" si="0"/>
        <v>21.240000000000002</v>
      </c>
      <c r="F86" s="89">
        <f t="shared" si="1"/>
        <v>3.5432264247953271</v>
      </c>
      <c r="G86" s="95">
        <v>7.11</v>
      </c>
      <c r="H86" s="74">
        <v>8.89</v>
      </c>
      <c r="I86" s="91">
        <v>1.5716550630324666</v>
      </c>
      <c r="J86" s="91">
        <v>7.1160843514993122</v>
      </c>
      <c r="K86" s="48"/>
      <c r="L86" s="48"/>
      <c r="S86" s="9" t="s">
        <v>97</v>
      </c>
      <c r="T86" s="9">
        <v>244.5</v>
      </c>
      <c r="U86" s="9">
        <v>8</v>
      </c>
      <c r="V86" s="9">
        <v>46.7</v>
      </c>
      <c r="W86" s="9">
        <v>59.4</v>
      </c>
      <c r="X86" s="9">
        <v>30.56</v>
      </c>
      <c r="Y86" s="9">
        <v>4160</v>
      </c>
      <c r="Z86" s="9">
        <v>8.3699999999999992</v>
      </c>
    </row>
    <row r="87" spans="1:26" x14ac:dyDescent="0.2">
      <c r="A87" s="74"/>
      <c r="B87" s="92">
        <v>27</v>
      </c>
      <c r="C87" s="93">
        <v>4.59</v>
      </c>
      <c r="D87" s="94">
        <f t="shared" si="2"/>
        <v>5.725552611167398</v>
      </c>
      <c r="E87" s="74">
        <f t="shared" si="0"/>
        <v>24.1785</v>
      </c>
      <c r="F87" s="89">
        <f t="shared" si="1"/>
        <v>4.591436581335512</v>
      </c>
      <c r="G87" s="95">
        <v>9.25</v>
      </c>
      <c r="H87" s="74">
        <v>11.56</v>
      </c>
      <c r="I87" s="91">
        <v>1.6155645800823395</v>
      </c>
      <c r="J87" s="91">
        <v>9.2753952300911848</v>
      </c>
      <c r="K87" s="48"/>
      <c r="L87" s="48"/>
      <c r="S87" s="9" t="s">
        <v>98</v>
      </c>
      <c r="T87" s="9">
        <v>244.5</v>
      </c>
      <c r="U87" s="9">
        <v>10</v>
      </c>
      <c r="V87" s="9">
        <v>57.8</v>
      </c>
      <c r="W87" s="9">
        <v>73.7</v>
      </c>
      <c r="X87" s="9">
        <v>24.45</v>
      </c>
      <c r="Y87" s="9">
        <v>5073</v>
      </c>
      <c r="Z87" s="9">
        <v>8.3000000000000007</v>
      </c>
    </row>
    <row r="88" spans="1:26" x14ac:dyDescent="0.2">
      <c r="A88" s="74"/>
      <c r="B88" s="92">
        <v>30</v>
      </c>
      <c r="C88" s="93">
        <v>5.61</v>
      </c>
      <c r="D88" s="94">
        <f t="shared" si="2"/>
        <v>7.0685834705770345</v>
      </c>
      <c r="E88" s="74">
        <f t="shared" si="0"/>
        <v>26.864999999999998</v>
      </c>
      <c r="F88" s="89">
        <f t="shared" si="1"/>
        <v>5.668440223871003</v>
      </c>
      <c r="G88" s="95">
        <v>11.3</v>
      </c>
      <c r="H88" s="74">
        <v>14.31</v>
      </c>
      <c r="I88" s="91">
        <v>1.5986229839452599</v>
      </c>
      <c r="J88" s="91">
        <v>11.451105222334796</v>
      </c>
      <c r="K88" s="48"/>
      <c r="L88" s="48"/>
      <c r="S88" s="9" t="s">
        <v>99</v>
      </c>
      <c r="T88" s="9">
        <v>244.5</v>
      </c>
      <c r="U88" s="9">
        <v>12.5</v>
      </c>
      <c r="V88" s="9">
        <v>71.5</v>
      </c>
      <c r="W88" s="9">
        <v>91.1</v>
      </c>
      <c r="X88" s="9">
        <v>19.559999999999999</v>
      </c>
      <c r="Y88" s="9">
        <v>6147</v>
      </c>
      <c r="Z88" s="9">
        <v>8.2100000000000009</v>
      </c>
    </row>
    <row r="89" spans="1:26" x14ac:dyDescent="0.2">
      <c r="A89" s="74"/>
      <c r="B89" s="92">
        <v>33</v>
      </c>
      <c r="C89" s="93">
        <v>6.86</v>
      </c>
      <c r="D89" s="94">
        <f t="shared" si="2"/>
        <v>8.5529859993982118</v>
      </c>
      <c r="E89" s="74">
        <f t="shared" si="0"/>
        <v>29.551499999999997</v>
      </c>
      <c r="F89" s="89">
        <f t="shared" si="1"/>
        <v>6.8588126708839123</v>
      </c>
      <c r="G89" s="95">
        <v>13.85</v>
      </c>
      <c r="H89" s="96">
        <v>17.53924778761062</v>
      </c>
      <c r="I89" s="91">
        <v>1.6193175109809002</v>
      </c>
      <c r="J89" s="91">
        <v>13.855837319025104</v>
      </c>
      <c r="K89" s="48"/>
      <c r="L89" s="48"/>
      <c r="S89" s="9" t="s">
        <v>100</v>
      </c>
      <c r="T89" s="9">
        <v>244.5</v>
      </c>
      <c r="U89" s="9">
        <v>16</v>
      </c>
      <c r="V89" s="9">
        <v>90.2</v>
      </c>
      <c r="W89" s="9">
        <v>115</v>
      </c>
      <c r="X89" s="9">
        <v>15.28</v>
      </c>
      <c r="Y89" s="9">
        <v>7533</v>
      </c>
      <c r="Z89" s="9">
        <v>8.1</v>
      </c>
    </row>
    <row r="90" spans="1:26" ht="13.5" thickBot="1" x14ac:dyDescent="0.25">
      <c r="A90" s="74"/>
      <c r="B90" s="97">
        <v>36</v>
      </c>
      <c r="C90" s="98">
        <v>8.17</v>
      </c>
      <c r="D90" s="99">
        <f t="shared" si="2"/>
        <v>10.178760197630929</v>
      </c>
      <c r="E90" s="74">
        <f t="shared" si="0"/>
        <v>32.238</v>
      </c>
      <c r="F90" s="89">
        <f t="shared" si="1"/>
        <v>8.1625539223742436</v>
      </c>
      <c r="G90" s="100">
        <v>16.47</v>
      </c>
      <c r="H90" s="74">
        <v>20.58</v>
      </c>
      <c r="I90" s="91">
        <v>1.6180752547676027</v>
      </c>
      <c r="J90" s="91">
        <v>16.489591520162104</v>
      </c>
      <c r="K90" s="48"/>
      <c r="L90" s="48"/>
      <c r="S90" s="9" t="s">
        <v>101</v>
      </c>
      <c r="T90" s="9">
        <v>273</v>
      </c>
      <c r="U90" s="9">
        <v>5</v>
      </c>
      <c r="V90" s="9">
        <v>33</v>
      </c>
      <c r="W90" s="9">
        <v>42.1</v>
      </c>
      <c r="X90" s="9">
        <v>54.6</v>
      </c>
      <c r="Y90" s="9">
        <v>3781</v>
      </c>
      <c r="Z90" s="9">
        <v>9.48</v>
      </c>
    </row>
    <row r="91" spans="1:26" x14ac:dyDescent="0.2">
      <c r="A91" s="101"/>
      <c r="B91" s="102"/>
      <c r="C91" s="103"/>
      <c r="D91" s="103"/>
      <c r="E91" s="74"/>
      <c r="F91" s="74"/>
      <c r="G91" s="74"/>
      <c r="H91" s="74"/>
      <c r="I91" s="74"/>
      <c r="J91" s="74"/>
      <c r="K91" s="48"/>
      <c r="L91" s="48"/>
      <c r="S91" s="9" t="s">
        <v>102</v>
      </c>
      <c r="T91" s="9">
        <v>273</v>
      </c>
      <c r="U91" s="9">
        <v>6</v>
      </c>
      <c r="V91" s="9">
        <v>39.5</v>
      </c>
      <c r="W91" s="9">
        <v>50.3</v>
      </c>
      <c r="X91" s="9">
        <v>45.5</v>
      </c>
      <c r="Y91" s="9">
        <v>4487</v>
      </c>
      <c r="Z91" s="9">
        <v>9.44</v>
      </c>
    </row>
    <row r="92" spans="1:26" x14ac:dyDescent="0.2">
      <c r="A92" s="101"/>
      <c r="B92" s="102"/>
      <c r="C92" s="104"/>
      <c r="D92" s="96"/>
      <c r="E92" s="74"/>
      <c r="F92" s="74"/>
      <c r="G92" s="74"/>
      <c r="H92" s="74"/>
      <c r="I92" s="74"/>
      <c r="J92" s="74"/>
      <c r="K92" s="48"/>
      <c r="L92" s="48"/>
      <c r="S92" s="9" t="s">
        <v>103</v>
      </c>
      <c r="T92" s="9">
        <v>273</v>
      </c>
      <c r="U92" s="9">
        <v>6.3</v>
      </c>
      <c r="V92" s="9">
        <v>41.4</v>
      </c>
      <c r="W92" s="9">
        <v>52.8</v>
      </c>
      <c r="X92" s="9">
        <v>43.33</v>
      </c>
      <c r="Y92" s="9">
        <v>4696</v>
      </c>
      <c r="Z92" s="9">
        <v>9.43</v>
      </c>
    </row>
    <row r="93" spans="1:26" ht="13.5" thickBot="1" x14ac:dyDescent="0.25">
      <c r="A93" s="101"/>
      <c r="B93" s="102"/>
      <c r="C93" s="104"/>
      <c r="D93" s="96"/>
      <c r="E93" s="74"/>
      <c r="F93" s="74"/>
      <c r="G93" s="74"/>
      <c r="H93" s="74"/>
      <c r="I93" s="74"/>
      <c r="J93" s="74"/>
      <c r="K93" s="48"/>
      <c r="L93" s="48"/>
      <c r="S93" s="9" t="s">
        <v>104</v>
      </c>
      <c r="T93" s="9">
        <v>273</v>
      </c>
      <c r="U93" s="9">
        <v>8</v>
      </c>
      <c r="V93" s="9">
        <v>52.3</v>
      </c>
      <c r="W93" s="9">
        <v>66.599999999999994</v>
      </c>
      <c r="X93" s="9">
        <v>34.130000000000003</v>
      </c>
      <c r="Y93" s="9">
        <v>5852</v>
      </c>
      <c r="Z93" s="9">
        <v>9.3699999999999992</v>
      </c>
    </row>
    <row r="94" spans="1:26" ht="23.25" thickBot="1" x14ac:dyDescent="0.25">
      <c r="A94" s="36"/>
      <c r="B94" s="105" t="s">
        <v>741</v>
      </c>
      <c r="C94" s="106" t="s">
        <v>742</v>
      </c>
      <c r="D94" s="106" t="s">
        <v>743</v>
      </c>
      <c r="E94" s="106" t="s">
        <v>744</v>
      </c>
      <c r="F94" s="107" t="s">
        <v>745</v>
      </c>
      <c r="G94" s="74"/>
      <c r="H94" s="74"/>
      <c r="I94" s="74"/>
      <c r="J94" s="74"/>
      <c r="K94" s="48"/>
      <c r="L94" s="48"/>
      <c r="S94" s="9" t="s">
        <v>105</v>
      </c>
      <c r="T94" s="9">
        <v>273</v>
      </c>
      <c r="U94" s="9">
        <v>10</v>
      </c>
      <c r="V94" s="9">
        <v>64.900000000000006</v>
      </c>
      <c r="W94" s="9">
        <v>82.6</v>
      </c>
      <c r="X94" s="9">
        <v>27.3</v>
      </c>
      <c r="Y94" s="9">
        <v>7154</v>
      </c>
      <c r="Z94" s="9">
        <v>9.31</v>
      </c>
    </row>
    <row r="95" spans="1:26" x14ac:dyDescent="0.2">
      <c r="A95" s="36">
        <v>0.6</v>
      </c>
      <c r="B95" s="108">
        <v>4.5999999999999996</v>
      </c>
      <c r="C95" s="109">
        <v>4</v>
      </c>
      <c r="D95" s="110">
        <f t="shared" ref="D95:D101" si="3">A95*C95</f>
        <v>2.4</v>
      </c>
      <c r="E95" s="110">
        <f>0.2*C95</f>
        <v>0.8</v>
      </c>
      <c r="F95" s="111">
        <f>0.33*C95</f>
        <v>1.32</v>
      </c>
      <c r="G95" s="74"/>
      <c r="H95" s="74"/>
      <c r="I95" s="74"/>
      <c r="J95" s="74"/>
      <c r="K95" s="74"/>
      <c r="L95" s="74"/>
      <c r="S95" s="9" t="s">
        <v>106</v>
      </c>
      <c r="T95" s="9">
        <v>273</v>
      </c>
      <c r="U95" s="9">
        <v>12.5</v>
      </c>
      <c r="V95" s="9">
        <v>80.3</v>
      </c>
      <c r="W95" s="9">
        <v>102</v>
      </c>
      <c r="X95" s="9">
        <v>21.84</v>
      </c>
      <c r="Y95" s="9">
        <v>8697</v>
      </c>
      <c r="Z95" s="9">
        <v>9.2200000000000006</v>
      </c>
    </row>
    <row r="96" spans="1:26" x14ac:dyDescent="0.2">
      <c r="A96" s="36">
        <v>0.8</v>
      </c>
      <c r="B96" s="112">
        <v>4.8</v>
      </c>
      <c r="C96" s="113">
        <v>4</v>
      </c>
      <c r="D96" s="114">
        <f t="shared" si="3"/>
        <v>3.2</v>
      </c>
      <c r="E96" s="114">
        <f t="shared" ref="E96:E101" si="4">0.2*C96</f>
        <v>0.8</v>
      </c>
      <c r="F96" s="115">
        <f t="shared" ref="F96:F101" si="5">0.33*C96</f>
        <v>1.32</v>
      </c>
      <c r="G96" s="48"/>
      <c r="H96" s="48"/>
      <c r="I96" s="48"/>
      <c r="J96" s="48"/>
      <c r="K96" s="96"/>
      <c r="L96" s="96"/>
      <c r="S96" s="9" t="s">
        <v>107</v>
      </c>
      <c r="T96" s="9">
        <v>273</v>
      </c>
      <c r="U96" s="9">
        <v>16</v>
      </c>
      <c r="V96" s="9">
        <v>101</v>
      </c>
      <c r="W96" s="9">
        <v>129</v>
      </c>
      <c r="X96" s="9">
        <v>17.059999999999999</v>
      </c>
      <c r="Y96" s="9">
        <v>10707</v>
      </c>
      <c r="Z96" s="9">
        <v>9.1</v>
      </c>
    </row>
    <row r="97" spans="1:26" x14ac:dyDescent="0.2">
      <c r="A97" s="36">
        <v>0.8</v>
      </c>
      <c r="B97" s="112">
        <v>5.6</v>
      </c>
      <c r="C97" s="113">
        <v>5</v>
      </c>
      <c r="D97" s="114">
        <f t="shared" si="3"/>
        <v>4</v>
      </c>
      <c r="E97" s="114">
        <f t="shared" si="4"/>
        <v>1</v>
      </c>
      <c r="F97" s="115">
        <f t="shared" si="5"/>
        <v>1.6500000000000001</v>
      </c>
      <c r="G97" s="48"/>
      <c r="H97" s="48"/>
      <c r="I97" s="48"/>
      <c r="J97" s="48"/>
      <c r="K97" s="96"/>
      <c r="L97" s="96"/>
      <c r="S97" s="9" t="s">
        <v>108</v>
      </c>
      <c r="T97" s="9">
        <v>323.89999999999998</v>
      </c>
      <c r="U97" s="9">
        <v>5</v>
      </c>
      <c r="V97" s="9">
        <v>39.299999999999997</v>
      </c>
      <c r="W97" s="9">
        <v>50.1</v>
      </c>
      <c r="X97" s="9">
        <v>64.78</v>
      </c>
      <c r="Y97" s="9">
        <v>6369</v>
      </c>
      <c r="Z97" s="9">
        <v>11.3</v>
      </c>
    </row>
    <row r="98" spans="1:26" x14ac:dyDescent="0.2">
      <c r="A98" s="36">
        <v>0.8</v>
      </c>
      <c r="B98" s="112">
        <v>5.8</v>
      </c>
      <c r="C98" s="113">
        <v>5</v>
      </c>
      <c r="D98" s="114">
        <f t="shared" si="3"/>
        <v>4</v>
      </c>
      <c r="E98" s="114">
        <f t="shared" si="4"/>
        <v>1</v>
      </c>
      <c r="F98" s="115">
        <f t="shared" si="5"/>
        <v>1.6500000000000001</v>
      </c>
      <c r="G98" s="48"/>
      <c r="H98" s="48"/>
      <c r="I98" s="48"/>
      <c r="J98" s="48"/>
      <c r="K98" s="96"/>
      <c r="L98" s="96"/>
      <c r="S98" s="9" t="s">
        <v>109</v>
      </c>
      <c r="T98" s="9">
        <v>323.89999999999998</v>
      </c>
      <c r="U98" s="9">
        <v>6</v>
      </c>
      <c r="V98" s="9">
        <v>47</v>
      </c>
      <c r="W98" s="9">
        <v>59.9</v>
      </c>
      <c r="X98" s="9">
        <v>53.98</v>
      </c>
      <c r="Y98" s="9">
        <v>7572</v>
      </c>
      <c r="Z98" s="9">
        <v>11.2</v>
      </c>
    </row>
    <row r="99" spans="1:26" x14ac:dyDescent="0.2">
      <c r="A99" s="36">
        <v>0.8</v>
      </c>
      <c r="B99" s="112">
        <v>6.8</v>
      </c>
      <c r="C99" s="113">
        <v>6</v>
      </c>
      <c r="D99" s="114">
        <f t="shared" si="3"/>
        <v>4.8000000000000007</v>
      </c>
      <c r="E99" s="114">
        <f t="shared" si="4"/>
        <v>1.2000000000000002</v>
      </c>
      <c r="F99" s="115">
        <f t="shared" si="5"/>
        <v>1.98</v>
      </c>
      <c r="G99" s="48"/>
      <c r="H99" s="48"/>
      <c r="I99" s="48"/>
      <c r="J99" s="48"/>
      <c r="K99" s="96"/>
      <c r="L99" s="96"/>
      <c r="S99" s="9" t="s">
        <v>110</v>
      </c>
      <c r="T99" s="9">
        <v>323.89999999999998</v>
      </c>
      <c r="U99" s="9">
        <v>6.3</v>
      </c>
      <c r="V99" s="9">
        <v>49.3</v>
      </c>
      <c r="W99" s="9">
        <v>62.9</v>
      </c>
      <c r="X99" s="9">
        <v>51.41</v>
      </c>
      <c r="Y99" s="9">
        <v>7929</v>
      </c>
      <c r="Z99" s="9">
        <v>11.2</v>
      </c>
    </row>
    <row r="100" spans="1:26" x14ac:dyDescent="0.2">
      <c r="A100" s="36">
        <v>0.8</v>
      </c>
      <c r="B100" s="112">
        <v>8.8000000000000007</v>
      </c>
      <c r="C100" s="113">
        <v>8</v>
      </c>
      <c r="D100" s="114">
        <f t="shared" si="3"/>
        <v>6.4</v>
      </c>
      <c r="E100" s="114">
        <f t="shared" si="4"/>
        <v>1.6</v>
      </c>
      <c r="F100" s="115">
        <f t="shared" si="5"/>
        <v>2.64</v>
      </c>
      <c r="G100" s="48"/>
      <c r="H100" s="48"/>
      <c r="I100" s="48"/>
      <c r="J100" s="48"/>
      <c r="K100" s="96"/>
      <c r="L100" s="96"/>
      <c r="S100" s="9" t="s">
        <v>111</v>
      </c>
      <c r="T100" s="9">
        <v>323.89999999999998</v>
      </c>
      <c r="U100" s="9">
        <v>8</v>
      </c>
      <c r="V100" s="9">
        <v>62.3</v>
      </c>
      <c r="W100" s="9">
        <v>79.400000000000006</v>
      </c>
      <c r="X100" s="9">
        <v>40.49</v>
      </c>
      <c r="Y100" s="9">
        <v>9910</v>
      </c>
      <c r="Z100" s="9">
        <v>11.2</v>
      </c>
    </row>
    <row r="101" spans="1:26" ht="13.5" thickBot="1" x14ac:dyDescent="0.25">
      <c r="A101" s="36">
        <v>0.9</v>
      </c>
      <c r="B101" s="116">
        <v>10.9</v>
      </c>
      <c r="C101" s="117">
        <v>10</v>
      </c>
      <c r="D101" s="118">
        <f t="shared" si="3"/>
        <v>9</v>
      </c>
      <c r="E101" s="118">
        <f t="shared" si="4"/>
        <v>2</v>
      </c>
      <c r="F101" s="119">
        <f t="shared" si="5"/>
        <v>3.3000000000000003</v>
      </c>
      <c r="G101" s="48"/>
      <c r="H101" s="48"/>
      <c r="I101" s="48"/>
      <c r="J101" s="48"/>
      <c r="K101" s="96"/>
      <c r="L101" s="96"/>
      <c r="S101" s="9" t="s">
        <v>112</v>
      </c>
      <c r="T101" s="9">
        <v>323.89999999999998</v>
      </c>
      <c r="U101" s="9">
        <v>10</v>
      </c>
      <c r="V101" s="9">
        <v>77.400000000000006</v>
      </c>
      <c r="W101" s="9">
        <v>98.6</v>
      </c>
      <c r="X101" s="9">
        <v>32.39</v>
      </c>
      <c r="Y101" s="9">
        <v>12158</v>
      </c>
      <c r="Z101" s="9">
        <v>11.1</v>
      </c>
    </row>
    <row r="102" spans="1:26" ht="13.5" thickBot="1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96"/>
      <c r="L102" s="96"/>
      <c r="S102" s="9" t="s">
        <v>113</v>
      </c>
      <c r="T102" s="9">
        <v>323.89999999999998</v>
      </c>
      <c r="U102" s="9">
        <v>12.5</v>
      </c>
      <c r="V102" s="9">
        <v>96</v>
      </c>
      <c r="W102" s="9">
        <v>122</v>
      </c>
      <c r="X102" s="9">
        <v>25.91</v>
      </c>
      <c r="Y102" s="9">
        <v>14847</v>
      </c>
      <c r="Z102" s="9">
        <v>11</v>
      </c>
    </row>
    <row r="103" spans="1:26" x14ac:dyDescent="0.2">
      <c r="A103" s="48"/>
      <c r="B103" s="120">
        <v>1</v>
      </c>
      <c r="C103" s="121">
        <v>2</v>
      </c>
      <c r="D103" s="121">
        <v>3</v>
      </c>
      <c r="E103" s="121">
        <v>4</v>
      </c>
      <c r="F103" s="121">
        <v>5</v>
      </c>
      <c r="G103" s="121">
        <v>6</v>
      </c>
      <c r="H103" s="122">
        <v>7</v>
      </c>
      <c r="I103" s="48"/>
      <c r="J103" s="48"/>
      <c r="K103" s="96"/>
      <c r="L103" s="96"/>
      <c r="S103" s="9" t="s">
        <v>114</v>
      </c>
      <c r="T103" s="9">
        <v>323.89999999999998</v>
      </c>
      <c r="U103" s="9">
        <v>16</v>
      </c>
      <c r="V103" s="9">
        <v>121</v>
      </c>
      <c r="W103" s="9">
        <v>155</v>
      </c>
      <c r="X103" s="9">
        <v>20.239999999999998</v>
      </c>
      <c r="Y103" s="9">
        <v>18390</v>
      </c>
      <c r="Z103" s="9">
        <v>10.9</v>
      </c>
    </row>
    <row r="104" spans="1:26" ht="13.5" thickBot="1" x14ac:dyDescent="0.25">
      <c r="A104" s="48"/>
      <c r="B104" s="123" t="s">
        <v>746</v>
      </c>
      <c r="C104" s="124"/>
      <c r="D104" s="124"/>
      <c r="E104" s="124"/>
      <c r="F104" s="124"/>
      <c r="G104" s="124"/>
      <c r="H104" s="125"/>
      <c r="I104" s="48"/>
      <c r="J104" s="48"/>
      <c r="K104" s="96"/>
      <c r="L104" s="96"/>
      <c r="S104" s="9" t="s">
        <v>115</v>
      </c>
      <c r="T104" s="9">
        <v>355.6</v>
      </c>
      <c r="U104" s="9">
        <v>5</v>
      </c>
      <c r="V104" s="9">
        <v>43.2</v>
      </c>
      <c r="W104" s="9">
        <v>55.1</v>
      </c>
      <c r="X104" s="9">
        <v>71.12</v>
      </c>
      <c r="Y104" s="9">
        <v>8464</v>
      </c>
      <c r="Z104" s="9">
        <v>12.4</v>
      </c>
    </row>
    <row r="105" spans="1:26" ht="19.5" x14ac:dyDescent="0.35">
      <c r="A105" s="48"/>
      <c r="B105" s="126" t="s">
        <v>747</v>
      </c>
      <c r="C105" s="127" t="s">
        <v>748</v>
      </c>
      <c r="D105" s="127" t="s">
        <v>749</v>
      </c>
      <c r="E105" s="127" t="s">
        <v>750</v>
      </c>
      <c r="F105" s="127" t="s">
        <v>751</v>
      </c>
      <c r="G105" s="127" t="s">
        <v>752</v>
      </c>
      <c r="H105" s="128" t="s">
        <v>753</v>
      </c>
      <c r="I105" s="48"/>
      <c r="J105" s="48"/>
      <c r="K105" s="96"/>
      <c r="L105" s="96"/>
      <c r="S105" s="9" t="s">
        <v>116</v>
      </c>
      <c r="T105" s="9">
        <v>355.6</v>
      </c>
      <c r="U105" s="9">
        <v>6.3</v>
      </c>
      <c r="V105" s="9">
        <v>54.3</v>
      </c>
      <c r="W105" s="9">
        <v>69.099999999999994</v>
      </c>
      <c r="X105" s="9">
        <v>56.44</v>
      </c>
      <c r="Y105" s="9">
        <v>10547</v>
      </c>
      <c r="Z105" s="9">
        <v>12.4</v>
      </c>
    </row>
    <row r="106" spans="1:26" x14ac:dyDescent="0.2">
      <c r="A106" s="48"/>
      <c r="B106" s="129" t="s">
        <v>754</v>
      </c>
      <c r="C106" s="130">
        <v>2.4</v>
      </c>
      <c r="D106" s="130">
        <v>3.6</v>
      </c>
      <c r="E106" s="130">
        <f>0.58*C106</f>
        <v>1.3919999999999999</v>
      </c>
      <c r="F106" s="130">
        <v>1.8</v>
      </c>
      <c r="G106" s="130">
        <f>2*E106</f>
        <v>2.7839999999999998</v>
      </c>
      <c r="H106" s="131">
        <f>0.6*E106</f>
        <v>0.83519999999999994</v>
      </c>
      <c r="I106" s="48"/>
      <c r="J106" s="48"/>
      <c r="K106" s="96"/>
      <c r="L106" s="96"/>
      <c r="S106" s="9" t="s">
        <v>117</v>
      </c>
      <c r="T106" s="9">
        <v>355.6</v>
      </c>
      <c r="U106" s="9">
        <v>8</v>
      </c>
      <c r="V106" s="9">
        <v>68.599999999999994</v>
      </c>
      <c r="W106" s="9">
        <v>87.4</v>
      </c>
      <c r="X106" s="9">
        <v>44.45</v>
      </c>
      <c r="Y106" s="9">
        <v>13201</v>
      </c>
      <c r="Z106" s="9">
        <v>12.3</v>
      </c>
    </row>
    <row r="107" spans="1:26" x14ac:dyDescent="0.2">
      <c r="A107" s="48"/>
      <c r="B107" s="129" t="s">
        <v>755</v>
      </c>
      <c r="C107" s="130">
        <v>2.8</v>
      </c>
      <c r="D107" s="130">
        <v>4.4000000000000004</v>
      </c>
      <c r="E107" s="130">
        <f>0.58*C107</f>
        <v>1.6239999999999999</v>
      </c>
      <c r="F107" s="130">
        <v>2.1</v>
      </c>
      <c r="G107" s="130">
        <f>2*E107</f>
        <v>3.2479999999999998</v>
      </c>
      <c r="H107" s="131">
        <f>0.6*E107</f>
        <v>0.97439999999999993</v>
      </c>
      <c r="I107" s="48"/>
      <c r="J107" s="48"/>
      <c r="K107" s="96"/>
      <c r="L107" s="96"/>
      <c r="S107" s="9" t="s">
        <v>118</v>
      </c>
      <c r="T107" s="9">
        <v>355.6</v>
      </c>
      <c r="U107" s="9">
        <v>10</v>
      </c>
      <c r="V107" s="9">
        <v>85.2</v>
      </c>
      <c r="W107" s="9">
        <v>109</v>
      </c>
      <c r="X107" s="9">
        <v>35.56</v>
      </c>
      <c r="Y107" s="9">
        <v>16223</v>
      </c>
      <c r="Z107" s="9">
        <v>12.2</v>
      </c>
    </row>
    <row r="108" spans="1:26" x14ac:dyDescent="0.2">
      <c r="A108" s="48"/>
      <c r="B108" s="129" t="s">
        <v>756</v>
      </c>
      <c r="C108" s="130">
        <v>3.6</v>
      </c>
      <c r="D108" s="130">
        <v>5.2</v>
      </c>
      <c r="E108" s="130">
        <f>0.58*C108</f>
        <v>2.0880000000000001</v>
      </c>
      <c r="F108" s="130">
        <v>2.7</v>
      </c>
      <c r="G108" s="130">
        <f>2*E108</f>
        <v>4.1760000000000002</v>
      </c>
      <c r="H108" s="131">
        <f>0.6*E108</f>
        <v>1.2527999999999999</v>
      </c>
      <c r="I108" s="48"/>
      <c r="J108" s="48"/>
      <c r="K108" s="96"/>
      <c r="L108" s="96"/>
      <c r="S108" s="9" t="s">
        <v>119</v>
      </c>
      <c r="T108" s="9">
        <v>355.6</v>
      </c>
      <c r="U108" s="9">
        <v>12.5</v>
      </c>
      <c r="V108" s="9">
        <v>106</v>
      </c>
      <c r="W108" s="9">
        <v>135</v>
      </c>
      <c r="X108" s="9">
        <v>28.45</v>
      </c>
      <c r="Y108" s="9">
        <v>19852</v>
      </c>
      <c r="Z108" s="9">
        <v>12.1</v>
      </c>
    </row>
    <row r="109" spans="1:26" x14ac:dyDescent="0.2">
      <c r="A109" s="132"/>
      <c r="B109" s="129" t="s">
        <v>757</v>
      </c>
      <c r="C109" s="130">
        <v>2.35</v>
      </c>
      <c r="D109" s="130">
        <v>5.2</v>
      </c>
      <c r="E109" s="130">
        <f>0.58*C109</f>
        <v>1.363</v>
      </c>
      <c r="F109" s="130">
        <v>2.7</v>
      </c>
      <c r="G109" s="130">
        <f>2*E109</f>
        <v>2.726</v>
      </c>
      <c r="H109" s="131">
        <f>0.6*E109</f>
        <v>0.81779999999999997</v>
      </c>
      <c r="I109" s="48"/>
      <c r="J109" s="48"/>
      <c r="K109" s="96"/>
      <c r="L109" s="96"/>
      <c r="S109" s="9" t="s">
        <v>120</v>
      </c>
      <c r="T109" s="9">
        <v>355.6</v>
      </c>
      <c r="U109" s="9">
        <v>16</v>
      </c>
      <c r="V109" s="9">
        <v>134</v>
      </c>
      <c r="W109" s="9">
        <v>171</v>
      </c>
      <c r="X109" s="9">
        <v>22.23</v>
      </c>
      <c r="Y109" s="9">
        <v>24663</v>
      </c>
      <c r="Z109" s="9">
        <v>12</v>
      </c>
    </row>
    <row r="110" spans="1:26" ht="13.5" thickBot="1" x14ac:dyDescent="0.25">
      <c r="A110" s="36"/>
      <c r="B110" s="133" t="s">
        <v>730</v>
      </c>
      <c r="C110" s="134">
        <v>3.45</v>
      </c>
      <c r="D110" s="134">
        <v>5.2</v>
      </c>
      <c r="E110" s="134">
        <f>0.58*C110</f>
        <v>2.0009999999999999</v>
      </c>
      <c r="F110" s="134">
        <v>2.7</v>
      </c>
      <c r="G110" s="134">
        <f>2*E110</f>
        <v>4.0019999999999998</v>
      </c>
      <c r="H110" s="135">
        <f>0.6*E110</f>
        <v>1.2005999999999999</v>
      </c>
      <c r="I110" s="48"/>
      <c r="J110" s="48"/>
      <c r="K110" s="96"/>
      <c r="L110" s="96"/>
      <c r="S110" s="9" t="s">
        <v>121</v>
      </c>
      <c r="T110" s="9">
        <v>406.4</v>
      </c>
      <c r="U110" s="9">
        <v>6.3</v>
      </c>
      <c r="V110" s="9">
        <v>62.2</v>
      </c>
      <c r="W110" s="9">
        <v>79.2</v>
      </c>
      <c r="X110" s="9">
        <v>64.510000000000005</v>
      </c>
      <c r="Y110" s="9">
        <v>15849</v>
      </c>
      <c r="Z110" s="9">
        <v>14.1</v>
      </c>
    </row>
    <row r="111" spans="1:26" x14ac:dyDescent="0.2">
      <c r="A111" s="36"/>
      <c r="B111" s="36"/>
      <c r="C111" s="36"/>
      <c r="D111" s="36"/>
      <c r="E111" s="36"/>
      <c r="F111" s="36"/>
      <c r="G111" s="36"/>
      <c r="H111" s="48"/>
      <c r="I111" s="48"/>
      <c r="J111" s="48"/>
      <c r="K111" s="96"/>
      <c r="L111" s="96"/>
      <c r="S111" s="9" t="s">
        <v>122</v>
      </c>
      <c r="T111" s="9">
        <v>406.4</v>
      </c>
      <c r="U111" s="9">
        <v>8</v>
      </c>
      <c r="V111" s="9">
        <v>78.599999999999994</v>
      </c>
      <c r="W111" s="9">
        <v>100</v>
      </c>
      <c r="X111" s="9">
        <v>50.8</v>
      </c>
      <c r="Y111" s="9">
        <v>19874</v>
      </c>
      <c r="Z111" s="9">
        <v>14.1</v>
      </c>
    </row>
    <row r="112" spans="1:26" x14ac:dyDescent="0.2">
      <c r="A112" s="36"/>
      <c r="B112" s="36"/>
      <c r="C112" s="36"/>
      <c r="D112" s="36"/>
      <c r="E112" s="36"/>
      <c r="F112" s="36"/>
      <c r="G112" s="36"/>
      <c r="H112" s="48"/>
      <c r="I112" s="48"/>
      <c r="J112" s="48"/>
      <c r="K112" s="96"/>
      <c r="L112" s="96"/>
      <c r="S112" s="9" t="s">
        <v>123</v>
      </c>
      <c r="T112" s="9">
        <v>406.4</v>
      </c>
      <c r="U112" s="9">
        <v>10</v>
      </c>
      <c r="V112" s="9">
        <v>97.8</v>
      </c>
      <c r="W112" s="9">
        <v>125</v>
      </c>
      <c r="X112" s="9">
        <v>40.64</v>
      </c>
      <c r="Y112" s="9">
        <v>24476</v>
      </c>
      <c r="Z112" s="9">
        <v>14</v>
      </c>
    </row>
    <row r="113" spans="1:26" ht="13.5" thickBot="1" x14ac:dyDescent="0.25">
      <c r="A113" s="36"/>
      <c r="B113" s="36"/>
      <c r="C113" s="36"/>
      <c r="D113" s="36"/>
      <c r="E113" s="36"/>
      <c r="F113" s="36"/>
      <c r="G113" s="36"/>
      <c r="H113" s="48"/>
      <c r="I113" s="48"/>
      <c r="J113" s="48"/>
      <c r="K113" s="96"/>
      <c r="L113" s="96"/>
      <c r="S113" s="9" t="s">
        <v>124</v>
      </c>
      <c r="T113" s="9">
        <v>406.4</v>
      </c>
      <c r="U113" s="9">
        <v>12.5</v>
      </c>
      <c r="V113" s="9">
        <v>121</v>
      </c>
      <c r="W113" s="9">
        <v>155</v>
      </c>
      <c r="X113" s="9">
        <v>32.51</v>
      </c>
      <c r="Y113" s="9">
        <v>30031</v>
      </c>
      <c r="Z113" s="9">
        <v>13.9</v>
      </c>
    </row>
    <row r="114" spans="1:26" ht="38.25" x14ac:dyDescent="0.2">
      <c r="A114" s="136" t="s">
        <v>758</v>
      </c>
      <c r="B114" s="137">
        <v>1.5</v>
      </c>
      <c r="C114" s="138">
        <f>IF(AND(H52&gt;1.5,H52&lt;2),H52,1.75)</f>
        <v>1.75</v>
      </c>
      <c r="D114" s="138">
        <v>2</v>
      </c>
      <c r="E114" s="138">
        <f>IF(AND(H52&gt;2,H52&lt;2.5),H52,2.25)</f>
        <v>2.25</v>
      </c>
      <c r="F114" s="138">
        <v>2.5</v>
      </c>
      <c r="G114" s="138">
        <f>IF(AND(H52&gt;2.5,H52&lt;3),H52,2.75)</f>
        <v>2.75</v>
      </c>
      <c r="H114" s="139">
        <v>3</v>
      </c>
      <c r="I114" s="140"/>
      <c r="J114" s="140"/>
      <c r="K114" s="96"/>
      <c r="L114" s="96"/>
      <c r="S114" s="9" t="s">
        <v>125</v>
      </c>
      <c r="T114" s="9">
        <v>406.4</v>
      </c>
      <c r="U114" s="9">
        <v>16</v>
      </c>
      <c r="V114" s="9">
        <v>154</v>
      </c>
      <c r="W114" s="9">
        <v>196</v>
      </c>
      <c r="X114" s="9">
        <v>25.4</v>
      </c>
      <c r="Y114" s="9">
        <v>37449</v>
      </c>
      <c r="Z114" s="9">
        <v>13.8</v>
      </c>
    </row>
    <row r="115" spans="1:26" ht="16.5" thickBot="1" x14ac:dyDescent="0.25">
      <c r="A115" s="141" t="s">
        <v>759</v>
      </c>
      <c r="B115" s="142">
        <v>0.6</v>
      </c>
      <c r="C115" s="143">
        <f t="shared" ref="C115:H115" si="6">0.6+0.4*(C114-1.5)</f>
        <v>0.7</v>
      </c>
      <c r="D115" s="143">
        <f t="shared" si="6"/>
        <v>0.8</v>
      </c>
      <c r="E115" s="143">
        <f t="shared" si="6"/>
        <v>0.9</v>
      </c>
      <c r="F115" s="143">
        <f t="shared" si="6"/>
        <v>1</v>
      </c>
      <c r="G115" s="143">
        <f t="shared" si="6"/>
        <v>1.1000000000000001</v>
      </c>
      <c r="H115" s="144">
        <f t="shared" si="6"/>
        <v>1.2000000000000002</v>
      </c>
      <c r="I115" s="140"/>
      <c r="J115" s="140"/>
      <c r="K115" s="96"/>
      <c r="L115" s="96"/>
      <c r="S115" s="9" t="s">
        <v>126</v>
      </c>
      <c r="T115" s="9">
        <v>457</v>
      </c>
      <c r="U115" s="9">
        <v>6.3</v>
      </c>
      <c r="V115" s="9">
        <v>70</v>
      </c>
      <c r="W115" s="9">
        <v>89.2</v>
      </c>
      <c r="X115" s="9">
        <v>72.540000000000006</v>
      </c>
      <c r="Y115" s="9">
        <v>22654</v>
      </c>
      <c r="Z115" s="9">
        <v>15.9</v>
      </c>
    </row>
    <row r="116" spans="1:26" x14ac:dyDescent="0.2">
      <c r="A116" s="145"/>
      <c r="B116" s="74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S116" s="9" t="s">
        <v>127</v>
      </c>
      <c r="T116" s="9">
        <v>457</v>
      </c>
      <c r="U116" s="9">
        <v>8</v>
      </c>
      <c r="V116" s="9">
        <v>88.6</v>
      </c>
      <c r="W116" s="9">
        <v>113</v>
      </c>
      <c r="X116" s="9">
        <v>57.13</v>
      </c>
      <c r="Y116" s="9">
        <v>28446</v>
      </c>
      <c r="Z116" s="9">
        <v>15.9</v>
      </c>
    </row>
    <row r="117" spans="1:26" x14ac:dyDescent="0.2">
      <c r="S117" s="9" t="s">
        <v>128</v>
      </c>
      <c r="T117" s="9">
        <v>457</v>
      </c>
      <c r="U117" s="9">
        <v>10</v>
      </c>
      <c r="V117" s="9">
        <v>110</v>
      </c>
      <c r="W117" s="9">
        <v>140</v>
      </c>
      <c r="X117" s="9">
        <v>45.7</v>
      </c>
      <c r="Y117" s="9">
        <v>35091</v>
      </c>
      <c r="Z117" s="9">
        <v>15.8</v>
      </c>
    </row>
    <row r="118" spans="1:26" x14ac:dyDescent="0.2">
      <c r="S118" s="9" t="s">
        <v>129</v>
      </c>
      <c r="T118" s="9">
        <v>457</v>
      </c>
      <c r="U118" s="9">
        <v>12.5</v>
      </c>
      <c r="V118" s="9">
        <v>137</v>
      </c>
      <c r="W118" s="9">
        <v>175</v>
      </c>
      <c r="X118" s="9">
        <v>36.56</v>
      </c>
      <c r="Y118" s="9">
        <v>43145</v>
      </c>
      <c r="Z118" s="9">
        <v>15.7</v>
      </c>
    </row>
    <row r="119" spans="1:26" x14ac:dyDescent="0.2">
      <c r="S119" s="9" t="s">
        <v>130</v>
      </c>
      <c r="T119" s="9">
        <v>457</v>
      </c>
      <c r="U119" s="9">
        <v>16</v>
      </c>
      <c r="V119" s="9">
        <v>174</v>
      </c>
      <c r="W119" s="9">
        <v>222</v>
      </c>
      <c r="X119" s="9">
        <v>28.56</v>
      </c>
      <c r="Y119" s="9">
        <v>53959</v>
      </c>
      <c r="Z119" s="9">
        <v>15.6</v>
      </c>
    </row>
    <row r="120" spans="1:26" x14ac:dyDescent="0.2">
      <c r="S120" s="9" t="s">
        <v>131</v>
      </c>
      <c r="T120" s="9">
        <v>457</v>
      </c>
      <c r="U120" s="9">
        <v>17.5</v>
      </c>
      <c r="V120" s="9">
        <v>190</v>
      </c>
      <c r="W120" s="9">
        <v>242</v>
      </c>
      <c r="X120" s="9">
        <v>26.11</v>
      </c>
      <c r="Y120" s="9">
        <v>58434</v>
      </c>
      <c r="Z120" s="9">
        <v>15.6</v>
      </c>
    </row>
    <row r="121" spans="1:26" x14ac:dyDescent="0.2">
      <c r="S121" s="9" t="s">
        <v>132</v>
      </c>
      <c r="T121" s="9">
        <v>457</v>
      </c>
      <c r="U121" s="9">
        <v>19.100000000000001</v>
      </c>
      <c r="V121" s="9">
        <v>206</v>
      </c>
      <c r="W121" s="9">
        <v>263</v>
      </c>
      <c r="X121" s="9">
        <v>23.93</v>
      </c>
      <c r="Y121" s="9">
        <v>63102</v>
      </c>
      <c r="Z121" s="9">
        <v>15.5</v>
      </c>
    </row>
    <row r="122" spans="1:26" x14ac:dyDescent="0.2">
      <c r="S122" s="9" t="s">
        <v>133</v>
      </c>
      <c r="T122" s="9">
        <v>508</v>
      </c>
      <c r="U122" s="9">
        <v>6.3</v>
      </c>
      <c r="V122" s="9">
        <v>77.900000000000006</v>
      </c>
      <c r="W122" s="9">
        <v>99.3</v>
      </c>
      <c r="X122" s="9">
        <v>80.63</v>
      </c>
      <c r="Y122" s="9">
        <v>31246</v>
      </c>
      <c r="Z122" s="9">
        <v>17.7</v>
      </c>
    </row>
    <row r="123" spans="1:26" x14ac:dyDescent="0.2">
      <c r="S123" s="9" t="s">
        <v>134</v>
      </c>
      <c r="T123" s="9">
        <v>508</v>
      </c>
      <c r="U123" s="9">
        <v>8</v>
      </c>
      <c r="V123" s="9">
        <v>98.6</v>
      </c>
      <c r="W123" s="9">
        <v>126</v>
      </c>
      <c r="X123" s="9">
        <v>63.5</v>
      </c>
      <c r="Y123" s="9">
        <v>39280</v>
      </c>
      <c r="Z123" s="9">
        <v>17.7</v>
      </c>
    </row>
    <row r="124" spans="1:26" x14ac:dyDescent="0.2">
      <c r="S124" s="9" t="s">
        <v>135</v>
      </c>
      <c r="T124" s="9">
        <v>508</v>
      </c>
      <c r="U124" s="9">
        <v>10</v>
      </c>
      <c r="V124" s="9">
        <v>123</v>
      </c>
      <c r="W124" s="9">
        <v>156</v>
      </c>
      <c r="X124" s="9">
        <v>50.8</v>
      </c>
      <c r="Y124" s="9">
        <v>48520</v>
      </c>
      <c r="Z124" s="9">
        <v>17.600000000000001</v>
      </c>
    </row>
    <row r="125" spans="1:26" x14ac:dyDescent="0.2">
      <c r="S125" s="9" t="s">
        <v>136</v>
      </c>
      <c r="T125" s="9">
        <v>508</v>
      </c>
      <c r="U125" s="9">
        <v>12.5</v>
      </c>
      <c r="V125" s="9">
        <v>153</v>
      </c>
      <c r="W125" s="9">
        <v>195</v>
      </c>
      <c r="X125" s="9">
        <v>40.64</v>
      </c>
      <c r="Y125" s="9">
        <v>59755</v>
      </c>
      <c r="Z125" s="9">
        <v>17.5</v>
      </c>
    </row>
    <row r="126" spans="1:26" x14ac:dyDescent="0.2">
      <c r="S126" s="9" t="s">
        <v>137</v>
      </c>
      <c r="T126" s="9">
        <v>508</v>
      </c>
      <c r="U126" s="9">
        <v>16</v>
      </c>
      <c r="V126" s="9">
        <v>194</v>
      </c>
      <c r="W126" s="9">
        <v>247</v>
      </c>
      <c r="X126" s="9">
        <v>31.75</v>
      </c>
      <c r="Y126" s="9">
        <v>74909</v>
      </c>
      <c r="Z126" s="9">
        <v>17.399999999999999</v>
      </c>
    </row>
    <row r="127" spans="1:26" x14ac:dyDescent="0.2">
      <c r="S127" s="9" t="s">
        <v>138</v>
      </c>
      <c r="T127" s="9">
        <v>508</v>
      </c>
      <c r="U127" s="9">
        <v>17.5</v>
      </c>
      <c r="V127" s="9">
        <v>212</v>
      </c>
      <c r="W127" s="9">
        <v>270</v>
      </c>
      <c r="X127" s="9">
        <v>29.03</v>
      </c>
      <c r="Y127" s="9">
        <v>81202</v>
      </c>
      <c r="Z127" s="9">
        <v>17.399999999999999</v>
      </c>
    </row>
    <row r="128" spans="1:26" x14ac:dyDescent="0.2">
      <c r="S128" s="9" t="s">
        <v>139</v>
      </c>
      <c r="T128" s="9">
        <v>508</v>
      </c>
      <c r="U128" s="9">
        <v>19.100000000000001</v>
      </c>
      <c r="V128" s="9">
        <v>230</v>
      </c>
      <c r="W128" s="9">
        <v>293</v>
      </c>
      <c r="X128" s="9">
        <v>26.6</v>
      </c>
      <c r="Y128" s="9">
        <v>87784</v>
      </c>
      <c r="Z128" s="9">
        <v>17.3</v>
      </c>
    </row>
    <row r="129" spans="19:26" x14ac:dyDescent="0.2">
      <c r="S129" s="9" t="s">
        <v>140</v>
      </c>
      <c r="T129" s="9">
        <v>559</v>
      </c>
      <c r="U129" s="9">
        <v>6.4</v>
      </c>
      <c r="V129" s="9">
        <v>87.2</v>
      </c>
      <c r="W129" s="9">
        <v>111</v>
      </c>
      <c r="X129" s="9">
        <v>87.34</v>
      </c>
      <c r="Y129" s="9">
        <v>42416</v>
      </c>
      <c r="Z129" s="9">
        <v>19.5</v>
      </c>
    </row>
    <row r="130" spans="19:26" x14ac:dyDescent="0.2">
      <c r="S130" s="9" t="s">
        <v>141</v>
      </c>
      <c r="T130" s="9">
        <v>559</v>
      </c>
      <c r="U130" s="9">
        <v>7.9</v>
      </c>
      <c r="V130" s="9">
        <v>107</v>
      </c>
      <c r="W130" s="9">
        <v>137</v>
      </c>
      <c r="X130" s="9">
        <v>70.760000000000005</v>
      </c>
      <c r="Y130" s="9">
        <v>51936</v>
      </c>
      <c r="Z130" s="9">
        <v>19.5</v>
      </c>
    </row>
    <row r="131" spans="19:26" x14ac:dyDescent="0.2">
      <c r="S131" s="9" t="s">
        <v>142</v>
      </c>
      <c r="T131" s="9">
        <v>559</v>
      </c>
      <c r="U131" s="9">
        <v>8.6999999999999993</v>
      </c>
      <c r="V131" s="9">
        <v>118</v>
      </c>
      <c r="W131" s="9">
        <v>150</v>
      </c>
      <c r="X131" s="9">
        <v>64.25</v>
      </c>
      <c r="Y131" s="9">
        <v>56949</v>
      </c>
      <c r="Z131" s="9">
        <v>19.5</v>
      </c>
    </row>
    <row r="132" spans="19:26" x14ac:dyDescent="0.2">
      <c r="S132" s="9" t="s">
        <v>143</v>
      </c>
      <c r="T132" s="9">
        <v>559</v>
      </c>
      <c r="U132" s="9">
        <v>9.5</v>
      </c>
      <c r="V132" s="9">
        <v>129</v>
      </c>
      <c r="W132" s="9">
        <v>164</v>
      </c>
      <c r="X132" s="9">
        <v>58.84</v>
      </c>
      <c r="Y132" s="9">
        <v>61918</v>
      </c>
      <c r="Z132" s="9">
        <v>19.399999999999999</v>
      </c>
    </row>
    <row r="133" spans="19:26" x14ac:dyDescent="0.2">
      <c r="S133" s="9" t="s">
        <v>144</v>
      </c>
      <c r="T133" s="9">
        <v>559</v>
      </c>
      <c r="U133" s="9">
        <v>10.3</v>
      </c>
      <c r="V133" s="9">
        <v>139</v>
      </c>
      <c r="W133" s="9">
        <v>178</v>
      </c>
      <c r="X133" s="9">
        <v>54.27</v>
      </c>
      <c r="Y133" s="9">
        <v>66843</v>
      </c>
      <c r="Z133" s="9">
        <v>19.399999999999999</v>
      </c>
    </row>
    <row r="134" spans="19:26" x14ac:dyDescent="0.2">
      <c r="S134" s="9" t="s">
        <v>145</v>
      </c>
      <c r="T134" s="9">
        <v>559</v>
      </c>
      <c r="U134" s="9">
        <v>11.1</v>
      </c>
      <c r="V134" s="9">
        <v>150</v>
      </c>
      <c r="W134" s="9">
        <v>191</v>
      </c>
      <c r="X134" s="9">
        <v>50.36</v>
      </c>
      <c r="Y134" s="9">
        <v>71724</v>
      </c>
      <c r="Z134" s="9">
        <v>19.399999999999999</v>
      </c>
    </row>
    <row r="135" spans="19:26" x14ac:dyDescent="0.2">
      <c r="S135" s="9" t="s">
        <v>146</v>
      </c>
      <c r="T135" s="9">
        <v>559</v>
      </c>
      <c r="U135" s="9">
        <v>11.9</v>
      </c>
      <c r="V135" s="9">
        <v>161</v>
      </c>
      <c r="W135" s="9">
        <v>205</v>
      </c>
      <c r="X135" s="9">
        <v>46.97</v>
      </c>
      <c r="Y135" s="9">
        <v>76562</v>
      </c>
      <c r="Z135" s="9">
        <v>19.3</v>
      </c>
    </row>
    <row r="136" spans="19:26" x14ac:dyDescent="0.2">
      <c r="S136" s="9" t="s">
        <v>147</v>
      </c>
      <c r="T136" s="9">
        <v>559</v>
      </c>
      <c r="U136" s="9">
        <v>12.7</v>
      </c>
      <c r="V136" s="9">
        <v>171</v>
      </c>
      <c r="W136" s="9">
        <v>218</v>
      </c>
      <c r="X136" s="9">
        <v>44.02</v>
      </c>
      <c r="Y136" s="9">
        <v>81356</v>
      </c>
      <c r="Z136" s="9">
        <v>19.3</v>
      </c>
    </row>
    <row r="137" spans="19:26" x14ac:dyDescent="0.2">
      <c r="S137" s="9" t="s">
        <v>148</v>
      </c>
      <c r="T137" s="9">
        <v>559</v>
      </c>
      <c r="U137" s="9">
        <v>14.3</v>
      </c>
      <c r="V137" s="9">
        <v>192</v>
      </c>
      <c r="W137" s="9">
        <v>245</v>
      </c>
      <c r="X137" s="9">
        <v>39.090000000000003</v>
      </c>
      <c r="Y137" s="9">
        <v>90817</v>
      </c>
      <c r="Z137" s="9">
        <v>19.3</v>
      </c>
    </row>
    <row r="138" spans="19:26" x14ac:dyDescent="0.2">
      <c r="S138" s="9" t="s">
        <v>149</v>
      </c>
      <c r="T138" s="9">
        <v>559</v>
      </c>
      <c r="U138" s="9">
        <v>15.9</v>
      </c>
      <c r="V138" s="9">
        <v>213</v>
      </c>
      <c r="W138" s="9">
        <v>271</v>
      </c>
      <c r="X138" s="9">
        <v>35.159999999999997</v>
      </c>
      <c r="Y138" s="9">
        <v>100108</v>
      </c>
      <c r="Z138" s="9">
        <v>19.2</v>
      </c>
    </row>
    <row r="139" spans="19:26" x14ac:dyDescent="0.2">
      <c r="S139" s="9" t="s">
        <v>150</v>
      </c>
      <c r="T139" s="9">
        <v>559</v>
      </c>
      <c r="U139" s="9">
        <v>17.5</v>
      </c>
      <c r="V139" s="9">
        <v>234</v>
      </c>
      <c r="W139" s="9">
        <v>298</v>
      </c>
      <c r="X139" s="9">
        <v>31.94</v>
      </c>
      <c r="Y139" s="9">
        <v>109231</v>
      </c>
      <c r="Z139" s="9">
        <v>19.2</v>
      </c>
    </row>
    <row r="140" spans="19:26" x14ac:dyDescent="0.2">
      <c r="S140" s="9" t="s">
        <v>151</v>
      </c>
      <c r="T140" s="9">
        <v>559</v>
      </c>
      <c r="U140" s="9">
        <v>19.100000000000001</v>
      </c>
      <c r="V140" s="9">
        <v>254</v>
      </c>
      <c r="W140" s="9">
        <v>324</v>
      </c>
      <c r="X140" s="9">
        <v>29.27</v>
      </c>
      <c r="Y140" s="9">
        <v>118189</v>
      </c>
      <c r="Z140" s="9">
        <v>19.100000000000001</v>
      </c>
    </row>
    <row r="141" spans="19:26" x14ac:dyDescent="0.2">
      <c r="S141" s="9" t="s">
        <v>152</v>
      </c>
      <c r="T141" s="9">
        <v>559</v>
      </c>
      <c r="U141" s="9">
        <v>20.6</v>
      </c>
      <c r="V141" s="9">
        <v>274</v>
      </c>
      <c r="W141" s="9">
        <v>348</v>
      </c>
      <c r="X141" s="9">
        <v>27.14</v>
      </c>
      <c r="Y141" s="9">
        <v>126438</v>
      </c>
      <c r="Z141" s="9">
        <v>19</v>
      </c>
    </row>
    <row r="142" spans="19:26" x14ac:dyDescent="0.2">
      <c r="S142" s="9" t="s">
        <v>153</v>
      </c>
      <c r="T142" s="9">
        <v>559</v>
      </c>
      <c r="U142" s="9">
        <v>22.2</v>
      </c>
      <c r="V142" s="9">
        <v>294</v>
      </c>
      <c r="W142" s="9">
        <v>374</v>
      </c>
      <c r="X142" s="9">
        <v>25.18</v>
      </c>
      <c r="Y142" s="9">
        <v>135080</v>
      </c>
      <c r="Z142" s="9">
        <v>19</v>
      </c>
    </row>
    <row r="143" spans="19:26" x14ac:dyDescent="0.2">
      <c r="S143" s="9" t="s">
        <v>186</v>
      </c>
      <c r="T143" s="9">
        <v>610</v>
      </c>
      <c r="U143" s="9">
        <v>6.4</v>
      </c>
      <c r="V143" s="9">
        <v>95.3</v>
      </c>
      <c r="W143" s="9">
        <v>121</v>
      </c>
      <c r="X143" s="9">
        <v>95.31</v>
      </c>
      <c r="Y143" s="9">
        <v>55276</v>
      </c>
      <c r="Z143" s="9">
        <v>21.3</v>
      </c>
    </row>
    <row r="144" spans="19:26" x14ac:dyDescent="0.2">
      <c r="S144" s="9" t="s">
        <v>187</v>
      </c>
      <c r="T144" s="9">
        <v>610</v>
      </c>
      <c r="U144" s="9">
        <v>7.9</v>
      </c>
      <c r="V144" s="9">
        <v>117</v>
      </c>
      <c r="W144" s="9">
        <v>149</v>
      </c>
      <c r="X144" s="9">
        <v>77.22</v>
      </c>
      <c r="Y144" s="9">
        <v>67728</v>
      </c>
      <c r="Z144" s="9">
        <v>21.3</v>
      </c>
    </row>
    <row r="145" spans="19:26" x14ac:dyDescent="0.2">
      <c r="S145" s="9" t="s">
        <v>188</v>
      </c>
      <c r="T145" s="9">
        <v>610</v>
      </c>
      <c r="U145" s="9">
        <v>8.6999999999999993</v>
      </c>
      <c r="V145" s="9">
        <v>129</v>
      </c>
      <c r="W145" s="9">
        <v>164</v>
      </c>
      <c r="X145" s="9">
        <v>70.11</v>
      </c>
      <c r="Y145" s="9">
        <v>74292</v>
      </c>
      <c r="Z145" s="9">
        <v>21.3</v>
      </c>
    </row>
    <row r="146" spans="19:26" x14ac:dyDescent="0.2">
      <c r="S146" s="9" t="s">
        <v>189</v>
      </c>
      <c r="T146" s="9">
        <v>610</v>
      </c>
      <c r="U146" s="9">
        <v>9.5</v>
      </c>
      <c r="V146" s="9">
        <v>141</v>
      </c>
      <c r="W146" s="9">
        <v>179</v>
      </c>
      <c r="X146" s="9">
        <v>64.209999999999994</v>
      </c>
      <c r="Y146" s="9">
        <v>80804</v>
      </c>
      <c r="Z146" s="9">
        <v>21.2</v>
      </c>
    </row>
    <row r="147" spans="19:26" x14ac:dyDescent="0.2">
      <c r="S147" s="9" t="s">
        <v>190</v>
      </c>
      <c r="T147" s="9">
        <v>610</v>
      </c>
      <c r="U147" s="9">
        <v>10.3</v>
      </c>
      <c r="V147" s="9">
        <v>152</v>
      </c>
      <c r="W147" s="9">
        <v>194</v>
      </c>
      <c r="X147" s="9">
        <v>59.22</v>
      </c>
      <c r="Y147" s="9">
        <v>87262</v>
      </c>
      <c r="Z147" s="9">
        <v>21.2</v>
      </c>
    </row>
    <row r="148" spans="19:26" x14ac:dyDescent="0.2">
      <c r="S148" s="9" t="s">
        <v>191</v>
      </c>
      <c r="T148" s="9">
        <v>610</v>
      </c>
      <c r="U148" s="9">
        <v>11.1</v>
      </c>
      <c r="V148" s="9">
        <v>164</v>
      </c>
      <c r="W148" s="9">
        <v>209</v>
      </c>
      <c r="X148" s="9">
        <v>54.95</v>
      </c>
      <c r="Y148" s="9">
        <v>93669</v>
      </c>
      <c r="Z148" s="9">
        <v>21.2</v>
      </c>
    </row>
    <row r="149" spans="19:26" x14ac:dyDescent="0.2">
      <c r="S149" s="9" t="s">
        <v>192</v>
      </c>
      <c r="T149" s="9">
        <v>610</v>
      </c>
      <c r="U149" s="9">
        <v>11.9</v>
      </c>
      <c r="V149" s="9">
        <v>176</v>
      </c>
      <c r="W149" s="9">
        <v>224</v>
      </c>
      <c r="X149" s="9">
        <v>51.26</v>
      </c>
      <c r="Y149" s="9">
        <v>100023</v>
      </c>
      <c r="Z149" s="9">
        <v>21.2</v>
      </c>
    </row>
    <row r="150" spans="19:26" x14ac:dyDescent="0.2">
      <c r="S150" s="9" t="s">
        <v>193</v>
      </c>
      <c r="T150" s="9">
        <v>610</v>
      </c>
      <c r="U150" s="9">
        <v>12.7</v>
      </c>
      <c r="V150" s="9">
        <v>187</v>
      </c>
      <c r="W150" s="9">
        <v>238</v>
      </c>
      <c r="X150" s="9">
        <v>48.03</v>
      </c>
      <c r="Y150" s="9">
        <v>106326</v>
      </c>
      <c r="Z150" s="9">
        <v>21.1</v>
      </c>
    </row>
    <row r="151" spans="19:26" x14ac:dyDescent="0.2">
      <c r="S151" s="9" t="s">
        <v>194</v>
      </c>
      <c r="T151" s="9">
        <v>610</v>
      </c>
      <c r="U151" s="9">
        <v>14.3</v>
      </c>
      <c r="V151" s="9">
        <v>210</v>
      </c>
      <c r="W151" s="9">
        <v>268</v>
      </c>
      <c r="X151" s="9">
        <v>42.66</v>
      </c>
      <c r="Y151" s="9">
        <v>118776</v>
      </c>
      <c r="Z151" s="9">
        <v>21.1</v>
      </c>
    </row>
    <row r="152" spans="19:26" x14ac:dyDescent="0.2">
      <c r="S152" s="9" t="s">
        <v>195</v>
      </c>
      <c r="T152" s="9">
        <v>610</v>
      </c>
      <c r="U152" s="9">
        <v>15.9</v>
      </c>
      <c r="V152" s="9">
        <v>233</v>
      </c>
      <c r="W152" s="9">
        <v>297</v>
      </c>
      <c r="X152" s="9">
        <v>38.36</v>
      </c>
      <c r="Y152" s="9">
        <v>131023</v>
      </c>
      <c r="Z152" s="9">
        <v>21</v>
      </c>
    </row>
    <row r="153" spans="19:26" x14ac:dyDescent="0.2">
      <c r="S153" s="9" t="s">
        <v>196</v>
      </c>
      <c r="T153" s="9">
        <v>610</v>
      </c>
      <c r="U153" s="9">
        <v>17.5</v>
      </c>
      <c r="V153" s="9">
        <v>256</v>
      </c>
      <c r="W153" s="9">
        <v>326</v>
      </c>
      <c r="X153" s="9">
        <v>34.86</v>
      </c>
      <c r="Y153" s="9">
        <v>143068</v>
      </c>
      <c r="Z153" s="9">
        <v>21</v>
      </c>
    </row>
    <row r="154" spans="19:26" x14ac:dyDescent="0.2">
      <c r="S154" s="9" t="s">
        <v>197</v>
      </c>
      <c r="T154" s="9">
        <v>610</v>
      </c>
      <c r="U154" s="9">
        <v>19.100000000000001</v>
      </c>
      <c r="V154" s="9">
        <v>278</v>
      </c>
      <c r="W154" s="9">
        <v>355</v>
      </c>
      <c r="X154" s="9">
        <v>31.94</v>
      </c>
      <c r="Y154" s="9">
        <v>154913</v>
      </c>
      <c r="Z154" s="9">
        <v>20.9</v>
      </c>
    </row>
    <row r="155" spans="19:26" x14ac:dyDescent="0.2">
      <c r="S155" s="9" t="s">
        <v>198</v>
      </c>
      <c r="T155" s="9">
        <v>610</v>
      </c>
      <c r="U155" s="9">
        <v>20.6</v>
      </c>
      <c r="V155" s="9">
        <v>299</v>
      </c>
      <c r="W155" s="9">
        <v>381</v>
      </c>
      <c r="X155" s="9">
        <v>29.61</v>
      </c>
      <c r="Y155" s="9">
        <v>165839</v>
      </c>
      <c r="Z155" s="9">
        <v>20.9</v>
      </c>
    </row>
    <row r="156" spans="19:26" x14ac:dyDescent="0.2">
      <c r="S156" s="9" t="s">
        <v>199</v>
      </c>
      <c r="T156" s="9">
        <v>610</v>
      </c>
      <c r="U156" s="9">
        <v>22.2</v>
      </c>
      <c r="V156" s="9">
        <v>322</v>
      </c>
      <c r="W156" s="9">
        <v>410</v>
      </c>
      <c r="X156" s="9">
        <v>27.48</v>
      </c>
      <c r="Y156" s="9">
        <v>177305</v>
      </c>
      <c r="Z156" s="9">
        <v>20.8</v>
      </c>
    </row>
    <row r="157" spans="19:26" x14ac:dyDescent="0.2">
      <c r="S157" s="9" t="s">
        <v>200</v>
      </c>
      <c r="T157" s="9">
        <v>610</v>
      </c>
      <c r="U157" s="9">
        <v>23.8</v>
      </c>
      <c r="V157" s="9">
        <v>344</v>
      </c>
      <c r="W157" s="9">
        <v>438</v>
      </c>
      <c r="X157" s="9">
        <v>25.63</v>
      </c>
      <c r="Y157" s="9">
        <v>188577</v>
      </c>
      <c r="Z157" s="9">
        <v>20.7</v>
      </c>
    </row>
    <row r="158" spans="19:26" x14ac:dyDescent="0.2">
      <c r="S158" s="9" t="s">
        <v>201</v>
      </c>
      <c r="T158" s="9">
        <v>660</v>
      </c>
      <c r="U158" s="9">
        <v>6.4</v>
      </c>
      <c r="V158" s="9">
        <v>103</v>
      </c>
      <c r="W158" s="9">
        <v>131</v>
      </c>
      <c r="X158" s="9">
        <v>103.13</v>
      </c>
      <c r="Y158" s="9">
        <v>70181</v>
      </c>
      <c r="Z158" s="9">
        <v>23.1</v>
      </c>
    </row>
    <row r="159" spans="19:26" x14ac:dyDescent="0.2">
      <c r="S159" s="9" t="s">
        <v>202</v>
      </c>
      <c r="T159" s="9">
        <v>660</v>
      </c>
      <c r="U159" s="9">
        <v>7.9</v>
      </c>
      <c r="V159" s="9">
        <v>127</v>
      </c>
      <c r="W159" s="9">
        <v>162</v>
      </c>
      <c r="X159" s="9">
        <v>83.54</v>
      </c>
      <c r="Y159" s="9">
        <v>86039</v>
      </c>
      <c r="Z159" s="9">
        <v>23.1</v>
      </c>
    </row>
    <row r="160" spans="19:26" x14ac:dyDescent="0.2">
      <c r="S160" s="9" t="s">
        <v>203</v>
      </c>
      <c r="T160" s="9">
        <v>660</v>
      </c>
      <c r="U160" s="9">
        <v>8.6999999999999993</v>
      </c>
      <c r="V160" s="9">
        <v>140</v>
      </c>
      <c r="W160" s="9">
        <v>178</v>
      </c>
      <c r="X160" s="9">
        <v>75.86</v>
      </c>
      <c r="Y160" s="9">
        <v>94406</v>
      </c>
      <c r="Z160" s="9">
        <v>23</v>
      </c>
    </row>
    <row r="161" spans="19:26" x14ac:dyDescent="0.2">
      <c r="S161" s="9" t="s">
        <v>204</v>
      </c>
      <c r="T161" s="9">
        <v>660</v>
      </c>
      <c r="U161" s="9">
        <v>9.5</v>
      </c>
      <c r="V161" s="9">
        <v>152</v>
      </c>
      <c r="W161" s="9">
        <v>194</v>
      </c>
      <c r="X161" s="9">
        <v>69.47</v>
      </c>
      <c r="Y161" s="9">
        <v>102711</v>
      </c>
      <c r="Z161" s="9">
        <v>23</v>
      </c>
    </row>
    <row r="162" spans="19:26" x14ac:dyDescent="0.2">
      <c r="S162" s="9" t="s">
        <v>205</v>
      </c>
      <c r="T162" s="9">
        <v>660</v>
      </c>
      <c r="U162" s="9">
        <v>10.3</v>
      </c>
      <c r="V162" s="9">
        <v>165</v>
      </c>
      <c r="W162" s="9">
        <v>210</v>
      </c>
      <c r="X162" s="9">
        <v>64.08</v>
      </c>
      <c r="Y162" s="9">
        <v>110954</v>
      </c>
      <c r="Z162" s="9">
        <v>23</v>
      </c>
    </row>
    <row r="163" spans="19:26" x14ac:dyDescent="0.2">
      <c r="S163" s="9" t="s">
        <v>206</v>
      </c>
      <c r="T163" s="9">
        <v>660</v>
      </c>
      <c r="U163" s="9">
        <v>11.1</v>
      </c>
      <c r="V163" s="9">
        <v>178</v>
      </c>
      <c r="W163" s="9">
        <v>226</v>
      </c>
      <c r="X163" s="9">
        <v>59.46</v>
      </c>
      <c r="Y163" s="9">
        <v>119136</v>
      </c>
      <c r="Z163" s="9">
        <v>22.9</v>
      </c>
    </row>
    <row r="164" spans="19:26" x14ac:dyDescent="0.2">
      <c r="S164" s="9" t="s">
        <v>207</v>
      </c>
      <c r="T164" s="9">
        <v>660</v>
      </c>
      <c r="U164" s="9">
        <v>11.9</v>
      </c>
      <c r="V164" s="9">
        <v>190</v>
      </c>
      <c r="W164" s="9">
        <v>242</v>
      </c>
      <c r="X164" s="9">
        <v>55.46</v>
      </c>
      <c r="Y164" s="9">
        <v>127256</v>
      </c>
      <c r="Z164" s="9">
        <v>22.9</v>
      </c>
    </row>
    <row r="165" spans="19:26" x14ac:dyDescent="0.2">
      <c r="S165" s="9" t="s">
        <v>208</v>
      </c>
      <c r="T165" s="9">
        <v>660</v>
      </c>
      <c r="U165" s="9">
        <v>12.7</v>
      </c>
      <c r="V165" s="9">
        <v>203</v>
      </c>
      <c r="W165" s="9">
        <v>258</v>
      </c>
      <c r="X165" s="9">
        <v>51.97</v>
      </c>
      <c r="Y165" s="9">
        <v>135316</v>
      </c>
      <c r="Z165" s="9">
        <v>22.9</v>
      </c>
    </row>
    <row r="166" spans="19:26" x14ac:dyDescent="0.2">
      <c r="S166" s="9" t="s">
        <v>209</v>
      </c>
      <c r="T166" s="9">
        <v>660</v>
      </c>
      <c r="U166" s="9">
        <v>14.3</v>
      </c>
      <c r="V166" s="9">
        <v>228</v>
      </c>
      <c r="W166" s="9">
        <v>290</v>
      </c>
      <c r="X166" s="9">
        <v>46.15</v>
      </c>
      <c r="Y166" s="9">
        <v>151252</v>
      </c>
      <c r="Z166" s="9">
        <v>22.8</v>
      </c>
    </row>
    <row r="167" spans="19:26" x14ac:dyDescent="0.2">
      <c r="S167" s="9" t="s">
        <v>210</v>
      </c>
      <c r="T167" s="9">
        <v>660</v>
      </c>
      <c r="U167" s="9">
        <v>15.9</v>
      </c>
      <c r="V167" s="9">
        <v>253</v>
      </c>
      <c r="W167" s="9">
        <v>322</v>
      </c>
      <c r="X167" s="9">
        <v>41.51</v>
      </c>
      <c r="Y167" s="9">
        <v>166948</v>
      </c>
      <c r="Z167" s="9">
        <v>22.8</v>
      </c>
    </row>
    <row r="168" spans="19:26" x14ac:dyDescent="0.2">
      <c r="S168" s="9" t="s">
        <v>211</v>
      </c>
      <c r="T168" s="9">
        <v>660</v>
      </c>
      <c r="U168" s="9">
        <v>17.5</v>
      </c>
      <c r="V168" s="9">
        <v>277</v>
      </c>
      <c r="W168" s="9">
        <v>353</v>
      </c>
      <c r="X168" s="9">
        <v>37.71</v>
      </c>
      <c r="Y168" s="9">
        <v>182406</v>
      </c>
      <c r="Z168" s="9">
        <v>22.7</v>
      </c>
    </row>
    <row r="169" spans="19:26" x14ac:dyDescent="0.2">
      <c r="S169" s="9" t="s">
        <v>212</v>
      </c>
      <c r="T169" s="9">
        <v>660</v>
      </c>
      <c r="U169" s="9">
        <v>19.100000000000001</v>
      </c>
      <c r="V169" s="9">
        <v>302</v>
      </c>
      <c r="W169" s="9">
        <v>385</v>
      </c>
      <c r="X169" s="9">
        <v>34.549999999999997</v>
      </c>
      <c r="Y169" s="9">
        <v>197629</v>
      </c>
      <c r="Z169" s="9">
        <v>22.7</v>
      </c>
    </row>
    <row r="170" spans="19:26" x14ac:dyDescent="0.2">
      <c r="S170" s="9" t="s">
        <v>213</v>
      </c>
      <c r="T170" s="9">
        <v>660</v>
      </c>
      <c r="U170" s="9">
        <v>20.6</v>
      </c>
      <c r="V170" s="9">
        <v>325</v>
      </c>
      <c r="W170" s="9">
        <v>414</v>
      </c>
      <c r="X170" s="9">
        <v>32.04</v>
      </c>
      <c r="Y170" s="9">
        <v>211688</v>
      </c>
      <c r="Z170" s="9">
        <v>22.6</v>
      </c>
    </row>
    <row r="171" spans="19:26" x14ac:dyDescent="0.2">
      <c r="S171" s="9" t="s">
        <v>214</v>
      </c>
      <c r="T171" s="9">
        <v>660</v>
      </c>
      <c r="U171" s="9">
        <v>22.2</v>
      </c>
      <c r="V171" s="9">
        <v>349</v>
      </c>
      <c r="W171" s="9">
        <v>445</v>
      </c>
      <c r="X171" s="9">
        <v>29.73</v>
      </c>
      <c r="Y171" s="9">
        <v>226460</v>
      </c>
      <c r="Z171" s="9">
        <v>22.6</v>
      </c>
    </row>
    <row r="172" spans="19:26" x14ac:dyDescent="0.2">
      <c r="S172" s="9" t="s">
        <v>215</v>
      </c>
      <c r="T172" s="9">
        <v>660</v>
      </c>
      <c r="U172" s="9">
        <v>23.8</v>
      </c>
      <c r="V172" s="9">
        <v>373</v>
      </c>
      <c r="W172" s="9">
        <v>476</v>
      </c>
      <c r="X172" s="9">
        <v>27.73</v>
      </c>
      <c r="Y172" s="9">
        <v>241005</v>
      </c>
      <c r="Z172" s="9">
        <v>22.5</v>
      </c>
    </row>
    <row r="173" spans="19:26" x14ac:dyDescent="0.2">
      <c r="S173" s="9" t="s">
        <v>216</v>
      </c>
      <c r="T173" s="9">
        <v>660</v>
      </c>
      <c r="U173" s="9">
        <v>25.4</v>
      </c>
      <c r="V173" s="9">
        <v>398</v>
      </c>
      <c r="W173" s="9">
        <v>506</v>
      </c>
      <c r="X173" s="9">
        <v>25.98</v>
      </c>
      <c r="Y173" s="9">
        <v>255322</v>
      </c>
      <c r="Z173" s="9">
        <v>22.5</v>
      </c>
    </row>
    <row r="174" spans="19:26" x14ac:dyDescent="0.2">
      <c r="S174" s="9" t="s">
        <v>217</v>
      </c>
      <c r="T174" s="9">
        <v>711</v>
      </c>
      <c r="U174" s="9">
        <v>6.4</v>
      </c>
      <c r="V174" s="9">
        <v>111</v>
      </c>
      <c r="W174" s="9">
        <v>142</v>
      </c>
      <c r="X174" s="9">
        <v>111.09</v>
      </c>
      <c r="Y174" s="9">
        <v>87923</v>
      </c>
      <c r="Z174" s="9">
        <v>24.9</v>
      </c>
    </row>
    <row r="175" spans="19:26" x14ac:dyDescent="0.2">
      <c r="S175" s="9" t="s">
        <v>218</v>
      </c>
      <c r="T175" s="9">
        <v>711</v>
      </c>
      <c r="U175" s="9">
        <v>7.9</v>
      </c>
      <c r="V175" s="9">
        <v>137</v>
      </c>
      <c r="W175" s="9">
        <v>174</v>
      </c>
      <c r="X175" s="9">
        <v>90</v>
      </c>
      <c r="Y175" s="9">
        <v>107843</v>
      </c>
      <c r="Z175" s="9">
        <v>24.9</v>
      </c>
    </row>
    <row r="176" spans="19:26" x14ac:dyDescent="0.2">
      <c r="S176" s="9" t="s">
        <v>219</v>
      </c>
      <c r="T176" s="9">
        <v>711</v>
      </c>
      <c r="U176" s="9">
        <v>8.6999999999999993</v>
      </c>
      <c r="V176" s="9">
        <v>151</v>
      </c>
      <c r="W176" s="9">
        <v>192</v>
      </c>
      <c r="X176" s="9">
        <v>81.72</v>
      </c>
      <c r="Y176" s="9">
        <v>118362</v>
      </c>
      <c r="Z176" s="9">
        <v>24.8</v>
      </c>
    </row>
    <row r="177" spans="19:26" x14ac:dyDescent="0.2">
      <c r="S177" s="9" t="s">
        <v>220</v>
      </c>
      <c r="T177" s="9">
        <v>711</v>
      </c>
      <c r="U177" s="9">
        <v>9.5</v>
      </c>
      <c r="V177" s="9">
        <v>164</v>
      </c>
      <c r="W177" s="9">
        <v>209</v>
      </c>
      <c r="X177" s="9">
        <v>74.84</v>
      </c>
      <c r="Y177" s="9">
        <v>128809</v>
      </c>
      <c r="Z177" s="9">
        <v>24.8</v>
      </c>
    </row>
    <row r="178" spans="19:26" x14ac:dyDescent="0.2">
      <c r="S178" s="9" t="s">
        <v>221</v>
      </c>
      <c r="T178" s="9">
        <v>711</v>
      </c>
      <c r="U178" s="9">
        <v>10.3</v>
      </c>
      <c r="V178" s="9">
        <v>178</v>
      </c>
      <c r="W178" s="9">
        <v>227</v>
      </c>
      <c r="X178" s="9">
        <v>69.03</v>
      </c>
      <c r="Y178" s="9">
        <v>139183</v>
      </c>
      <c r="Z178" s="9">
        <v>24.8</v>
      </c>
    </row>
    <row r="179" spans="19:26" x14ac:dyDescent="0.2">
      <c r="S179" s="9" t="s">
        <v>222</v>
      </c>
      <c r="T179" s="9">
        <v>711</v>
      </c>
      <c r="U179" s="9">
        <v>11.1</v>
      </c>
      <c r="V179" s="9">
        <v>192</v>
      </c>
      <c r="W179" s="9">
        <v>244</v>
      </c>
      <c r="X179" s="9">
        <v>64.05</v>
      </c>
      <c r="Y179" s="9">
        <v>149486</v>
      </c>
      <c r="Z179" s="9">
        <v>24.7</v>
      </c>
    </row>
    <row r="180" spans="19:26" x14ac:dyDescent="0.2">
      <c r="S180" s="9" t="s">
        <v>223</v>
      </c>
      <c r="T180" s="9">
        <v>711</v>
      </c>
      <c r="U180" s="9">
        <v>11.9</v>
      </c>
      <c r="V180" s="9">
        <v>205</v>
      </c>
      <c r="W180" s="9">
        <v>261</v>
      </c>
      <c r="X180" s="9">
        <v>59.75</v>
      </c>
      <c r="Y180" s="9">
        <v>159717</v>
      </c>
      <c r="Z180" s="9">
        <v>24.7</v>
      </c>
    </row>
    <row r="181" spans="19:26" x14ac:dyDescent="0.2">
      <c r="S181" s="9" t="s">
        <v>224</v>
      </c>
      <c r="T181" s="9">
        <v>711</v>
      </c>
      <c r="U181" s="9">
        <v>12.7</v>
      </c>
      <c r="V181" s="9">
        <v>219</v>
      </c>
      <c r="W181" s="9">
        <v>279</v>
      </c>
      <c r="X181" s="9">
        <v>55.98</v>
      </c>
      <c r="Y181" s="9">
        <v>169877</v>
      </c>
      <c r="Z181" s="9">
        <v>24.7</v>
      </c>
    </row>
    <row r="182" spans="19:26" x14ac:dyDescent="0.2">
      <c r="S182" s="9" t="s">
        <v>225</v>
      </c>
      <c r="T182" s="9">
        <v>711</v>
      </c>
      <c r="U182" s="9">
        <v>14.3</v>
      </c>
      <c r="V182" s="9">
        <v>246</v>
      </c>
      <c r="W182" s="9">
        <v>313</v>
      </c>
      <c r="X182" s="9">
        <v>49.72</v>
      </c>
      <c r="Y182" s="9">
        <v>189984</v>
      </c>
      <c r="Z182" s="9">
        <v>24.6</v>
      </c>
    </row>
    <row r="183" spans="19:26" x14ac:dyDescent="0.2">
      <c r="S183" s="9" t="s">
        <v>226</v>
      </c>
      <c r="T183" s="9">
        <v>711</v>
      </c>
      <c r="U183" s="9">
        <v>15.9</v>
      </c>
      <c r="V183" s="9">
        <v>273</v>
      </c>
      <c r="W183" s="9">
        <v>347</v>
      </c>
      <c r="X183" s="9">
        <v>44.72</v>
      </c>
      <c r="Y183" s="9">
        <v>209810</v>
      </c>
      <c r="Z183" s="9">
        <v>24.6</v>
      </c>
    </row>
    <row r="184" spans="19:26" x14ac:dyDescent="0.2">
      <c r="S184" s="9" t="s">
        <v>227</v>
      </c>
      <c r="T184" s="9">
        <v>711</v>
      </c>
      <c r="U184" s="9">
        <v>17.5</v>
      </c>
      <c r="V184" s="9">
        <v>299</v>
      </c>
      <c r="W184" s="9">
        <v>381</v>
      </c>
      <c r="X184" s="9">
        <v>40.630000000000003</v>
      </c>
      <c r="Y184" s="9">
        <v>229358</v>
      </c>
      <c r="Z184" s="9">
        <v>24.5</v>
      </c>
    </row>
    <row r="185" spans="19:26" x14ac:dyDescent="0.2">
      <c r="S185" s="9" t="s">
        <v>228</v>
      </c>
      <c r="T185" s="9">
        <v>711</v>
      </c>
      <c r="U185" s="9">
        <v>19.100000000000001</v>
      </c>
      <c r="V185" s="9">
        <v>326</v>
      </c>
      <c r="W185" s="9">
        <v>415</v>
      </c>
      <c r="X185" s="9">
        <v>37.229999999999997</v>
      </c>
      <c r="Y185" s="9">
        <v>248630</v>
      </c>
      <c r="Z185" s="9">
        <v>24.5</v>
      </c>
    </row>
    <row r="186" spans="19:26" x14ac:dyDescent="0.2">
      <c r="S186" s="9" t="s">
        <v>229</v>
      </c>
      <c r="T186" s="9">
        <v>711</v>
      </c>
      <c r="U186" s="9">
        <v>20.6</v>
      </c>
      <c r="V186" s="9">
        <v>351</v>
      </c>
      <c r="W186" s="9">
        <v>447</v>
      </c>
      <c r="X186" s="9">
        <v>34.51</v>
      </c>
      <c r="Y186" s="9">
        <v>266450</v>
      </c>
      <c r="Z186" s="9">
        <v>24.4</v>
      </c>
    </row>
    <row r="187" spans="19:26" x14ac:dyDescent="0.2">
      <c r="S187" s="9" t="s">
        <v>230</v>
      </c>
      <c r="T187" s="9">
        <v>711</v>
      </c>
      <c r="U187" s="9">
        <v>22.2</v>
      </c>
      <c r="V187" s="9">
        <v>377</v>
      </c>
      <c r="W187" s="9">
        <v>480</v>
      </c>
      <c r="X187" s="9">
        <v>32.03</v>
      </c>
      <c r="Y187" s="9">
        <v>285196</v>
      </c>
      <c r="Z187" s="9">
        <v>24.4</v>
      </c>
    </row>
    <row r="188" spans="19:26" x14ac:dyDescent="0.2">
      <c r="S188" s="9" t="s">
        <v>231</v>
      </c>
      <c r="T188" s="9">
        <v>711</v>
      </c>
      <c r="U188" s="9">
        <v>23.8</v>
      </c>
      <c r="V188" s="9">
        <v>403</v>
      </c>
      <c r="W188" s="9">
        <v>514</v>
      </c>
      <c r="X188" s="9">
        <v>29.87</v>
      </c>
      <c r="Y188" s="9">
        <v>303674</v>
      </c>
      <c r="Z188" s="9">
        <v>24.3</v>
      </c>
    </row>
    <row r="189" spans="19:26" x14ac:dyDescent="0.2">
      <c r="S189" s="9" t="s">
        <v>232</v>
      </c>
      <c r="T189" s="9">
        <v>711</v>
      </c>
      <c r="U189" s="9">
        <v>25.4</v>
      </c>
      <c r="V189" s="9">
        <v>429</v>
      </c>
      <c r="W189" s="9">
        <v>547</v>
      </c>
      <c r="X189" s="9">
        <v>27.99</v>
      </c>
      <c r="Y189" s="9">
        <v>321886</v>
      </c>
      <c r="Z189" s="9">
        <v>24.3</v>
      </c>
    </row>
    <row r="190" spans="19:26" x14ac:dyDescent="0.2">
      <c r="S190" s="9" t="s">
        <v>233</v>
      </c>
      <c r="T190" s="9">
        <v>711</v>
      </c>
      <c r="U190" s="9">
        <v>28.6</v>
      </c>
      <c r="V190" s="9">
        <v>481</v>
      </c>
      <c r="W190" s="9">
        <v>613</v>
      </c>
      <c r="X190" s="9">
        <v>24.86</v>
      </c>
      <c r="Y190" s="9">
        <v>357524</v>
      </c>
      <c r="Z190" s="9">
        <v>24.1</v>
      </c>
    </row>
    <row r="191" spans="19:26" x14ac:dyDescent="0.2">
      <c r="S191" s="9" t="s">
        <v>234</v>
      </c>
      <c r="T191" s="9">
        <v>762</v>
      </c>
      <c r="U191" s="9">
        <v>6.4</v>
      </c>
      <c r="V191" s="9">
        <v>119</v>
      </c>
      <c r="W191" s="9">
        <v>152</v>
      </c>
      <c r="X191" s="9">
        <v>119.06</v>
      </c>
      <c r="Y191" s="9">
        <v>108429</v>
      </c>
      <c r="Z191" s="9">
        <v>26.7</v>
      </c>
    </row>
    <row r="192" spans="19:26" x14ac:dyDescent="0.2">
      <c r="S192" s="9" t="s">
        <v>235</v>
      </c>
      <c r="T192" s="9">
        <v>762</v>
      </c>
      <c r="U192" s="9">
        <v>7.9</v>
      </c>
      <c r="V192" s="9">
        <v>147</v>
      </c>
      <c r="W192" s="9">
        <v>187</v>
      </c>
      <c r="X192" s="9">
        <v>96.46</v>
      </c>
      <c r="Y192" s="9">
        <v>133052</v>
      </c>
      <c r="Z192" s="9">
        <v>26.7</v>
      </c>
    </row>
    <row r="193" spans="19:26" x14ac:dyDescent="0.2">
      <c r="S193" s="9" t="s">
        <v>236</v>
      </c>
      <c r="T193" s="9">
        <v>762</v>
      </c>
      <c r="U193" s="9">
        <v>8.6999999999999993</v>
      </c>
      <c r="V193" s="9">
        <v>162</v>
      </c>
      <c r="W193" s="9">
        <v>206</v>
      </c>
      <c r="X193" s="9">
        <v>87.59</v>
      </c>
      <c r="Y193" s="9">
        <v>146063</v>
      </c>
      <c r="Z193" s="9">
        <v>26.6</v>
      </c>
    </row>
    <row r="194" spans="19:26" x14ac:dyDescent="0.2">
      <c r="S194" s="9" t="s">
        <v>237</v>
      </c>
      <c r="T194" s="9">
        <v>762</v>
      </c>
      <c r="U194" s="9">
        <v>9.5</v>
      </c>
      <c r="V194" s="9">
        <v>176</v>
      </c>
      <c r="W194" s="9">
        <v>225</v>
      </c>
      <c r="X194" s="9">
        <v>80.209999999999994</v>
      </c>
      <c r="Y194" s="9">
        <v>158991</v>
      </c>
      <c r="Z194" s="9">
        <v>26.6</v>
      </c>
    </row>
    <row r="195" spans="19:26" x14ac:dyDescent="0.2">
      <c r="S195" s="9" t="s">
        <v>238</v>
      </c>
      <c r="T195" s="9">
        <v>762</v>
      </c>
      <c r="U195" s="9">
        <v>10.3</v>
      </c>
      <c r="V195" s="9">
        <v>191</v>
      </c>
      <c r="W195" s="9">
        <v>243</v>
      </c>
      <c r="X195" s="9">
        <v>73.98</v>
      </c>
      <c r="Y195" s="9">
        <v>171835</v>
      </c>
      <c r="Z195" s="9">
        <v>26.6</v>
      </c>
    </row>
    <row r="196" spans="19:26" x14ac:dyDescent="0.2">
      <c r="S196" s="9" t="s">
        <v>239</v>
      </c>
      <c r="T196" s="9">
        <v>762</v>
      </c>
      <c r="U196" s="9">
        <v>11.1</v>
      </c>
      <c r="V196" s="9">
        <v>206</v>
      </c>
      <c r="W196" s="9">
        <v>262</v>
      </c>
      <c r="X196" s="9">
        <v>68.650000000000006</v>
      </c>
      <c r="Y196" s="9">
        <v>184597</v>
      </c>
      <c r="Z196" s="9">
        <v>26.6</v>
      </c>
    </row>
    <row r="197" spans="19:26" x14ac:dyDescent="0.2">
      <c r="S197" s="9" t="s">
        <v>240</v>
      </c>
      <c r="T197" s="9">
        <v>762</v>
      </c>
      <c r="U197" s="9">
        <v>11.9</v>
      </c>
      <c r="V197" s="9">
        <v>220</v>
      </c>
      <c r="W197" s="9">
        <v>280</v>
      </c>
      <c r="X197" s="9">
        <v>64.03</v>
      </c>
      <c r="Y197" s="9">
        <v>197276</v>
      </c>
      <c r="Z197" s="9">
        <v>26.5</v>
      </c>
    </row>
    <row r="198" spans="19:26" x14ac:dyDescent="0.2">
      <c r="S198" s="9" t="s">
        <v>241</v>
      </c>
      <c r="T198" s="9">
        <v>762</v>
      </c>
      <c r="U198" s="9">
        <v>12.7</v>
      </c>
      <c r="V198" s="9">
        <v>235</v>
      </c>
      <c r="W198" s="9">
        <v>299</v>
      </c>
      <c r="X198" s="9">
        <v>60</v>
      </c>
      <c r="Y198" s="9">
        <v>209873</v>
      </c>
      <c r="Z198" s="9">
        <v>26.5</v>
      </c>
    </row>
    <row r="199" spans="19:26" x14ac:dyDescent="0.2">
      <c r="S199" s="9" t="s">
        <v>242</v>
      </c>
      <c r="T199" s="9">
        <v>762</v>
      </c>
      <c r="U199" s="9">
        <v>14.3</v>
      </c>
      <c r="V199" s="9">
        <v>264</v>
      </c>
      <c r="W199" s="9">
        <v>336</v>
      </c>
      <c r="X199" s="9">
        <v>53.29</v>
      </c>
      <c r="Y199" s="9">
        <v>234821</v>
      </c>
      <c r="Z199" s="9">
        <v>26.4</v>
      </c>
    </row>
    <row r="200" spans="19:26" x14ac:dyDescent="0.2">
      <c r="S200" s="9" t="s">
        <v>243</v>
      </c>
      <c r="T200" s="9">
        <v>762</v>
      </c>
      <c r="U200" s="9">
        <v>15.9</v>
      </c>
      <c r="V200" s="9">
        <v>293</v>
      </c>
      <c r="W200" s="9">
        <v>373</v>
      </c>
      <c r="X200" s="9">
        <v>47.92</v>
      </c>
      <c r="Y200" s="9">
        <v>259445</v>
      </c>
      <c r="Z200" s="9">
        <v>26.4</v>
      </c>
    </row>
    <row r="201" spans="19:26" x14ac:dyDescent="0.2">
      <c r="S201" s="9" t="s">
        <v>244</v>
      </c>
      <c r="T201" s="9">
        <v>762</v>
      </c>
      <c r="U201" s="9">
        <v>17.5</v>
      </c>
      <c r="V201" s="9">
        <v>321</v>
      </c>
      <c r="W201" s="9">
        <v>409</v>
      </c>
      <c r="X201" s="9">
        <v>43.54</v>
      </c>
      <c r="Y201" s="9">
        <v>283747</v>
      </c>
      <c r="Z201" s="9">
        <v>26.3</v>
      </c>
    </row>
    <row r="202" spans="19:26" x14ac:dyDescent="0.2">
      <c r="S202" s="9" t="s">
        <v>245</v>
      </c>
      <c r="T202" s="9">
        <v>762</v>
      </c>
      <c r="U202" s="9">
        <v>19.100000000000001</v>
      </c>
      <c r="V202" s="9">
        <v>350</v>
      </c>
      <c r="W202" s="9">
        <v>446</v>
      </c>
      <c r="X202" s="9">
        <v>39.9</v>
      </c>
      <c r="Y202" s="9">
        <v>307731</v>
      </c>
      <c r="Z202" s="9">
        <v>26.3</v>
      </c>
    </row>
    <row r="203" spans="19:26" x14ac:dyDescent="0.2">
      <c r="S203" s="9" t="s">
        <v>246</v>
      </c>
      <c r="T203" s="9">
        <v>762</v>
      </c>
      <c r="U203" s="9">
        <v>20.6</v>
      </c>
      <c r="V203" s="9">
        <v>377</v>
      </c>
      <c r="W203" s="9">
        <v>480</v>
      </c>
      <c r="X203" s="9">
        <v>36.99</v>
      </c>
      <c r="Y203" s="9">
        <v>329929</v>
      </c>
      <c r="Z203" s="9">
        <v>26.2</v>
      </c>
    </row>
    <row r="204" spans="19:26" x14ac:dyDescent="0.2">
      <c r="S204" s="9" t="s">
        <v>247</v>
      </c>
      <c r="T204" s="9">
        <v>762</v>
      </c>
      <c r="U204" s="9">
        <v>22.2</v>
      </c>
      <c r="V204" s="9">
        <v>405</v>
      </c>
      <c r="W204" s="9">
        <v>516</v>
      </c>
      <c r="X204" s="9">
        <v>34.32</v>
      </c>
      <c r="Y204" s="9">
        <v>353303</v>
      </c>
      <c r="Z204" s="9">
        <v>26.2</v>
      </c>
    </row>
    <row r="205" spans="19:26" x14ac:dyDescent="0.2">
      <c r="S205" s="9" t="s">
        <v>248</v>
      </c>
      <c r="T205" s="9">
        <v>762</v>
      </c>
      <c r="U205" s="9">
        <v>23.8</v>
      </c>
      <c r="V205" s="9">
        <v>433</v>
      </c>
      <c r="W205" s="9">
        <v>552</v>
      </c>
      <c r="X205" s="9">
        <v>32.020000000000003</v>
      </c>
      <c r="Y205" s="9">
        <v>376366</v>
      </c>
      <c r="Z205" s="9">
        <v>26.1</v>
      </c>
    </row>
    <row r="206" spans="19:26" x14ac:dyDescent="0.2">
      <c r="S206" s="9" t="s">
        <v>249</v>
      </c>
      <c r="T206" s="9">
        <v>762</v>
      </c>
      <c r="U206" s="9">
        <v>25.4</v>
      </c>
      <c r="V206" s="9">
        <v>461</v>
      </c>
      <c r="W206" s="9">
        <v>588</v>
      </c>
      <c r="X206" s="9">
        <v>30</v>
      </c>
      <c r="Y206" s="9">
        <v>399121</v>
      </c>
      <c r="Z206" s="9">
        <v>26.1</v>
      </c>
    </row>
    <row r="207" spans="19:26" x14ac:dyDescent="0.2">
      <c r="S207" s="9" t="s">
        <v>250</v>
      </c>
      <c r="T207" s="9">
        <v>762</v>
      </c>
      <c r="U207" s="9">
        <v>27</v>
      </c>
      <c r="V207" s="9">
        <v>489</v>
      </c>
      <c r="W207" s="9">
        <v>623</v>
      </c>
      <c r="X207" s="9">
        <v>28.22</v>
      </c>
      <c r="Y207" s="9">
        <v>421572</v>
      </c>
      <c r="Z207" s="9">
        <v>26</v>
      </c>
    </row>
    <row r="208" spans="19:26" x14ac:dyDescent="0.2">
      <c r="S208" s="9" t="s">
        <v>251</v>
      </c>
      <c r="T208" s="9">
        <v>762</v>
      </c>
      <c r="U208" s="9">
        <v>28.6</v>
      </c>
      <c r="V208" s="9">
        <v>517</v>
      </c>
      <c r="W208" s="9">
        <v>659</v>
      </c>
      <c r="X208" s="9">
        <v>26.64</v>
      </c>
      <c r="Y208" s="9">
        <v>443720</v>
      </c>
      <c r="Z208" s="9">
        <v>25.9</v>
      </c>
    </row>
    <row r="209" spans="19:26" x14ac:dyDescent="0.2">
      <c r="S209" s="9" t="s">
        <v>252</v>
      </c>
      <c r="T209" s="9">
        <v>813</v>
      </c>
      <c r="U209" s="9">
        <v>7.9</v>
      </c>
      <c r="V209" s="9">
        <v>157</v>
      </c>
      <c r="W209" s="9">
        <v>200</v>
      </c>
      <c r="X209" s="9">
        <v>102.91</v>
      </c>
      <c r="Y209" s="9">
        <v>161912</v>
      </c>
      <c r="Z209" s="9">
        <v>28.5</v>
      </c>
    </row>
    <row r="210" spans="19:26" x14ac:dyDescent="0.2">
      <c r="S210" s="9" t="s">
        <v>253</v>
      </c>
      <c r="T210" s="9">
        <v>813</v>
      </c>
      <c r="U210" s="9">
        <v>8.6999999999999993</v>
      </c>
      <c r="V210" s="9">
        <v>173</v>
      </c>
      <c r="W210" s="9">
        <v>220</v>
      </c>
      <c r="X210" s="9">
        <v>93.45</v>
      </c>
      <c r="Y210" s="9">
        <v>177781</v>
      </c>
      <c r="Z210" s="9">
        <v>28.4</v>
      </c>
    </row>
    <row r="211" spans="19:26" x14ac:dyDescent="0.2">
      <c r="S211" s="9" t="s">
        <v>254</v>
      </c>
      <c r="T211" s="9">
        <v>813</v>
      </c>
      <c r="U211" s="9">
        <v>9.5</v>
      </c>
      <c r="V211" s="9">
        <v>188</v>
      </c>
      <c r="W211" s="9">
        <v>240</v>
      </c>
      <c r="X211" s="9">
        <v>85.58</v>
      </c>
      <c r="Y211" s="9">
        <v>193554</v>
      </c>
      <c r="Z211" s="9">
        <v>28.4</v>
      </c>
    </row>
    <row r="212" spans="19:26" x14ac:dyDescent="0.2">
      <c r="S212" s="9" t="s">
        <v>255</v>
      </c>
      <c r="T212" s="9">
        <v>813</v>
      </c>
      <c r="U212" s="9">
        <v>10.3</v>
      </c>
      <c r="V212" s="9">
        <v>204</v>
      </c>
      <c r="W212" s="9">
        <v>260</v>
      </c>
      <c r="X212" s="9">
        <v>78.930000000000007</v>
      </c>
      <c r="Y212" s="9">
        <v>209232</v>
      </c>
      <c r="Z212" s="9">
        <v>28.4</v>
      </c>
    </row>
    <row r="213" spans="19:26" x14ac:dyDescent="0.2">
      <c r="S213" s="9" t="s">
        <v>256</v>
      </c>
      <c r="T213" s="9">
        <v>813</v>
      </c>
      <c r="U213" s="9">
        <v>11.1</v>
      </c>
      <c r="V213" s="9">
        <v>220</v>
      </c>
      <c r="W213" s="9">
        <v>280</v>
      </c>
      <c r="X213" s="9">
        <v>73.239999999999995</v>
      </c>
      <c r="Y213" s="9">
        <v>224816</v>
      </c>
      <c r="Z213" s="9">
        <v>28.4</v>
      </c>
    </row>
    <row r="214" spans="19:26" x14ac:dyDescent="0.2">
      <c r="S214" s="9" t="s">
        <v>257</v>
      </c>
      <c r="T214" s="9">
        <v>813</v>
      </c>
      <c r="U214" s="9">
        <v>11.9</v>
      </c>
      <c r="V214" s="9">
        <v>235</v>
      </c>
      <c r="W214" s="9">
        <v>299</v>
      </c>
      <c r="X214" s="9">
        <v>68.319999999999993</v>
      </c>
      <c r="Y214" s="9">
        <v>240305</v>
      </c>
      <c r="Z214" s="9">
        <v>28.3</v>
      </c>
    </row>
    <row r="215" spans="19:26" x14ac:dyDescent="0.2">
      <c r="S215" s="9" t="s">
        <v>258</v>
      </c>
      <c r="T215" s="9">
        <v>813</v>
      </c>
      <c r="U215" s="9">
        <v>12.7</v>
      </c>
      <c r="V215" s="9">
        <v>251</v>
      </c>
      <c r="W215" s="9">
        <v>319</v>
      </c>
      <c r="X215" s="9">
        <v>64.02</v>
      </c>
      <c r="Y215" s="9">
        <v>255700</v>
      </c>
      <c r="Z215" s="9">
        <v>28.3</v>
      </c>
    </row>
    <row r="216" spans="19:26" x14ac:dyDescent="0.2">
      <c r="S216" s="9" t="s">
        <v>259</v>
      </c>
      <c r="T216" s="9">
        <v>813</v>
      </c>
      <c r="U216" s="9">
        <v>14.3</v>
      </c>
      <c r="V216" s="9">
        <v>282</v>
      </c>
      <c r="W216" s="9">
        <v>359</v>
      </c>
      <c r="X216" s="9">
        <v>56.85</v>
      </c>
      <c r="Y216" s="9">
        <v>286211</v>
      </c>
      <c r="Z216" s="9">
        <v>28.2</v>
      </c>
    </row>
    <row r="217" spans="19:26" x14ac:dyDescent="0.2">
      <c r="S217" s="9" t="s">
        <v>260</v>
      </c>
      <c r="T217" s="9">
        <v>813</v>
      </c>
      <c r="U217" s="9">
        <v>15.9</v>
      </c>
      <c r="V217" s="9">
        <v>313</v>
      </c>
      <c r="W217" s="9">
        <v>398</v>
      </c>
      <c r="X217" s="9">
        <v>51.13</v>
      </c>
      <c r="Y217" s="9">
        <v>316350</v>
      </c>
      <c r="Z217" s="9">
        <v>28.2</v>
      </c>
    </row>
    <row r="218" spans="19:26" x14ac:dyDescent="0.2">
      <c r="S218" s="9" t="s">
        <v>261</v>
      </c>
      <c r="T218" s="9">
        <v>813</v>
      </c>
      <c r="U218" s="9">
        <v>17.5</v>
      </c>
      <c r="V218" s="9">
        <v>343</v>
      </c>
      <c r="W218" s="9">
        <v>437</v>
      </c>
      <c r="X218" s="9">
        <v>46.46</v>
      </c>
      <c r="Y218" s="9">
        <v>346122</v>
      </c>
      <c r="Z218" s="9">
        <v>28.1</v>
      </c>
    </row>
    <row r="219" spans="19:26" x14ac:dyDescent="0.2">
      <c r="S219" s="9" t="s">
        <v>262</v>
      </c>
      <c r="T219" s="9">
        <v>813</v>
      </c>
      <c r="U219" s="9">
        <v>19.100000000000001</v>
      </c>
      <c r="V219" s="9">
        <v>374</v>
      </c>
      <c r="W219" s="9">
        <v>476</v>
      </c>
      <c r="X219" s="9">
        <v>42.57</v>
      </c>
      <c r="Y219" s="9">
        <v>375528</v>
      </c>
      <c r="Z219" s="9">
        <v>28.1</v>
      </c>
    </row>
    <row r="220" spans="19:26" x14ac:dyDescent="0.2">
      <c r="S220" s="9" t="s">
        <v>263</v>
      </c>
      <c r="T220" s="9">
        <v>813</v>
      </c>
      <c r="U220" s="9">
        <v>20.6</v>
      </c>
      <c r="V220" s="9">
        <v>403</v>
      </c>
      <c r="W220" s="9">
        <v>513</v>
      </c>
      <c r="X220" s="9">
        <v>39.47</v>
      </c>
      <c r="Y220" s="9">
        <v>402767</v>
      </c>
      <c r="Z220" s="9">
        <v>28</v>
      </c>
    </row>
    <row r="221" spans="19:26" x14ac:dyDescent="0.2">
      <c r="S221" s="9" t="s">
        <v>264</v>
      </c>
      <c r="T221" s="9">
        <v>813</v>
      </c>
      <c r="U221" s="9">
        <v>22.2</v>
      </c>
      <c r="V221" s="9">
        <v>433</v>
      </c>
      <c r="W221" s="9">
        <v>552</v>
      </c>
      <c r="X221" s="9">
        <v>36.619999999999997</v>
      </c>
      <c r="Y221" s="9">
        <v>431474</v>
      </c>
      <c r="Z221" s="9">
        <v>28</v>
      </c>
    </row>
    <row r="222" spans="19:26" x14ac:dyDescent="0.2">
      <c r="S222" s="9" t="s">
        <v>265</v>
      </c>
      <c r="T222" s="9">
        <v>813</v>
      </c>
      <c r="U222" s="9">
        <v>23.8</v>
      </c>
      <c r="V222" s="9">
        <v>463</v>
      </c>
      <c r="W222" s="9">
        <v>590</v>
      </c>
      <c r="X222" s="9">
        <v>34.159999999999997</v>
      </c>
      <c r="Y222" s="9">
        <v>459825</v>
      </c>
      <c r="Z222" s="9">
        <v>27.9</v>
      </c>
    </row>
    <row r="223" spans="19:26" x14ac:dyDescent="0.2">
      <c r="S223" s="9" t="s">
        <v>266</v>
      </c>
      <c r="T223" s="9">
        <v>813</v>
      </c>
      <c r="U223" s="9">
        <v>25.4</v>
      </c>
      <c r="V223" s="9">
        <v>493</v>
      </c>
      <c r="W223" s="9">
        <v>628</v>
      </c>
      <c r="X223" s="9">
        <v>32.01</v>
      </c>
      <c r="Y223" s="9">
        <v>487823</v>
      </c>
      <c r="Z223" s="9">
        <v>27.9</v>
      </c>
    </row>
    <row r="224" spans="19:26" x14ac:dyDescent="0.2">
      <c r="S224" s="9" t="s">
        <v>267</v>
      </c>
      <c r="T224" s="9">
        <v>813</v>
      </c>
      <c r="U224" s="9">
        <v>27</v>
      </c>
      <c r="V224" s="9">
        <v>523</v>
      </c>
      <c r="W224" s="9">
        <v>667</v>
      </c>
      <c r="X224" s="9">
        <v>30.11</v>
      </c>
      <c r="Y224" s="9">
        <v>515470</v>
      </c>
      <c r="Z224" s="9">
        <v>27.8</v>
      </c>
    </row>
    <row r="225" spans="19:26" x14ac:dyDescent="0.2">
      <c r="S225" s="9" t="s">
        <v>268</v>
      </c>
      <c r="T225" s="9">
        <v>813</v>
      </c>
      <c r="U225" s="9">
        <v>28.6</v>
      </c>
      <c r="V225" s="9">
        <v>553</v>
      </c>
      <c r="W225" s="9">
        <v>705</v>
      </c>
      <c r="X225" s="9">
        <v>28.43</v>
      </c>
      <c r="Y225" s="9">
        <v>542770</v>
      </c>
      <c r="Z225" s="9">
        <v>27.8</v>
      </c>
    </row>
    <row r="226" spans="19:26" x14ac:dyDescent="0.2">
      <c r="S226" s="9" t="s">
        <v>269</v>
      </c>
      <c r="T226" s="9">
        <v>864</v>
      </c>
      <c r="U226" s="9">
        <v>7.9</v>
      </c>
      <c r="V226" s="9">
        <v>167</v>
      </c>
      <c r="W226" s="9">
        <v>212</v>
      </c>
      <c r="X226" s="9">
        <v>109.37</v>
      </c>
      <c r="Y226" s="9">
        <v>194669</v>
      </c>
      <c r="Z226" s="9">
        <v>30.3</v>
      </c>
    </row>
    <row r="227" spans="19:26" x14ac:dyDescent="0.2">
      <c r="S227" s="9" t="s">
        <v>270</v>
      </c>
      <c r="T227" s="9">
        <v>864</v>
      </c>
      <c r="U227" s="9">
        <v>8.6999999999999993</v>
      </c>
      <c r="V227" s="9">
        <v>184</v>
      </c>
      <c r="W227" s="9">
        <v>234</v>
      </c>
      <c r="X227" s="9">
        <v>99.31</v>
      </c>
      <c r="Y227" s="9">
        <v>213786</v>
      </c>
      <c r="Z227" s="9">
        <v>30.2</v>
      </c>
    </row>
    <row r="228" spans="19:26" x14ac:dyDescent="0.2">
      <c r="S228" s="9" t="s">
        <v>271</v>
      </c>
      <c r="T228" s="9">
        <v>864</v>
      </c>
      <c r="U228" s="9">
        <v>9.5</v>
      </c>
      <c r="V228" s="9">
        <v>200</v>
      </c>
      <c r="W228" s="9">
        <v>255</v>
      </c>
      <c r="X228" s="9">
        <v>90.95</v>
      </c>
      <c r="Y228" s="9">
        <v>232795</v>
      </c>
      <c r="Z228" s="9">
        <v>30.2</v>
      </c>
    </row>
    <row r="229" spans="19:26" x14ac:dyDescent="0.2">
      <c r="S229" s="9" t="s">
        <v>272</v>
      </c>
      <c r="T229" s="9">
        <v>864</v>
      </c>
      <c r="U229" s="9">
        <v>10.3</v>
      </c>
      <c r="V229" s="9">
        <v>217</v>
      </c>
      <c r="W229" s="9">
        <v>276</v>
      </c>
      <c r="X229" s="9">
        <v>83.88</v>
      </c>
      <c r="Y229" s="9">
        <v>251696</v>
      </c>
      <c r="Z229" s="9">
        <v>30.2</v>
      </c>
    </row>
    <row r="230" spans="19:26" x14ac:dyDescent="0.2">
      <c r="S230" s="9" t="s">
        <v>273</v>
      </c>
      <c r="T230" s="9">
        <v>864</v>
      </c>
      <c r="U230" s="9">
        <v>11.1</v>
      </c>
      <c r="V230" s="9">
        <v>233</v>
      </c>
      <c r="W230" s="9">
        <v>297</v>
      </c>
      <c r="X230" s="9">
        <v>77.84</v>
      </c>
      <c r="Y230" s="9">
        <v>270490</v>
      </c>
      <c r="Z230" s="9">
        <v>30.2</v>
      </c>
    </row>
    <row r="231" spans="19:26" x14ac:dyDescent="0.2">
      <c r="S231" s="9" t="s">
        <v>274</v>
      </c>
      <c r="T231" s="9">
        <v>864</v>
      </c>
      <c r="U231" s="9">
        <v>11.9</v>
      </c>
      <c r="V231" s="9">
        <v>250</v>
      </c>
      <c r="W231" s="9">
        <v>319</v>
      </c>
      <c r="X231" s="9">
        <v>72.61</v>
      </c>
      <c r="Y231" s="9">
        <v>289177</v>
      </c>
      <c r="Z231" s="9">
        <v>30.1</v>
      </c>
    </row>
    <row r="232" spans="19:26" x14ac:dyDescent="0.2">
      <c r="S232" s="9" t="s">
        <v>275</v>
      </c>
      <c r="T232" s="9">
        <v>864</v>
      </c>
      <c r="U232" s="9">
        <v>12.7</v>
      </c>
      <c r="V232" s="9">
        <v>267</v>
      </c>
      <c r="W232" s="9">
        <v>340</v>
      </c>
      <c r="X232" s="9">
        <v>68.03</v>
      </c>
      <c r="Y232" s="9">
        <v>307757</v>
      </c>
      <c r="Z232" s="9">
        <v>30.1</v>
      </c>
    </row>
    <row r="233" spans="19:26" x14ac:dyDescent="0.2">
      <c r="S233" s="9" t="s">
        <v>276</v>
      </c>
      <c r="T233" s="9">
        <v>864</v>
      </c>
      <c r="U233" s="9">
        <v>14.3</v>
      </c>
      <c r="V233" s="9">
        <v>300</v>
      </c>
      <c r="W233" s="9">
        <v>382</v>
      </c>
      <c r="X233" s="9">
        <v>60.42</v>
      </c>
      <c r="Y233" s="9">
        <v>344600</v>
      </c>
      <c r="Z233" s="9">
        <v>30</v>
      </c>
    </row>
    <row r="234" spans="19:26" x14ac:dyDescent="0.2">
      <c r="S234" s="9" t="s">
        <v>277</v>
      </c>
      <c r="T234" s="9">
        <v>864</v>
      </c>
      <c r="U234" s="9">
        <v>15.9</v>
      </c>
      <c r="V234" s="9">
        <v>333</v>
      </c>
      <c r="W234" s="9">
        <v>424</v>
      </c>
      <c r="X234" s="9">
        <v>54.34</v>
      </c>
      <c r="Y234" s="9">
        <v>381023</v>
      </c>
      <c r="Z234" s="9">
        <v>30</v>
      </c>
    </row>
    <row r="235" spans="19:26" x14ac:dyDescent="0.2">
      <c r="S235" s="9" t="s">
        <v>278</v>
      </c>
      <c r="T235" s="9">
        <v>864</v>
      </c>
      <c r="U235" s="9">
        <v>17.5</v>
      </c>
      <c r="V235" s="9">
        <v>365</v>
      </c>
      <c r="W235" s="9">
        <v>465</v>
      </c>
      <c r="X235" s="9">
        <v>49.37</v>
      </c>
      <c r="Y235" s="9">
        <v>417027</v>
      </c>
      <c r="Z235" s="9">
        <v>29.9</v>
      </c>
    </row>
    <row r="236" spans="19:26" x14ac:dyDescent="0.2">
      <c r="S236" s="9" t="s">
        <v>279</v>
      </c>
      <c r="T236" s="9">
        <v>864</v>
      </c>
      <c r="U236" s="9">
        <v>19.100000000000001</v>
      </c>
      <c r="V236" s="9">
        <v>398</v>
      </c>
      <c r="W236" s="9">
        <v>507</v>
      </c>
      <c r="X236" s="9">
        <v>45.24</v>
      </c>
      <c r="Y236" s="9">
        <v>452617</v>
      </c>
      <c r="Z236" s="9">
        <v>29.9</v>
      </c>
    </row>
    <row r="237" spans="19:26" x14ac:dyDescent="0.2">
      <c r="S237" s="9" t="s">
        <v>280</v>
      </c>
      <c r="T237" s="9">
        <v>864</v>
      </c>
      <c r="U237" s="9">
        <v>20.6</v>
      </c>
      <c r="V237" s="9">
        <v>428</v>
      </c>
      <c r="W237" s="9">
        <v>546</v>
      </c>
      <c r="X237" s="9">
        <v>41.94</v>
      </c>
      <c r="Y237" s="9">
        <v>485609</v>
      </c>
      <c r="Z237" s="9">
        <v>29.8</v>
      </c>
    </row>
    <row r="238" spans="19:26" x14ac:dyDescent="0.2">
      <c r="S238" s="9" t="s">
        <v>281</v>
      </c>
      <c r="T238" s="9">
        <v>864</v>
      </c>
      <c r="U238" s="9">
        <v>22.2</v>
      </c>
      <c r="V238" s="9">
        <v>461</v>
      </c>
      <c r="W238" s="9">
        <v>587</v>
      </c>
      <c r="X238" s="9">
        <v>38.92</v>
      </c>
      <c r="Y238" s="9">
        <v>520405</v>
      </c>
      <c r="Z238" s="9">
        <v>29.8</v>
      </c>
    </row>
    <row r="239" spans="19:26" x14ac:dyDescent="0.2">
      <c r="S239" s="9" t="s">
        <v>282</v>
      </c>
      <c r="T239" s="9">
        <v>864</v>
      </c>
      <c r="U239" s="9">
        <v>23.8</v>
      </c>
      <c r="V239" s="9">
        <v>493</v>
      </c>
      <c r="W239" s="9">
        <v>628</v>
      </c>
      <c r="X239" s="9">
        <v>36.299999999999997</v>
      </c>
      <c r="Y239" s="9">
        <v>554796</v>
      </c>
      <c r="Z239" s="9">
        <v>29.7</v>
      </c>
    </row>
    <row r="240" spans="19:26" x14ac:dyDescent="0.2">
      <c r="S240" s="9" t="s">
        <v>283</v>
      </c>
      <c r="T240" s="9">
        <v>864</v>
      </c>
      <c r="U240" s="9">
        <v>25.4</v>
      </c>
      <c r="V240" s="9">
        <v>525</v>
      </c>
      <c r="W240" s="9">
        <v>669</v>
      </c>
      <c r="X240" s="9">
        <v>34.020000000000003</v>
      </c>
      <c r="Y240" s="9">
        <v>588785</v>
      </c>
      <c r="Z240" s="9">
        <v>29.7</v>
      </c>
    </row>
    <row r="241" spans="19:26" x14ac:dyDescent="0.2">
      <c r="S241" s="9" t="s">
        <v>284</v>
      </c>
      <c r="T241" s="9">
        <v>864</v>
      </c>
      <c r="U241" s="9">
        <v>27</v>
      </c>
      <c r="V241" s="9">
        <v>557</v>
      </c>
      <c r="W241" s="9">
        <v>710</v>
      </c>
      <c r="X241" s="9">
        <v>32</v>
      </c>
      <c r="Y241" s="9">
        <v>622374</v>
      </c>
      <c r="Z241" s="9">
        <v>29.6</v>
      </c>
    </row>
    <row r="242" spans="19:26" x14ac:dyDescent="0.2">
      <c r="S242" s="9" t="s">
        <v>285</v>
      </c>
      <c r="T242" s="9">
        <v>864</v>
      </c>
      <c r="U242" s="9">
        <v>28.6</v>
      </c>
      <c r="V242" s="9">
        <v>589</v>
      </c>
      <c r="W242" s="9">
        <v>751</v>
      </c>
      <c r="X242" s="9">
        <v>30.21</v>
      </c>
      <c r="Y242" s="9">
        <v>655568</v>
      </c>
      <c r="Z242" s="9">
        <v>29.6</v>
      </c>
    </row>
    <row r="243" spans="19:26" x14ac:dyDescent="0.2">
      <c r="S243" s="9" t="s">
        <v>286</v>
      </c>
      <c r="T243" s="9">
        <v>914</v>
      </c>
      <c r="U243" s="9">
        <v>7.9</v>
      </c>
      <c r="V243" s="9">
        <v>177</v>
      </c>
      <c r="W243" s="9">
        <v>225</v>
      </c>
      <c r="X243" s="9">
        <v>115.7</v>
      </c>
      <c r="Y243" s="9">
        <v>230807</v>
      </c>
      <c r="Z243" s="9">
        <v>32</v>
      </c>
    </row>
    <row r="244" spans="19:26" x14ac:dyDescent="0.2">
      <c r="S244" s="9" t="s">
        <v>287</v>
      </c>
      <c r="T244" s="9">
        <v>914</v>
      </c>
      <c r="U244" s="9">
        <v>8.6999999999999993</v>
      </c>
      <c r="V244" s="9">
        <v>194</v>
      </c>
      <c r="W244" s="9">
        <v>247</v>
      </c>
      <c r="X244" s="9">
        <v>105.06</v>
      </c>
      <c r="Y244" s="9">
        <v>253511</v>
      </c>
      <c r="Z244" s="9">
        <v>32</v>
      </c>
    </row>
    <row r="245" spans="19:26" x14ac:dyDescent="0.2">
      <c r="S245" s="9" t="s">
        <v>288</v>
      </c>
      <c r="T245" s="9">
        <v>914</v>
      </c>
      <c r="U245" s="9">
        <v>9.5</v>
      </c>
      <c r="V245" s="9">
        <v>212</v>
      </c>
      <c r="W245" s="9">
        <v>270</v>
      </c>
      <c r="X245" s="9">
        <v>96.21</v>
      </c>
      <c r="Y245" s="9">
        <v>276094</v>
      </c>
      <c r="Z245" s="9">
        <v>32</v>
      </c>
    </row>
    <row r="246" spans="19:26" x14ac:dyDescent="0.2">
      <c r="S246" s="9" t="s">
        <v>289</v>
      </c>
      <c r="T246" s="9">
        <v>914</v>
      </c>
      <c r="U246" s="9">
        <v>10.3</v>
      </c>
      <c r="V246" s="9">
        <v>230</v>
      </c>
      <c r="W246" s="9">
        <v>292</v>
      </c>
      <c r="X246" s="9">
        <v>88.74</v>
      </c>
      <c r="Y246" s="9">
        <v>298556</v>
      </c>
      <c r="Z246" s="9">
        <v>32</v>
      </c>
    </row>
    <row r="247" spans="19:26" x14ac:dyDescent="0.2">
      <c r="S247" s="9" t="s">
        <v>290</v>
      </c>
      <c r="T247" s="9">
        <v>914</v>
      </c>
      <c r="U247" s="9">
        <v>11.1</v>
      </c>
      <c r="V247" s="9">
        <v>247</v>
      </c>
      <c r="W247" s="9">
        <v>315</v>
      </c>
      <c r="X247" s="9">
        <v>82.34</v>
      </c>
      <c r="Y247" s="9">
        <v>320898</v>
      </c>
      <c r="Z247" s="9">
        <v>31.9</v>
      </c>
    </row>
    <row r="248" spans="19:26" x14ac:dyDescent="0.2">
      <c r="S248" s="9" t="s">
        <v>291</v>
      </c>
      <c r="T248" s="9">
        <v>914</v>
      </c>
      <c r="U248" s="9">
        <v>11.9</v>
      </c>
      <c r="V248" s="9">
        <v>265</v>
      </c>
      <c r="W248" s="9">
        <v>337</v>
      </c>
      <c r="X248" s="9">
        <v>76.81</v>
      </c>
      <c r="Y248" s="9">
        <v>343120</v>
      </c>
      <c r="Z248" s="9">
        <v>31.9</v>
      </c>
    </row>
    <row r="249" spans="19:26" x14ac:dyDescent="0.2">
      <c r="S249" s="9" t="s">
        <v>292</v>
      </c>
      <c r="T249" s="9">
        <v>914</v>
      </c>
      <c r="U249" s="9">
        <v>12.7</v>
      </c>
      <c r="V249" s="9">
        <v>282</v>
      </c>
      <c r="W249" s="9">
        <v>360</v>
      </c>
      <c r="X249" s="9">
        <v>71.97</v>
      </c>
      <c r="Y249" s="9">
        <v>365223</v>
      </c>
      <c r="Z249" s="9">
        <v>31.9</v>
      </c>
    </row>
    <row r="250" spans="19:26" x14ac:dyDescent="0.2">
      <c r="S250" s="9" t="s">
        <v>293</v>
      </c>
      <c r="T250" s="9">
        <v>914</v>
      </c>
      <c r="U250" s="9">
        <v>14.3</v>
      </c>
      <c r="V250" s="9">
        <v>317</v>
      </c>
      <c r="W250" s="9">
        <v>404</v>
      </c>
      <c r="X250" s="9">
        <v>63.92</v>
      </c>
      <c r="Y250" s="9">
        <v>409071</v>
      </c>
      <c r="Z250" s="9">
        <v>31.8</v>
      </c>
    </row>
    <row r="251" spans="19:26" x14ac:dyDescent="0.2">
      <c r="S251" s="9" t="s">
        <v>294</v>
      </c>
      <c r="T251" s="9">
        <v>914</v>
      </c>
      <c r="U251" s="9">
        <v>15.9</v>
      </c>
      <c r="V251" s="9">
        <v>352</v>
      </c>
      <c r="W251" s="9">
        <v>449</v>
      </c>
      <c r="X251" s="9">
        <v>57.48</v>
      </c>
      <c r="Y251" s="9">
        <v>452446</v>
      </c>
      <c r="Z251" s="9">
        <v>31.8</v>
      </c>
    </row>
    <row r="252" spans="19:26" x14ac:dyDescent="0.2">
      <c r="S252" s="9" t="s">
        <v>295</v>
      </c>
      <c r="T252" s="9">
        <v>914</v>
      </c>
      <c r="U252" s="9">
        <v>17.5</v>
      </c>
      <c r="V252" s="9">
        <v>387</v>
      </c>
      <c r="W252" s="9">
        <v>493</v>
      </c>
      <c r="X252" s="9">
        <v>52.23</v>
      </c>
      <c r="Y252" s="9">
        <v>495352</v>
      </c>
      <c r="Z252" s="9">
        <v>31.7</v>
      </c>
    </row>
    <row r="253" spans="19:26" x14ac:dyDescent="0.2">
      <c r="S253" s="9" t="s">
        <v>296</v>
      </c>
      <c r="T253" s="9">
        <v>914</v>
      </c>
      <c r="U253" s="9">
        <v>19.100000000000001</v>
      </c>
      <c r="V253" s="9">
        <v>422</v>
      </c>
      <c r="W253" s="9">
        <v>537</v>
      </c>
      <c r="X253" s="9">
        <v>47.85</v>
      </c>
      <c r="Y253" s="9">
        <v>537792</v>
      </c>
      <c r="Z253" s="9">
        <v>31.6</v>
      </c>
    </row>
    <row r="254" spans="19:26" x14ac:dyDescent="0.2">
      <c r="S254" s="9" t="s">
        <v>297</v>
      </c>
      <c r="T254" s="9">
        <v>914</v>
      </c>
      <c r="U254" s="9">
        <v>20.6</v>
      </c>
      <c r="V254" s="9">
        <v>454</v>
      </c>
      <c r="W254" s="9">
        <v>578</v>
      </c>
      <c r="X254" s="9">
        <v>44.37</v>
      </c>
      <c r="Y254" s="9">
        <v>577159</v>
      </c>
      <c r="Z254" s="9">
        <v>31.6</v>
      </c>
    </row>
    <row r="255" spans="19:26" x14ac:dyDescent="0.2">
      <c r="S255" s="9" t="s">
        <v>298</v>
      </c>
      <c r="T255" s="9">
        <v>914</v>
      </c>
      <c r="U255" s="9">
        <v>22.2</v>
      </c>
      <c r="V255" s="9">
        <v>488</v>
      </c>
      <c r="W255" s="9">
        <v>622</v>
      </c>
      <c r="X255" s="9">
        <v>41.17</v>
      </c>
      <c r="Y255" s="9">
        <v>618706</v>
      </c>
      <c r="Z255" s="9">
        <v>31.5</v>
      </c>
    </row>
    <row r="256" spans="19:26" x14ac:dyDescent="0.2">
      <c r="S256" s="9" t="s">
        <v>299</v>
      </c>
      <c r="T256" s="9">
        <v>914</v>
      </c>
      <c r="U256" s="9">
        <v>23.8</v>
      </c>
      <c r="V256" s="9">
        <v>522</v>
      </c>
      <c r="W256" s="9">
        <v>666</v>
      </c>
      <c r="X256" s="9">
        <v>38.4</v>
      </c>
      <c r="Y256" s="9">
        <v>659796</v>
      </c>
      <c r="Z256" s="9">
        <v>31.5</v>
      </c>
    </row>
    <row r="257" spans="19:26" x14ac:dyDescent="0.2">
      <c r="S257" s="9" t="s">
        <v>300</v>
      </c>
      <c r="T257" s="9">
        <v>914</v>
      </c>
      <c r="U257" s="9">
        <v>25.4</v>
      </c>
      <c r="V257" s="9">
        <v>557</v>
      </c>
      <c r="W257" s="9">
        <v>709</v>
      </c>
      <c r="X257" s="9">
        <v>35.979999999999997</v>
      </c>
      <c r="Y257" s="9">
        <v>700434</v>
      </c>
      <c r="Z257" s="9">
        <v>31.4</v>
      </c>
    </row>
    <row r="258" spans="19:26" x14ac:dyDescent="0.2">
      <c r="S258" s="9" t="s">
        <v>301</v>
      </c>
      <c r="T258" s="9">
        <v>914</v>
      </c>
      <c r="U258" s="9">
        <v>27</v>
      </c>
      <c r="V258" s="9">
        <v>591</v>
      </c>
      <c r="W258" s="9">
        <v>752</v>
      </c>
      <c r="X258" s="9">
        <v>33.85</v>
      </c>
      <c r="Y258" s="9">
        <v>740622</v>
      </c>
      <c r="Z258" s="9">
        <v>31.4</v>
      </c>
    </row>
    <row r="259" spans="19:26" x14ac:dyDescent="0.2">
      <c r="S259" s="9" t="s">
        <v>302</v>
      </c>
      <c r="T259" s="9">
        <v>914</v>
      </c>
      <c r="U259" s="9">
        <v>28.6</v>
      </c>
      <c r="V259" s="9">
        <v>624</v>
      </c>
      <c r="W259" s="9">
        <v>796</v>
      </c>
      <c r="X259" s="9">
        <v>31.96</v>
      </c>
      <c r="Y259" s="9">
        <v>780364</v>
      </c>
      <c r="Z259" s="9">
        <v>31.3</v>
      </c>
    </row>
    <row r="260" spans="19:26" x14ac:dyDescent="0.2">
      <c r="S260" s="9" t="s">
        <v>303</v>
      </c>
      <c r="T260" s="9">
        <v>965</v>
      </c>
      <c r="U260" s="9">
        <v>7.9</v>
      </c>
      <c r="V260" s="9">
        <v>186</v>
      </c>
      <c r="W260" s="9">
        <v>238</v>
      </c>
      <c r="X260" s="9">
        <v>122.15</v>
      </c>
      <c r="Y260" s="9">
        <v>272012</v>
      </c>
      <c r="Z260" s="9">
        <v>33.799999999999997</v>
      </c>
    </row>
    <row r="261" spans="19:26" x14ac:dyDescent="0.2">
      <c r="S261" s="9" t="s">
        <v>304</v>
      </c>
      <c r="T261" s="9">
        <v>965</v>
      </c>
      <c r="U261" s="9">
        <v>8.6999999999999993</v>
      </c>
      <c r="V261" s="9">
        <v>205</v>
      </c>
      <c r="W261" s="9">
        <v>261</v>
      </c>
      <c r="X261" s="9">
        <v>110.92</v>
      </c>
      <c r="Y261" s="9">
        <v>298812</v>
      </c>
      <c r="Z261" s="9">
        <v>33.799999999999997</v>
      </c>
    </row>
    <row r="262" spans="19:26" x14ac:dyDescent="0.2">
      <c r="S262" s="9" t="s">
        <v>305</v>
      </c>
      <c r="T262" s="9">
        <v>965</v>
      </c>
      <c r="U262" s="9">
        <v>9.5</v>
      </c>
      <c r="V262" s="9">
        <v>224</v>
      </c>
      <c r="W262" s="9">
        <v>285</v>
      </c>
      <c r="X262" s="9">
        <v>101.58</v>
      </c>
      <c r="Y262" s="9">
        <v>325476</v>
      </c>
      <c r="Z262" s="9">
        <v>33.799999999999997</v>
      </c>
    </row>
    <row r="263" spans="19:26" x14ac:dyDescent="0.2">
      <c r="S263" s="9" t="s">
        <v>306</v>
      </c>
      <c r="T263" s="9">
        <v>965</v>
      </c>
      <c r="U263" s="9">
        <v>10.3</v>
      </c>
      <c r="V263" s="9">
        <v>243</v>
      </c>
      <c r="W263" s="9">
        <v>309</v>
      </c>
      <c r="X263" s="9">
        <v>93.69</v>
      </c>
      <c r="Y263" s="9">
        <v>352005</v>
      </c>
      <c r="Z263" s="9">
        <v>33.799999999999997</v>
      </c>
    </row>
    <row r="264" spans="19:26" x14ac:dyDescent="0.2">
      <c r="S264" s="9" t="s">
        <v>307</v>
      </c>
      <c r="T264" s="9">
        <v>965</v>
      </c>
      <c r="U264" s="9">
        <v>11.1</v>
      </c>
      <c r="V264" s="9">
        <v>261</v>
      </c>
      <c r="W264" s="9">
        <v>333</v>
      </c>
      <c r="X264" s="9">
        <v>86.94</v>
      </c>
      <c r="Y264" s="9">
        <v>378399</v>
      </c>
      <c r="Z264" s="9">
        <v>33.700000000000003</v>
      </c>
    </row>
    <row r="265" spans="19:26" x14ac:dyDescent="0.2">
      <c r="S265" s="9" t="s">
        <v>308</v>
      </c>
      <c r="T265" s="9">
        <v>965</v>
      </c>
      <c r="U265" s="9">
        <v>11.9</v>
      </c>
      <c r="V265" s="9">
        <v>280</v>
      </c>
      <c r="W265" s="9">
        <v>356</v>
      </c>
      <c r="X265" s="9">
        <v>81.09</v>
      </c>
      <c r="Y265" s="9">
        <v>404660</v>
      </c>
      <c r="Z265" s="9">
        <v>33.700000000000003</v>
      </c>
    </row>
    <row r="266" spans="19:26" x14ac:dyDescent="0.2">
      <c r="S266" s="9" t="s">
        <v>309</v>
      </c>
      <c r="T266" s="9">
        <v>965</v>
      </c>
      <c r="U266" s="9">
        <v>12.7</v>
      </c>
      <c r="V266" s="9">
        <v>298</v>
      </c>
      <c r="W266" s="9">
        <v>380</v>
      </c>
      <c r="X266" s="9">
        <v>75.98</v>
      </c>
      <c r="Y266" s="9">
        <v>430787</v>
      </c>
      <c r="Z266" s="9">
        <v>33.700000000000003</v>
      </c>
    </row>
    <row r="267" spans="19:26" x14ac:dyDescent="0.2">
      <c r="S267" s="9" t="s">
        <v>310</v>
      </c>
      <c r="T267" s="9">
        <v>965</v>
      </c>
      <c r="U267" s="9">
        <v>14.3</v>
      </c>
      <c r="V267" s="9">
        <v>335</v>
      </c>
      <c r="W267" s="9">
        <v>427</v>
      </c>
      <c r="X267" s="9">
        <v>67.48</v>
      </c>
      <c r="Y267" s="9">
        <v>482641</v>
      </c>
      <c r="Z267" s="9">
        <v>33.6</v>
      </c>
    </row>
    <row r="268" spans="19:26" x14ac:dyDescent="0.2">
      <c r="S268" s="9" t="s">
        <v>311</v>
      </c>
      <c r="T268" s="9">
        <v>965</v>
      </c>
      <c r="U268" s="9">
        <v>15.9</v>
      </c>
      <c r="V268" s="9">
        <v>372</v>
      </c>
      <c r="W268" s="9">
        <v>474</v>
      </c>
      <c r="X268" s="9">
        <v>60.69</v>
      </c>
      <c r="Y268" s="9">
        <v>533967</v>
      </c>
      <c r="Z268" s="9">
        <v>33.6</v>
      </c>
    </row>
    <row r="269" spans="19:26" x14ac:dyDescent="0.2">
      <c r="S269" s="9" t="s">
        <v>312</v>
      </c>
      <c r="T269" s="9">
        <v>965</v>
      </c>
      <c r="U269" s="9">
        <v>17.5</v>
      </c>
      <c r="V269" s="9">
        <v>409</v>
      </c>
      <c r="W269" s="9">
        <v>521</v>
      </c>
      <c r="X269" s="9">
        <v>55.14</v>
      </c>
      <c r="Y269" s="9">
        <v>584768</v>
      </c>
      <c r="Z269" s="9">
        <v>33.5</v>
      </c>
    </row>
    <row r="270" spans="19:26" x14ac:dyDescent="0.2">
      <c r="S270" s="9" t="s">
        <v>313</v>
      </c>
      <c r="T270" s="9">
        <v>965</v>
      </c>
      <c r="U270" s="9">
        <v>19.100000000000001</v>
      </c>
      <c r="V270" s="9">
        <v>446</v>
      </c>
      <c r="W270" s="9">
        <v>568</v>
      </c>
      <c r="X270" s="9">
        <v>50.52</v>
      </c>
      <c r="Y270" s="9">
        <v>635047</v>
      </c>
      <c r="Z270" s="9">
        <v>33.4</v>
      </c>
    </row>
    <row r="271" spans="19:26" x14ac:dyDescent="0.2">
      <c r="S271" s="9" t="s">
        <v>314</v>
      </c>
      <c r="T271" s="9">
        <v>965</v>
      </c>
      <c r="U271" s="9">
        <v>20.6</v>
      </c>
      <c r="V271" s="9">
        <v>480</v>
      </c>
      <c r="W271" s="9">
        <v>611</v>
      </c>
      <c r="X271" s="9">
        <v>46.84</v>
      </c>
      <c r="Y271" s="9">
        <v>681713</v>
      </c>
      <c r="Z271" s="9">
        <v>33.4</v>
      </c>
    </row>
    <row r="272" spans="19:26" x14ac:dyDescent="0.2">
      <c r="S272" s="9" t="s">
        <v>315</v>
      </c>
      <c r="T272" s="9">
        <v>965</v>
      </c>
      <c r="U272" s="9">
        <v>22.2</v>
      </c>
      <c r="V272" s="9">
        <v>516</v>
      </c>
      <c r="W272" s="9">
        <v>658</v>
      </c>
      <c r="X272" s="9">
        <v>43.47</v>
      </c>
      <c r="Y272" s="9">
        <v>730991</v>
      </c>
      <c r="Z272" s="9">
        <v>33.299999999999997</v>
      </c>
    </row>
    <row r="273" spans="19:26" x14ac:dyDescent="0.2">
      <c r="S273" s="9" t="s">
        <v>316</v>
      </c>
      <c r="T273" s="9">
        <v>965</v>
      </c>
      <c r="U273" s="9">
        <v>23.8</v>
      </c>
      <c r="V273" s="9">
        <v>552</v>
      </c>
      <c r="W273" s="9">
        <v>704</v>
      </c>
      <c r="X273" s="9">
        <v>40.549999999999997</v>
      </c>
      <c r="Y273" s="9">
        <v>779759</v>
      </c>
      <c r="Z273" s="9">
        <v>33.299999999999997</v>
      </c>
    </row>
    <row r="274" spans="19:26" x14ac:dyDescent="0.2">
      <c r="S274" s="9" t="s">
        <v>317</v>
      </c>
      <c r="T274" s="9">
        <v>965</v>
      </c>
      <c r="U274" s="9">
        <v>25.4</v>
      </c>
      <c r="V274" s="9">
        <v>589</v>
      </c>
      <c r="W274" s="9">
        <v>750</v>
      </c>
      <c r="X274" s="9">
        <v>37.99</v>
      </c>
      <c r="Y274" s="9">
        <v>828018</v>
      </c>
      <c r="Z274" s="9">
        <v>33.200000000000003</v>
      </c>
    </row>
    <row r="275" spans="19:26" x14ac:dyDescent="0.2">
      <c r="S275" s="9" t="s">
        <v>318</v>
      </c>
      <c r="T275" s="9">
        <v>965</v>
      </c>
      <c r="U275" s="9">
        <v>27</v>
      </c>
      <c r="V275" s="9">
        <v>625</v>
      </c>
      <c r="W275" s="9">
        <v>796</v>
      </c>
      <c r="X275" s="9">
        <v>35.74</v>
      </c>
      <c r="Y275" s="9">
        <v>875774</v>
      </c>
      <c r="Z275" s="9">
        <v>33.200000000000003</v>
      </c>
    </row>
    <row r="276" spans="19:26" x14ac:dyDescent="0.2">
      <c r="S276" s="9" t="s">
        <v>319</v>
      </c>
      <c r="T276" s="9">
        <v>965</v>
      </c>
      <c r="U276" s="9">
        <v>28.6</v>
      </c>
      <c r="V276" s="9">
        <v>660</v>
      </c>
      <c r="W276" s="9">
        <v>841</v>
      </c>
      <c r="X276" s="9">
        <v>33.74</v>
      </c>
      <c r="Y276" s="9">
        <v>923028</v>
      </c>
      <c r="Z276" s="9">
        <v>33.1</v>
      </c>
    </row>
    <row r="277" spans="19:26" x14ac:dyDescent="0.2">
      <c r="S277" s="9" t="s">
        <v>320</v>
      </c>
      <c r="T277" s="9">
        <v>1016</v>
      </c>
      <c r="U277" s="9">
        <v>7.9</v>
      </c>
      <c r="V277" s="9">
        <v>196</v>
      </c>
      <c r="W277" s="9">
        <v>250</v>
      </c>
      <c r="X277" s="9">
        <v>128.61000000000001</v>
      </c>
      <c r="Y277" s="9">
        <v>317852</v>
      </c>
      <c r="Z277" s="9">
        <v>35.6</v>
      </c>
    </row>
    <row r="278" spans="19:26" x14ac:dyDescent="0.2">
      <c r="S278" s="9" t="s">
        <v>321</v>
      </c>
      <c r="T278" s="9">
        <v>1016</v>
      </c>
      <c r="U278" s="9">
        <v>8.6999999999999993</v>
      </c>
      <c r="V278" s="9">
        <v>216</v>
      </c>
      <c r="W278" s="9">
        <v>275</v>
      </c>
      <c r="X278" s="9">
        <v>116.78</v>
      </c>
      <c r="Y278" s="9">
        <v>349211</v>
      </c>
      <c r="Z278" s="9">
        <v>35.6</v>
      </c>
    </row>
    <row r="279" spans="19:26" x14ac:dyDescent="0.2">
      <c r="S279" s="9" t="s">
        <v>322</v>
      </c>
      <c r="T279" s="9">
        <v>1016</v>
      </c>
      <c r="U279" s="9">
        <v>9.5</v>
      </c>
      <c r="V279" s="9">
        <v>236</v>
      </c>
      <c r="W279" s="9">
        <v>300</v>
      </c>
      <c r="X279" s="9">
        <v>106.95</v>
      </c>
      <c r="Y279" s="9">
        <v>380420</v>
      </c>
      <c r="Z279" s="9">
        <v>35.6</v>
      </c>
    </row>
    <row r="280" spans="19:26" x14ac:dyDescent="0.2">
      <c r="S280" s="9" t="s">
        <v>323</v>
      </c>
      <c r="T280" s="9">
        <v>1016</v>
      </c>
      <c r="U280" s="9">
        <v>10.3</v>
      </c>
      <c r="V280" s="9">
        <v>255</v>
      </c>
      <c r="W280" s="9">
        <v>325</v>
      </c>
      <c r="X280" s="9">
        <v>98.64</v>
      </c>
      <c r="Y280" s="9">
        <v>411479</v>
      </c>
      <c r="Z280" s="9">
        <v>35.6</v>
      </c>
    </row>
    <row r="281" spans="19:26" x14ac:dyDescent="0.2">
      <c r="S281" s="9" t="s">
        <v>324</v>
      </c>
      <c r="T281" s="9">
        <v>1016</v>
      </c>
      <c r="U281" s="9">
        <v>11.1</v>
      </c>
      <c r="V281" s="9">
        <v>275</v>
      </c>
      <c r="W281" s="9">
        <v>350</v>
      </c>
      <c r="X281" s="9">
        <v>91.53</v>
      </c>
      <c r="Y281" s="9">
        <v>442389</v>
      </c>
      <c r="Z281" s="9">
        <v>35.5</v>
      </c>
    </row>
    <row r="282" spans="19:26" x14ac:dyDescent="0.2">
      <c r="S282" s="9" t="s">
        <v>325</v>
      </c>
      <c r="T282" s="9">
        <v>1016</v>
      </c>
      <c r="U282" s="9">
        <v>11.9</v>
      </c>
      <c r="V282" s="9">
        <v>295</v>
      </c>
      <c r="W282" s="9">
        <v>375</v>
      </c>
      <c r="X282" s="9">
        <v>85.38</v>
      </c>
      <c r="Y282" s="9">
        <v>473150</v>
      </c>
      <c r="Z282" s="9">
        <v>35.5</v>
      </c>
    </row>
    <row r="283" spans="19:26" x14ac:dyDescent="0.2">
      <c r="S283" s="9" t="s">
        <v>326</v>
      </c>
      <c r="T283" s="9">
        <v>1016</v>
      </c>
      <c r="U283" s="9">
        <v>12.7</v>
      </c>
      <c r="V283" s="9">
        <v>314</v>
      </c>
      <c r="W283" s="9">
        <v>400</v>
      </c>
      <c r="X283" s="9">
        <v>80</v>
      </c>
      <c r="Y283" s="9">
        <v>503762</v>
      </c>
      <c r="Z283" s="9">
        <v>35.5</v>
      </c>
    </row>
    <row r="284" spans="19:26" x14ac:dyDescent="0.2">
      <c r="S284" s="9" t="s">
        <v>327</v>
      </c>
      <c r="T284" s="9">
        <v>1016</v>
      </c>
      <c r="U284" s="9">
        <v>14.3</v>
      </c>
      <c r="V284" s="9">
        <v>353</v>
      </c>
      <c r="W284" s="9">
        <v>450</v>
      </c>
      <c r="X284" s="9">
        <v>71.05</v>
      </c>
      <c r="Y284" s="9">
        <v>564544</v>
      </c>
      <c r="Z284" s="9">
        <v>35.4</v>
      </c>
    </row>
    <row r="285" spans="19:26" x14ac:dyDescent="0.2">
      <c r="S285" s="9" t="s">
        <v>328</v>
      </c>
      <c r="T285" s="9">
        <v>1016</v>
      </c>
      <c r="U285" s="9">
        <v>15.9</v>
      </c>
      <c r="V285" s="9">
        <v>392</v>
      </c>
      <c r="W285" s="9">
        <v>500</v>
      </c>
      <c r="X285" s="9">
        <v>63.9</v>
      </c>
      <c r="Y285" s="9">
        <v>624737</v>
      </c>
      <c r="Z285" s="9">
        <v>35.4</v>
      </c>
    </row>
    <row r="286" spans="19:26" x14ac:dyDescent="0.2">
      <c r="S286" s="9" t="s">
        <v>329</v>
      </c>
      <c r="T286" s="9">
        <v>1016</v>
      </c>
      <c r="U286" s="9">
        <v>17.5</v>
      </c>
      <c r="V286" s="9">
        <v>431</v>
      </c>
      <c r="W286" s="9">
        <v>549</v>
      </c>
      <c r="X286" s="9">
        <v>58.06</v>
      </c>
      <c r="Y286" s="9">
        <v>684346</v>
      </c>
      <c r="Z286" s="9">
        <v>35.299999999999997</v>
      </c>
    </row>
    <row r="287" spans="19:26" x14ac:dyDescent="0.2">
      <c r="S287" s="9" t="s">
        <v>330</v>
      </c>
      <c r="T287" s="9">
        <v>1016</v>
      </c>
      <c r="U287" s="9">
        <v>19.100000000000001</v>
      </c>
      <c r="V287" s="9">
        <v>470</v>
      </c>
      <c r="W287" s="9">
        <v>598</v>
      </c>
      <c r="X287" s="9">
        <v>53.19</v>
      </c>
      <c r="Y287" s="9">
        <v>743374</v>
      </c>
      <c r="Z287" s="9">
        <v>35.299999999999997</v>
      </c>
    </row>
    <row r="288" spans="19:26" x14ac:dyDescent="0.2">
      <c r="S288" s="9" t="s">
        <v>331</v>
      </c>
      <c r="T288" s="9">
        <v>1016</v>
      </c>
      <c r="U288" s="9">
        <v>20.6</v>
      </c>
      <c r="V288" s="9">
        <v>506</v>
      </c>
      <c r="W288" s="9">
        <v>644</v>
      </c>
      <c r="X288" s="9">
        <v>49.32</v>
      </c>
      <c r="Y288" s="9">
        <v>798189</v>
      </c>
      <c r="Z288" s="9">
        <v>35.200000000000003</v>
      </c>
    </row>
    <row r="289" spans="19:26" x14ac:dyDescent="0.2">
      <c r="S289" s="9" t="s">
        <v>332</v>
      </c>
      <c r="T289" s="9">
        <v>1016</v>
      </c>
      <c r="U289" s="9">
        <v>22.2</v>
      </c>
      <c r="V289" s="9">
        <v>544</v>
      </c>
      <c r="W289" s="9">
        <v>693</v>
      </c>
      <c r="X289" s="9">
        <v>45.77</v>
      </c>
      <c r="Y289" s="9">
        <v>856104</v>
      </c>
      <c r="Z289" s="9">
        <v>35.1</v>
      </c>
    </row>
    <row r="290" spans="19:26" x14ac:dyDescent="0.2">
      <c r="S290" s="9" t="s">
        <v>333</v>
      </c>
      <c r="T290" s="9">
        <v>1016</v>
      </c>
      <c r="U290" s="9">
        <v>23.8</v>
      </c>
      <c r="V290" s="9">
        <v>582</v>
      </c>
      <c r="W290" s="9">
        <v>742</v>
      </c>
      <c r="X290" s="9">
        <v>42.69</v>
      </c>
      <c r="Y290" s="9">
        <v>913449</v>
      </c>
      <c r="Z290" s="9">
        <v>35.1</v>
      </c>
    </row>
    <row r="291" spans="19:26" x14ac:dyDescent="0.2">
      <c r="S291" s="9" t="s">
        <v>334</v>
      </c>
      <c r="T291" s="9">
        <v>1016</v>
      </c>
      <c r="U291" s="9">
        <v>25.4</v>
      </c>
      <c r="V291" s="9">
        <v>621</v>
      </c>
      <c r="W291" s="9">
        <v>790</v>
      </c>
      <c r="X291" s="9">
        <v>40</v>
      </c>
      <c r="Y291" s="9">
        <v>970228</v>
      </c>
      <c r="Z291" s="9">
        <v>35</v>
      </c>
    </row>
    <row r="292" spans="19:26" x14ac:dyDescent="0.2">
      <c r="S292" s="9" t="s">
        <v>335</v>
      </c>
      <c r="T292" s="9">
        <v>1016</v>
      </c>
      <c r="U292" s="9">
        <v>27</v>
      </c>
      <c r="V292" s="9">
        <v>659</v>
      </c>
      <c r="W292" s="9">
        <v>839</v>
      </c>
      <c r="X292" s="9">
        <v>37.630000000000003</v>
      </c>
      <c r="Y292" s="9">
        <v>1026446</v>
      </c>
      <c r="Z292" s="9">
        <v>35</v>
      </c>
    </row>
    <row r="293" spans="19:26" x14ac:dyDescent="0.2">
      <c r="S293" s="9" t="s">
        <v>336</v>
      </c>
      <c r="T293" s="9">
        <v>1016</v>
      </c>
      <c r="U293" s="9">
        <v>28.6</v>
      </c>
      <c r="V293" s="9">
        <v>696</v>
      </c>
      <c r="W293" s="9">
        <v>887</v>
      </c>
      <c r="X293" s="9">
        <v>35.520000000000003</v>
      </c>
      <c r="Y293" s="9">
        <v>1082105</v>
      </c>
      <c r="Z293" s="9">
        <v>34.9</v>
      </c>
    </row>
    <row r="294" spans="19:26" x14ac:dyDescent="0.2">
      <c r="S294" s="9" t="s">
        <v>337</v>
      </c>
      <c r="T294" s="9">
        <v>1067</v>
      </c>
      <c r="U294" s="9">
        <v>9.5</v>
      </c>
      <c r="V294" s="9">
        <v>248</v>
      </c>
      <c r="W294" s="9">
        <v>316</v>
      </c>
      <c r="X294" s="9">
        <v>112.32</v>
      </c>
      <c r="Y294" s="9">
        <v>441225</v>
      </c>
      <c r="Z294" s="9">
        <v>37.4</v>
      </c>
    </row>
    <row r="295" spans="19:26" x14ac:dyDescent="0.2">
      <c r="S295" s="9" t="s">
        <v>338</v>
      </c>
      <c r="T295" s="9">
        <v>1067</v>
      </c>
      <c r="U295" s="9">
        <v>10.3</v>
      </c>
      <c r="V295" s="9">
        <v>268</v>
      </c>
      <c r="W295" s="9">
        <v>342</v>
      </c>
      <c r="X295" s="9">
        <v>103.59</v>
      </c>
      <c r="Y295" s="9">
        <v>477302</v>
      </c>
      <c r="Z295" s="9">
        <v>37.4</v>
      </c>
    </row>
    <row r="296" spans="19:26" x14ac:dyDescent="0.2">
      <c r="S296" s="9" t="s">
        <v>339</v>
      </c>
      <c r="T296" s="9">
        <v>1067</v>
      </c>
      <c r="U296" s="9">
        <v>11.1</v>
      </c>
      <c r="V296" s="9">
        <v>289</v>
      </c>
      <c r="W296" s="9">
        <v>368</v>
      </c>
      <c r="X296" s="9">
        <v>96.13</v>
      </c>
      <c r="Y296" s="9">
        <v>513215</v>
      </c>
      <c r="Z296" s="9">
        <v>37.299999999999997</v>
      </c>
    </row>
    <row r="297" spans="19:26" x14ac:dyDescent="0.2">
      <c r="S297" s="9" t="s">
        <v>340</v>
      </c>
      <c r="T297" s="9">
        <v>1067</v>
      </c>
      <c r="U297" s="9">
        <v>11.9</v>
      </c>
      <c r="V297" s="9">
        <v>310</v>
      </c>
      <c r="W297" s="9">
        <v>394</v>
      </c>
      <c r="X297" s="9">
        <v>89.66</v>
      </c>
      <c r="Y297" s="9">
        <v>548963</v>
      </c>
      <c r="Z297" s="9">
        <v>37.299999999999997</v>
      </c>
    </row>
    <row r="298" spans="19:26" x14ac:dyDescent="0.2">
      <c r="S298" s="9" t="s">
        <v>341</v>
      </c>
      <c r="T298" s="9">
        <v>1067</v>
      </c>
      <c r="U298" s="9">
        <v>12.7</v>
      </c>
      <c r="V298" s="9">
        <v>330</v>
      </c>
      <c r="W298" s="9">
        <v>421</v>
      </c>
      <c r="X298" s="9">
        <v>84.02</v>
      </c>
      <c r="Y298" s="9">
        <v>584547</v>
      </c>
      <c r="Z298" s="9">
        <v>37.299999999999997</v>
      </c>
    </row>
    <row r="299" spans="19:26" x14ac:dyDescent="0.2">
      <c r="S299" s="9" t="s">
        <v>342</v>
      </c>
      <c r="T299" s="9">
        <v>1067</v>
      </c>
      <c r="U299" s="9">
        <v>14.3</v>
      </c>
      <c r="V299" s="9">
        <v>371</v>
      </c>
      <c r="W299" s="9">
        <v>473</v>
      </c>
      <c r="X299" s="9">
        <v>74.62</v>
      </c>
      <c r="Y299" s="9">
        <v>655224</v>
      </c>
      <c r="Z299" s="9">
        <v>37.200000000000003</v>
      </c>
    </row>
    <row r="300" spans="19:26" x14ac:dyDescent="0.2">
      <c r="S300" s="9" t="s">
        <v>343</v>
      </c>
      <c r="T300" s="9">
        <v>1067</v>
      </c>
      <c r="U300" s="9">
        <v>15.9</v>
      </c>
      <c r="V300" s="9">
        <v>412</v>
      </c>
      <c r="W300" s="9">
        <v>525</v>
      </c>
      <c r="X300" s="9">
        <v>67.11</v>
      </c>
      <c r="Y300" s="9">
        <v>725251</v>
      </c>
      <c r="Z300" s="9">
        <v>37.200000000000003</v>
      </c>
    </row>
    <row r="301" spans="19:26" x14ac:dyDescent="0.2">
      <c r="S301" s="9" t="s">
        <v>344</v>
      </c>
      <c r="T301" s="9">
        <v>1067</v>
      </c>
      <c r="U301" s="9">
        <v>17.5</v>
      </c>
      <c r="V301" s="9">
        <v>453</v>
      </c>
      <c r="W301" s="9">
        <v>577</v>
      </c>
      <c r="X301" s="9">
        <v>60.97</v>
      </c>
      <c r="Y301" s="9">
        <v>794632</v>
      </c>
      <c r="Z301" s="9">
        <v>37.1</v>
      </c>
    </row>
    <row r="302" spans="19:26" x14ac:dyDescent="0.2">
      <c r="S302" s="9" t="s">
        <v>345</v>
      </c>
      <c r="T302" s="9">
        <v>1067</v>
      </c>
      <c r="U302" s="9">
        <v>19.100000000000001</v>
      </c>
      <c r="V302" s="9">
        <v>494</v>
      </c>
      <c r="W302" s="9">
        <v>629</v>
      </c>
      <c r="X302" s="9">
        <v>55.86</v>
      </c>
      <c r="Y302" s="9">
        <v>863370</v>
      </c>
      <c r="Z302" s="9">
        <v>37.1</v>
      </c>
    </row>
    <row r="303" spans="19:26" x14ac:dyDescent="0.2">
      <c r="S303" s="9" t="s">
        <v>346</v>
      </c>
      <c r="T303" s="9">
        <v>1067</v>
      </c>
      <c r="U303" s="9">
        <v>20.6</v>
      </c>
      <c r="V303" s="9">
        <v>532</v>
      </c>
      <c r="W303" s="9">
        <v>677</v>
      </c>
      <c r="X303" s="9">
        <v>51.8</v>
      </c>
      <c r="Y303" s="9">
        <v>927232</v>
      </c>
      <c r="Z303" s="9">
        <v>37</v>
      </c>
    </row>
    <row r="304" spans="19:26" x14ac:dyDescent="0.2">
      <c r="S304" s="9" t="s">
        <v>347</v>
      </c>
      <c r="T304" s="9">
        <v>1067</v>
      </c>
      <c r="U304" s="9">
        <v>22.2</v>
      </c>
      <c r="V304" s="9">
        <v>572</v>
      </c>
      <c r="W304" s="9">
        <v>729</v>
      </c>
      <c r="X304" s="9">
        <v>48.06</v>
      </c>
      <c r="Y304" s="9">
        <v>994737</v>
      </c>
      <c r="Z304" s="9">
        <v>36.9</v>
      </c>
    </row>
    <row r="305" spans="19:26" x14ac:dyDescent="0.2">
      <c r="S305" s="9" t="s">
        <v>348</v>
      </c>
      <c r="T305" s="9">
        <v>1067</v>
      </c>
      <c r="U305" s="9">
        <v>23.8</v>
      </c>
      <c r="V305" s="9">
        <v>612</v>
      </c>
      <c r="W305" s="9">
        <v>780</v>
      </c>
      <c r="X305" s="9">
        <v>44.83</v>
      </c>
      <c r="Y305" s="9">
        <v>1061611</v>
      </c>
      <c r="Z305" s="9">
        <v>36.9</v>
      </c>
    </row>
    <row r="306" spans="19:26" x14ac:dyDescent="0.2">
      <c r="S306" s="9" t="s">
        <v>349</v>
      </c>
      <c r="T306" s="9">
        <v>1067</v>
      </c>
      <c r="U306" s="9">
        <v>25.4</v>
      </c>
      <c r="V306" s="9">
        <v>652</v>
      </c>
      <c r="W306" s="9">
        <v>831</v>
      </c>
      <c r="X306" s="9">
        <v>42.01</v>
      </c>
      <c r="Y306" s="9">
        <v>1127859</v>
      </c>
      <c r="Z306" s="9">
        <v>36.799999999999997</v>
      </c>
    </row>
    <row r="307" spans="19:26" x14ac:dyDescent="0.2">
      <c r="S307" s="9" t="s">
        <v>350</v>
      </c>
      <c r="T307" s="9">
        <v>1067</v>
      </c>
      <c r="U307" s="9">
        <v>27</v>
      </c>
      <c r="V307" s="9">
        <v>692</v>
      </c>
      <c r="W307" s="9">
        <v>882</v>
      </c>
      <c r="X307" s="9">
        <v>39.520000000000003</v>
      </c>
      <c r="Y307" s="9">
        <v>1193483</v>
      </c>
      <c r="Z307" s="9">
        <v>36.799999999999997</v>
      </c>
    </row>
    <row r="308" spans="19:26" x14ac:dyDescent="0.2">
      <c r="S308" s="9" t="s">
        <v>351</v>
      </c>
      <c r="T308" s="9">
        <v>1067</v>
      </c>
      <c r="U308" s="9">
        <v>28.6</v>
      </c>
      <c r="V308" s="9">
        <v>732</v>
      </c>
      <c r="W308" s="9">
        <v>933</v>
      </c>
      <c r="X308" s="9">
        <v>37.31</v>
      </c>
      <c r="Y308" s="9">
        <v>1258489</v>
      </c>
      <c r="Z308" s="9">
        <v>36.700000000000003</v>
      </c>
    </row>
    <row r="309" spans="19:26" x14ac:dyDescent="0.2">
      <c r="S309" s="9" t="s">
        <v>352</v>
      </c>
      <c r="T309" s="9">
        <v>1118</v>
      </c>
      <c r="U309" s="9">
        <v>9.5</v>
      </c>
      <c r="V309" s="9">
        <v>260</v>
      </c>
      <c r="W309" s="9">
        <v>331</v>
      </c>
      <c r="X309" s="9">
        <v>117.68</v>
      </c>
      <c r="Y309" s="9">
        <v>508186</v>
      </c>
      <c r="Z309" s="9">
        <v>39.200000000000003</v>
      </c>
    </row>
    <row r="310" spans="19:26" x14ac:dyDescent="0.2">
      <c r="S310" s="9" t="s">
        <v>353</v>
      </c>
      <c r="T310" s="9">
        <v>1118</v>
      </c>
      <c r="U310" s="9">
        <v>10.3</v>
      </c>
      <c r="V310" s="9">
        <v>281</v>
      </c>
      <c r="W310" s="9">
        <v>358</v>
      </c>
      <c r="X310" s="9">
        <v>108.54</v>
      </c>
      <c r="Y310" s="9">
        <v>549795</v>
      </c>
      <c r="Z310" s="9">
        <v>39.200000000000003</v>
      </c>
    </row>
    <row r="311" spans="19:26" x14ac:dyDescent="0.2">
      <c r="S311" s="9" t="s">
        <v>354</v>
      </c>
      <c r="T311" s="9">
        <v>1118</v>
      </c>
      <c r="U311" s="9">
        <v>11.1</v>
      </c>
      <c r="V311" s="9">
        <v>303</v>
      </c>
      <c r="W311" s="9">
        <v>386</v>
      </c>
      <c r="X311" s="9">
        <v>100.72</v>
      </c>
      <c r="Y311" s="9">
        <v>591224</v>
      </c>
      <c r="Z311" s="9">
        <v>39.1</v>
      </c>
    </row>
    <row r="312" spans="19:26" x14ac:dyDescent="0.2">
      <c r="S312" s="9" t="s">
        <v>355</v>
      </c>
      <c r="T312" s="9">
        <v>1118</v>
      </c>
      <c r="U312" s="9">
        <v>11.9</v>
      </c>
      <c r="V312" s="9">
        <v>325</v>
      </c>
      <c r="W312" s="9">
        <v>414</v>
      </c>
      <c r="X312" s="9">
        <v>93.95</v>
      </c>
      <c r="Y312" s="9">
        <v>632471</v>
      </c>
      <c r="Z312" s="9">
        <v>39.1</v>
      </c>
    </row>
    <row r="313" spans="19:26" x14ac:dyDescent="0.2">
      <c r="S313" s="9" t="s">
        <v>356</v>
      </c>
      <c r="T313" s="9">
        <v>1118</v>
      </c>
      <c r="U313" s="9">
        <v>12.7</v>
      </c>
      <c r="V313" s="9">
        <v>346</v>
      </c>
      <c r="W313" s="9">
        <v>441</v>
      </c>
      <c r="X313" s="9">
        <v>88.03</v>
      </c>
      <c r="Y313" s="9">
        <v>673537</v>
      </c>
      <c r="Z313" s="9">
        <v>39.1</v>
      </c>
    </row>
    <row r="314" spans="19:26" x14ac:dyDescent="0.2">
      <c r="S314" s="9" t="s">
        <v>357</v>
      </c>
      <c r="T314" s="9">
        <v>1118</v>
      </c>
      <c r="U314" s="9">
        <v>14.3</v>
      </c>
      <c r="V314" s="9">
        <v>389</v>
      </c>
      <c r="W314" s="9">
        <v>496</v>
      </c>
      <c r="X314" s="9">
        <v>78.180000000000007</v>
      </c>
      <c r="Y314" s="9">
        <v>755130</v>
      </c>
      <c r="Z314" s="9">
        <v>39</v>
      </c>
    </row>
    <row r="315" spans="19:26" x14ac:dyDescent="0.2">
      <c r="S315" s="9" t="s">
        <v>358</v>
      </c>
      <c r="T315" s="9">
        <v>1118</v>
      </c>
      <c r="U315" s="9">
        <v>15.9</v>
      </c>
      <c r="V315" s="9">
        <v>432</v>
      </c>
      <c r="W315" s="9">
        <v>551</v>
      </c>
      <c r="X315" s="9">
        <v>70.31</v>
      </c>
      <c r="Y315" s="9">
        <v>836008</v>
      </c>
      <c r="Z315" s="9">
        <v>39</v>
      </c>
    </row>
    <row r="316" spans="19:26" x14ac:dyDescent="0.2">
      <c r="S316" s="9" t="s">
        <v>359</v>
      </c>
      <c r="T316" s="9">
        <v>1118</v>
      </c>
      <c r="U316" s="9">
        <v>17.5</v>
      </c>
      <c r="V316" s="9">
        <v>475</v>
      </c>
      <c r="W316" s="9">
        <v>605</v>
      </c>
      <c r="X316" s="9">
        <v>63.89</v>
      </c>
      <c r="Y316" s="9">
        <v>916174</v>
      </c>
      <c r="Z316" s="9">
        <v>38.9</v>
      </c>
    </row>
    <row r="317" spans="19:26" x14ac:dyDescent="0.2">
      <c r="S317" s="9" t="s">
        <v>360</v>
      </c>
      <c r="T317" s="9">
        <v>1118</v>
      </c>
      <c r="U317" s="9">
        <v>19.100000000000001</v>
      </c>
      <c r="V317" s="9">
        <v>518</v>
      </c>
      <c r="W317" s="9">
        <v>659</v>
      </c>
      <c r="X317" s="9">
        <v>58.53</v>
      </c>
      <c r="Y317" s="9">
        <v>995632</v>
      </c>
      <c r="Z317" s="9">
        <v>38.9</v>
      </c>
    </row>
    <row r="318" spans="19:26" x14ac:dyDescent="0.2">
      <c r="S318" s="9" t="s">
        <v>361</v>
      </c>
      <c r="T318" s="9">
        <v>1118</v>
      </c>
      <c r="U318" s="9">
        <v>20.6</v>
      </c>
      <c r="V318" s="9">
        <v>558</v>
      </c>
      <c r="W318" s="9">
        <v>710</v>
      </c>
      <c r="X318" s="9">
        <v>54.27</v>
      </c>
      <c r="Y318" s="9">
        <v>1069486</v>
      </c>
      <c r="Z318" s="9">
        <v>38.799999999999997</v>
      </c>
    </row>
    <row r="319" spans="19:26" x14ac:dyDescent="0.2">
      <c r="S319" s="9" t="s">
        <v>362</v>
      </c>
      <c r="T319" s="9">
        <v>1118</v>
      </c>
      <c r="U319" s="9">
        <v>22.2</v>
      </c>
      <c r="V319" s="9">
        <v>600</v>
      </c>
      <c r="W319" s="9">
        <v>764</v>
      </c>
      <c r="X319" s="9">
        <v>50.36</v>
      </c>
      <c r="Y319" s="9">
        <v>1147585</v>
      </c>
      <c r="Z319" s="9">
        <v>38.799999999999997</v>
      </c>
    </row>
    <row r="320" spans="19:26" x14ac:dyDescent="0.2">
      <c r="S320" s="9" t="s">
        <v>363</v>
      </c>
      <c r="T320" s="9">
        <v>1168</v>
      </c>
      <c r="U320" s="9">
        <v>9.5</v>
      </c>
      <c r="V320" s="9">
        <v>271</v>
      </c>
      <c r="W320" s="9">
        <v>346</v>
      </c>
      <c r="X320" s="9">
        <v>122.95</v>
      </c>
      <c r="Y320" s="9">
        <v>580097</v>
      </c>
      <c r="Z320" s="9">
        <v>41</v>
      </c>
    </row>
    <row r="321" spans="19:26" x14ac:dyDescent="0.2">
      <c r="S321" s="9" t="s">
        <v>364</v>
      </c>
      <c r="T321" s="9">
        <v>1168</v>
      </c>
      <c r="U321" s="9">
        <v>10.3</v>
      </c>
      <c r="V321" s="9">
        <v>294</v>
      </c>
      <c r="W321" s="9">
        <v>375</v>
      </c>
      <c r="X321" s="9">
        <v>113.4</v>
      </c>
      <c r="Y321" s="9">
        <v>627653</v>
      </c>
      <c r="Z321" s="9">
        <v>40.9</v>
      </c>
    </row>
    <row r="322" spans="19:26" x14ac:dyDescent="0.2">
      <c r="S322" s="9" t="s">
        <v>365</v>
      </c>
      <c r="T322" s="9">
        <v>1168</v>
      </c>
      <c r="U322" s="9">
        <v>11.1</v>
      </c>
      <c r="V322" s="9">
        <v>317</v>
      </c>
      <c r="W322" s="9">
        <v>403</v>
      </c>
      <c r="X322" s="9">
        <v>105.23</v>
      </c>
      <c r="Y322" s="9">
        <v>675010</v>
      </c>
      <c r="Z322" s="9">
        <v>40.9</v>
      </c>
    </row>
    <row r="323" spans="19:26" x14ac:dyDescent="0.2">
      <c r="S323" s="9" t="s">
        <v>366</v>
      </c>
      <c r="T323" s="9">
        <v>1168</v>
      </c>
      <c r="U323" s="9">
        <v>11.9</v>
      </c>
      <c r="V323" s="9">
        <v>339</v>
      </c>
      <c r="W323" s="9">
        <v>432</v>
      </c>
      <c r="X323" s="9">
        <v>98.15</v>
      </c>
      <c r="Y323" s="9">
        <v>722169</v>
      </c>
      <c r="Z323" s="9">
        <v>40.9</v>
      </c>
    </row>
    <row r="324" spans="19:26" x14ac:dyDescent="0.2">
      <c r="S324" s="9" t="s">
        <v>367</v>
      </c>
      <c r="T324" s="9">
        <v>1168</v>
      </c>
      <c r="U324" s="9">
        <v>12.7</v>
      </c>
      <c r="V324" s="9">
        <v>362</v>
      </c>
      <c r="W324" s="9">
        <v>461</v>
      </c>
      <c r="X324" s="9">
        <v>91.97</v>
      </c>
      <c r="Y324" s="9">
        <v>769131</v>
      </c>
      <c r="Z324" s="9">
        <v>40.799999999999997</v>
      </c>
    </row>
    <row r="325" spans="19:26" x14ac:dyDescent="0.2">
      <c r="S325" s="9" t="s">
        <v>368</v>
      </c>
      <c r="T325" s="9">
        <v>1168</v>
      </c>
      <c r="U325" s="9">
        <v>14.3</v>
      </c>
      <c r="V325" s="9">
        <v>407</v>
      </c>
      <c r="W325" s="9">
        <v>518</v>
      </c>
      <c r="X325" s="9">
        <v>81.680000000000007</v>
      </c>
      <c r="Y325" s="9">
        <v>862465</v>
      </c>
      <c r="Z325" s="9">
        <v>40.799999999999997</v>
      </c>
    </row>
    <row r="326" spans="19:26" x14ac:dyDescent="0.2">
      <c r="S326" s="9" t="s">
        <v>369</v>
      </c>
      <c r="T326" s="9">
        <v>1168</v>
      </c>
      <c r="U326" s="9">
        <v>15.9</v>
      </c>
      <c r="V326" s="9">
        <v>452</v>
      </c>
      <c r="W326" s="9">
        <v>575</v>
      </c>
      <c r="X326" s="9">
        <v>73.459999999999994</v>
      </c>
      <c r="Y326" s="9">
        <v>955015</v>
      </c>
      <c r="Z326" s="9">
        <v>40.700000000000003</v>
      </c>
    </row>
    <row r="327" spans="19:26" x14ac:dyDescent="0.2">
      <c r="S327" s="9" t="s">
        <v>370</v>
      </c>
      <c r="T327" s="9">
        <v>1168</v>
      </c>
      <c r="U327" s="9">
        <v>17.5</v>
      </c>
      <c r="V327" s="9">
        <v>497</v>
      </c>
      <c r="W327" s="9">
        <v>633</v>
      </c>
      <c r="X327" s="9">
        <v>66.739999999999995</v>
      </c>
      <c r="Y327" s="9">
        <v>1046787</v>
      </c>
      <c r="Z327" s="9">
        <v>40.700000000000003</v>
      </c>
    </row>
    <row r="328" spans="19:26" x14ac:dyDescent="0.2">
      <c r="S328" s="9" t="s">
        <v>371</v>
      </c>
      <c r="T328" s="9">
        <v>1168</v>
      </c>
      <c r="U328" s="9">
        <v>19.100000000000001</v>
      </c>
      <c r="V328" s="9">
        <v>541</v>
      </c>
      <c r="W328" s="9">
        <v>689</v>
      </c>
      <c r="X328" s="9">
        <v>61.15</v>
      </c>
      <c r="Y328" s="9">
        <v>1137784</v>
      </c>
      <c r="Z328" s="9">
        <v>40.6</v>
      </c>
    </row>
    <row r="329" spans="19:26" x14ac:dyDescent="0.2">
      <c r="S329" s="9" t="s">
        <v>372</v>
      </c>
      <c r="T329" s="9">
        <v>1168</v>
      </c>
      <c r="U329" s="9">
        <v>20.6</v>
      </c>
      <c r="V329" s="9">
        <v>583</v>
      </c>
      <c r="W329" s="9">
        <v>743</v>
      </c>
      <c r="X329" s="9">
        <v>56.7</v>
      </c>
      <c r="Y329" s="9">
        <v>1222395</v>
      </c>
      <c r="Z329" s="9">
        <v>40.6</v>
      </c>
    </row>
    <row r="330" spans="19:26" x14ac:dyDescent="0.2">
      <c r="S330" s="9" t="s">
        <v>373</v>
      </c>
      <c r="T330" s="9">
        <v>1168</v>
      </c>
      <c r="U330" s="9">
        <v>22.2</v>
      </c>
      <c r="V330" s="9">
        <v>627</v>
      </c>
      <c r="W330" s="9">
        <v>799</v>
      </c>
      <c r="X330" s="9">
        <v>52.61</v>
      </c>
      <c r="Y330" s="9">
        <v>1311905</v>
      </c>
      <c r="Z330" s="9">
        <v>40.5</v>
      </c>
    </row>
    <row r="331" spans="19:26" x14ac:dyDescent="0.2">
      <c r="S331" s="9" t="s">
        <v>374</v>
      </c>
      <c r="T331" s="9">
        <v>1219</v>
      </c>
      <c r="U331" s="9">
        <v>9.5</v>
      </c>
      <c r="V331" s="9">
        <v>283</v>
      </c>
      <c r="W331" s="9">
        <v>361</v>
      </c>
      <c r="X331" s="9">
        <v>128.32</v>
      </c>
      <c r="Y331" s="9">
        <v>660128</v>
      </c>
      <c r="Z331" s="9">
        <v>42.8</v>
      </c>
    </row>
    <row r="332" spans="19:26" x14ac:dyDescent="0.2">
      <c r="S332" s="9" t="s">
        <v>375</v>
      </c>
      <c r="T332" s="9">
        <v>1219</v>
      </c>
      <c r="U332" s="9">
        <v>10.3</v>
      </c>
      <c r="V332" s="9">
        <v>307</v>
      </c>
      <c r="W332" s="9">
        <v>391</v>
      </c>
      <c r="X332" s="9">
        <v>118.35</v>
      </c>
      <c r="Y332" s="9">
        <v>714306</v>
      </c>
      <c r="Z332" s="9">
        <v>42.7</v>
      </c>
    </row>
    <row r="333" spans="19:26" x14ac:dyDescent="0.2">
      <c r="S333" s="9" t="s">
        <v>376</v>
      </c>
      <c r="T333" s="9">
        <v>1219</v>
      </c>
      <c r="U333" s="9">
        <v>11.1</v>
      </c>
      <c r="V333" s="9">
        <v>331</v>
      </c>
      <c r="W333" s="9">
        <v>421</v>
      </c>
      <c r="X333" s="9">
        <v>109.82</v>
      </c>
      <c r="Y333" s="9">
        <v>768268</v>
      </c>
      <c r="Z333" s="9">
        <v>42.7</v>
      </c>
    </row>
    <row r="334" spans="19:26" x14ac:dyDescent="0.2">
      <c r="S334" s="9" t="s">
        <v>377</v>
      </c>
      <c r="T334" s="9">
        <v>1219</v>
      </c>
      <c r="U334" s="9">
        <v>11.9</v>
      </c>
      <c r="V334" s="9">
        <v>354</v>
      </c>
      <c r="W334" s="9">
        <v>451</v>
      </c>
      <c r="X334" s="9">
        <v>102.44</v>
      </c>
      <c r="Y334" s="9">
        <v>822013</v>
      </c>
      <c r="Z334" s="9">
        <v>42.7</v>
      </c>
    </row>
    <row r="335" spans="19:26" x14ac:dyDescent="0.2">
      <c r="S335" s="9" t="s">
        <v>378</v>
      </c>
      <c r="T335" s="9">
        <v>1219</v>
      </c>
      <c r="U335" s="9">
        <v>12.7</v>
      </c>
      <c r="V335" s="9">
        <v>378</v>
      </c>
      <c r="W335" s="9">
        <v>481</v>
      </c>
      <c r="X335" s="9">
        <v>95.98</v>
      </c>
      <c r="Y335" s="9">
        <v>875543</v>
      </c>
      <c r="Z335" s="9">
        <v>42.7</v>
      </c>
    </row>
    <row r="336" spans="19:26" x14ac:dyDescent="0.2">
      <c r="S336" s="9" t="s">
        <v>379</v>
      </c>
      <c r="T336" s="9">
        <v>1219</v>
      </c>
      <c r="U336" s="9">
        <v>14.3</v>
      </c>
      <c r="V336" s="9">
        <v>425</v>
      </c>
      <c r="W336" s="9">
        <v>541</v>
      </c>
      <c r="X336" s="9">
        <v>85.24</v>
      </c>
      <c r="Y336" s="9">
        <v>981960</v>
      </c>
      <c r="Z336" s="9">
        <v>42.6</v>
      </c>
    </row>
    <row r="337" spans="19:26" x14ac:dyDescent="0.2">
      <c r="S337" s="9" t="s">
        <v>380</v>
      </c>
      <c r="T337" s="9">
        <v>1219</v>
      </c>
      <c r="U337" s="9">
        <v>15.9</v>
      </c>
      <c r="V337" s="9">
        <v>472</v>
      </c>
      <c r="W337" s="9">
        <v>601</v>
      </c>
      <c r="X337" s="9">
        <v>76.67</v>
      </c>
      <c r="Y337" s="9">
        <v>1087522</v>
      </c>
      <c r="Z337" s="9">
        <v>42.5</v>
      </c>
    </row>
    <row r="338" spans="19:26" x14ac:dyDescent="0.2">
      <c r="S338" s="9" t="s">
        <v>381</v>
      </c>
      <c r="T338" s="9">
        <v>1219</v>
      </c>
      <c r="U338" s="9">
        <v>17.5</v>
      </c>
      <c r="V338" s="9">
        <v>519</v>
      </c>
      <c r="W338" s="9">
        <v>661</v>
      </c>
      <c r="X338" s="9">
        <v>69.66</v>
      </c>
      <c r="Y338" s="9">
        <v>1192234</v>
      </c>
      <c r="Z338" s="9">
        <v>42.5</v>
      </c>
    </row>
    <row r="339" spans="19:26" x14ac:dyDescent="0.2">
      <c r="S339" s="9" t="s">
        <v>382</v>
      </c>
      <c r="T339" s="9">
        <v>1219</v>
      </c>
      <c r="U339" s="9">
        <v>19.100000000000001</v>
      </c>
      <c r="V339" s="9">
        <v>565</v>
      </c>
      <c r="W339" s="9">
        <v>720</v>
      </c>
      <c r="X339" s="9">
        <v>63.82</v>
      </c>
      <c r="Y339" s="9">
        <v>1296100</v>
      </c>
      <c r="Z339" s="9">
        <v>42.4</v>
      </c>
    </row>
    <row r="340" spans="19:26" x14ac:dyDescent="0.2">
      <c r="S340" s="9" t="s">
        <v>383</v>
      </c>
      <c r="T340" s="9">
        <v>1219</v>
      </c>
      <c r="U340" s="9">
        <v>20.6</v>
      </c>
      <c r="V340" s="9">
        <v>609</v>
      </c>
      <c r="W340" s="9">
        <v>776</v>
      </c>
      <c r="X340" s="9">
        <v>59.17</v>
      </c>
      <c r="Y340" s="9">
        <v>1392710</v>
      </c>
      <c r="Z340" s="9">
        <v>42.4</v>
      </c>
    </row>
    <row r="341" spans="19:26" x14ac:dyDescent="0.2">
      <c r="S341" s="9" t="s">
        <v>384</v>
      </c>
      <c r="T341" s="9">
        <v>1219</v>
      </c>
      <c r="U341" s="9">
        <v>22.2</v>
      </c>
      <c r="V341" s="9">
        <v>655</v>
      </c>
      <c r="W341" s="9">
        <v>835</v>
      </c>
      <c r="X341" s="9">
        <v>54.91</v>
      </c>
      <c r="Y341" s="9">
        <v>1494951</v>
      </c>
      <c r="Z341" s="9">
        <v>42.3</v>
      </c>
    </row>
    <row r="342" spans="19:26" x14ac:dyDescent="0.2">
      <c r="S342" s="9" t="s">
        <v>385</v>
      </c>
      <c r="T342" s="9">
        <v>1270</v>
      </c>
      <c r="U342" s="9">
        <v>9.5</v>
      </c>
      <c r="V342" s="9">
        <v>295</v>
      </c>
      <c r="W342" s="9">
        <v>376</v>
      </c>
      <c r="X342" s="9">
        <v>133.68</v>
      </c>
      <c r="Y342" s="9">
        <v>747200</v>
      </c>
      <c r="Z342" s="9">
        <v>44.6</v>
      </c>
    </row>
    <row r="343" spans="19:26" x14ac:dyDescent="0.2">
      <c r="S343" s="9" t="s">
        <v>386</v>
      </c>
      <c r="T343" s="9">
        <v>1270</v>
      </c>
      <c r="U343" s="9">
        <v>10.3</v>
      </c>
      <c r="V343" s="9">
        <v>320</v>
      </c>
      <c r="W343" s="9">
        <v>408</v>
      </c>
      <c r="X343" s="9">
        <v>123.3</v>
      </c>
      <c r="Y343" s="9">
        <v>808588</v>
      </c>
      <c r="Z343" s="9">
        <v>44.5</v>
      </c>
    </row>
    <row r="344" spans="19:26" x14ac:dyDescent="0.2">
      <c r="S344" s="9" t="s">
        <v>387</v>
      </c>
      <c r="T344" s="9">
        <v>1270</v>
      </c>
      <c r="U344" s="9">
        <v>11.1</v>
      </c>
      <c r="V344" s="9">
        <v>345</v>
      </c>
      <c r="W344" s="9">
        <v>439</v>
      </c>
      <c r="X344" s="9">
        <v>114.41</v>
      </c>
      <c r="Y344" s="9">
        <v>869742</v>
      </c>
      <c r="Z344" s="9">
        <v>44.5</v>
      </c>
    </row>
    <row r="345" spans="19:26" x14ac:dyDescent="0.2">
      <c r="S345" s="9" t="s">
        <v>388</v>
      </c>
      <c r="T345" s="9">
        <v>1270</v>
      </c>
      <c r="U345" s="9">
        <v>11.9</v>
      </c>
      <c r="V345" s="9">
        <v>369</v>
      </c>
      <c r="W345" s="9">
        <v>470</v>
      </c>
      <c r="X345" s="9">
        <v>106.72</v>
      </c>
      <c r="Y345" s="9">
        <v>930660</v>
      </c>
      <c r="Z345" s="9">
        <v>44.5</v>
      </c>
    </row>
    <row r="346" spans="19:26" x14ac:dyDescent="0.2">
      <c r="S346" s="9" t="s">
        <v>389</v>
      </c>
      <c r="T346" s="9">
        <v>1270</v>
      </c>
      <c r="U346" s="9">
        <v>12.7</v>
      </c>
      <c r="V346" s="9">
        <v>394</v>
      </c>
      <c r="W346" s="9">
        <v>502</v>
      </c>
      <c r="X346" s="9">
        <v>100</v>
      </c>
      <c r="Y346" s="9">
        <v>991345</v>
      </c>
      <c r="Z346" s="9">
        <v>44.5</v>
      </c>
    </row>
    <row r="347" spans="19:26" x14ac:dyDescent="0.2">
      <c r="S347" s="9" t="s">
        <v>390</v>
      </c>
      <c r="T347" s="9">
        <v>1270</v>
      </c>
      <c r="U347" s="9">
        <v>14.3</v>
      </c>
      <c r="V347" s="9">
        <v>443</v>
      </c>
      <c r="W347" s="9">
        <v>564</v>
      </c>
      <c r="X347" s="9">
        <v>88.81</v>
      </c>
      <c r="Y347" s="9">
        <v>1112013</v>
      </c>
      <c r="Z347" s="9">
        <v>44.4</v>
      </c>
    </row>
    <row r="348" spans="19:26" x14ac:dyDescent="0.2">
      <c r="S348" s="9" t="s">
        <v>391</v>
      </c>
      <c r="T348" s="9">
        <v>1270</v>
      </c>
      <c r="U348" s="9">
        <v>15.9</v>
      </c>
      <c r="V348" s="9">
        <v>492</v>
      </c>
      <c r="W348" s="9">
        <v>626</v>
      </c>
      <c r="X348" s="9">
        <v>79.87</v>
      </c>
      <c r="Y348" s="9">
        <v>1231752</v>
      </c>
      <c r="Z348" s="9">
        <v>44.3</v>
      </c>
    </row>
    <row r="349" spans="19:26" x14ac:dyDescent="0.2">
      <c r="S349" s="9" t="s">
        <v>392</v>
      </c>
      <c r="T349" s="9">
        <v>1270</v>
      </c>
      <c r="U349" s="9">
        <v>17.5</v>
      </c>
      <c r="V349" s="9">
        <v>541</v>
      </c>
      <c r="W349" s="9">
        <v>689</v>
      </c>
      <c r="X349" s="9">
        <v>72.569999999999993</v>
      </c>
      <c r="Y349" s="9">
        <v>1350566</v>
      </c>
      <c r="Z349" s="9">
        <v>44.3</v>
      </c>
    </row>
    <row r="350" spans="19:26" x14ac:dyDescent="0.2">
      <c r="S350" s="9" t="s">
        <v>393</v>
      </c>
      <c r="T350" s="9">
        <v>1270</v>
      </c>
      <c r="U350" s="9">
        <v>19.100000000000001</v>
      </c>
      <c r="V350" s="9">
        <v>589</v>
      </c>
      <c r="W350" s="9">
        <v>751</v>
      </c>
      <c r="X350" s="9">
        <v>66.489999999999995</v>
      </c>
      <c r="Y350" s="9">
        <v>1468461</v>
      </c>
      <c r="Z350" s="9">
        <v>44.2</v>
      </c>
    </row>
    <row r="351" spans="19:26" x14ac:dyDescent="0.2">
      <c r="S351" s="9" t="s">
        <v>394</v>
      </c>
      <c r="T351" s="9">
        <v>1270</v>
      </c>
      <c r="U351" s="9">
        <v>20.6</v>
      </c>
      <c r="V351" s="9">
        <v>635</v>
      </c>
      <c r="W351" s="9">
        <v>809</v>
      </c>
      <c r="X351" s="9">
        <v>61.65</v>
      </c>
      <c r="Y351" s="9">
        <v>1578155</v>
      </c>
      <c r="Z351" s="9">
        <v>44.2</v>
      </c>
    </row>
    <row r="352" spans="19:26" x14ac:dyDescent="0.2">
      <c r="S352" s="9" t="s">
        <v>395</v>
      </c>
      <c r="T352" s="9">
        <v>1270</v>
      </c>
      <c r="U352" s="9">
        <v>22.2</v>
      </c>
      <c r="V352" s="9">
        <v>683</v>
      </c>
      <c r="W352" s="9">
        <v>870</v>
      </c>
      <c r="X352" s="9">
        <v>57.21</v>
      </c>
      <c r="Y352" s="9">
        <v>1694280</v>
      </c>
      <c r="Z352" s="9">
        <v>44.1</v>
      </c>
    </row>
    <row r="353" spans="19:26" x14ac:dyDescent="0.2">
      <c r="S353" s="9" t="s">
        <v>396</v>
      </c>
      <c r="T353" s="9">
        <v>1321</v>
      </c>
      <c r="U353" s="9">
        <v>9.5</v>
      </c>
      <c r="V353" s="9">
        <v>307</v>
      </c>
      <c r="W353" s="9">
        <v>391</v>
      </c>
      <c r="X353" s="9">
        <v>139.05000000000001</v>
      </c>
      <c r="Y353" s="9">
        <v>841611</v>
      </c>
      <c r="Z353" s="9">
        <v>46.4</v>
      </c>
    </row>
    <row r="354" spans="19:26" x14ac:dyDescent="0.2">
      <c r="S354" s="9" t="s">
        <v>397</v>
      </c>
      <c r="T354" s="9">
        <v>1321</v>
      </c>
      <c r="U354" s="9">
        <v>10.3</v>
      </c>
      <c r="V354" s="9">
        <v>333</v>
      </c>
      <c r="W354" s="9">
        <v>424</v>
      </c>
      <c r="X354" s="9">
        <v>128.25</v>
      </c>
      <c r="Y354" s="9">
        <v>910823</v>
      </c>
      <c r="Z354" s="9">
        <v>46.3</v>
      </c>
    </row>
    <row r="355" spans="19:26" x14ac:dyDescent="0.2">
      <c r="S355" s="9" t="s">
        <v>398</v>
      </c>
      <c r="T355" s="9">
        <v>1321</v>
      </c>
      <c r="U355" s="9">
        <v>11.1</v>
      </c>
      <c r="V355" s="9">
        <v>359</v>
      </c>
      <c r="W355" s="9">
        <v>457</v>
      </c>
      <c r="X355" s="9">
        <v>119.01</v>
      </c>
      <c r="Y355" s="9">
        <v>979780</v>
      </c>
      <c r="Z355" s="9">
        <v>46.3</v>
      </c>
    </row>
    <row r="356" spans="19:26" x14ac:dyDescent="0.2">
      <c r="S356" s="9" t="s">
        <v>399</v>
      </c>
      <c r="T356" s="9">
        <v>1321</v>
      </c>
      <c r="U356" s="9">
        <v>11.9</v>
      </c>
      <c r="V356" s="9">
        <v>384</v>
      </c>
      <c r="W356" s="9">
        <v>489</v>
      </c>
      <c r="X356" s="9">
        <v>111.01</v>
      </c>
      <c r="Y356" s="9">
        <v>1048483</v>
      </c>
      <c r="Z356" s="9">
        <v>46.3</v>
      </c>
    </row>
    <row r="357" spans="19:26" x14ac:dyDescent="0.2">
      <c r="S357" s="9" t="s">
        <v>400</v>
      </c>
      <c r="T357" s="9">
        <v>1321</v>
      </c>
      <c r="U357" s="9">
        <v>12.7</v>
      </c>
      <c r="V357" s="9">
        <v>410</v>
      </c>
      <c r="W357" s="9">
        <v>522</v>
      </c>
      <c r="X357" s="9">
        <v>104.02</v>
      </c>
      <c r="Y357" s="9">
        <v>1116932</v>
      </c>
      <c r="Z357" s="9">
        <v>46.3</v>
      </c>
    </row>
    <row r="358" spans="19:26" x14ac:dyDescent="0.2">
      <c r="S358" s="9" t="s">
        <v>401</v>
      </c>
      <c r="T358" s="9">
        <v>1321</v>
      </c>
      <c r="U358" s="9">
        <v>14.3</v>
      </c>
      <c r="V358" s="9">
        <v>461</v>
      </c>
      <c r="W358" s="9">
        <v>587</v>
      </c>
      <c r="X358" s="9">
        <v>92.38</v>
      </c>
      <c r="Y358" s="9">
        <v>1253071</v>
      </c>
      <c r="Z358" s="9">
        <v>46.2</v>
      </c>
    </row>
    <row r="359" spans="19:26" x14ac:dyDescent="0.2">
      <c r="S359" s="9" t="s">
        <v>402</v>
      </c>
      <c r="T359" s="9">
        <v>1321</v>
      </c>
      <c r="U359" s="9">
        <v>15.9</v>
      </c>
      <c r="V359" s="9">
        <v>512</v>
      </c>
      <c r="W359" s="9">
        <v>652</v>
      </c>
      <c r="X359" s="9">
        <v>83.08</v>
      </c>
      <c r="Y359" s="9">
        <v>1388203</v>
      </c>
      <c r="Z359" s="9">
        <v>46.1</v>
      </c>
    </row>
    <row r="360" spans="19:26" x14ac:dyDescent="0.2">
      <c r="S360" s="9" t="s">
        <v>403</v>
      </c>
      <c r="T360" s="9">
        <v>1321</v>
      </c>
      <c r="U360" s="9">
        <v>17.5</v>
      </c>
      <c r="V360" s="9">
        <v>563</v>
      </c>
      <c r="W360" s="9">
        <v>717</v>
      </c>
      <c r="X360" s="9">
        <v>75.489999999999995</v>
      </c>
      <c r="Y360" s="9">
        <v>1522332</v>
      </c>
      <c r="Z360" s="9">
        <v>46.1</v>
      </c>
    </row>
    <row r="361" spans="19:26" x14ac:dyDescent="0.2">
      <c r="S361" s="9" t="s">
        <v>404</v>
      </c>
      <c r="T361" s="9">
        <v>1321</v>
      </c>
      <c r="U361" s="9">
        <v>19.100000000000001</v>
      </c>
      <c r="V361" s="9">
        <v>613</v>
      </c>
      <c r="W361" s="9">
        <v>781</v>
      </c>
      <c r="X361" s="9">
        <v>69.16</v>
      </c>
      <c r="Y361" s="9">
        <v>1655463</v>
      </c>
      <c r="Z361" s="9">
        <v>46</v>
      </c>
    </row>
    <row r="362" spans="19:26" x14ac:dyDescent="0.2">
      <c r="S362" s="9" t="s">
        <v>405</v>
      </c>
      <c r="T362" s="9">
        <v>1321</v>
      </c>
      <c r="U362" s="9">
        <v>20.6</v>
      </c>
      <c r="V362" s="9">
        <v>661</v>
      </c>
      <c r="W362" s="9">
        <v>842</v>
      </c>
      <c r="X362" s="9">
        <v>64.13</v>
      </c>
      <c r="Y362" s="9">
        <v>1779373</v>
      </c>
      <c r="Z362" s="9">
        <v>46</v>
      </c>
    </row>
    <row r="363" spans="19:26" x14ac:dyDescent="0.2">
      <c r="S363" s="9" t="s">
        <v>406</v>
      </c>
      <c r="T363" s="9">
        <v>1321</v>
      </c>
      <c r="U363" s="9">
        <v>22.2</v>
      </c>
      <c r="V363" s="9">
        <v>711</v>
      </c>
      <c r="W363" s="9">
        <v>906</v>
      </c>
      <c r="X363" s="9">
        <v>59.5</v>
      </c>
      <c r="Y363" s="9">
        <v>1910586</v>
      </c>
      <c r="Z363" s="9">
        <v>45.9</v>
      </c>
    </row>
    <row r="364" spans="19:26" x14ac:dyDescent="0.2">
      <c r="S364" s="9" t="s">
        <v>407</v>
      </c>
      <c r="T364" s="9">
        <v>1372</v>
      </c>
      <c r="U364" s="9">
        <v>9.5</v>
      </c>
      <c r="V364" s="9">
        <v>319</v>
      </c>
      <c r="W364" s="9">
        <v>407</v>
      </c>
      <c r="X364" s="9">
        <v>144.41999999999999</v>
      </c>
      <c r="Y364" s="9">
        <v>943657</v>
      </c>
      <c r="Z364" s="9">
        <v>48.2</v>
      </c>
    </row>
    <row r="365" spans="19:26" x14ac:dyDescent="0.2">
      <c r="S365" s="9" t="s">
        <v>408</v>
      </c>
      <c r="T365" s="9">
        <v>1372</v>
      </c>
      <c r="U365" s="9">
        <v>10.3</v>
      </c>
      <c r="V365" s="9">
        <v>346</v>
      </c>
      <c r="W365" s="9">
        <v>441</v>
      </c>
      <c r="X365" s="9">
        <v>133.19999999999999</v>
      </c>
      <c r="Y365" s="9">
        <v>1021330</v>
      </c>
      <c r="Z365" s="9">
        <v>48.1</v>
      </c>
    </row>
    <row r="366" spans="19:26" x14ac:dyDescent="0.2">
      <c r="S366" s="9" t="s">
        <v>409</v>
      </c>
      <c r="T366" s="9">
        <v>1372</v>
      </c>
      <c r="U366" s="9">
        <v>11.1</v>
      </c>
      <c r="V366" s="9">
        <v>373</v>
      </c>
      <c r="W366" s="9">
        <v>475</v>
      </c>
      <c r="X366" s="9">
        <v>123.6</v>
      </c>
      <c r="Y366" s="9">
        <v>1098729</v>
      </c>
      <c r="Z366" s="9">
        <v>48.1</v>
      </c>
    </row>
    <row r="367" spans="19:26" x14ac:dyDescent="0.2">
      <c r="S367" s="9" t="s">
        <v>410</v>
      </c>
      <c r="T367" s="9">
        <v>1372</v>
      </c>
      <c r="U367" s="9">
        <v>11.9</v>
      </c>
      <c r="V367" s="9">
        <v>399</v>
      </c>
      <c r="W367" s="9">
        <v>508</v>
      </c>
      <c r="X367" s="9">
        <v>115.29</v>
      </c>
      <c r="Y367" s="9">
        <v>1175852</v>
      </c>
      <c r="Z367" s="9">
        <v>48.1</v>
      </c>
    </row>
    <row r="368" spans="19:26" x14ac:dyDescent="0.2">
      <c r="S368" s="9" t="s">
        <v>411</v>
      </c>
      <c r="T368" s="9">
        <v>1372</v>
      </c>
      <c r="U368" s="9">
        <v>12.7</v>
      </c>
      <c r="V368" s="9">
        <v>426</v>
      </c>
      <c r="W368" s="9">
        <v>542</v>
      </c>
      <c r="X368" s="9">
        <v>108.03</v>
      </c>
      <c r="Y368" s="9">
        <v>1252701</v>
      </c>
      <c r="Z368" s="9">
        <v>48.1</v>
      </c>
    </row>
    <row r="369" spans="19:26" x14ac:dyDescent="0.2">
      <c r="S369" s="9" t="s">
        <v>412</v>
      </c>
      <c r="T369" s="9">
        <v>1372</v>
      </c>
      <c r="U369" s="9">
        <v>14.3</v>
      </c>
      <c r="V369" s="9">
        <v>479</v>
      </c>
      <c r="W369" s="9">
        <v>610</v>
      </c>
      <c r="X369" s="9">
        <v>95.94</v>
      </c>
      <c r="Y369" s="9">
        <v>1405580</v>
      </c>
      <c r="Z369" s="9">
        <v>48</v>
      </c>
    </row>
    <row r="370" spans="19:26" x14ac:dyDescent="0.2">
      <c r="S370" s="9" t="s">
        <v>413</v>
      </c>
      <c r="T370" s="9">
        <v>1372</v>
      </c>
      <c r="U370" s="9">
        <v>15.9</v>
      </c>
      <c r="V370" s="9">
        <v>532</v>
      </c>
      <c r="W370" s="9">
        <v>677</v>
      </c>
      <c r="X370" s="9">
        <v>86.29</v>
      </c>
      <c r="Y370" s="9">
        <v>1557370</v>
      </c>
      <c r="Z370" s="9">
        <v>47.9</v>
      </c>
    </row>
    <row r="371" spans="19:26" x14ac:dyDescent="0.2">
      <c r="S371" s="9" t="s">
        <v>414</v>
      </c>
      <c r="T371" s="9">
        <v>1372</v>
      </c>
      <c r="U371" s="9">
        <v>17.5</v>
      </c>
      <c r="V371" s="9">
        <v>585</v>
      </c>
      <c r="W371" s="9">
        <v>745</v>
      </c>
      <c r="X371" s="9">
        <v>78.400000000000006</v>
      </c>
      <c r="Y371" s="9">
        <v>1708077</v>
      </c>
      <c r="Z371" s="9">
        <v>47.9</v>
      </c>
    </row>
    <row r="372" spans="19:26" x14ac:dyDescent="0.2">
      <c r="S372" s="9" t="s">
        <v>415</v>
      </c>
      <c r="T372" s="9">
        <v>1372</v>
      </c>
      <c r="U372" s="9">
        <v>19.100000000000001</v>
      </c>
      <c r="V372" s="9">
        <v>637</v>
      </c>
      <c r="W372" s="9">
        <v>812</v>
      </c>
      <c r="X372" s="9">
        <v>71.83</v>
      </c>
      <c r="Y372" s="9">
        <v>1857706</v>
      </c>
      <c r="Z372" s="9">
        <v>47.8</v>
      </c>
    </row>
    <row r="373" spans="19:26" x14ac:dyDescent="0.2">
      <c r="S373" s="9" t="s">
        <v>416</v>
      </c>
      <c r="T373" s="9">
        <v>1372</v>
      </c>
      <c r="U373" s="9">
        <v>20.6</v>
      </c>
      <c r="V373" s="9">
        <v>687</v>
      </c>
      <c r="W373" s="9">
        <v>875</v>
      </c>
      <c r="X373" s="9">
        <v>66.599999999999994</v>
      </c>
      <c r="Y373" s="9">
        <v>1997008</v>
      </c>
      <c r="Z373" s="9">
        <v>47.8</v>
      </c>
    </row>
    <row r="374" spans="19:26" x14ac:dyDescent="0.2">
      <c r="S374" s="9" t="s">
        <v>417</v>
      </c>
      <c r="T374" s="9">
        <v>1372</v>
      </c>
      <c r="U374" s="9">
        <v>22.2</v>
      </c>
      <c r="V374" s="9">
        <v>739</v>
      </c>
      <c r="W374" s="9">
        <v>941</v>
      </c>
      <c r="X374" s="9">
        <v>61.8</v>
      </c>
      <c r="Y374" s="9">
        <v>2144562</v>
      </c>
      <c r="Z374" s="9">
        <v>47.7</v>
      </c>
    </row>
    <row r="375" spans="19:26" x14ac:dyDescent="0.2">
      <c r="S375" s="9" t="s">
        <v>418</v>
      </c>
      <c r="T375" s="9">
        <v>1422</v>
      </c>
      <c r="U375" s="9">
        <v>11.9</v>
      </c>
      <c r="V375" s="9">
        <v>414</v>
      </c>
      <c r="W375" s="9">
        <v>527</v>
      </c>
      <c r="X375" s="9">
        <v>119.5</v>
      </c>
      <c r="Y375" s="9">
        <v>1310351</v>
      </c>
      <c r="Z375" s="9">
        <v>49.9</v>
      </c>
    </row>
    <row r="376" spans="19:26" x14ac:dyDescent="0.2">
      <c r="S376" s="9" t="s">
        <v>419</v>
      </c>
      <c r="T376" s="9">
        <v>1422</v>
      </c>
      <c r="U376" s="9">
        <v>12.7</v>
      </c>
      <c r="V376" s="9">
        <v>441</v>
      </c>
      <c r="W376" s="9">
        <v>562</v>
      </c>
      <c r="X376" s="9">
        <v>111.97</v>
      </c>
      <c r="Y376" s="9">
        <v>1396077</v>
      </c>
      <c r="Z376" s="9">
        <v>49.8</v>
      </c>
    </row>
    <row r="377" spans="19:26" x14ac:dyDescent="0.2">
      <c r="S377" s="9" t="s">
        <v>420</v>
      </c>
      <c r="T377" s="9">
        <v>1422</v>
      </c>
      <c r="U377" s="9">
        <v>14.3</v>
      </c>
      <c r="V377" s="9">
        <v>496</v>
      </c>
      <c r="W377" s="9">
        <v>632</v>
      </c>
      <c r="X377" s="9">
        <v>99.44</v>
      </c>
      <c r="Y377" s="9">
        <v>1566647</v>
      </c>
      <c r="Z377" s="9">
        <v>49.8</v>
      </c>
    </row>
    <row r="378" spans="19:26" x14ac:dyDescent="0.2">
      <c r="S378" s="9" t="s">
        <v>421</v>
      </c>
      <c r="T378" s="9">
        <v>1422</v>
      </c>
      <c r="U378" s="9">
        <v>15.9</v>
      </c>
      <c r="V378" s="9">
        <v>551</v>
      </c>
      <c r="W378" s="9">
        <v>702</v>
      </c>
      <c r="X378" s="9">
        <v>89.43</v>
      </c>
      <c r="Y378" s="9">
        <v>1736046</v>
      </c>
      <c r="Z378" s="9">
        <v>49.7</v>
      </c>
    </row>
    <row r="379" spans="19:26" x14ac:dyDescent="0.2">
      <c r="S379" s="9" t="s">
        <v>422</v>
      </c>
      <c r="T379" s="9">
        <v>1422</v>
      </c>
      <c r="U379" s="9">
        <v>17.5</v>
      </c>
      <c r="V379" s="9">
        <v>606</v>
      </c>
      <c r="W379" s="9">
        <v>772</v>
      </c>
      <c r="X379" s="9">
        <v>81.260000000000005</v>
      </c>
      <c r="Y379" s="9">
        <v>1904279</v>
      </c>
      <c r="Z379" s="9">
        <v>49.7</v>
      </c>
    </row>
    <row r="380" spans="19:26" x14ac:dyDescent="0.2">
      <c r="S380" s="9" t="s">
        <v>423</v>
      </c>
      <c r="T380" s="9">
        <v>1422</v>
      </c>
      <c r="U380" s="9">
        <v>19.100000000000001</v>
      </c>
      <c r="V380" s="9">
        <v>661</v>
      </c>
      <c r="W380" s="9">
        <v>842</v>
      </c>
      <c r="X380" s="9">
        <v>74.45</v>
      </c>
      <c r="Y380" s="9">
        <v>2071352</v>
      </c>
      <c r="Z380" s="9">
        <v>49.6</v>
      </c>
    </row>
    <row r="381" spans="19:26" x14ac:dyDescent="0.2">
      <c r="S381" s="9" t="s">
        <v>424</v>
      </c>
      <c r="T381" s="9">
        <v>1422</v>
      </c>
      <c r="U381" s="9">
        <v>20.6</v>
      </c>
      <c r="V381" s="9">
        <v>712</v>
      </c>
      <c r="W381" s="9">
        <v>907</v>
      </c>
      <c r="X381" s="9">
        <v>69.03</v>
      </c>
      <c r="Y381" s="9">
        <v>2226934</v>
      </c>
      <c r="Z381" s="9">
        <v>49.6</v>
      </c>
    </row>
    <row r="382" spans="19:26" x14ac:dyDescent="0.2">
      <c r="S382" s="9" t="s">
        <v>425</v>
      </c>
      <c r="T382" s="9">
        <v>1422</v>
      </c>
      <c r="U382" s="9">
        <v>22.2</v>
      </c>
      <c r="V382" s="9">
        <v>766</v>
      </c>
      <c r="W382" s="9">
        <v>976</v>
      </c>
      <c r="X382" s="9">
        <v>64.05</v>
      </c>
      <c r="Y382" s="9">
        <v>2391773</v>
      </c>
      <c r="Z382" s="9">
        <v>49.5</v>
      </c>
    </row>
    <row r="383" spans="19:26" x14ac:dyDescent="0.2">
      <c r="S383" s="9" t="s">
        <v>426</v>
      </c>
      <c r="T383" s="9">
        <v>1473</v>
      </c>
      <c r="U383" s="9">
        <v>11.9</v>
      </c>
      <c r="V383" s="9">
        <v>429</v>
      </c>
      <c r="W383" s="9">
        <v>546</v>
      </c>
      <c r="X383" s="9">
        <v>123.78</v>
      </c>
      <c r="Y383" s="9">
        <v>1457725</v>
      </c>
      <c r="Z383" s="9">
        <v>51.7</v>
      </c>
    </row>
    <row r="384" spans="19:26" x14ac:dyDescent="0.2">
      <c r="S384" s="9" t="s">
        <v>427</v>
      </c>
      <c r="T384" s="9">
        <v>1473</v>
      </c>
      <c r="U384" s="9">
        <v>12.7</v>
      </c>
      <c r="V384" s="9">
        <v>457</v>
      </c>
      <c r="W384" s="9">
        <v>583</v>
      </c>
      <c r="X384" s="9">
        <v>115.98</v>
      </c>
      <c r="Y384" s="9">
        <v>1553183</v>
      </c>
      <c r="Z384" s="9">
        <v>51.6</v>
      </c>
    </row>
    <row r="385" spans="19:26" x14ac:dyDescent="0.2">
      <c r="S385" s="9" t="s">
        <v>428</v>
      </c>
      <c r="T385" s="9">
        <v>1473</v>
      </c>
      <c r="U385" s="9">
        <v>14.3</v>
      </c>
      <c r="V385" s="9">
        <v>514</v>
      </c>
      <c r="W385" s="9">
        <v>655</v>
      </c>
      <c r="X385" s="9">
        <v>103.01</v>
      </c>
      <c r="Y385" s="9">
        <v>1743153</v>
      </c>
      <c r="Z385" s="9">
        <v>51.6</v>
      </c>
    </row>
    <row r="386" spans="19:26" x14ac:dyDescent="0.2">
      <c r="S386" s="9" t="s">
        <v>429</v>
      </c>
      <c r="T386" s="9">
        <v>1473</v>
      </c>
      <c r="U386" s="9">
        <v>15.9</v>
      </c>
      <c r="V386" s="9">
        <v>571</v>
      </c>
      <c r="W386" s="9">
        <v>728</v>
      </c>
      <c r="X386" s="9">
        <v>92.64</v>
      </c>
      <c r="Y386" s="9">
        <v>1931865</v>
      </c>
      <c r="Z386" s="9">
        <v>51.5</v>
      </c>
    </row>
    <row r="387" spans="19:26" x14ac:dyDescent="0.2">
      <c r="S387" s="9" t="s">
        <v>430</v>
      </c>
      <c r="T387" s="9">
        <v>1473</v>
      </c>
      <c r="U387" s="9">
        <v>17.5</v>
      </c>
      <c r="V387" s="9">
        <v>628</v>
      </c>
      <c r="W387" s="9">
        <v>800</v>
      </c>
      <c r="X387" s="9">
        <v>84.17</v>
      </c>
      <c r="Y387" s="9">
        <v>2119324</v>
      </c>
      <c r="Z387" s="9">
        <v>51.5</v>
      </c>
    </row>
    <row r="388" spans="19:26" x14ac:dyDescent="0.2">
      <c r="S388" s="9" t="s">
        <v>431</v>
      </c>
      <c r="T388" s="9">
        <v>1473</v>
      </c>
      <c r="U388" s="9">
        <v>19.100000000000001</v>
      </c>
      <c r="V388" s="9">
        <v>685</v>
      </c>
      <c r="W388" s="9">
        <v>872</v>
      </c>
      <c r="X388" s="9">
        <v>77.12</v>
      </c>
      <c r="Y388" s="9">
        <v>2305535</v>
      </c>
      <c r="Z388" s="9">
        <v>51.4</v>
      </c>
    </row>
    <row r="389" spans="19:26" x14ac:dyDescent="0.2">
      <c r="S389" s="9" t="s">
        <v>432</v>
      </c>
      <c r="T389" s="9">
        <v>1473</v>
      </c>
      <c r="U389" s="9">
        <v>20.6</v>
      </c>
      <c r="V389" s="9">
        <v>738</v>
      </c>
      <c r="W389" s="9">
        <v>940</v>
      </c>
      <c r="X389" s="9">
        <v>71.5</v>
      </c>
      <c r="Y389" s="9">
        <v>2478981</v>
      </c>
      <c r="Z389" s="9">
        <v>51.4</v>
      </c>
    </row>
    <row r="390" spans="19:26" x14ac:dyDescent="0.2">
      <c r="S390" s="9" t="s">
        <v>433</v>
      </c>
      <c r="T390" s="9">
        <v>1473</v>
      </c>
      <c r="U390" s="9">
        <v>22.2</v>
      </c>
      <c r="V390" s="9">
        <v>794</v>
      </c>
      <c r="W390" s="9">
        <v>1012</v>
      </c>
      <c r="X390" s="9">
        <v>66.349999999999994</v>
      </c>
      <c r="Y390" s="9">
        <v>2662792</v>
      </c>
      <c r="Z390" s="9">
        <v>51.3</v>
      </c>
    </row>
    <row r="391" spans="19:26" x14ac:dyDescent="0.2">
      <c r="S391" s="9" t="s">
        <v>434</v>
      </c>
      <c r="T391" s="9">
        <v>1524</v>
      </c>
      <c r="U391" s="9">
        <v>11.9</v>
      </c>
      <c r="V391" s="9">
        <v>444</v>
      </c>
      <c r="W391" s="9">
        <v>565</v>
      </c>
      <c r="X391" s="9">
        <v>128.07</v>
      </c>
      <c r="Y391" s="9">
        <v>1615754</v>
      </c>
      <c r="Z391" s="9">
        <v>53.5</v>
      </c>
    </row>
    <row r="392" spans="19:26" x14ac:dyDescent="0.2">
      <c r="S392" s="9" t="s">
        <v>435</v>
      </c>
      <c r="T392" s="9">
        <v>1524</v>
      </c>
      <c r="U392" s="9">
        <v>12.7</v>
      </c>
      <c r="V392" s="9">
        <v>473</v>
      </c>
      <c r="W392" s="9">
        <v>603</v>
      </c>
      <c r="X392" s="9">
        <v>120</v>
      </c>
      <c r="Y392" s="9">
        <v>1721656</v>
      </c>
      <c r="Z392" s="9">
        <v>53.4</v>
      </c>
    </row>
    <row r="393" spans="19:26" x14ac:dyDescent="0.2">
      <c r="S393" s="9" t="s">
        <v>436</v>
      </c>
      <c r="T393" s="9">
        <v>1524</v>
      </c>
      <c r="U393" s="9">
        <v>14.3</v>
      </c>
      <c r="V393" s="9">
        <v>532</v>
      </c>
      <c r="W393" s="9">
        <v>678</v>
      </c>
      <c r="X393" s="9">
        <v>106.57</v>
      </c>
      <c r="Y393" s="9">
        <v>1932444</v>
      </c>
      <c r="Z393" s="9">
        <v>53.4</v>
      </c>
    </row>
    <row r="394" spans="19:26" x14ac:dyDescent="0.2">
      <c r="S394" s="9" t="s">
        <v>437</v>
      </c>
      <c r="T394" s="9">
        <v>1524</v>
      </c>
      <c r="U394" s="9">
        <v>15.9</v>
      </c>
      <c r="V394" s="9">
        <v>591</v>
      </c>
      <c r="W394" s="9">
        <v>753</v>
      </c>
      <c r="X394" s="9">
        <v>95.85</v>
      </c>
      <c r="Y394" s="9">
        <v>2141883</v>
      </c>
      <c r="Z394" s="9">
        <v>53.3</v>
      </c>
    </row>
    <row r="395" spans="19:26" x14ac:dyDescent="0.2">
      <c r="S395" s="9" t="s">
        <v>438</v>
      </c>
      <c r="T395" s="9">
        <v>1524</v>
      </c>
      <c r="U395" s="9">
        <v>17.5</v>
      </c>
      <c r="V395" s="9">
        <v>650</v>
      </c>
      <c r="W395" s="9">
        <v>828</v>
      </c>
      <c r="X395" s="9">
        <v>87.09</v>
      </c>
      <c r="Y395" s="9">
        <v>2349979</v>
      </c>
      <c r="Z395" s="9">
        <v>53.3</v>
      </c>
    </row>
    <row r="396" spans="19:26" x14ac:dyDescent="0.2">
      <c r="S396" s="9" t="s">
        <v>439</v>
      </c>
      <c r="T396" s="9">
        <v>1524</v>
      </c>
      <c r="U396" s="9">
        <v>19.100000000000001</v>
      </c>
      <c r="V396" s="9">
        <v>709</v>
      </c>
      <c r="W396" s="9">
        <v>903</v>
      </c>
      <c r="X396" s="9">
        <v>79.790000000000006</v>
      </c>
      <c r="Y396" s="9">
        <v>2556737</v>
      </c>
      <c r="Z396" s="9">
        <v>53.2</v>
      </c>
    </row>
    <row r="397" spans="19:26" x14ac:dyDescent="0.2">
      <c r="S397" s="9" t="s">
        <v>440</v>
      </c>
      <c r="T397" s="9">
        <v>1524</v>
      </c>
      <c r="U397" s="9">
        <v>20.6</v>
      </c>
      <c r="V397" s="9">
        <v>764</v>
      </c>
      <c r="W397" s="9">
        <v>973</v>
      </c>
      <c r="X397" s="9">
        <v>73.98</v>
      </c>
      <c r="Y397" s="9">
        <v>2749364</v>
      </c>
      <c r="Z397" s="9">
        <v>53.2</v>
      </c>
    </row>
    <row r="398" spans="19:26" x14ac:dyDescent="0.2">
      <c r="S398" s="9" t="s">
        <v>441</v>
      </c>
      <c r="T398" s="9">
        <v>1524</v>
      </c>
      <c r="U398" s="9">
        <v>22.2</v>
      </c>
      <c r="V398" s="9">
        <v>822</v>
      </c>
      <c r="W398" s="9">
        <v>1047</v>
      </c>
      <c r="X398" s="9">
        <v>68.650000000000006</v>
      </c>
      <c r="Y398" s="9">
        <v>2953548</v>
      </c>
      <c r="Z398" s="9">
        <v>53.1</v>
      </c>
    </row>
    <row r="399" spans="19:26" x14ac:dyDescent="0.2">
      <c r="S399" s="9" t="s">
        <v>442</v>
      </c>
      <c r="T399" s="9">
        <v>1626</v>
      </c>
      <c r="U399" s="9">
        <v>11.9</v>
      </c>
      <c r="V399" s="9">
        <v>474</v>
      </c>
      <c r="W399" s="9">
        <v>603</v>
      </c>
      <c r="X399" s="9">
        <v>136.63999999999999</v>
      </c>
      <c r="Y399" s="9">
        <v>1965268</v>
      </c>
      <c r="Z399" s="9">
        <v>57.1</v>
      </c>
    </row>
    <row r="400" spans="19:26" x14ac:dyDescent="0.2">
      <c r="S400" s="9" t="s">
        <v>443</v>
      </c>
      <c r="T400" s="9">
        <v>1626</v>
      </c>
      <c r="U400" s="9">
        <v>12.7</v>
      </c>
      <c r="V400" s="9">
        <v>505</v>
      </c>
      <c r="W400" s="9">
        <v>644</v>
      </c>
      <c r="X400" s="9">
        <v>128.03</v>
      </c>
      <c r="Y400" s="9">
        <v>2094286</v>
      </c>
      <c r="Z400" s="9">
        <v>57</v>
      </c>
    </row>
    <row r="401" spans="19:26" x14ac:dyDescent="0.2">
      <c r="S401" s="9" t="s">
        <v>444</v>
      </c>
      <c r="T401" s="9">
        <v>1626</v>
      </c>
      <c r="U401" s="9">
        <v>14.3</v>
      </c>
      <c r="V401" s="9">
        <v>568</v>
      </c>
      <c r="W401" s="9">
        <v>724</v>
      </c>
      <c r="X401" s="9">
        <v>113.71</v>
      </c>
      <c r="Y401" s="9">
        <v>2351163</v>
      </c>
      <c r="Z401" s="9">
        <v>57</v>
      </c>
    </row>
    <row r="402" spans="19:26" x14ac:dyDescent="0.2">
      <c r="S402" s="9" t="s">
        <v>445</v>
      </c>
      <c r="T402" s="9">
        <v>1626</v>
      </c>
      <c r="U402" s="9">
        <v>15.9</v>
      </c>
      <c r="V402" s="9">
        <v>631</v>
      </c>
      <c r="W402" s="9">
        <v>804</v>
      </c>
      <c r="X402" s="9">
        <v>102.26</v>
      </c>
      <c r="Y402" s="9">
        <v>2606501</v>
      </c>
      <c r="Z402" s="9">
        <v>56.9</v>
      </c>
    </row>
    <row r="403" spans="19:26" x14ac:dyDescent="0.2">
      <c r="S403" s="9" t="s">
        <v>446</v>
      </c>
      <c r="T403" s="9">
        <v>1626</v>
      </c>
      <c r="U403" s="9">
        <v>17.5</v>
      </c>
      <c r="V403" s="9">
        <v>694</v>
      </c>
      <c r="W403" s="9">
        <v>884</v>
      </c>
      <c r="X403" s="9">
        <v>92.91</v>
      </c>
      <c r="Y403" s="9">
        <v>2860306</v>
      </c>
      <c r="Z403" s="9">
        <v>56.9</v>
      </c>
    </row>
    <row r="404" spans="19:26" x14ac:dyDescent="0.2">
      <c r="S404" s="9" t="s">
        <v>447</v>
      </c>
      <c r="T404" s="9">
        <v>1626</v>
      </c>
      <c r="U404" s="9">
        <v>19.100000000000001</v>
      </c>
      <c r="V404" s="9">
        <v>757</v>
      </c>
      <c r="W404" s="9">
        <v>964</v>
      </c>
      <c r="X404" s="9">
        <v>85.13</v>
      </c>
      <c r="Y404" s="9">
        <v>3112585</v>
      </c>
      <c r="Z404" s="9">
        <v>56.8</v>
      </c>
    </row>
    <row r="405" spans="19:26" x14ac:dyDescent="0.2">
      <c r="S405" s="9" t="s">
        <v>448</v>
      </c>
      <c r="T405" s="9">
        <v>1626</v>
      </c>
      <c r="U405" s="9">
        <v>20.6</v>
      </c>
      <c r="V405" s="9">
        <v>816</v>
      </c>
      <c r="W405" s="9">
        <v>1039</v>
      </c>
      <c r="X405" s="9">
        <v>78.930000000000007</v>
      </c>
      <c r="Y405" s="9">
        <v>3347714</v>
      </c>
      <c r="Z405" s="9">
        <v>56.8</v>
      </c>
    </row>
    <row r="406" spans="19:26" x14ac:dyDescent="0.2">
      <c r="S406" s="9" t="s">
        <v>449</v>
      </c>
      <c r="T406" s="9">
        <v>1626</v>
      </c>
      <c r="U406" s="9">
        <v>22.2</v>
      </c>
      <c r="V406" s="9">
        <v>878</v>
      </c>
      <c r="W406" s="9">
        <v>1119</v>
      </c>
      <c r="X406" s="9">
        <v>73.239999999999995</v>
      </c>
      <c r="Y406" s="9">
        <v>3597052</v>
      </c>
      <c r="Z406" s="9">
        <v>56.7</v>
      </c>
    </row>
    <row r="407" spans="19:26" x14ac:dyDescent="0.2">
      <c r="S407" s="9" t="s">
        <v>450</v>
      </c>
      <c r="T407" s="9">
        <v>1676</v>
      </c>
      <c r="U407" s="9">
        <v>11.9</v>
      </c>
      <c r="V407" s="9">
        <v>488</v>
      </c>
      <c r="W407" s="9">
        <v>622</v>
      </c>
      <c r="X407" s="9">
        <v>140.84</v>
      </c>
      <c r="Y407" s="9">
        <v>2153611</v>
      </c>
      <c r="Z407" s="9">
        <v>58.8</v>
      </c>
    </row>
    <row r="408" spans="19:26" x14ac:dyDescent="0.2">
      <c r="S408" s="9" t="s">
        <v>451</v>
      </c>
      <c r="T408" s="9">
        <v>1676</v>
      </c>
      <c r="U408" s="9">
        <v>12.7</v>
      </c>
      <c r="V408" s="9">
        <v>521</v>
      </c>
      <c r="W408" s="9">
        <v>664</v>
      </c>
      <c r="X408" s="9">
        <v>131.97</v>
      </c>
      <c r="Y408" s="9">
        <v>2295095</v>
      </c>
      <c r="Z408" s="9">
        <v>58.8</v>
      </c>
    </row>
    <row r="409" spans="19:26" x14ac:dyDescent="0.2">
      <c r="S409" s="9" t="s">
        <v>452</v>
      </c>
      <c r="T409" s="9">
        <v>1676</v>
      </c>
      <c r="U409" s="9">
        <v>14.3</v>
      </c>
      <c r="V409" s="9">
        <v>586</v>
      </c>
      <c r="W409" s="9">
        <v>747</v>
      </c>
      <c r="X409" s="9">
        <v>117.2</v>
      </c>
      <c r="Y409" s="9">
        <v>2576831</v>
      </c>
      <c r="Z409" s="9">
        <v>58.8</v>
      </c>
    </row>
    <row r="410" spans="19:26" x14ac:dyDescent="0.2">
      <c r="S410" s="9" t="s">
        <v>453</v>
      </c>
      <c r="T410" s="9">
        <v>1676</v>
      </c>
      <c r="U410" s="9">
        <v>15.9</v>
      </c>
      <c r="V410" s="9">
        <v>651</v>
      </c>
      <c r="W410" s="9">
        <v>829</v>
      </c>
      <c r="X410" s="9">
        <v>105.41</v>
      </c>
      <c r="Y410" s="9">
        <v>2856930</v>
      </c>
      <c r="Z410" s="9">
        <v>58.7</v>
      </c>
    </row>
    <row r="411" spans="19:26" x14ac:dyDescent="0.2">
      <c r="S411" s="9" t="s">
        <v>454</v>
      </c>
      <c r="T411" s="9">
        <v>1676</v>
      </c>
      <c r="U411" s="9">
        <v>17.5</v>
      </c>
      <c r="V411" s="9">
        <v>716</v>
      </c>
      <c r="W411" s="9">
        <v>912</v>
      </c>
      <c r="X411" s="9">
        <v>95.77</v>
      </c>
      <c r="Y411" s="9">
        <v>3135398</v>
      </c>
      <c r="Z411" s="9">
        <v>58.6</v>
      </c>
    </row>
    <row r="412" spans="19:26" x14ac:dyDescent="0.2">
      <c r="S412" s="9" t="s">
        <v>455</v>
      </c>
      <c r="T412" s="9">
        <v>1676</v>
      </c>
      <c r="U412" s="9">
        <v>19.100000000000001</v>
      </c>
      <c r="V412" s="9">
        <v>780</v>
      </c>
      <c r="W412" s="9">
        <v>994</v>
      </c>
      <c r="X412" s="9">
        <v>87.75</v>
      </c>
      <c r="Y412" s="9">
        <v>3412242</v>
      </c>
      <c r="Z412" s="9">
        <v>58.6</v>
      </c>
    </row>
    <row r="413" spans="19:26" x14ac:dyDescent="0.2">
      <c r="S413" s="9" t="s">
        <v>456</v>
      </c>
      <c r="T413" s="9">
        <v>1676</v>
      </c>
      <c r="U413" s="9">
        <v>20.6</v>
      </c>
      <c r="V413" s="9">
        <v>841</v>
      </c>
      <c r="W413" s="9">
        <v>1071</v>
      </c>
      <c r="X413" s="9">
        <v>81.36</v>
      </c>
      <c r="Y413" s="9">
        <v>3670314</v>
      </c>
      <c r="Z413" s="9">
        <v>58.5</v>
      </c>
    </row>
    <row r="414" spans="19:26" x14ac:dyDescent="0.2">
      <c r="S414" s="9" t="s">
        <v>457</v>
      </c>
      <c r="T414" s="9">
        <v>1676</v>
      </c>
      <c r="U414" s="9">
        <v>22.2</v>
      </c>
      <c r="V414" s="9">
        <v>905</v>
      </c>
      <c r="W414" s="9">
        <v>1153</v>
      </c>
      <c r="X414" s="9">
        <v>75.5</v>
      </c>
      <c r="Y414" s="9">
        <v>3944029</v>
      </c>
      <c r="Z414" s="9">
        <v>58.5</v>
      </c>
    </row>
    <row r="415" spans="19:26" x14ac:dyDescent="0.2">
      <c r="S415" s="9" t="s">
        <v>458</v>
      </c>
      <c r="T415" s="9">
        <v>1829</v>
      </c>
      <c r="U415" s="9">
        <v>11.9</v>
      </c>
      <c r="V415" s="9">
        <v>533</v>
      </c>
      <c r="W415" s="9">
        <v>679</v>
      </c>
      <c r="X415" s="9">
        <v>153.69999999999999</v>
      </c>
      <c r="Y415" s="9">
        <v>2803896</v>
      </c>
      <c r="Z415" s="9">
        <v>64.2</v>
      </c>
    </row>
    <row r="416" spans="19:26" x14ac:dyDescent="0.2">
      <c r="S416" s="9" t="s">
        <v>459</v>
      </c>
      <c r="T416" s="9">
        <v>1829</v>
      </c>
      <c r="U416" s="9">
        <v>12.7</v>
      </c>
      <c r="V416" s="9">
        <v>569</v>
      </c>
      <c r="W416" s="9">
        <v>725</v>
      </c>
      <c r="X416" s="9">
        <v>144.02000000000001</v>
      </c>
      <c r="Y416" s="9">
        <v>2988461</v>
      </c>
      <c r="Z416" s="9">
        <v>64.2</v>
      </c>
    </row>
    <row r="417" spans="19:26" x14ac:dyDescent="0.2">
      <c r="S417" s="9" t="s">
        <v>460</v>
      </c>
      <c r="T417" s="9">
        <v>1829</v>
      </c>
      <c r="U417" s="9">
        <v>14.3</v>
      </c>
      <c r="V417" s="9">
        <v>640</v>
      </c>
      <c r="W417" s="9">
        <v>815</v>
      </c>
      <c r="X417" s="9">
        <v>127.9</v>
      </c>
      <c r="Y417" s="9">
        <v>3356119</v>
      </c>
      <c r="Z417" s="9">
        <v>64.2</v>
      </c>
    </row>
    <row r="418" spans="19:26" x14ac:dyDescent="0.2">
      <c r="S418" s="9" t="s">
        <v>461</v>
      </c>
      <c r="T418" s="9">
        <v>1829</v>
      </c>
      <c r="U418" s="9">
        <v>15.9</v>
      </c>
      <c r="V418" s="9">
        <v>711</v>
      </c>
      <c r="W418" s="9">
        <v>906</v>
      </c>
      <c r="X418" s="9">
        <v>115.03</v>
      </c>
      <c r="Y418" s="9">
        <v>3721823</v>
      </c>
      <c r="Z418" s="9">
        <v>64.099999999999994</v>
      </c>
    </row>
    <row r="419" spans="19:26" x14ac:dyDescent="0.2">
      <c r="S419" s="9" t="s">
        <v>462</v>
      </c>
      <c r="T419" s="9">
        <v>1829</v>
      </c>
      <c r="U419" s="9">
        <v>17.5</v>
      </c>
      <c r="V419" s="9">
        <v>782</v>
      </c>
      <c r="W419" s="9">
        <v>996</v>
      </c>
      <c r="X419" s="9">
        <v>104.51</v>
      </c>
      <c r="Y419" s="9">
        <v>4085578</v>
      </c>
      <c r="Z419" s="9">
        <v>64</v>
      </c>
    </row>
    <row r="420" spans="19:26" x14ac:dyDescent="0.2">
      <c r="S420" s="9" t="s">
        <v>463</v>
      </c>
      <c r="T420" s="9">
        <v>1829</v>
      </c>
      <c r="U420" s="9">
        <v>19.100000000000001</v>
      </c>
      <c r="V420" s="9">
        <v>853</v>
      </c>
      <c r="W420" s="9">
        <v>1086</v>
      </c>
      <c r="X420" s="9">
        <v>95.76</v>
      </c>
      <c r="Y420" s="9">
        <v>4447391</v>
      </c>
      <c r="Z420" s="9">
        <v>64</v>
      </c>
    </row>
    <row r="421" spans="19:26" x14ac:dyDescent="0.2">
      <c r="S421" s="9" t="s">
        <v>464</v>
      </c>
      <c r="T421" s="9">
        <v>1829</v>
      </c>
      <c r="U421" s="9">
        <v>20.6</v>
      </c>
      <c r="V421" s="9">
        <v>919</v>
      </c>
      <c r="W421" s="9">
        <v>1170</v>
      </c>
      <c r="X421" s="9">
        <v>88.79</v>
      </c>
      <c r="Y421" s="9">
        <v>4784835</v>
      </c>
      <c r="Z421" s="9">
        <v>63.9</v>
      </c>
    </row>
    <row r="422" spans="19:26" x14ac:dyDescent="0.2">
      <c r="S422" s="9" t="s">
        <v>465</v>
      </c>
      <c r="T422" s="9">
        <v>1829</v>
      </c>
      <c r="U422" s="9">
        <v>22.2</v>
      </c>
      <c r="V422" s="9">
        <v>989</v>
      </c>
      <c r="W422" s="9">
        <v>1260</v>
      </c>
      <c r="X422" s="9">
        <v>82.39</v>
      </c>
      <c r="Y422" s="9">
        <v>5142907</v>
      </c>
      <c r="Z422" s="9">
        <v>63.9</v>
      </c>
    </row>
    <row r="423" spans="19:26" x14ac:dyDescent="0.2">
      <c r="S423" s="9" t="s">
        <v>466</v>
      </c>
      <c r="T423" s="9">
        <v>2020</v>
      </c>
      <c r="U423" s="9">
        <v>11.9</v>
      </c>
      <c r="V423" s="9">
        <v>589</v>
      </c>
      <c r="W423" s="9">
        <v>751</v>
      </c>
      <c r="X423" s="9">
        <v>169.75</v>
      </c>
      <c r="Y423" s="9">
        <v>3784235</v>
      </c>
      <c r="Z423" s="9">
        <v>71</v>
      </c>
    </row>
    <row r="424" spans="19:26" x14ac:dyDescent="0.2">
      <c r="S424" s="9" t="s">
        <v>467</v>
      </c>
      <c r="T424" s="9">
        <v>2020</v>
      </c>
      <c r="U424" s="9">
        <v>12.7</v>
      </c>
      <c r="V424" s="9">
        <v>629</v>
      </c>
      <c r="W424" s="9">
        <v>801</v>
      </c>
      <c r="X424" s="9">
        <v>159.06</v>
      </c>
      <c r="Y424" s="9">
        <v>4033832</v>
      </c>
      <c r="Z424" s="9">
        <v>71</v>
      </c>
    </row>
    <row r="425" spans="19:26" x14ac:dyDescent="0.2">
      <c r="S425" s="9" t="s">
        <v>468</v>
      </c>
      <c r="T425" s="9">
        <v>2020</v>
      </c>
      <c r="U425" s="9">
        <v>14.3</v>
      </c>
      <c r="V425" s="9">
        <v>707</v>
      </c>
      <c r="W425" s="9">
        <v>901</v>
      </c>
      <c r="X425" s="9">
        <v>141.26</v>
      </c>
      <c r="Y425" s="9">
        <v>4531228</v>
      </c>
      <c r="Z425" s="9">
        <v>70.900000000000006</v>
      </c>
    </row>
    <row r="426" spans="19:26" x14ac:dyDescent="0.2">
      <c r="S426" s="9" t="s">
        <v>469</v>
      </c>
      <c r="T426" s="9">
        <v>2020</v>
      </c>
      <c r="U426" s="9">
        <v>15.9</v>
      </c>
      <c r="V426" s="9">
        <v>786</v>
      </c>
      <c r="W426" s="9">
        <v>1001</v>
      </c>
      <c r="X426" s="9">
        <v>127.04</v>
      </c>
      <c r="Y426" s="9">
        <v>5026232</v>
      </c>
      <c r="Z426" s="9">
        <v>70.900000000000006</v>
      </c>
    </row>
    <row r="427" spans="19:26" x14ac:dyDescent="0.2">
      <c r="S427" s="9" t="s">
        <v>470</v>
      </c>
      <c r="T427" s="9">
        <v>2020</v>
      </c>
      <c r="U427" s="9">
        <v>17.5</v>
      </c>
      <c r="V427" s="9">
        <v>864</v>
      </c>
      <c r="W427" s="9">
        <v>1101</v>
      </c>
      <c r="X427" s="9">
        <v>115.43</v>
      </c>
      <c r="Y427" s="9">
        <v>5518851</v>
      </c>
      <c r="Z427" s="9">
        <v>70.8</v>
      </c>
    </row>
    <row r="428" spans="19:26" x14ac:dyDescent="0.2">
      <c r="S428" s="9" t="s">
        <v>471</v>
      </c>
      <c r="T428" s="9">
        <v>2020</v>
      </c>
      <c r="U428" s="9">
        <v>19.100000000000001</v>
      </c>
      <c r="V428" s="9">
        <v>942</v>
      </c>
      <c r="W428" s="9">
        <v>1201</v>
      </c>
      <c r="X428" s="9">
        <v>105.76</v>
      </c>
      <c r="Y428" s="9">
        <v>6009094</v>
      </c>
      <c r="Z428" s="9">
        <v>70.7</v>
      </c>
    </row>
    <row r="429" spans="19:26" x14ac:dyDescent="0.2">
      <c r="S429" s="9" t="s">
        <v>472</v>
      </c>
      <c r="T429" s="9">
        <v>2020</v>
      </c>
      <c r="U429" s="9">
        <v>20.6</v>
      </c>
      <c r="V429" s="9">
        <v>1016</v>
      </c>
      <c r="W429" s="9">
        <v>1294</v>
      </c>
      <c r="X429" s="9">
        <v>98.06</v>
      </c>
      <c r="Y429" s="9">
        <v>6466544</v>
      </c>
      <c r="Z429" s="9">
        <v>70.7</v>
      </c>
    </row>
    <row r="430" spans="19:26" x14ac:dyDescent="0.2">
      <c r="S430" s="9" t="s">
        <v>473</v>
      </c>
      <c r="T430" s="9">
        <v>2020</v>
      </c>
      <c r="U430" s="9">
        <v>22.2</v>
      </c>
      <c r="V430" s="9">
        <v>1094</v>
      </c>
      <c r="W430" s="9">
        <v>1393</v>
      </c>
      <c r="X430" s="9">
        <v>90.99</v>
      </c>
      <c r="Y430" s="9">
        <v>6952204</v>
      </c>
      <c r="Z430" s="9">
        <v>70.599999999999994</v>
      </c>
    </row>
    <row r="431" spans="19:26" x14ac:dyDescent="0.2">
      <c r="S431" s="9" t="s">
        <v>474</v>
      </c>
      <c r="T431" s="9">
        <v>2134</v>
      </c>
      <c r="U431" s="9">
        <v>11.9</v>
      </c>
      <c r="V431" s="9">
        <v>623</v>
      </c>
      <c r="W431" s="9">
        <v>793</v>
      </c>
      <c r="X431" s="9">
        <v>179.33</v>
      </c>
      <c r="Y431" s="9">
        <v>4465993</v>
      </c>
      <c r="Z431" s="9">
        <v>75</v>
      </c>
    </row>
    <row r="432" spans="19:26" x14ac:dyDescent="0.2">
      <c r="S432" s="9" t="s">
        <v>475</v>
      </c>
      <c r="T432" s="9">
        <v>2134</v>
      </c>
      <c r="U432" s="9">
        <v>12.7</v>
      </c>
      <c r="V432" s="9">
        <v>664</v>
      </c>
      <c r="W432" s="9">
        <v>846</v>
      </c>
      <c r="X432" s="9">
        <v>168.03</v>
      </c>
      <c r="Y432" s="9">
        <v>4760860</v>
      </c>
      <c r="Z432" s="9">
        <v>75</v>
      </c>
    </row>
    <row r="433" spans="19:26" x14ac:dyDescent="0.2">
      <c r="S433" s="9" t="s">
        <v>476</v>
      </c>
      <c r="T433" s="9">
        <v>2134</v>
      </c>
      <c r="U433" s="9">
        <v>14.3</v>
      </c>
      <c r="V433" s="9">
        <v>748</v>
      </c>
      <c r="W433" s="9">
        <v>952</v>
      </c>
      <c r="X433" s="9">
        <v>149.22999999999999</v>
      </c>
      <c r="Y433" s="9">
        <v>5348585</v>
      </c>
      <c r="Z433" s="9">
        <v>74.900000000000006</v>
      </c>
    </row>
    <row r="434" spans="19:26" x14ac:dyDescent="0.2">
      <c r="S434" s="9" t="s">
        <v>477</v>
      </c>
      <c r="T434" s="9">
        <v>2134</v>
      </c>
      <c r="U434" s="9">
        <v>15.9</v>
      </c>
      <c r="V434" s="9">
        <v>831</v>
      </c>
      <c r="W434" s="9">
        <v>1058</v>
      </c>
      <c r="X434" s="9">
        <v>134.21</v>
      </c>
      <c r="Y434" s="9">
        <v>5933635</v>
      </c>
      <c r="Z434" s="9">
        <v>74.900000000000006</v>
      </c>
    </row>
    <row r="435" spans="19:26" x14ac:dyDescent="0.2">
      <c r="S435" s="9" t="s">
        <v>478</v>
      </c>
      <c r="T435" s="9">
        <v>2134</v>
      </c>
      <c r="U435" s="9">
        <v>17.5</v>
      </c>
      <c r="V435" s="9">
        <v>913</v>
      </c>
      <c r="W435" s="9">
        <v>1164</v>
      </c>
      <c r="X435" s="9">
        <v>121.94</v>
      </c>
      <c r="Y435" s="9">
        <v>6516021</v>
      </c>
      <c r="Z435" s="9">
        <v>74.8</v>
      </c>
    </row>
    <row r="436" spans="19:26" x14ac:dyDescent="0.2">
      <c r="S436" s="9" t="s">
        <v>479</v>
      </c>
      <c r="T436" s="9">
        <v>2134</v>
      </c>
      <c r="U436" s="9">
        <v>19.100000000000001</v>
      </c>
      <c r="V436" s="9">
        <v>996</v>
      </c>
      <c r="W436" s="9">
        <v>1269</v>
      </c>
      <c r="X436" s="9">
        <v>111.73</v>
      </c>
      <c r="Y436" s="9">
        <v>7095748</v>
      </c>
      <c r="Z436" s="9">
        <v>74.8</v>
      </c>
    </row>
    <row r="437" spans="19:26" x14ac:dyDescent="0.2">
      <c r="S437" s="9" t="s">
        <v>480</v>
      </c>
      <c r="T437" s="9">
        <v>2134</v>
      </c>
      <c r="U437" s="9">
        <v>20.6</v>
      </c>
      <c r="V437" s="9">
        <v>1074</v>
      </c>
      <c r="W437" s="9">
        <v>1368</v>
      </c>
      <c r="X437" s="9">
        <v>103.59</v>
      </c>
      <c r="Y437" s="9">
        <v>7636836</v>
      </c>
      <c r="Z437" s="9">
        <v>74.7</v>
      </c>
    </row>
    <row r="438" spans="19:26" x14ac:dyDescent="0.2">
      <c r="S438" s="9" t="s">
        <v>481</v>
      </c>
      <c r="T438" s="9">
        <v>2134</v>
      </c>
      <c r="U438" s="9">
        <v>22.2</v>
      </c>
      <c r="V438" s="9">
        <v>1156</v>
      </c>
      <c r="W438" s="9">
        <v>1473</v>
      </c>
      <c r="X438" s="9">
        <v>96.13</v>
      </c>
      <c r="Y438" s="9">
        <v>8211438</v>
      </c>
      <c r="Z438" s="9">
        <v>74.7</v>
      </c>
    </row>
    <row r="439" spans="19:26" x14ac:dyDescent="0.2">
      <c r="S439" s="9" t="s">
        <v>482</v>
      </c>
      <c r="T439" s="9">
        <v>102</v>
      </c>
      <c r="U439" s="9">
        <v>2</v>
      </c>
      <c r="V439" s="9">
        <f>W439*0.785</f>
        <v>4.9298000000000002</v>
      </c>
      <c r="W439" s="9">
        <v>6.28</v>
      </c>
      <c r="X439" s="42">
        <f>T439/U439</f>
        <v>51</v>
      </c>
      <c r="Y439" s="9">
        <v>78.569999999999993</v>
      </c>
      <c r="Z439" s="9">
        <v>3.5371000000000001</v>
      </c>
    </row>
    <row r="440" spans="19:26" x14ac:dyDescent="0.2">
      <c r="S440" s="9" t="s">
        <v>483</v>
      </c>
      <c r="T440" s="9">
        <v>102</v>
      </c>
      <c r="U440" s="9">
        <v>2.5</v>
      </c>
      <c r="V440" s="9">
        <f>W440*0.785</f>
        <v>6.1308499999999997</v>
      </c>
      <c r="W440" s="9">
        <v>7.81</v>
      </c>
      <c r="X440" s="42">
        <f t="shared" ref="X440:X503" si="7">T440/U440</f>
        <v>40.799999999999997</v>
      </c>
      <c r="Y440" s="9">
        <v>96.77</v>
      </c>
      <c r="Z440" s="9">
        <v>3.52</v>
      </c>
    </row>
    <row r="441" spans="19:26" x14ac:dyDescent="0.2">
      <c r="S441" s="9" t="s">
        <v>484</v>
      </c>
      <c r="T441" s="9">
        <v>102</v>
      </c>
      <c r="U441" s="9">
        <v>3</v>
      </c>
      <c r="V441" s="9">
        <f t="shared" ref="V441:V504" si="8">W441*0.785</f>
        <v>7.3240500000000006</v>
      </c>
      <c r="W441" s="9">
        <v>9.33</v>
      </c>
      <c r="X441" s="42">
        <f t="shared" si="7"/>
        <v>34</v>
      </c>
      <c r="Y441" s="9">
        <v>114.42</v>
      </c>
      <c r="Z441" s="9">
        <v>3.5019999999999998</v>
      </c>
    </row>
    <row r="442" spans="19:26" x14ac:dyDescent="0.2">
      <c r="S442" s="9" t="s">
        <v>485</v>
      </c>
      <c r="T442" s="9">
        <v>102</v>
      </c>
      <c r="U442" s="9">
        <v>3.5</v>
      </c>
      <c r="V442" s="9">
        <f t="shared" si="8"/>
        <v>8.5015499999999999</v>
      </c>
      <c r="W442" s="9">
        <v>10.83</v>
      </c>
      <c r="X442" s="42">
        <f t="shared" si="7"/>
        <v>29.142857142857142</v>
      </c>
      <c r="Y442" s="9">
        <v>131.52000000000001</v>
      </c>
      <c r="Z442" s="9">
        <v>3.4847999999999999</v>
      </c>
    </row>
    <row r="443" spans="19:26" x14ac:dyDescent="0.2">
      <c r="S443" s="9" t="s">
        <v>486</v>
      </c>
      <c r="T443" s="9">
        <v>102</v>
      </c>
      <c r="U443" s="9">
        <v>4</v>
      </c>
      <c r="V443" s="9">
        <f t="shared" si="8"/>
        <v>9.6712000000000007</v>
      </c>
      <c r="W443" s="9">
        <v>12.32</v>
      </c>
      <c r="X443" s="42">
        <f t="shared" si="7"/>
        <v>25.5</v>
      </c>
      <c r="Y443" s="9">
        <v>148.09</v>
      </c>
      <c r="Z443" s="9">
        <v>3.4670000000000001</v>
      </c>
    </row>
    <row r="444" spans="19:26" x14ac:dyDescent="0.2">
      <c r="S444" s="9" t="s">
        <v>487</v>
      </c>
      <c r="T444" s="9">
        <v>102</v>
      </c>
      <c r="U444" s="9">
        <v>4.5</v>
      </c>
      <c r="V444" s="9">
        <f t="shared" si="8"/>
        <v>10.817299999999999</v>
      </c>
      <c r="W444" s="9">
        <v>13.78</v>
      </c>
      <c r="X444" s="42">
        <f t="shared" si="7"/>
        <v>22.666666666666668</v>
      </c>
      <c r="Y444" s="9">
        <v>164.14</v>
      </c>
      <c r="Z444" s="9">
        <v>3.4512999999999998</v>
      </c>
    </row>
    <row r="445" spans="19:26" x14ac:dyDescent="0.2">
      <c r="S445" s="9" t="s">
        <v>488</v>
      </c>
      <c r="T445" s="9">
        <v>102</v>
      </c>
      <c r="U445" s="9">
        <v>5</v>
      </c>
      <c r="V445" s="9">
        <f t="shared" si="8"/>
        <v>11.9634</v>
      </c>
      <c r="W445" s="9">
        <v>15.24</v>
      </c>
      <c r="X445" s="42">
        <f t="shared" si="7"/>
        <v>20.399999999999999</v>
      </c>
      <c r="Y445" s="9">
        <v>179.68</v>
      </c>
      <c r="Z445" s="9">
        <v>3.4337</v>
      </c>
    </row>
    <row r="446" spans="19:26" x14ac:dyDescent="0.2">
      <c r="S446" s="9" t="s">
        <v>489</v>
      </c>
      <c r="T446" s="9">
        <v>108</v>
      </c>
      <c r="U446" s="9">
        <v>3</v>
      </c>
      <c r="V446" s="9">
        <f t="shared" si="8"/>
        <v>7.7715000000000005</v>
      </c>
      <c r="W446" s="9">
        <v>9.9</v>
      </c>
      <c r="X446" s="42">
        <f t="shared" si="7"/>
        <v>36</v>
      </c>
      <c r="Y446" s="9">
        <v>136.38999999999999</v>
      </c>
      <c r="Z446" s="9">
        <v>3.7117</v>
      </c>
    </row>
    <row r="447" spans="19:26" x14ac:dyDescent="0.2">
      <c r="S447" s="9" t="s">
        <v>490</v>
      </c>
      <c r="T447" s="9">
        <v>108</v>
      </c>
      <c r="U447" s="9">
        <v>3.5</v>
      </c>
      <c r="V447" s="9">
        <f t="shared" si="8"/>
        <v>9.0196500000000004</v>
      </c>
      <c r="W447" s="9">
        <v>11.49</v>
      </c>
      <c r="X447" s="42">
        <f t="shared" si="7"/>
        <v>30.857142857142858</v>
      </c>
      <c r="Y447" s="9">
        <v>157.02000000000001</v>
      </c>
      <c r="Z447" s="9">
        <v>3.6966999999999999</v>
      </c>
    </row>
    <row r="448" spans="19:26" x14ac:dyDescent="0.2">
      <c r="S448" s="9" t="s">
        <v>491</v>
      </c>
      <c r="T448" s="9">
        <v>108</v>
      </c>
      <c r="U448" s="9">
        <v>4</v>
      </c>
      <c r="V448" s="9">
        <f t="shared" si="8"/>
        <v>10.25995</v>
      </c>
      <c r="W448" s="9">
        <v>13.07</v>
      </c>
      <c r="X448" s="42">
        <f t="shared" si="7"/>
        <v>27</v>
      </c>
      <c r="Y448" s="9">
        <v>176.95</v>
      </c>
      <c r="Z448" s="9">
        <v>3.6795</v>
      </c>
    </row>
    <row r="449" spans="19:26" x14ac:dyDescent="0.2">
      <c r="S449" s="9" t="s">
        <v>492</v>
      </c>
      <c r="T449" s="9">
        <v>114</v>
      </c>
      <c r="U449" s="9">
        <v>3</v>
      </c>
      <c r="V449" s="9">
        <f t="shared" si="8"/>
        <v>8.2111000000000018</v>
      </c>
      <c r="W449" s="9">
        <v>10.46</v>
      </c>
      <c r="X449" s="42">
        <f t="shared" si="7"/>
        <v>38</v>
      </c>
      <c r="Y449" s="9">
        <v>161.24</v>
      </c>
      <c r="Z449" s="9">
        <v>3.9262000000000001</v>
      </c>
    </row>
    <row r="450" spans="19:26" x14ac:dyDescent="0.2">
      <c r="S450" s="9" t="s">
        <v>493</v>
      </c>
      <c r="T450" s="9">
        <v>114</v>
      </c>
      <c r="U450" s="9">
        <v>3.5</v>
      </c>
      <c r="V450" s="9">
        <f t="shared" si="8"/>
        <v>9.5377500000000008</v>
      </c>
      <c r="W450" s="9">
        <v>12.15</v>
      </c>
      <c r="X450" s="42">
        <f t="shared" si="7"/>
        <v>32.571428571428569</v>
      </c>
      <c r="Y450" s="9">
        <v>185.63</v>
      </c>
      <c r="Z450" s="9">
        <v>3.9087000000000001</v>
      </c>
    </row>
    <row r="451" spans="19:26" x14ac:dyDescent="0.2">
      <c r="S451" s="9" t="s">
        <v>494</v>
      </c>
      <c r="T451" s="9">
        <v>114</v>
      </c>
      <c r="U451" s="9">
        <v>4</v>
      </c>
      <c r="V451" s="9">
        <f t="shared" si="8"/>
        <v>10.848700000000001</v>
      </c>
      <c r="W451" s="9">
        <v>13.82</v>
      </c>
      <c r="X451" s="42">
        <f t="shared" si="7"/>
        <v>28.5</v>
      </c>
      <c r="Y451" s="9">
        <v>209.35</v>
      </c>
      <c r="Z451" s="9">
        <v>3.8921000000000001</v>
      </c>
    </row>
    <row r="452" spans="19:26" x14ac:dyDescent="0.2">
      <c r="S452" s="9" t="s">
        <v>495</v>
      </c>
      <c r="T452" s="9">
        <v>114</v>
      </c>
      <c r="U452" s="9">
        <v>4.5</v>
      </c>
      <c r="V452" s="9">
        <f t="shared" si="8"/>
        <v>12.151800000000001</v>
      </c>
      <c r="W452" s="9">
        <v>15.48</v>
      </c>
      <c r="X452" s="42">
        <f t="shared" si="7"/>
        <v>25.333333333333332</v>
      </c>
      <c r="Y452" s="9">
        <v>232.41</v>
      </c>
      <c r="Z452" s="9">
        <v>3.8746999999999998</v>
      </c>
    </row>
    <row r="453" spans="19:26" x14ac:dyDescent="0.2">
      <c r="S453" s="9" t="s">
        <v>496</v>
      </c>
      <c r="T453" s="9">
        <v>114</v>
      </c>
      <c r="U453" s="9">
        <v>5</v>
      </c>
      <c r="V453" s="9">
        <f t="shared" si="8"/>
        <v>13.439200000000001</v>
      </c>
      <c r="W453" s="9">
        <v>17.12</v>
      </c>
      <c r="X453" s="42">
        <f t="shared" si="7"/>
        <v>22.8</v>
      </c>
      <c r="Y453" s="9">
        <v>254.81</v>
      </c>
      <c r="Z453" s="9">
        <v>3.8578999999999999</v>
      </c>
    </row>
    <row r="454" spans="19:26" x14ac:dyDescent="0.2">
      <c r="S454" s="9" t="s">
        <v>497</v>
      </c>
      <c r="T454" s="9">
        <v>121</v>
      </c>
      <c r="U454" s="9">
        <v>3</v>
      </c>
      <c r="V454" s="9">
        <f t="shared" si="8"/>
        <v>8.7292000000000005</v>
      </c>
      <c r="W454" s="9">
        <v>11.12</v>
      </c>
      <c r="X454" s="42">
        <f t="shared" si="7"/>
        <v>40.333333333333336</v>
      </c>
      <c r="Y454" s="9">
        <v>193.69</v>
      </c>
      <c r="Z454" s="9">
        <v>4.1734999999999998</v>
      </c>
    </row>
    <row r="455" spans="19:26" x14ac:dyDescent="0.2">
      <c r="S455" s="9" t="s">
        <v>498</v>
      </c>
      <c r="T455" s="9">
        <v>121</v>
      </c>
      <c r="U455" s="9">
        <v>3.5</v>
      </c>
      <c r="V455" s="9">
        <f t="shared" si="8"/>
        <v>10.142200000000001</v>
      </c>
      <c r="W455" s="9">
        <v>12.92</v>
      </c>
      <c r="X455" s="42">
        <f t="shared" si="7"/>
        <v>34.571428571428569</v>
      </c>
      <c r="Y455" s="9">
        <v>223.17</v>
      </c>
      <c r="Z455" s="9">
        <v>4.1561000000000003</v>
      </c>
    </row>
    <row r="456" spans="19:26" x14ac:dyDescent="0.2">
      <c r="S456" s="9" t="s">
        <v>499</v>
      </c>
      <c r="T456" s="9">
        <v>121</v>
      </c>
      <c r="U456" s="9">
        <v>4</v>
      </c>
      <c r="V456" s="9">
        <f t="shared" si="8"/>
        <v>11.5395</v>
      </c>
      <c r="W456" s="9">
        <v>14.7</v>
      </c>
      <c r="X456" s="42">
        <f t="shared" si="7"/>
        <v>30.25</v>
      </c>
      <c r="Y456" s="9">
        <v>251.87</v>
      </c>
      <c r="Z456" s="9">
        <v>4.1393000000000004</v>
      </c>
    </row>
    <row r="457" spans="19:26" x14ac:dyDescent="0.2">
      <c r="S457" s="9" t="s">
        <v>500</v>
      </c>
      <c r="T457" s="9">
        <v>127</v>
      </c>
      <c r="U457" s="9">
        <v>3</v>
      </c>
      <c r="V457" s="9">
        <f t="shared" si="8"/>
        <v>9.1766500000000004</v>
      </c>
      <c r="W457" s="9">
        <v>11.69</v>
      </c>
      <c r="X457" s="42">
        <f t="shared" si="7"/>
        <v>42.333333333333336</v>
      </c>
      <c r="Y457" s="9">
        <v>224.75</v>
      </c>
      <c r="Z457" s="9">
        <v>4.3846999999999996</v>
      </c>
    </row>
    <row r="458" spans="19:26" x14ac:dyDescent="0.2">
      <c r="S458" s="9" t="s">
        <v>501</v>
      </c>
      <c r="T458" s="9">
        <v>127</v>
      </c>
      <c r="U458" s="9">
        <v>3.5</v>
      </c>
      <c r="V458" s="9">
        <f t="shared" si="8"/>
        <v>10.660300000000001</v>
      </c>
      <c r="W458" s="9">
        <v>13.58</v>
      </c>
      <c r="X458" s="42">
        <f t="shared" si="7"/>
        <v>36.285714285714285</v>
      </c>
      <c r="Y458" s="9">
        <v>259.11</v>
      </c>
      <c r="Z458" s="9">
        <v>4.3681000000000001</v>
      </c>
    </row>
    <row r="459" spans="19:26" x14ac:dyDescent="0.2">
      <c r="S459" s="9" t="s">
        <v>502</v>
      </c>
      <c r="T459" s="9">
        <v>127</v>
      </c>
      <c r="U459" s="9">
        <v>4</v>
      </c>
      <c r="V459" s="9">
        <f t="shared" si="8"/>
        <v>12.136100000000001</v>
      </c>
      <c r="W459" s="9">
        <v>15.46</v>
      </c>
      <c r="X459" s="42">
        <f t="shared" si="7"/>
        <v>31.75</v>
      </c>
      <c r="Y459" s="9">
        <v>292.61</v>
      </c>
      <c r="Z459" s="9">
        <v>4.3505000000000003</v>
      </c>
    </row>
    <row r="460" spans="19:26" x14ac:dyDescent="0.2">
      <c r="S460" s="9" t="s">
        <v>503</v>
      </c>
      <c r="T460" s="9">
        <v>127</v>
      </c>
      <c r="U460" s="9">
        <v>4.5</v>
      </c>
      <c r="V460" s="9">
        <f t="shared" si="8"/>
        <v>13.596200000000001</v>
      </c>
      <c r="W460" s="9">
        <v>17.32</v>
      </c>
      <c r="X460" s="42">
        <f t="shared" si="7"/>
        <v>28.222222222222221</v>
      </c>
      <c r="Y460" s="9">
        <v>325.29000000000002</v>
      </c>
      <c r="Z460" s="9">
        <v>4.3337000000000003</v>
      </c>
    </row>
    <row r="461" spans="19:26" x14ac:dyDescent="0.2">
      <c r="S461" s="9" t="s">
        <v>504</v>
      </c>
      <c r="T461" s="9">
        <v>127</v>
      </c>
      <c r="U461" s="9">
        <v>5</v>
      </c>
      <c r="V461" s="9">
        <f t="shared" si="8"/>
        <v>15.040600000000001</v>
      </c>
      <c r="W461" s="9">
        <v>19.16</v>
      </c>
      <c r="X461" s="42">
        <f t="shared" si="7"/>
        <v>25.4</v>
      </c>
      <c r="Y461" s="9">
        <v>357.14</v>
      </c>
      <c r="Z461" s="9">
        <v>4.3174000000000001</v>
      </c>
    </row>
    <row r="462" spans="19:26" x14ac:dyDescent="0.2">
      <c r="S462" s="9" t="s">
        <v>505</v>
      </c>
      <c r="T462" s="9">
        <v>133</v>
      </c>
      <c r="U462" s="9">
        <v>3.5</v>
      </c>
      <c r="V462" s="9">
        <f t="shared" si="8"/>
        <v>11.1784</v>
      </c>
      <c r="W462" s="9">
        <v>14.24</v>
      </c>
      <c r="X462" s="42">
        <f t="shared" si="7"/>
        <v>38</v>
      </c>
      <c r="Y462" s="9">
        <v>298.70999999999998</v>
      </c>
      <c r="Z462" s="9">
        <v>4.58</v>
      </c>
    </row>
    <row r="463" spans="19:26" x14ac:dyDescent="0.2">
      <c r="S463" s="9" t="s">
        <v>506</v>
      </c>
      <c r="T463" s="9">
        <v>133</v>
      </c>
      <c r="U463" s="9">
        <v>4</v>
      </c>
      <c r="V463" s="9">
        <f t="shared" si="8"/>
        <v>12.724850000000002</v>
      </c>
      <c r="W463" s="9">
        <v>16.21</v>
      </c>
      <c r="X463" s="42">
        <f t="shared" si="7"/>
        <v>33.25</v>
      </c>
      <c r="Y463" s="9">
        <v>337.53</v>
      </c>
      <c r="Z463" s="9">
        <v>4.5631000000000004</v>
      </c>
    </row>
    <row r="464" spans="19:26" x14ac:dyDescent="0.2">
      <c r="S464" s="9" t="s">
        <v>507</v>
      </c>
      <c r="T464" s="9">
        <v>133</v>
      </c>
      <c r="U464" s="9">
        <v>4.5</v>
      </c>
      <c r="V464" s="9">
        <f t="shared" si="8"/>
        <v>14.263450000000002</v>
      </c>
      <c r="W464" s="9">
        <v>18.170000000000002</v>
      </c>
      <c r="X464" s="42">
        <f t="shared" si="7"/>
        <v>29.555555555555557</v>
      </c>
      <c r="Y464" s="9">
        <v>375.42</v>
      </c>
      <c r="Z464" s="9">
        <v>4.5454999999999997</v>
      </c>
    </row>
    <row r="465" spans="19:26" x14ac:dyDescent="0.2">
      <c r="S465" s="9" t="s">
        <v>508</v>
      </c>
      <c r="T465" s="9">
        <v>133</v>
      </c>
      <c r="U465" s="9">
        <v>5</v>
      </c>
      <c r="V465" s="9">
        <f t="shared" si="8"/>
        <v>15.786350000000001</v>
      </c>
      <c r="W465" s="9">
        <v>20.11</v>
      </c>
      <c r="X465" s="42">
        <f t="shared" si="7"/>
        <v>26.6</v>
      </c>
      <c r="Y465" s="9">
        <v>412.4</v>
      </c>
      <c r="Z465" s="9">
        <v>4.5285000000000002</v>
      </c>
    </row>
    <row r="466" spans="19:26" x14ac:dyDescent="0.2">
      <c r="S466" s="9" t="s">
        <v>509</v>
      </c>
      <c r="T466" s="9">
        <v>140</v>
      </c>
      <c r="U466" s="9">
        <v>3.5</v>
      </c>
      <c r="V466" s="9">
        <f t="shared" si="8"/>
        <v>11.78285</v>
      </c>
      <c r="W466" s="9">
        <v>15.01</v>
      </c>
      <c r="X466" s="42">
        <f t="shared" si="7"/>
        <v>40</v>
      </c>
      <c r="Y466" s="9">
        <v>349.79</v>
      </c>
      <c r="Z466" s="9">
        <v>4.8273999999999999</v>
      </c>
    </row>
    <row r="467" spans="19:26" x14ac:dyDescent="0.2">
      <c r="S467" s="9" t="s">
        <v>510</v>
      </c>
      <c r="T467" s="9">
        <v>140</v>
      </c>
      <c r="U467" s="9">
        <v>4</v>
      </c>
      <c r="V467" s="9">
        <f t="shared" si="8"/>
        <v>13.415650000000001</v>
      </c>
      <c r="W467" s="9">
        <v>17.09</v>
      </c>
      <c r="X467" s="42">
        <f t="shared" si="7"/>
        <v>35</v>
      </c>
      <c r="Y467" s="9">
        <v>395.47</v>
      </c>
      <c r="Z467" s="9">
        <v>4.8105000000000002</v>
      </c>
    </row>
    <row r="468" spans="19:26" x14ac:dyDescent="0.2">
      <c r="S468" s="9" t="s">
        <v>511</v>
      </c>
      <c r="T468" s="9">
        <v>140</v>
      </c>
      <c r="U468" s="9">
        <v>4.5</v>
      </c>
      <c r="V468" s="9">
        <f t="shared" si="8"/>
        <v>15.040600000000001</v>
      </c>
      <c r="W468" s="9">
        <v>19.16</v>
      </c>
      <c r="X468" s="42">
        <f t="shared" si="7"/>
        <v>31.111111111111111</v>
      </c>
      <c r="Y468" s="9">
        <v>440.12</v>
      </c>
      <c r="Z468" s="9">
        <v>4.7927999999999997</v>
      </c>
    </row>
    <row r="469" spans="19:26" x14ac:dyDescent="0.2">
      <c r="S469" s="9" t="s">
        <v>512</v>
      </c>
      <c r="T469" s="9">
        <v>140</v>
      </c>
      <c r="U469" s="9">
        <v>5</v>
      </c>
      <c r="V469" s="9">
        <f t="shared" si="8"/>
        <v>16.649850000000001</v>
      </c>
      <c r="W469" s="9">
        <v>21.21</v>
      </c>
      <c r="X469" s="42">
        <f t="shared" si="7"/>
        <v>28</v>
      </c>
      <c r="Y469" s="9">
        <v>483.76</v>
      </c>
      <c r="Z469" s="9">
        <v>4.7758000000000003</v>
      </c>
    </row>
    <row r="470" spans="19:26" x14ac:dyDescent="0.2">
      <c r="S470" s="9" t="s">
        <v>513</v>
      </c>
      <c r="T470" s="9">
        <v>140</v>
      </c>
      <c r="U470" s="9">
        <v>5.5</v>
      </c>
      <c r="V470" s="9">
        <f t="shared" si="8"/>
        <v>18.243400000000001</v>
      </c>
      <c r="W470" s="9">
        <v>23.24</v>
      </c>
      <c r="X470" s="42">
        <f t="shared" si="7"/>
        <v>25.454545454545453</v>
      </c>
      <c r="Y470" s="9">
        <v>526.4</v>
      </c>
      <c r="Z470" s="9">
        <v>4.7592999999999996</v>
      </c>
    </row>
    <row r="471" spans="19:26" x14ac:dyDescent="0.2">
      <c r="S471" s="9" t="s">
        <v>514</v>
      </c>
      <c r="T471" s="9">
        <v>152</v>
      </c>
      <c r="U471" s="9">
        <v>3.5</v>
      </c>
      <c r="V471" s="9">
        <f t="shared" si="8"/>
        <v>12.819049999999999</v>
      </c>
      <c r="W471" s="9">
        <v>16.329999999999998</v>
      </c>
      <c r="X471" s="42">
        <f t="shared" si="7"/>
        <v>43.428571428571431</v>
      </c>
      <c r="Y471" s="9">
        <v>450.35</v>
      </c>
      <c r="Z471" s="9">
        <v>5.2515000000000001</v>
      </c>
    </row>
    <row r="472" spans="19:26" x14ac:dyDescent="0.2">
      <c r="S472" s="9" t="s">
        <v>515</v>
      </c>
      <c r="T472" s="9">
        <v>152</v>
      </c>
      <c r="U472" s="9">
        <v>4</v>
      </c>
      <c r="V472" s="9">
        <f t="shared" si="8"/>
        <v>14.601000000000001</v>
      </c>
      <c r="W472" s="9">
        <v>18.600000000000001</v>
      </c>
      <c r="X472" s="42">
        <f t="shared" si="7"/>
        <v>38</v>
      </c>
      <c r="Y472" s="9">
        <v>509.59</v>
      </c>
      <c r="Z472" s="9">
        <v>5.2342000000000004</v>
      </c>
    </row>
    <row r="473" spans="19:26" x14ac:dyDescent="0.2">
      <c r="S473" s="9" t="s">
        <v>516</v>
      </c>
      <c r="T473" s="9">
        <v>152</v>
      </c>
      <c r="U473" s="9">
        <v>4.5</v>
      </c>
      <c r="V473" s="9">
        <f t="shared" si="8"/>
        <v>16.367250000000002</v>
      </c>
      <c r="W473" s="9">
        <v>20.85</v>
      </c>
      <c r="X473" s="42">
        <f t="shared" si="7"/>
        <v>33.777777777777779</v>
      </c>
      <c r="Y473" s="9">
        <v>567.61</v>
      </c>
      <c r="Z473" s="9">
        <v>5.2176</v>
      </c>
    </row>
    <row r="474" spans="19:26" x14ac:dyDescent="0.2">
      <c r="S474" s="9" t="s">
        <v>517</v>
      </c>
      <c r="T474" s="9">
        <v>152</v>
      </c>
      <c r="U474" s="9">
        <v>5</v>
      </c>
      <c r="V474" s="9">
        <f t="shared" si="8"/>
        <v>18.12565</v>
      </c>
      <c r="W474" s="9">
        <v>23.09</v>
      </c>
      <c r="X474" s="42">
        <f t="shared" si="7"/>
        <v>30.4</v>
      </c>
      <c r="Y474" s="9">
        <v>624.42999999999995</v>
      </c>
      <c r="Z474" s="9">
        <v>5.2003000000000004</v>
      </c>
    </row>
    <row r="475" spans="19:26" x14ac:dyDescent="0.2">
      <c r="S475" s="9" t="s">
        <v>518</v>
      </c>
      <c r="T475" s="9">
        <v>152</v>
      </c>
      <c r="U475" s="9">
        <v>5.5</v>
      </c>
      <c r="V475" s="9">
        <f t="shared" si="8"/>
        <v>19.86835</v>
      </c>
      <c r="W475" s="9">
        <v>25.31</v>
      </c>
      <c r="X475" s="42">
        <f t="shared" si="7"/>
        <v>27.636363636363637</v>
      </c>
      <c r="Y475" s="9">
        <v>680.06</v>
      </c>
      <c r="Z475" s="9">
        <v>5.1836000000000002</v>
      </c>
    </row>
    <row r="476" spans="19:26" x14ac:dyDescent="0.2">
      <c r="S476" s="9" t="s">
        <v>519</v>
      </c>
      <c r="T476" s="9">
        <v>32</v>
      </c>
      <c r="U476" s="9">
        <v>2</v>
      </c>
      <c r="V476" s="9">
        <f t="shared" si="8"/>
        <v>1.4758</v>
      </c>
      <c r="W476" s="9">
        <v>1.88</v>
      </c>
      <c r="X476" s="42">
        <f t="shared" si="7"/>
        <v>16</v>
      </c>
      <c r="Y476" s="9">
        <v>2.13</v>
      </c>
      <c r="Z476" s="9">
        <v>1.0644</v>
      </c>
    </row>
    <row r="477" spans="19:26" x14ac:dyDescent="0.2">
      <c r="S477" s="9" t="s">
        <v>520</v>
      </c>
      <c r="T477" s="9">
        <v>32</v>
      </c>
      <c r="U477" s="9">
        <v>2.5</v>
      </c>
      <c r="V477" s="9">
        <f t="shared" si="8"/>
        <v>1.8211999999999999</v>
      </c>
      <c r="W477" s="9">
        <v>2.3199999999999998</v>
      </c>
      <c r="X477" s="42">
        <f t="shared" si="7"/>
        <v>12.8</v>
      </c>
      <c r="Y477" s="9">
        <v>2.54</v>
      </c>
      <c r="Z477" s="9">
        <v>1.0463</v>
      </c>
    </row>
    <row r="478" spans="19:26" x14ac:dyDescent="0.2">
      <c r="S478" s="9" t="s">
        <v>521</v>
      </c>
      <c r="T478" s="9">
        <v>38</v>
      </c>
      <c r="U478" s="9">
        <v>2</v>
      </c>
      <c r="V478" s="9">
        <f t="shared" si="8"/>
        <v>1.7741</v>
      </c>
      <c r="W478" s="9">
        <v>2.2599999999999998</v>
      </c>
      <c r="X478" s="42">
        <f t="shared" si="7"/>
        <v>19</v>
      </c>
      <c r="Y478" s="9">
        <v>3.68</v>
      </c>
      <c r="Z478" s="9">
        <v>1.2761</v>
      </c>
    </row>
    <row r="479" spans="19:26" x14ac:dyDescent="0.2">
      <c r="S479" s="9" t="s">
        <v>522</v>
      </c>
      <c r="T479" s="9">
        <v>38</v>
      </c>
      <c r="U479" s="9">
        <v>2.5</v>
      </c>
      <c r="V479" s="9">
        <f t="shared" si="8"/>
        <v>2.19015</v>
      </c>
      <c r="W479" s="9">
        <v>2.79</v>
      </c>
      <c r="X479" s="42">
        <f t="shared" si="7"/>
        <v>15.2</v>
      </c>
      <c r="Y479" s="9">
        <v>4.41</v>
      </c>
      <c r="Z479" s="9">
        <v>1.2572000000000001</v>
      </c>
    </row>
    <row r="480" spans="19:26" x14ac:dyDescent="0.2">
      <c r="S480" s="9" t="s">
        <v>523</v>
      </c>
      <c r="T480" s="9">
        <v>40</v>
      </c>
      <c r="U480" s="9">
        <v>2</v>
      </c>
      <c r="V480" s="9">
        <f t="shared" si="8"/>
        <v>1.8761500000000002</v>
      </c>
      <c r="W480" s="9">
        <v>2.39</v>
      </c>
      <c r="X480" s="42">
        <f t="shared" si="7"/>
        <v>20</v>
      </c>
      <c r="Y480" s="9">
        <v>4.32</v>
      </c>
      <c r="Z480" s="9">
        <v>1.3444</v>
      </c>
    </row>
    <row r="481" spans="19:26" x14ac:dyDescent="0.2">
      <c r="S481" s="9" t="s">
        <v>524</v>
      </c>
      <c r="T481" s="9">
        <v>40</v>
      </c>
      <c r="U481" s="9">
        <v>2.5</v>
      </c>
      <c r="V481" s="9">
        <f t="shared" si="8"/>
        <v>2.3157500000000004</v>
      </c>
      <c r="W481" s="9">
        <v>2.95</v>
      </c>
      <c r="X481" s="42">
        <f t="shared" si="7"/>
        <v>16</v>
      </c>
      <c r="Y481" s="9">
        <v>5.2</v>
      </c>
      <c r="Z481" s="9">
        <v>1.3277000000000001</v>
      </c>
    </row>
    <row r="482" spans="19:26" x14ac:dyDescent="0.2">
      <c r="S482" s="9" t="s">
        <v>525</v>
      </c>
      <c r="T482" s="9">
        <v>42</v>
      </c>
      <c r="U482" s="9">
        <v>2</v>
      </c>
      <c r="V482" s="9">
        <f t="shared" si="8"/>
        <v>1.9703499999999998</v>
      </c>
      <c r="W482" s="9">
        <v>2.5099999999999998</v>
      </c>
      <c r="X482" s="42">
        <f t="shared" si="7"/>
        <v>21</v>
      </c>
      <c r="Y482" s="9">
        <v>5.04</v>
      </c>
      <c r="Z482" s="9">
        <v>1.417</v>
      </c>
    </row>
    <row r="483" spans="19:26" x14ac:dyDescent="0.2">
      <c r="S483" s="9" t="s">
        <v>526</v>
      </c>
      <c r="T483" s="9">
        <v>42</v>
      </c>
      <c r="U483" s="9">
        <v>2.5</v>
      </c>
      <c r="V483" s="9">
        <f t="shared" si="8"/>
        <v>2.4335</v>
      </c>
      <c r="W483" s="9">
        <v>3.1</v>
      </c>
      <c r="X483" s="42">
        <f t="shared" si="7"/>
        <v>16.8</v>
      </c>
      <c r="Y483" s="9">
        <v>6.07</v>
      </c>
      <c r="Z483" s="9">
        <v>1.3993</v>
      </c>
    </row>
    <row r="484" spans="19:26" x14ac:dyDescent="0.2">
      <c r="S484" s="9" t="s">
        <v>527</v>
      </c>
      <c r="T484" s="9">
        <v>45</v>
      </c>
      <c r="U484" s="9">
        <v>2</v>
      </c>
      <c r="V484" s="9">
        <f t="shared" si="8"/>
        <v>2.1195000000000004</v>
      </c>
      <c r="W484" s="9">
        <v>2.7</v>
      </c>
      <c r="X484" s="42">
        <f t="shared" si="7"/>
        <v>22.5</v>
      </c>
      <c r="Y484" s="9">
        <v>6.26</v>
      </c>
      <c r="Z484" s="9">
        <v>1.5226999999999999</v>
      </c>
    </row>
    <row r="485" spans="19:26" x14ac:dyDescent="0.2">
      <c r="S485" s="9" t="s">
        <v>528</v>
      </c>
      <c r="T485" s="9">
        <v>45</v>
      </c>
      <c r="U485" s="9">
        <v>2.5</v>
      </c>
      <c r="V485" s="9">
        <f t="shared" si="8"/>
        <v>2.6219000000000001</v>
      </c>
      <c r="W485" s="9">
        <v>3.34</v>
      </c>
      <c r="X485" s="42">
        <f t="shared" si="7"/>
        <v>18</v>
      </c>
      <c r="Y485" s="9">
        <v>7.56</v>
      </c>
      <c r="Z485" s="9">
        <v>1.5044999999999999</v>
      </c>
    </row>
    <row r="486" spans="19:26" x14ac:dyDescent="0.2">
      <c r="S486" s="9" t="s">
        <v>529</v>
      </c>
      <c r="T486" s="9">
        <v>45</v>
      </c>
      <c r="U486" s="9">
        <v>3</v>
      </c>
      <c r="V486" s="9">
        <f t="shared" si="8"/>
        <v>3.1086</v>
      </c>
      <c r="W486" s="9">
        <v>3.96</v>
      </c>
      <c r="X486" s="42">
        <f t="shared" si="7"/>
        <v>15</v>
      </c>
      <c r="Y486" s="9">
        <v>8.77</v>
      </c>
      <c r="Z486" s="9">
        <v>1.4882</v>
      </c>
    </row>
    <row r="487" spans="19:26" x14ac:dyDescent="0.2">
      <c r="S487" s="9" t="s">
        <v>530</v>
      </c>
      <c r="T487" s="9">
        <v>51</v>
      </c>
      <c r="U487" s="9">
        <v>2</v>
      </c>
      <c r="V487" s="9">
        <f t="shared" si="8"/>
        <v>2.4178000000000002</v>
      </c>
      <c r="W487" s="9">
        <v>3.08</v>
      </c>
      <c r="X487" s="42">
        <f t="shared" si="7"/>
        <v>25.5</v>
      </c>
      <c r="Y487" s="9">
        <v>9.26</v>
      </c>
      <c r="Z487" s="9">
        <v>1.7339</v>
      </c>
    </row>
    <row r="488" spans="19:26" x14ac:dyDescent="0.2">
      <c r="S488" s="9" t="s">
        <v>531</v>
      </c>
      <c r="T488" s="9">
        <v>51</v>
      </c>
      <c r="U488" s="9">
        <v>2.5</v>
      </c>
      <c r="V488" s="9">
        <f t="shared" si="8"/>
        <v>2.99085</v>
      </c>
      <c r="W488" s="9">
        <v>3.81</v>
      </c>
      <c r="X488" s="42">
        <f t="shared" si="7"/>
        <v>20.399999999999999</v>
      </c>
      <c r="Y488" s="9">
        <v>11.23</v>
      </c>
      <c r="Z488" s="9">
        <v>1.7168000000000001</v>
      </c>
    </row>
    <row r="489" spans="19:26" x14ac:dyDescent="0.2">
      <c r="S489" s="9" t="s">
        <v>532</v>
      </c>
      <c r="T489" s="9">
        <v>51</v>
      </c>
      <c r="U489" s="9">
        <v>3</v>
      </c>
      <c r="V489" s="9">
        <f t="shared" si="8"/>
        <v>3.5482</v>
      </c>
      <c r="W489" s="9">
        <v>4.5199999999999996</v>
      </c>
      <c r="X489" s="42">
        <f t="shared" si="7"/>
        <v>17</v>
      </c>
      <c r="Y489" s="9">
        <v>13.08</v>
      </c>
      <c r="Z489" s="9">
        <v>1.7011000000000001</v>
      </c>
    </row>
    <row r="490" spans="19:26" x14ac:dyDescent="0.2">
      <c r="S490" s="9" t="s">
        <v>533</v>
      </c>
      <c r="T490" s="9">
        <v>51</v>
      </c>
      <c r="U490" s="9">
        <v>3.5</v>
      </c>
      <c r="V490" s="9">
        <f t="shared" si="8"/>
        <v>4.0976999999999997</v>
      </c>
      <c r="W490" s="9">
        <v>5.22</v>
      </c>
      <c r="X490" s="42">
        <f t="shared" si="7"/>
        <v>14.571428571428571</v>
      </c>
      <c r="Y490" s="9">
        <v>14.81</v>
      </c>
      <c r="Z490" s="9">
        <v>1.6843999999999999</v>
      </c>
    </row>
    <row r="491" spans="19:26" x14ac:dyDescent="0.2">
      <c r="S491" s="9" t="s">
        <v>534</v>
      </c>
      <c r="T491" s="9">
        <v>53</v>
      </c>
      <c r="U491" s="9">
        <v>2</v>
      </c>
      <c r="V491" s="9">
        <f t="shared" si="8"/>
        <v>2.5120000000000005</v>
      </c>
      <c r="W491" s="9">
        <v>3.2</v>
      </c>
      <c r="X491" s="42">
        <f t="shared" si="7"/>
        <v>26.5</v>
      </c>
      <c r="Y491" s="9">
        <v>10.43</v>
      </c>
      <c r="Z491" s="9">
        <v>1.8053999999999999</v>
      </c>
    </row>
    <row r="492" spans="19:26" x14ac:dyDescent="0.2">
      <c r="S492" s="9" t="s">
        <v>535</v>
      </c>
      <c r="T492" s="9">
        <v>53</v>
      </c>
      <c r="U492" s="9">
        <v>2.5</v>
      </c>
      <c r="V492" s="9">
        <f t="shared" si="8"/>
        <v>3.1164500000000004</v>
      </c>
      <c r="W492" s="9">
        <v>3.97</v>
      </c>
      <c r="X492" s="42">
        <f t="shared" si="7"/>
        <v>21.2</v>
      </c>
      <c r="Y492" s="9">
        <v>12.67</v>
      </c>
      <c r="Z492" s="9">
        <v>1.7865</v>
      </c>
    </row>
    <row r="493" spans="19:26" x14ac:dyDescent="0.2">
      <c r="S493" s="9" t="s">
        <v>536</v>
      </c>
      <c r="T493" s="9">
        <v>53</v>
      </c>
      <c r="U493" s="9">
        <v>3</v>
      </c>
      <c r="V493" s="9">
        <f t="shared" si="8"/>
        <v>3.6973500000000001</v>
      </c>
      <c r="W493" s="9">
        <v>4.71</v>
      </c>
      <c r="X493" s="42">
        <f t="shared" si="7"/>
        <v>17.666666666666668</v>
      </c>
      <c r="Y493" s="9">
        <v>14.78</v>
      </c>
      <c r="Z493" s="9">
        <v>1.7714000000000001</v>
      </c>
    </row>
    <row r="494" spans="19:26" x14ac:dyDescent="0.2">
      <c r="S494" s="9" t="s">
        <v>537</v>
      </c>
      <c r="T494" s="9">
        <v>53</v>
      </c>
      <c r="U494" s="9">
        <v>3.5</v>
      </c>
      <c r="V494" s="9">
        <f t="shared" si="8"/>
        <v>4.2704000000000004</v>
      </c>
      <c r="W494" s="9">
        <v>5.44</v>
      </c>
      <c r="X494" s="42">
        <f t="shared" si="7"/>
        <v>15.142857142857142</v>
      </c>
      <c r="Y494" s="9">
        <v>16.75</v>
      </c>
      <c r="Z494" s="9">
        <v>1.7546999999999999</v>
      </c>
    </row>
    <row r="495" spans="19:26" x14ac:dyDescent="0.2">
      <c r="S495" s="9" t="s">
        <v>538</v>
      </c>
      <c r="T495" s="9">
        <v>57</v>
      </c>
      <c r="U495" s="9">
        <v>2</v>
      </c>
      <c r="V495" s="9">
        <f t="shared" si="8"/>
        <v>2.7161</v>
      </c>
      <c r="W495" s="9">
        <v>3.46</v>
      </c>
      <c r="X495" s="42">
        <f t="shared" si="7"/>
        <v>28.5</v>
      </c>
      <c r="Y495" s="9">
        <v>13.08</v>
      </c>
      <c r="Z495" s="9">
        <v>1.9442999999999999</v>
      </c>
    </row>
    <row r="496" spans="19:26" x14ac:dyDescent="0.2">
      <c r="S496" s="9" t="s">
        <v>539</v>
      </c>
      <c r="T496" s="9">
        <v>57</v>
      </c>
      <c r="U496" s="9">
        <v>2.5</v>
      </c>
      <c r="V496" s="9">
        <f t="shared" si="8"/>
        <v>3.3598000000000003</v>
      </c>
      <c r="W496" s="9">
        <v>4.28</v>
      </c>
      <c r="X496" s="42">
        <f t="shared" si="7"/>
        <v>22.8</v>
      </c>
      <c r="Y496" s="9">
        <v>15.93</v>
      </c>
      <c r="Z496" s="9">
        <v>1.9292</v>
      </c>
    </row>
    <row r="497" spans="19:26" x14ac:dyDescent="0.2">
      <c r="S497" s="9" t="s">
        <v>540</v>
      </c>
      <c r="T497" s="9">
        <v>57</v>
      </c>
      <c r="U497" s="9">
        <v>3</v>
      </c>
      <c r="V497" s="9">
        <f t="shared" si="8"/>
        <v>3.9956499999999999</v>
      </c>
      <c r="W497" s="9">
        <v>5.09</v>
      </c>
      <c r="X497" s="42">
        <f t="shared" si="7"/>
        <v>19</v>
      </c>
      <c r="Y497" s="9">
        <v>18.61</v>
      </c>
      <c r="Z497" s="9">
        <v>1.9120999999999999</v>
      </c>
    </row>
    <row r="498" spans="19:26" x14ac:dyDescent="0.2">
      <c r="S498" s="9" t="s">
        <v>541</v>
      </c>
      <c r="T498" s="9">
        <v>57</v>
      </c>
      <c r="U498" s="9">
        <v>3.5</v>
      </c>
      <c r="V498" s="9">
        <f t="shared" si="8"/>
        <v>4.6158000000000001</v>
      </c>
      <c r="W498" s="9">
        <v>5.88</v>
      </c>
      <c r="X498" s="42">
        <f t="shared" si="7"/>
        <v>16.285714285714285</v>
      </c>
      <c r="Y498" s="9">
        <v>21.14</v>
      </c>
      <c r="Z498" s="9">
        <v>1.8960999999999999</v>
      </c>
    </row>
    <row r="499" spans="19:26" x14ac:dyDescent="0.2">
      <c r="S499" s="9" t="s">
        <v>542</v>
      </c>
      <c r="T499" s="9">
        <v>60</v>
      </c>
      <c r="U499" s="9">
        <v>2</v>
      </c>
      <c r="V499" s="9">
        <f t="shared" si="8"/>
        <v>2.8574000000000002</v>
      </c>
      <c r="W499" s="9">
        <v>3.64</v>
      </c>
      <c r="X499" s="42">
        <f t="shared" si="7"/>
        <v>30</v>
      </c>
      <c r="Y499" s="9">
        <v>15.34</v>
      </c>
      <c r="Z499" s="9">
        <v>2.0529000000000002</v>
      </c>
    </row>
    <row r="500" spans="19:26" x14ac:dyDescent="0.2">
      <c r="S500" s="9" t="s">
        <v>543</v>
      </c>
      <c r="T500" s="9">
        <v>60</v>
      </c>
      <c r="U500" s="9">
        <v>2.5</v>
      </c>
      <c r="V500" s="9">
        <f t="shared" si="8"/>
        <v>3.5482</v>
      </c>
      <c r="W500" s="9">
        <v>4.5199999999999996</v>
      </c>
      <c r="X500" s="42">
        <f t="shared" si="7"/>
        <v>24</v>
      </c>
      <c r="Y500" s="9">
        <v>18.7</v>
      </c>
      <c r="Z500" s="9">
        <v>2.0339999999999998</v>
      </c>
    </row>
    <row r="501" spans="19:26" x14ac:dyDescent="0.2">
      <c r="S501" s="9" t="s">
        <v>544</v>
      </c>
      <c r="T501" s="9">
        <v>60</v>
      </c>
      <c r="U501" s="9">
        <v>3</v>
      </c>
      <c r="V501" s="9">
        <f t="shared" si="8"/>
        <v>4.2154500000000006</v>
      </c>
      <c r="W501" s="9">
        <v>5.37</v>
      </c>
      <c r="X501" s="42">
        <f t="shared" si="7"/>
        <v>20</v>
      </c>
      <c r="Y501" s="9">
        <v>21.88</v>
      </c>
      <c r="Z501" s="9">
        <v>2.0185</v>
      </c>
    </row>
    <row r="502" spans="19:26" x14ac:dyDescent="0.2">
      <c r="S502" s="9" t="s">
        <v>545</v>
      </c>
      <c r="T502" s="9">
        <v>60</v>
      </c>
      <c r="U502" s="9">
        <v>3.5</v>
      </c>
      <c r="V502" s="9">
        <f t="shared" si="8"/>
        <v>4.8748500000000003</v>
      </c>
      <c r="W502" s="9">
        <v>6.21</v>
      </c>
      <c r="X502" s="42">
        <f t="shared" si="7"/>
        <v>17.142857142857142</v>
      </c>
      <c r="Y502" s="9">
        <v>24.88</v>
      </c>
      <c r="Z502" s="9">
        <v>2.0015999999999998</v>
      </c>
    </row>
    <row r="503" spans="19:26" x14ac:dyDescent="0.2">
      <c r="S503" s="9" t="s">
        <v>546</v>
      </c>
      <c r="T503" s="9">
        <v>63.5</v>
      </c>
      <c r="U503" s="9">
        <v>2</v>
      </c>
      <c r="V503" s="9">
        <f t="shared" si="8"/>
        <v>3.0301</v>
      </c>
      <c r="W503" s="9">
        <v>3.86</v>
      </c>
      <c r="X503" s="42">
        <f t="shared" si="7"/>
        <v>31.75</v>
      </c>
      <c r="Y503" s="9">
        <v>18.29</v>
      </c>
      <c r="Z503" s="9">
        <v>2.1768000000000001</v>
      </c>
    </row>
    <row r="504" spans="19:26" x14ac:dyDescent="0.2">
      <c r="S504" s="9" t="s">
        <v>547</v>
      </c>
      <c r="T504" s="9">
        <v>63.5</v>
      </c>
      <c r="U504" s="9">
        <v>2.5</v>
      </c>
      <c r="V504" s="9">
        <f t="shared" si="8"/>
        <v>3.7601500000000003</v>
      </c>
      <c r="W504" s="9">
        <v>4.79</v>
      </c>
      <c r="X504" s="42">
        <f t="shared" ref="X504:X533" si="9">T504/U504</f>
        <v>25.4</v>
      </c>
      <c r="Y504" s="9">
        <v>22.32</v>
      </c>
      <c r="Z504" s="9">
        <v>2.1585999999999999</v>
      </c>
    </row>
    <row r="505" spans="19:26" x14ac:dyDescent="0.2">
      <c r="S505" s="9" t="s">
        <v>548</v>
      </c>
      <c r="T505" s="9">
        <v>63.5</v>
      </c>
      <c r="U505" s="9">
        <v>3</v>
      </c>
      <c r="V505" s="9">
        <f t="shared" ref="V505:V568" si="10">W505*0.785</f>
        <v>4.4744999999999999</v>
      </c>
      <c r="W505" s="9">
        <v>5.7</v>
      </c>
      <c r="X505" s="42">
        <f t="shared" si="9"/>
        <v>21.166666666666668</v>
      </c>
      <c r="Y505" s="9">
        <v>26.15</v>
      </c>
      <c r="Z505" s="9">
        <v>2.1419000000000001</v>
      </c>
    </row>
    <row r="506" spans="19:26" x14ac:dyDescent="0.2">
      <c r="S506" s="9" t="s">
        <v>549</v>
      </c>
      <c r="T506" s="9">
        <v>63.5</v>
      </c>
      <c r="U506" s="9">
        <v>3.5</v>
      </c>
      <c r="V506" s="9">
        <f t="shared" si="10"/>
        <v>5.181</v>
      </c>
      <c r="W506" s="9">
        <v>6.6</v>
      </c>
      <c r="X506" s="42">
        <f t="shared" si="9"/>
        <v>18.142857142857142</v>
      </c>
      <c r="Y506" s="9">
        <v>29.79</v>
      </c>
      <c r="Z506" s="9">
        <v>2.1244999999999998</v>
      </c>
    </row>
    <row r="507" spans="19:26" x14ac:dyDescent="0.2">
      <c r="S507" s="9" t="s">
        <v>550</v>
      </c>
      <c r="T507" s="9">
        <v>70</v>
      </c>
      <c r="U507" s="9">
        <v>2</v>
      </c>
      <c r="V507" s="9">
        <f t="shared" si="10"/>
        <v>3.35195</v>
      </c>
      <c r="W507" s="9">
        <v>4.2699999999999996</v>
      </c>
      <c r="X507" s="42">
        <f t="shared" si="9"/>
        <v>35</v>
      </c>
      <c r="Y507" s="9">
        <v>24.22</v>
      </c>
      <c r="Z507" s="9">
        <v>2.3816000000000002</v>
      </c>
    </row>
    <row r="508" spans="19:26" x14ac:dyDescent="0.2">
      <c r="S508" s="9" t="s">
        <v>551</v>
      </c>
      <c r="T508" s="9">
        <v>70</v>
      </c>
      <c r="U508" s="9">
        <v>2.5</v>
      </c>
      <c r="V508" s="9">
        <f t="shared" si="10"/>
        <v>4.1604999999999999</v>
      </c>
      <c r="W508" s="9">
        <v>5.3</v>
      </c>
      <c r="X508" s="42">
        <f t="shared" si="9"/>
        <v>28</v>
      </c>
      <c r="Y508" s="9">
        <v>30.23</v>
      </c>
      <c r="Z508" s="9">
        <v>2.3883000000000001</v>
      </c>
    </row>
    <row r="509" spans="19:26" x14ac:dyDescent="0.2">
      <c r="S509" s="9" t="s">
        <v>552</v>
      </c>
      <c r="T509" s="9">
        <v>70</v>
      </c>
      <c r="U509" s="9">
        <v>3</v>
      </c>
      <c r="V509" s="9">
        <f t="shared" si="10"/>
        <v>4.9533499999999995</v>
      </c>
      <c r="W509" s="9">
        <v>6.31</v>
      </c>
      <c r="X509" s="42">
        <f t="shared" si="9"/>
        <v>23.333333333333332</v>
      </c>
      <c r="Y509" s="9">
        <v>35.5</v>
      </c>
      <c r="Z509" s="9">
        <v>2.3719000000000001</v>
      </c>
    </row>
    <row r="510" spans="19:26" x14ac:dyDescent="0.2">
      <c r="S510" s="9" t="s">
        <v>553</v>
      </c>
      <c r="T510" s="9">
        <v>70</v>
      </c>
      <c r="U510" s="9">
        <v>3.5</v>
      </c>
      <c r="V510" s="9">
        <f t="shared" si="10"/>
        <v>5.7383499999999996</v>
      </c>
      <c r="W510" s="9">
        <v>7.31</v>
      </c>
      <c r="X510" s="42">
        <f t="shared" si="9"/>
        <v>20</v>
      </c>
      <c r="Y510" s="9">
        <v>40.53</v>
      </c>
      <c r="Z510" s="9">
        <v>2.3546999999999998</v>
      </c>
    </row>
    <row r="511" spans="19:26" x14ac:dyDescent="0.2">
      <c r="S511" s="9" t="s">
        <v>554</v>
      </c>
      <c r="T511" s="9">
        <v>70</v>
      </c>
      <c r="U511" s="9">
        <v>4.5</v>
      </c>
      <c r="V511" s="9">
        <f t="shared" si="10"/>
        <v>7.2690999999999999</v>
      </c>
      <c r="W511" s="9">
        <v>9.26</v>
      </c>
      <c r="X511" s="42">
        <f t="shared" si="9"/>
        <v>15.555555555555555</v>
      </c>
      <c r="Y511" s="9">
        <v>49.89</v>
      </c>
      <c r="Z511" s="9">
        <v>2.3210999999999999</v>
      </c>
    </row>
    <row r="512" spans="19:26" x14ac:dyDescent="0.2">
      <c r="S512" s="9" t="s">
        <v>555</v>
      </c>
      <c r="T512" s="9">
        <v>76</v>
      </c>
      <c r="U512" s="9">
        <v>2</v>
      </c>
      <c r="V512" s="9">
        <f t="shared" si="10"/>
        <v>3.6502500000000002</v>
      </c>
      <c r="W512" s="9">
        <v>4.6500000000000004</v>
      </c>
      <c r="X512" s="42">
        <f t="shared" si="9"/>
        <v>38</v>
      </c>
      <c r="Y512" s="9">
        <v>31.85</v>
      </c>
      <c r="Z512" s="9">
        <v>2.6171000000000002</v>
      </c>
    </row>
    <row r="513" spans="19:26" x14ac:dyDescent="0.2">
      <c r="S513" s="9" t="s">
        <v>556</v>
      </c>
      <c r="T513" s="9">
        <v>76</v>
      </c>
      <c r="U513" s="9">
        <v>2.5</v>
      </c>
      <c r="V513" s="9">
        <f t="shared" si="10"/>
        <v>4.5294499999999998</v>
      </c>
      <c r="W513" s="9">
        <v>5.77</v>
      </c>
      <c r="X513" s="42">
        <f t="shared" si="9"/>
        <v>30.4</v>
      </c>
      <c r="Y513" s="9">
        <v>39.03</v>
      </c>
      <c r="Z513" s="9">
        <v>2.6008</v>
      </c>
    </row>
    <row r="514" spans="19:26" x14ac:dyDescent="0.2">
      <c r="S514" s="9" t="s">
        <v>557</v>
      </c>
      <c r="T514" s="9">
        <v>76</v>
      </c>
      <c r="U514" s="9">
        <v>3</v>
      </c>
      <c r="V514" s="9">
        <f t="shared" si="10"/>
        <v>5.4008000000000003</v>
      </c>
      <c r="W514" s="9">
        <v>6.88</v>
      </c>
      <c r="X514" s="42">
        <f t="shared" si="9"/>
        <v>25.333333333333332</v>
      </c>
      <c r="Y514" s="9">
        <v>45.91</v>
      </c>
      <c r="Z514" s="9">
        <v>2.5832000000000002</v>
      </c>
    </row>
    <row r="515" spans="19:26" x14ac:dyDescent="0.2">
      <c r="S515" s="9" t="s">
        <v>558</v>
      </c>
      <c r="T515" s="9">
        <v>76</v>
      </c>
      <c r="U515" s="9">
        <v>3.5</v>
      </c>
      <c r="V515" s="9">
        <f t="shared" si="10"/>
        <v>6.2564500000000001</v>
      </c>
      <c r="W515" s="9">
        <v>7.97</v>
      </c>
      <c r="X515" s="42">
        <f t="shared" si="9"/>
        <v>21.714285714285715</v>
      </c>
      <c r="Y515" s="9">
        <v>52.5</v>
      </c>
      <c r="Z515" s="9">
        <v>2.5666000000000002</v>
      </c>
    </row>
    <row r="516" spans="19:26" x14ac:dyDescent="0.2">
      <c r="S516" s="9" t="s">
        <v>559</v>
      </c>
      <c r="T516" s="9">
        <v>76</v>
      </c>
      <c r="U516" s="9">
        <v>4</v>
      </c>
      <c r="V516" s="9">
        <f t="shared" si="10"/>
        <v>7.1042500000000004</v>
      </c>
      <c r="W516" s="9">
        <v>9.0500000000000007</v>
      </c>
      <c r="X516" s="42">
        <f t="shared" si="9"/>
        <v>19</v>
      </c>
      <c r="Y516" s="9">
        <v>58.81</v>
      </c>
      <c r="Z516" s="9">
        <v>2.5491999999999999</v>
      </c>
    </row>
    <row r="517" spans="19:26" x14ac:dyDescent="0.2">
      <c r="S517" s="9" t="s">
        <v>560</v>
      </c>
      <c r="T517" s="9">
        <v>76</v>
      </c>
      <c r="U517" s="9">
        <v>4.5999999999999996</v>
      </c>
      <c r="V517" s="9">
        <f t="shared" si="10"/>
        <v>7.93635</v>
      </c>
      <c r="W517" s="9">
        <v>10.11</v>
      </c>
      <c r="X517" s="42">
        <f t="shared" si="9"/>
        <v>16.521739130434785</v>
      </c>
      <c r="Y517" s="9">
        <v>64.849999999999994</v>
      </c>
      <c r="Z517" s="9">
        <v>2.5327000000000002</v>
      </c>
    </row>
    <row r="518" spans="19:26" x14ac:dyDescent="0.2">
      <c r="S518" s="9" t="s">
        <v>561</v>
      </c>
      <c r="T518" s="9">
        <v>83</v>
      </c>
      <c r="U518" s="9">
        <v>2</v>
      </c>
      <c r="V518" s="9">
        <f t="shared" si="10"/>
        <v>3.9956499999999999</v>
      </c>
      <c r="W518" s="9">
        <v>5.09</v>
      </c>
      <c r="X518" s="42">
        <f t="shared" si="9"/>
        <v>41.5</v>
      </c>
      <c r="Y518" s="9">
        <v>41.76</v>
      </c>
      <c r="Z518" s="9">
        <v>2.8643000000000001</v>
      </c>
    </row>
    <row r="519" spans="19:26" x14ac:dyDescent="0.2">
      <c r="S519" s="9" t="s">
        <v>562</v>
      </c>
      <c r="T519" s="9">
        <v>83</v>
      </c>
      <c r="U519" s="9">
        <v>2.5</v>
      </c>
      <c r="V519" s="9">
        <f t="shared" si="10"/>
        <v>4.9612000000000007</v>
      </c>
      <c r="W519" s="9">
        <v>6.32</v>
      </c>
      <c r="X519" s="42">
        <f t="shared" si="9"/>
        <v>33.200000000000003</v>
      </c>
      <c r="Y519" s="9">
        <v>51.26</v>
      </c>
      <c r="Z519" s="9">
        <v>2.8479000000000001</v>
      </c>
    </row>
    <row r="520" spans="19:26" x14ac:dyDescent="0.2">
      <c r="S520" s="9" t="s">
        <v>563</v>
      </c>
      <c r="T520" s="9">
        <v>83</v>
      </c>
      <c r="U520" s="9">
        <v>3</v>
      </c>
      <c r="V520" s="9">
        <f t="shared" si="10"/>
        <v>5.9188999999999998</v>
      </c>
      <c r="W520" s="9">
        <v>7.54</v>
      </c>
      <c r="X520" s="42">
        <f t="shared" si="9"/>
        <v>27.666666666666668</v>
      </c>
      <c r="Y520" s="9">
        <v>60.4</v>
      </c>
      <c r="Z520" s="9">
        <v>2.8302999999999998</v>
      </c>
    </row>
    <row r="521" spans="19:26" x14ac:dyDescent="0.2">
      <c r="S521" s="9" t="s">
        <v>564</v>
      </c>
      <c r="T521" s="9">
        <v>83</v>
      </c>
      <c r="U521" s="9">
        <v>3.5</v>
      </c>
      <c r="V521" s="9">
        <f t="shared" si="10"/>
        <v>6.8609</v>
      </c>
      <c r="W521" s="9">
        <v>8.74</v>
      </c>
      <c r="X521" s="42">
        <f t="shared" si="9"/>
        <v>23.714285714285715</v>
      </c>
      <c r="Y521" s="9">
        <v>69.19</v>
      </c>
      <c r="Z521" s="9">
        <v>2.8136000000000001</v>
      </c>
    </row>
    <row r="522" spans="19:26" x14ac:dyDescent="0.2">
      <c r="S522" s="9" t="s">
        <v>565</v>
      </c>
      <c r="T522" s="9">
        <v>83</v>
      </c>
      <c r="U522" s="9">
        <v>4</v>
      </c>
      <c r="V522" s="9">
        <f t="shared" si="10"/>
        <v>7.7950499999999998</v>
      </c>
      <c r="W522" s="9">
        <v>9.93</v>
      </c>
      <c r="X522" s="42">
        <f t="shared" si="9"/>
        <v>20.75</v>
      </c>
      <c r="Y522" s="9">
        <v>77.64</v>
      </c>
      <c r="Z522" s="9">
        <v>2.7961999999999998</v>
      </c>
    </row>
    <row r="523" spans="19:26" x14ac:dyDescent="0.2">
      <c r="S523" s="9" t="s">
        <v>566</v>
      </c>
      <c r="T523" s="9">
        <v>83</v>
      </c>
      <c r="U523" s="9">
        <v>4.5</v>
      </c>
      <c r="V523" s="9">
        <f t="shared" si="10"/>
        <v>8.7134999999999998</v>
      </c>
      <c r="W523" s="9">
        <v>11.1</v>
      </c>
      <c r="X523" s="42">
        <f t="shared" si="9"/>
        <v>18.444444444444443</v>
      </c>
      <c r="Y523" s="9">
        <v>85.76</v>
      </c>
      <c r="Z523" s="9">
        <v>2.7795999999999998</v>
      </c>
    </row>
    <row r="524" spans="19:26" x14ac:dyDescent="0.2">
      <c r="S524" s="9" t="s">
        <v>567</v>
      </c>
      <c r="T524" s="9">
        <v>89</v>
      </c>
      <c r="U524" s="9">
        <v>2</v>
      </c>
      <c r="V524" s="9">
        <f t="shared" si="10"/>
        <v>4.2939499999999997</v>
      </c>
      <c r="W524" s="9">
        <v>5.47</v>
      </c>
      <c r="X524" s="42">
        <f t="shared" si="9"/>
        <v>44.5</v>
      </c>
      <c r="Y524" s="9">
        <v>51.75</v>
      </c>
      <c r="Z524" s="9">
        <v>3.0758000000000001</v>
      </c>
    </row>
    <row r="525" spans="19:26" x14ac:dyDescent="0.2">
      <c r="S525" s="9" t="s">
        <v>568</v>
      </c>
      <c r="T525" s="9">
        <v>89</v>
      </c>
      <c r="U525" s="9">
        <v>2.5</v>
      </c>
      <c r="V525" s="9">
        <f t="shared" si="10"/>
        <v>5.3301500000000006</v>
      </c>
      <c r="W525" s="9">
        <v>6.79</v>
      </c>
      <c r="X525" s="42">
        <f t="shared" si="9"/>
        <v>35.6</v>
      </c>
      <c r="Y525" s="9">
        <v>63.59</v>
      </c>
      <c r="Z525" s="9">
        <v>3.0602999999999998</v>
      </c>
    </row>
    <row r="526" spans="19:26" x14ac:dyDescent="0.2">
      <c r="S526" s="9" t="s">
        <v>569</v>
      </c>
      <c r="T526" s="9">
        <v>89</v>
      </c>
      <c r="U526" s="9">
        <v>3</v>
      </c>
      <c r="V526" s="9">
        <f t="shared" si="10"/>
        <v>6.3663499999999997</v>
      </c>
      <c r="W526" s="9">
        <v>8.11</v>
      </c>
      <c r="X526" s="42">
        <f t="shared" si="9"/>
        <v>29.666666666666668</v>
      </c>
      <c r="Y526" s="9">
        <v>75.02</v>
      </c>
      <c r="Z526" s="9">
        <v>3.0413999999999999</v>
      </c>
    </row>
    <row r="527" spans="19:26" x14ac:dyDescent="0.2">
      <c r="S527" s="9" t="s">
        <v>570</v>
      </c>
      <c r="T527" s="9">
        <v>89</v>
      </c>
      <c r="U527" s="9">
        <v>3.5</v>
      </c>
      <c r="V527" s="9">
        <f t="shared" si="10"/>
        <v>7.3790000000000004</v>
      </c>
      <c r="W527" s="9">
        <v>9.4</v>
      </c>
      <c r="X527" s="42">
        <f t="shared" si="9"/>
        <v>25.428571428571427</v>
      </c>
      <c r="Y527" s="9">
        <v>86.05</v>
      </c>
      <c r="Z527" s="9">
        <v>3.0255999999999998</v>
      </c>
    </row>
    <row r="528" spans="19:26" x14ac:dyDescent="0.2">
      <c r="S528" s="9" t="s">
        <v>571</v>
      </c>
      <c r="T528" s="9">
        <v>89</v>
      </c>
      <c r="U528" s="9">
        <v>4</v>
      </c>
      <c r="V528" s="9">
        <f t="shared" si="10"/>
        <v>8.3838000000000008</v>
      </c>
      <c r="W528" s="9">
        <v>10.68</v>
      </c>
      <c r="X528" s="42">
        <f t="shared" si="9"/>
        <v>22.25</v>
      </c>
      <c r="Y528" s="9">
        <v>96.68</v>
      </c>
      <c r="Z528" s="9">
        <v>3.0087000000000002</v>
      </c>
    </row>
    <row r="529" spans="19:26" x14ac:dyDescent="0.2">
      <c r="S529" s="9" t="s">
        <v>572</v>
      </c>
      <c r="T529" s="9">
        <v>89</v>
      </c>
      <c r="U529" s="9">
        <v>4.5</v>
      </c>
      <c r="V529" s="9">
        <f t="shared" si="10"/>
        <v>9.380749999999999</v>
      </c>
      <c r="W529" s="9">
        <v>11.95</v>
      </c>
      <c r="X529" s="42">
        <f t="shared" si="9"/>
        <v>19.777777777777779</v>
      </c>
      <c r="Y529" s="9">
        <v>106.92</v>
      </c>
      <c r="Z529" s="9">
        <v>2.9912000000000001</v>
      </c>
    </row>
    <row r="530" spans="19:26" x14ac:dyDescent="0.2">
      <c r="S530" s="9" t="s">
        <v>573</v>
      </c>
      <c r="T530" s="9">
        <v>95</v>
      </c>
      <c r="U530" s="9">
        <v>2</v>
      </c>
      <c r="V530" s="9">
        <f t="shared" si="10"/>
        <v>4.5844000000000005</v>
      </c>
      <c r="W530" s="9">
        <v>5.84</v>
      </c>
      <c r="X530" s="42">
        <f t="shared" si="9"/>
        <v>47.5</v>
      </c>
      <c r="Y530" s="9">
        <v>63.2</v>
      </c>
      <c r="Z530" s="9">
        <v>3.2896999999999998</v>
      </c>
    </row>
    <row r="531" spans="19:26" x14ac:dyDescent="0.2">
      <c r="S531" s="9" t="s">
        <v>574</v>
      </c>
      <c r="T531" s="9">
        <v>95</v>
      </c>
      <c r="U531" s="9">
        <v>2.5</v>
      </c>
      <c r="V531" s="9">
        <f t="shared" si="10"/>
        <v>5.6991000000000005</v>
      </c>
      <c r="W531" s="9">
        <v>7.26</v>
      </c>
      <c r="X531" s="42">
        <f t="shared" si="9"/>
        <v>38</v>
      </c>
      <c r="Y531" s="9">
        <v>77.760000000000005</v>
      </c>
      <c r="Z531" s="9">
        <v>3.2726999999999999</v>
      </c>
    </row>
    <row r="532" spans="19:26" x14ac:dyDescent="0.2">
      <c r="S532" s="9" t="s">
        <v>575</v>
      </c>
      <c r="T532" s="9">
        <v>95</v>
      </c>
      <c r="U532" s="9">
        <v>3</v>
      </c>
      <c r="V532" s="9">
        <f t="shared" si="10"/>
        <v>6.8059500000000002</v>
      </c>
      <c r="W532" s="9">
        <v>8.67</v>
      </c>
      <c r="X532" s="42">
        <f t="shared" si="9"/>
        <v>31.666666666666668</v>
      </c>
      <c r="Y532" s="9">
        <v>91.83</v>
      </c>
      <c r="Z532" s="9">
        <v>3.2545000000000002</v>
      </c>
    </row>
    <row r="533" spans="19:26" x14ac:dyDescent="0.2">
      <c r="S533" s="9" t="s">
        <v>576</v>
      </c>
      <c r="T533" s="9">
        <v>95</v>
      </c>
      <c r="U533" s="9">
        <v>3.5</v>
      </c>
      <c r="V533" s="42">
        <f t="shared" si="10"/>
        <v>7.8971000000000009</v>
      </c>
      <c r="W533" s="9">
        <v>10.06</v>
      </c>
      <c r="X533" s="42">
        <f t="shared" si="9"/>
        <v>27.142857142857142</v>
      </c>
      <c r="Y533" s="9">
        <v>105.45</v>
      </c>
      <c r="Z533" s="9">
        <v>3.2376</v>
      </c>
    </row>
    <row r="534" spans="19:26" x14ac:dyDescent="0.2">
      <c r="S534" s="9" t="s">
        <v>581</v>
      </c>
      <c r="T534" s="9">
        <v>159</v>
      </c>
      <c r="U534" s="9">
        <v>10</v>
      </c>
      <c r="V534" s="42">
        <f t="shared" si="10"/>
        <v>36.745850000000004</v>
      </c>
      <c r="W534" s="9">
        <v>46.81</v>
      </c>
      <c r="X534" s="42">
        <f>T534/U534</f>
        <v>15.9</v>
      </c>
      <c r="Y534" s="9">
        <v>1304.8800000000001</v>
      </c>
      <c r="Z534" s="42">
        <v>5.2797999999999998</v>
      </c>
    </row>
    <row r="535" spans="19:26" x14ac:dyDescent="0.2">
      <c r="S535" s="9" t="s">
        <v>582</v>
      </c>
      <c r="T535" s="9">
        <v>159</v>
      </c>
      <c r="U535" s="9">
        <v>4.5</v>
      </c>
      <c r="V535" s="42">
        <f t="shared" si="10"/>
        <v>17.144400000000001</v>
      </c>
      <c r="W535" s="9">
        <v>21.84</v>
      </c>
      <c r="X535" s="42">
        <f t="shared" ref="X535:X598" si="11">T535/U535</f>
        <v>35.333333333333336</v>
      </c>
      <c r="Y535" s="9">
        <v>652.27</v>
      </c>
      <c r="Z535" s="42">
        <v>5.4649999999999999</v>
      </c>
    </row>
    <row r="536" spans="19:26" x14ac:dyDescent="0.2">
      <c r="S536" s="9" t="s">
        <v>583</v>
      </c>
      <c r="T536" s="9">
        <v>159</v>
      </c>
      <c r="U536" s="9">
        <v>5</v>
      </c>
      <c r="V536" s="42">
        <f t="shared" si="10"/>
        <v>18.989150000000002</v>
      </c>
      <c r="W536" s="9">
        <v>24.19</v>
      </c>
      <c r="X536" s="42">
        <f t="shared" si="11"/>
        <v>31.8</v>
      </c>
      <c r="Y536" s="9">
        <v>717.88</v>
      </c>
      <c r="Z536" s="42">
        <v>5.4476000000000004</v>
      </c>
    </row>
    <row r="537" spans="19:26" x14ac:dyDescent="0.2">
      <c r="S537" s="9" t="s">
        <v>584</v>
      </c>
      <c r="T537" s="9">
        <v>159</v>
      </c>
      <c r="U537" s="9">
        <v>5.5</v>
      </c>
      <c r="V537" s="42">
        <f t="shared" si="10"/>
        <v>20.818200000000001</v>
      </c>
      <c r="W537" s="9">
        <v>26.52</v>
      </c>
      <c r="X537" s="42">
        <f t="shared" si="11"/>
        <v>28.90909090909091</v>
      </c>
      <c r="Y537" s="9">
        <v>782.18</v>
      </c>
      <c r="Z537" s="42">
        <v>5.4307999999999996</v>
      </c>
    </row>
    <row r="538" spans="19:26" x14ac:dyDescent="0.2">
      <c r="S538" s="9" t="s">
        <v>585</v>
      </c>
      <c r="T538" s="9">
        <v>159</v>
      </c>
      <c r="U538" s="9">
        <v>6</v>
      </c>
      <c r="V538" s="42">
        <f t="shared" si="10"/>
        <v>22.639400000000002</v>
      </c>
      <c r="W538" s="9">
        <v>28.84</v>
      </c>
      <c r="X538" s="42">
        <f t="shared" si="11"/>
        <v>26.5</v>
      </c>
      <c r="Y538" s="9">
        <v>845.19</v>
      </c>
      <c r="Z538" s="42">
        <v>5.4135</v>
      </c>
    </row>
    <row r="539" spans="19:26" x14ac:dyDescent="0.2">
      <c r="S539" s="9" t="s">
        <v>586</v>
      </c>
      <c r="T539" s="9">
        <v>159</v>
      </c>
      <c r="U539" s="9">
        <v>6.5</v>
      </c>
      <c r="V539" s="42">
        <f t="shared" si="10"/>
        <v>24.444900000000001</v>
      </c>
      <c r="W539" s="9">
        <v>31.14</v>
      </c>
      <c r="X539" s="42">
        <f t="shared" si="11"/>
        <v>24.46153846153846</v>
      </c>
      <c r="Y539" s="9">
        <v>906.92</v>
      </c>
      <c r="Z539" s="42">
        <v>5.3967000000000001</v>
      </c>
    </row>
    <row r="540" spans="19:26" x14ac:dyDescent="0.2">
      <c r="S540" s="9" t="s">
        <v>587</v>
      </c>
      <c r="T540" s="9">
        <v>159</v>
      </c>
      <c r="U540" s="9">
        <v>7</v>
      </c>
      <c r="V540" s="42">
        <f t="shared" si="10"/>
        <v>26.242550000000001</v>
      </c>
      <c r="W540" s="9">
        <v>33.43</v>
      </c>
      <c r="X540" s="42">
        <f t="shared" si="11"/>
        <v>22.714285714285715</v>
      </c>
      <c r="Y540" s="9">
        <v>967.41</v>
      </c>
      <c r="Z540" s="42">
        <v>5.3794000000000004</v>
      </c>
    </row>
    <row r="541" spans="19:26" x14ac:dyDescent="0.2">
      <c r="S541" s="9" t="s">
        <v>588</v>
      </c>
      <c r="T541" s="9">
        <v>159</v>
      </c>
      <c r="U541" s="9">
        <v>7.5</v>
      </c>
      <c r="V541" s="42">
        <f t="shared" si="10"/>
        <v>28.024500000000003</v>
      </c>
      <c r="W541" s="9">
        <v>35.700000000000003</v>
      </c>
      <c r="X541" s="42">
        <f t="shared" si="11"/>
        <v>21.2</v>
      </c>
      <c r="Y541" s="9">
        <v>1026.6500000000001</v>
      </c>
      <c r="Z541" s="42">
        <v>5.3625999999999996</v>
      </c>
    </row>
    <row r="542" spans="19:26" x14ac:dyDescent="0.2">
      <c r="S542" s="9" t="s">
        <v>589</v>
      </c>
      <c r="T542" s="9">
        <v>159</v>
      </c>
      <c r="U542" s="9">
        <v>8</v>
      </c>
      <c r="V542" s="42">
        <f t="shared" si="10"/>
        <v>29.790750000000003</v>
      </c>
      <c r="W542" s="9">
        <v>37.950000000000003</v>
      </c>
      <c r="X542" s="42">
        <f t="shared" si="11"/>
        <v>19.875</v>
      </c>
      <c r="Y542" s="9">
        <v>1084.67</v>
      </c>
      <c r="Z542" s="42">
        <v>5.3461999999999996</v>
      </c>
    </row>
    <row r="543" spans="19:26" x14ac:dyDescent="0.2">
      <c r="S543" s="9" t="s">
        <v>590</v>
      </c>
      <c r="T543" s="9">
        <v>159</v>
      </c>
      <c r="U543" s="9">
        <v>9</v>
      </c>
      <c r="V543" s="42">
        <f t="shared" si="10"/>
        <v>33.13485</v>
      </c>
      <c r="W543" s="9">
        <v>42.21</v>
      </c>
      <c r="X543" s="42">
        <f t="shared" si="11"/>
        <v>17.666666666666668</v>
      </c>
      <c r="Y543" s="9">
        <v>1197.1199999999999</v>
      </c>
      <c r="Z543" s="42">
        <v>5.3254999999999999</v>
      </c>
    </row>
    <row r="544" spans="19:26" x14ac:dyDescent="0.2">
      <c r="S544" s="9" t="s">
        <v>591</v>
      </c>
      <c r="T544" s="9">
        <v>168</v>
      </c>
      <c r="U544" s="9">
        <v>10</v>
      </c>
      <c r="V544" s="42">
        <f t="shared" si="10"/>
        <v>38.967400000000005</v>
      </c>
      <c r="W544" s="9">
        <v>49.64</v>
      </c>
      <c r="X544" s="42">
        <f t="shared" si="11"/>
        <v>16.8</v>
      </c>
      <c r="Y544" s="9">
        <v>1555.13</v>
      </c>
      <c r="Z544" s="42">
        <v>5.5972</v>
      </c>
    </row>
    <row r="545" spans="19:26" x14ac:dyDescent="0.2">
      <c r="S545" s="9" t="s">
        <v>592</v>
      </c>
      <c r="T545" s="9">
        <v>168</v>
      </c>
      <c r="U545" s="9">
        <v>4.5</v>
      </c>
      <c r="V545" s="42">
        <f t="shared" si="10"/>
        <v>18.141349999999999</v>
      </c>
      <c r="W545" s="9">
        <v>23.11</v>
      </c>
      <c r="X545" s="42">
        <f t="shared" si="11"/>
        <v>37.333333333333336</v>
      </c>
      <c r="Y545" s="9">
        <v>772.96</v>
      </c>
      <c r="Z545" s="42">
        <v>5.7832999999999997</v>
      </c>
    </row>
    <row r="546" spans="19:26" x14ac:dyDescent="0.2">
      <c r="S546" s="9" t="s">
        <v>593</v>
      </c>
      <c r="T546" s="9">
        <v>168</v>
      </c>
      <c r="U546" s="9">
        <v>5</v>
      </c>
      <c r="V546" s="42">
        <f t="shared" si="10"/>
        <v>20.096000000000004</v>
      </c>
      <c r="W546" s="9">
        <v>25.6</v>
      </c>
      <c r="X546" s="42">
        <f t="shared" si="11"/>
        <v>33.6</v>
      </c>
      <c r="Y546" s="9">
        <v>851.14</v>
      </c>
      <c r="Z546" s="42">
        <v>5.7660999999999998</v>
      </c>
    </row>
    <row r="547" spans="19:26" x14ac:dyDescent="0.2">
      <c r="S547" s="9" t="s">
        <v>594</v>
      </c>
      <c r="T547" s="9">
        <v>168</v>
      </c>
      <c r="U547" s="9">
        <v>5.5</v>
      </c>
      <c r="V547" s="42">
        <f t="shared" si="10"/>
        <v>22.0428</v>
      </c>
      <c r="W547" s="9">
        <v>28.08</v>
      </c>
      <c r="X547" s="42">
        <f t="shared" si="11"/>
        <v>30.545454545454547</v>
      </c>
      <c r="Y547" s="9">
        <v>927.85</v>
      </c>
      <c r="Z547" s="42">
        <v>5.7483000000000004</v>
      </c>
    </row>
    <row r="548" spans="19:26" x14ac:dyDescent="0.2">
      <c r="S548" s="9" t="s">
        <v>595</v>
      </c>
      <c r="T548" s="9">
        <v>168</v>
      </c>
      <c r="U548" s="9">
        <v>6</v>
      </c>
      <c r="V548" s="42">
        <f t="shared" si="10"/>
        <v>23.9739</v>
      </c>
      <c r="W548" s="9">
        <v>30.54</v>
      </c>
      <c r="X548" s="42">
        <f t="shared" si="11"/>
        <v>28</v>
      </c>
      <c r="Y548" s="9">
        <v>1003.12</v>
      </c>
      <c r="Z548" s="42">
        <v>5.7312000000000003</v>
      </c>
    </row>
    <row r="549" spans="19:26" x14ac:dyDescent="0.2">
      <c r="S549" s="9" t="s">
        <v>596</v>
      </c>
      <c r="T549" s="9">
        <v>168</v>
      </c>
      <c r="U549" s="9">
        <v>6.5</v>
      </c>
      <c r="V549" s="42">
        <f t="shared" si="10"/>
        <v>25.889299999999999</v>
      </c>
      <c r="W549" s="9">
        <v>32.979999999999997</v>
      </c>
      <c r="X549" s="42">
        <f t="shared" si="11"/>
        <v>25.846153846153847</v>
      </c>
      <c r="Y549" s="9">
        <v>1076.95</v>
      </c>
      <c r="Z549" s="42">
        <v>5.7144000000000004</v>
      </c>
    </row>
    <row r="550" spans="19:26" x14ac:dyDescent="0.2">
      <c r="S550" s="9" t="s">
        <v>597</v>
      </c>
      <c r="T550" s="9">
        <v>168</v>
      </c>
      <c r="U550" s="9">
        <v>7</v>
      </c>
      <c r="V550" s="42">
        <f t="shared" si="10"/>
        <v>27.796849999999999</v>
      </c>
      <c r="W550" s="9">
        <v>35.409999999999997</v>
      </c>
      <c r="X550" s="42">
        <f t="shared" si="11"/>
        <v>24</v>
      </c>
      <c r="Y550" s="9">
        <v>1149.3599999999999</v>
      </c>
      <c r="Z550" s="42">
        <v>5.6971999999999996</v>
      </c>
    </row>
    <row r="551" spans="19:26" x14ac:dyDescent="0.2">
      <c r="S551" s="9" t="s">
        <v>598</v>
      </c>
      <c r="T551" s="9">
        <v>168</v>
      </c>
      <c r="U551" s="9">
        <v>7.5</v>
      </c>
      <c r="V551" s="42">
        <f t="shared" si="10"/>
        <v>29.688700000000001</v>
      </c>
      <c r="W551" s="9">
        <v>37.82</v>
      </c>
      <c r="X551" s="42">
        <f t="shared" si="11"/>
        <v>22.4</v>
      </c>
      <c r="Y551" s="9">
        <v>1220.3800000000001</v>
      </c>
      <c r="Z551" s="42">
        <v>5.6805000000000003</v>
      </c>
    </row>
    <row r="552" spans="19:26" x14ac:dyDescent="0.2">
      <c r="S552" s="9" t="s">
        <v>599</v>
      </c>
      <c r="T552" s="9">
        <v>168</v>
      </c>
      <c r="U552" s="9">
        <v>8</v>
      </c>
      <c r="V552" s="42">
        <f t="shared" si="10"/>
        <v>31.564850000000003</v>
      </c>
      <c r="W552" s="9">
        <v>40.21</v>
      </c>
      <c r="X552" s="42">
        <f t="shared" si="11"/>
        <v>21</v>
      </c>
      <c r="Y552" s="9">
        <v>1290.01</v>
      </c>
      <c r="Z552" s="42">
        <v>5.6641000000000004</v>
      </c>
    </row>
    <row r="553" spans="19:26" x14ac:dyDescent="0.2">
      <c r="S553" s="9" t="s">
        <v>600</v>
      </c>
      <c r="T553" s="9">
        <v>168</v>
      </c>
      <c r="U553" s="9">
        <v>9</v>
      </c>
      <c r="V553" s="42">
        <f t="shared" si="10"/>
        <v>35.293600000000005</v>
      </c>
      <c r="W553" s="9">
        <v>44.96</v>
      </c>
      <c r="X553" s="42">
        <f t="shared" si="11"/>
        <v>18.666666666666668</v>
      </c>
      <c r="Y553" s="9">
        <v>1425.22</v>
      </c>
      <c r="Z553" s="42">
        <v>5.6303000000000001</v>
      </c>
    </row>
    <row r="554" spans="19:26" x14ac:dyDescent="0.2">
      <c r="S554" s="9" t="s">
        <v>601</v>
      </c>
      <c r="T554" s="9">
        <v>180</v>
      </c>
      <c r="U554" s="9">
        <v>10</v>
      </c>
      <c r="V554" s="42">
        <f t="shared" si="10"/>
        <v>41.926850000000002</v>
      </c>
      <c r="W554" s="9">
        <v>53.41</v>
      </c>
      <c r="X554" s="42">
        <f t="shared" si="11"/>
        <v>18</v>
      </c>
      <c r="Y554" s="9">
        <v>1936.01</v>
      </c>
      <c r="Z554" s="42">
        <v>6.0206</v>
      </c>
    </row>
    <row r="555" spans="19:26" x14ac:dyDescent="0.2">
      <c r="S555" s="9" t="s">
        <v>602</v>
      </c>
      <c r="T555" s="9">
        <v>180</v>
      </c>
      <c r="U555" s="9">
        <v>12</v>
      </c>
      <c r="V555" s="42">
        <f t="shared" si="10"/>
        <v>49.71405</v>
      </c>
      <c r="W555" s="9">
        <v>63.33</v>
      </c>
      <c r="X555" s="42">
        <f t="shared" si="11"/>
        <v>15</v>
      </c>
      <c r="Y555" s="9">
        <v>2245.84</v>
      </c>
      <c r="Z555" s="42">
        <v>5.9550000000000001</v>
      </c>
    </row>
    <row r="556" spans="19:26" x14ac:dyDescent="0.2">
      <c r="S556" s="9" t="s">
        <v>603</v>
      </c>
      <c r="T556" s="9">
        <v>180</v>
      </c>
      <c r="U556" s="9">
        <v>5</v>
      </c>
      <c r="V556" s="42">
        <f t="shared" si="10"/>
        <v>21.579650000000001</v>
      </c>
      <c r="W556" s="9">
        <v>27.49</v>
      </c>
      <c r="X556" s="42">
        <f t="shared" si="11"/>
        <v>36</v>
      </c>
      <c r="Y556" s="9">
        <v>1053.17</v>
      </c>
      <c r="Z556" s="42">
        <v>6.1896000000000004</v>
      </c>
    </row>
    <row r="557" spans="19:26" x14ac:dyDescent="0.2">
      <c r="S557" s="9" t="s">
        <v>604</v>
      </c>
      <c r="T557" s="9">
        <v>180</v>
      </c>
      <c r="U557" s="9">
        <v>5.5</v>
      </c>
      <c r="V557" s="42">
        <f t="shared" si="10"/>
        <v>23.667749999999998</v>
      </c>
      <c r="W557" s="9">
        <v>30.15</v>
      </c>
      <c r="X557" s="42">
        <f t="shared" si="11"/>
        <v>32.727272727272727</v>
      </c>
      <c r="Y557" s="9">
        <v>1148.79</v>
      </c>
      <c r="Z557" s="42">
        <v>6.1726999999999999</v>
      </c>
    </row>
    <row r="558" spans="19:26" x14ac:dyDescent="0.2">
      <c r="S558" s="9" t="s">
        <v>605</v>
      </c>
      <c r="T558" s="9">
        <v>180</v>
      </c>
      <c r="U558" s="9">
        <v>6</v>
      </c>
      <c r="V558" s="42">
        <f t="shared" si="10"/>
        <v>25.747999999999998</v>
      </c>
      <c r="W558" s="9">
        <v>32.799999999999997</v>
      </c>
      <c r="X558" s="42">
        <f t="shared" si="11"/>
        <v>30</v>
      </c>
      <c r="Y558" s="9">
        <v>1242.72</v>
      </c>
      <c r="Z558" s="42">
        <v>6.1553000000000004</v>
      </c>
    </row>
    <row r="559" spans="19:26" x14ac:dyDescent="0.2">
      <c r="S559" s="9" t="s">
        <v>606</v>
      </c>
      <c r="T559" s="9">
        <v>180</v>
      </c>
      <c r="U559" s="9">
        <v>6.5</v>
      </c>
      <c r="V559" s="42">
        <f t="shared" si="10"/>
        <v>27.812550000000002</v>
      </c>
      <c r="W559" s="9">
        <v>35.43</v>
      </c>
      <c r="X559" s="42">
        <f t="shared" si="11"/>
        <v>27.692307692307693</v>
      </c>
      <c r="Y559" s="9">
        <v>1335</v>
      </c>
      <c r="Z559" s="42">
        <v>6.1383999999999999</v>
      </c>
    </row>
    <row r="560" spans="19:26" x14ac:dyDescent="0.2">
      <c r="S560" s="9" t="s">
        <v>607</v>
      </c>
      <c r="T560" s="9">
        <v>180</v>
      </c>
      <c r="U560" s="9">
        <v>7</v>
      </c>
      <c r="V560" s="42">
        <f t="shared" si="10"/>
        <v>29.8614</v>
      </c>
      <c r="W560" s="9">
        <v>38.04</v>
      </c>
      <c r="X560" s="42">
        <f t="shared" si="11"/>
        <v>25.714285714285715</v>
      </c>
      <c r="Y560" s="9">
        <v>1425.63</v>
      </c>
      <c r="Z560" s="42">
        <v>6.1219000000000001</v>
      </c>
    </row>
    <row r="561" spans="19:26" x14ac:dyDescent="0.2">
      <c r="S561" s="9" t="s">
        <v>608</v>
      </c>
      <c r="T561" s="9">
        <v>180</v>
      </c>
      <c r="U561" s="9">
        <v>7.5</v>
      </c>
      <c r="V561" s="42">
        <f t="shared" si="10"/>
        <v>31.9024</v>
      </c>
      <c r="W561" s="9">
        <v>40.64</v>
      </c>
      <c r="X561" s="42">
        <f t="shared" si="11"/>
        <v>24</v>
      </c>
      <c r="Y561" s="9">
        <v>1514.64</v>
      </c>
      <c r="Z561" s="42">
        <v>6.1048999999999998</v>
      </c>
    </row>
    <row r="562" spans="19:26" x14ac:dyDescent="0.2">
      <c r="S562" s="9" t="s">
        <v>609</v>
      </c>
      <c r="T562" s="9">
        <v>180</v>
      </c>
      <c r="U562" s="9">
        <v>8</v>
      </c>
      <c r="V562" s="42">
        <f t="shared" si="10"/>
        <v>33.935549999999999</v>
      </c>
      <c r="W562" s="9">
        <v>43.23</v>
      </c>
      <c r="X562" s="42">
        <f t="shared" si="11"/>
        <v>22.5</v>
      </c>
      <c r="Y562" s="9">
        <v>1602.04</v>
      </c>
      <c r="Z562" s="42">
        <v>6.0876000000000001</v>
      </c>
    </row>
    <row r="563" spans="19:26" x14ac:dyDescent="0.2">
      <c r="S563" s="9" t="s">
        <v>610</v>
      </c>
      <c r="T563" s="9">
        <v>180</v>
      </c>
      <c r="U563" s="9">
        <v>9</v>
      </c>
      <c r="V563" s="42">
        <f t="shared" si="10"/>
        <v>37.954750000000004</v>
      </c>
      <c r="W563" s="9">
        <v>48.35</v>
      </c>
      <c r="X563" s="42">
        <f t="shared" si="11"/>
        <v>20</v>
      </c>
      <c r="Y563" s="9">
        <v>1772.12</v>
      </c>
      <c r="Z563" s="42">
        <v>6.0541</v>
      </c>
    </row>
    <row r="564" spans="19:26" x14ac:dyDescent="0.2">
      <c r="S564" s="9" t="s">
        <v>611</v>
      </c>
      <c r="T564" s="9">
        <v>194</v>
      </c>
      <c r="U564" s="9">
        <v>10</v>
      </c>
      <c r="V564" s="42">
        <f t="shared" si="10"/>
        <v>45.380850000000002</v>
      </c>
      <c r="W564" s="9">
        <v>57.81</v>
      </c>
      <c r="X564" s="42">
        <f t="shared" si="11"/>
        <v>19.399999999999999</v>
      </c>
      <c r="Y564" s="9">
        <v>2453.5500000000002</v>
      </c>
      <c r="Z564" s="42">
        <v>6.5147000000000004</v>
      </c>
    </row>
    <row r="565" spans="19:26" x14ac:dyDescent="0.2">
      <c r="S565" s="9" t="s">
        <v>612</v>
      </c>
      <c r="T565" s="9">
        <v>194</v>
      </c>
      <c r="U565" s="9">
        <v>12</v>
      </c>
      <c r="V565" s="42">
        <f t="shared" si="10"/>
        <v>53.858850000000004</v>
      </c>
      <c r="W565" s="9">
        <v>68.61</v>
      </c>
      <c r="X565" s="42">
        <f t="shared" si="11"/>
        <v>16.166666666666668</v>
      </c>
      <c r="Y565" s="9">
        <v>2853.25</v>
      </c>
      <c r="Z565" s="42">
        <v>6.4488000000000003</v>
      </c>
    </row>
    <row r="566" spans="19:26" x14ac:dyDescent="0.2">
      <c r="S566" s="9" t="s">
        <v>613</v>
      </c>
      <c r="T566" s="9">
        <v>194</v>
      </c>
      <c r="U566" s="9">
        <v>5</v>
      </c>
      <c r="V566" s="42">
        <f t="shared" si="10"/>
        <v>23.306650000000001</v>
      </c>
      <c r="W566" s="9">
        <v>29.69</v>
      </c>
      <c r="X566" s="42">
        <f t="shared" si="11"/>
        <v>38.799999999999997</v>
      </c>
      <c r="Y566" s="9">
        <v>1326.54</v>
      </c>
      <c r="Z566" s="42">
        <v>6.6843000000000004</v>
      </c>
    </row>
    <row r="567" spans="19:26" x14ac:dyDescent="0.2">
      <c r="S567" s="9" t="s">
        <v>614</v>
      </c>
      <c r="T567" s="9">
        <v>194</v>
      </c>
      <c r="U567" s="9">
        <v>5.5</v>
      </c>
      <c r="V567" s="42">
        <f t="shared" si="10"/>
        <v>25.567450000000001</v>
      </c>
      <c r="W567" s="9">
        <v>32.57</v>
      </c>
      <c r="X567" s="42">
        <f t="shared" si="11"/>
        <v>35.272727272727273</v>
      </c>
      <c r="Y567" s="9">
        <v>1447.86</v>
      </c>
      <c r="Z567" s="42">
        <v>6.6673999999999998</v>
      </c>
    </row>
    <row r="568" spans="19:26" x14ac:dyDescent="0.2">
      <c r="S568" s="9" t="s">
        <v>615</v>
      </c>
      <c r="T568" s="9">
        <v>194</v>
      </c>
      <c r="U568" s="9">
        <v>6</v>
      </c>
      <c r="V568" s="42">
        <f t="shared" si="10"/>
        <v>27.820399999999999</v>
      </c>
      <c r="W568" s="9">
        <v>35.44</v>
      </c>
      <c r="X568" s="42">
        <f t="shared" si="11"/>
        <v>32.333333333333336</v>
      </c>
      <c r="Y568" s="9">
        <v>1567.21</v>
      </c>
      <c r="Z568" s="42">
        <v>6.6498999999999997</v>
      </c>
    </row>
    <row r="569" spans="19:26" x14ac:dyDescent="0.2">
      <c r="S569" s="9" t="s">
        <v>616</v>
      </c>
      <c r="T569" s="9">
        <v>194</v>
      </c>
      <c r="U569" s="9">
        <v>6.5</v>
      </c>
      <c r="V569" s="42">
        <f t="shared" ref="V569:V632" si="12">W569*0.785</f>
        <v>30.057649999999999</v>
      </c>
      <c r="W569" s="9">
        <v>38.29</v>
      </c>
      <c r="X569" s="42">
        <f t="shared" si="11"/>
        <v>29.846153846153847</v>
      </c>
      <c r="Y569" s="9">
        <v>1684.61</v>
      </c>
      <c r="Z569" s="42">
        <v>6.633</v>
      </c>
    </row>
    <row r="570" spans="19:26" x14ac:dyDescent="0.2">
      <c r="S570" s="9" t="s">
        <v>617</v>
      </c>
      <c r="T570" s="9">
        <v>194</v>
      </c>
      <c r="U570" s="9">
        <v>7</v>
      </c>
      <c r="V570" s="42">
        <f t="shared" si="12"/>
        <v>32.279199999999996</v>
      </c>
      <c r="W570" s="9">
        <v>41.12</v>
      </c>
      <c r="X570" s="42">
        <f t="shared" si="11"/>
        <v>27.714285714285715</v>
      </c>
      <c r="Y570" s="9">
        <v>1800.08</v>
      </c>
      <c r="Z570" s="42">
        <v>6.6163999999999996</v>
      </c>
    </row>
    <row r="571" spans="19:26" x14ac:dyDescent="0.2">
      <c r="S571" s="9" t="s">
        <v>618</v>
      </c>
      <c r="T571" s="9">
        <v>194</v>
      </c>
      <c r="U571" s="9">
        <v>7.5</v>
      </c>
      <c r="V571" s="42">
        <f t="shared" si="12"/>
        <v>34.492899999999999</v>
      </c>
      <c r="W571" s="9">
        <v>43.94</v>
      </c>
      <c r="X571" s="42">
        <f t="shared" si="11"/>
        <v>25.866666666666667</v>
      </c>
      <c r="Y571" s="9">
        <v>1913.64</v>
      </c>
      <c r="Z571" s="42">
        <v>6.5993000000000004</v>
      </c>
    </row>
    <row r="572" spans="19:26" x14ac:dyDescent="0.2">
      <c r="S572" s="9" t="s">
        <v>619</v>
      </c>
      <c r="T572" s="9">
        <v>194</v>
      </c>
      <c r="U572" s="9">
        <v>8</v>
      </c>
      <c r="V572" s="42">
        <f t="shared" si="12"/>
        <v>36.698750000000004</v>
      </c>
      <c r="W572" s="9">
        <v>46.75</v>
      </c>
      <c r="X572" s="42">
        <f t="shared" si="11"/>
        <v>24.25</v>
      </c>
      <c r="Y572" s="9">
        <v>2025.31</v>
      </c>
      <c r="Z572" s="42">
        <v>6.5819999999999999</v>
      </c>
    </row>
    <row r="573" spans="19:26" x14ac:dyDescent="0.2">
      <c r="S573" s="9" t="s">
        <v>620</v>
      </c>
      <c r="T573" s="9">
        <v>194</v>
      </c>
      <c r="U573" s="9">
        <v>9</v>
      </c>
      <c r="V573" s="42">
        <f t="shared" si="12"/>
        <v>41.063350000000007</v>
      </c>
      <c r="W573" s="9">
        <v>52.31</v>
      </c>
      <c r="X573" s="42">
        <f t="shared" si="11"/>
        <v>21.555555555555557</v>
      </c>
      <c r="Y573" s="9">
        <v>2243.08</v>
      </c>
      <c r="Z573" s="42">
        <v>6.5483000000000002</v>
      </c>
    </row>
    <row r="574" spans="19:26" x14ac:dyDescent="0.2">
      <c r="S574" s="9" t="s">
        <v>621</v>
      </c>
      <c r="T574" s="9">
        <v>203</v>
      </c>
      <c r="U574" s="9">
        <v>10</v>
      </c>
      <c r="V574" s="42">
        <f t="shared" si="12"/>
        <v>47.594550000000005</v>
      </c>
      <c r="W574" s="9">
        <v>60.63</v>
      </c>
      <c r="X574" s="42">
        <f t="shared" si="11"/>
        <v>20.3</v>
      </c>
      <c r="Y574" s="9">
        <v>2830.72</v>
      </c>
      <c r="Z574" s="42">
        <v>6.8329000000000004</v>
      </c>
    </row>
    <row r="575" spans="19:26" x14ac:dyDescent="0.2">
      <c r="S575" s="9" t="s">
        <v>622</v>
      </c>
      <c r="T575" s="9">
        <v>203</v>
      </c>
      <c r="U575" s="9">
        <v>12</v>
      </c>
      <c r="V575" s="42">
        <f t="shared" si="12"/>
        <v>56.527850000000008</v>
      </c>
      <c r="W575" s="9">
        <v>72.010000000000005</v>
      </c>
      <c r="X575" s="42">
        <f t="shared" si="11"/>
        <v>16.916666666666668</v>
      </c>
      <c r="Y575" s="9">
        <v>3296.49</v>
      </c>
      <c r="Z575" s="42">
        <v>6.766</v>
      </c>
    </row>
    <row r="576" spans="19:26" x14ac:dyDescent="0.2">
      <c r="S576" s="9" t="s">
        <v>623</v>
      </c>
      <c r="T576" s="9">
        <v>203</v>
      </c>
      <c r="U576" s="9">
        <v>14</v>
      </c>
      <c r="V576" s="42">
        <f t="shared" si="12"/>
        <v>65.257049999999992</v>
      </c>
      <c r="W576" s="9">
        <v>83.13</v>
      </c>
      <c r="X576" s="42">
        <f t="shared" si="11"/>
        <v>14.5</v>
      </c>
      <c r="Y576" s="9">
        <v>3732.07</v>
      </c>
      <c r="Z576" s="42">
        <v>6.7003000000000004</v>
      </c>
    </row>
    <row r="577" spans="19:26" x14ac:dyDescent="0.2">
      <c r="S577" s="9" t="s">
        <v>624</v>
      </c>
      <c r="T577" s="9">
        <v>203</v>
      </c>
      <c r="U577" s="9">
        <v>16</v>
      </c>
      <c r="V577" s="42">
        <f t="shared" si="12"/>
        <v>73.790000000000006</v>
      </c>
      <c r="W577" s="9">
        <v>94</v>
      </c>
      <c r="X577" s="42">
        <f t="shared" si="11"/>
        <v>12.6875</v>
      </c>
      <c r="Y577" s="9">
        <v>4138.78</v>
      </c>
      <c r="Z577" s="42">
        <v>6.6355000000000004</v>
      </c>
    </row>
    <row r="578" spans="19:26" x14ac:dyDescent="0.2">
      <c r="S578" s="9" t="s">
        <v>625</v>
      </c>
      <c r="T578" s="9">
        <v>203</v>
      </c>
      <c r="U578" s="9">
        <v>6</v>
      </c>
      <c r="V578" s="42">
        <f t="shared" si="12"/>
        <v>29.147050000000004</v>
      </c>
      <c r="W578" s="9">
        <v>37.130000000000003</v>
      </c>
      <c r="X578" s="42">
        <f t="shared" si="11"/>
        <v>33.833333333333336</v>
      </c>
      <c r="Y578" s="9">
        <v>1803.07</v>
      </c>
      <c r="Z578" s="42">
        <v>6.9686000000000003</v>
      </c>
    </row>
    <row r="579" spans="19:26" x14ac:dyDescent="0.2">
      <c r="S579" s="9" t="s">
        <v>626</v>
      </c>
      <c r="T579" s="9">
        <v>203</v>
      </c>
      <c r="U579" s="9">
        <v>6.5</v>
      </c>
      <c r="V579" s="42">
        <f t="shared" si="12"/>
        <v>31.502050000000004</v>
      </c>
      <c r="W579" s="9">
        <v>40.130000000000003</v>
      </c>
      <c r="X579" s="42">
        <f t="shared" si="11"/>
        <v>31.23076923076923</v>
      </c>
      <c r="Y579" s="9">
        <v>1938.81</v>
      </c>
      <c r="Z579" s="42">
        <v>6.9508000000000001</v>
      </c>
    </row>
    <row r="580" spans="19:26" x14ac:dyDescent="0.2">
      <c r="S580" s="9" t="s">
        <v>627</v>
      </c>
      <c r="T580" s="9">
        <v>203</v>
      </c>
      <c r="U580" s="9">
        <v>7</v>
      </c>
      <c r="V580" s="42">
        <f t="shared" si="12"/>
        <v>33.833500000000001</v>
      </c>
      <c r="W580" s="9">
        <v>43.1</v>
      </c>
      <c r="X580" s="42">
        <f t="shared" si="11"/>
        <v>29</v>
      </c>
      <c r="Y580" s="9">
        <v>2072.4299999999998</v>
      </c>
      <c r="Z580" s="42">
        <v>6.9343000000000004</v>
      </c>
    </row>
    <row r="581" spans="19:26" x14ac:dyDescent="0.2">
      <c r="S581" s="9" t="s">
        <v>628</v>
      </c>
      <c r="T581" s="9">
        <v>203</v>
      </c>
      <c r="U581" s="9">
        <v>7.5</v>
      </c>
      <c r="V581" s="42">
        <f t="shared" si="12"/>
        <v>36.1571</v>
      </c>
      <c r="W581" s="9">
        <v>46.06</v>
      </c>
      <c r="X581" s="42">
        <f t="shared" si="11"/>
        <v>27.066666666666666</v>
      </c>
      <c r="Y581" s="9">
        <v>2203.94</v>
      </c>
      <c r="Z581" s="42">
        <v>6.9173</v>
      </c>
    </row>
    <row r="582" spans="19:26" x14ac:dyDescent="0.2">
      <c r="S582" s="9" t="s">
        <v>629</v>
      </c>
      <c r="T582" s="9">
        <v>203</v>
      </c>
      <c r="U582" s="9">
        <v>8</v>
      </c>
      <c r="V582" s="42">
        <f t="shared" si="12"/>
        <v>38.472850000000001</v>
      </c>
      <c r="W582" s="9">
        <v>49.01</v>
      </c>
      <c r="X582" s="42">
        <f t="shared" si="11"/>
        <v>25.375</v>
      </c>
      <c r="Y582" s="9">
        <v>2333.37</v>
      </c>
      <c r="Z582" s="42">
        <v>6.9</v>
      </c>
    </row>
    <row r="583" spans="19:26" x14ac:dyDescent="0.2">
      <c r="S583" s="9" t="s">
        <v>630</v>
      </c>
      <c r="T583" s="9">
        <v>203</v>
      </c>
      <c r="U583" s="9">
        <v>9</v>
      </c>
      <c r="V583" s="42">
        <f t="shared" si="12"/>
        <v>43.057250000000003</v>
      </c>
      <c r="W583" s="9">
        <v>54.85</v>
      </c>
      <c r="X583" s="42">
        <f t="shared" si="11"/>
        <v>22.555555555555557</v>
      </c>
      <c r="Y583" s="9">
        <v>2586.08</v>
      </c>
      <c r="Z583" s="42">
        <v>6.8665000000000003</v>
      </c>
    </row>
    <row r="584" spans="19:26" x14ac:dyDescent="0.2">
      <c r="S584" s="9" t="s">
        <v>631</v>
      </c>
      <c r="T584" s="9">
        <v>219</v>
      </c>
      <c r="U584" s="9">
        <v>10</v>
      </c>
      <c r="V584" s="42">
        <f t="shared" si="12"/>
        <v>51.543100000000003</v>
      </c>
      <c r="W584" s="9">
        <v>65.66</v>
      </c>
      <c r="X584" s="42">
        <f t="shared" si="11"/>
        <v>21.9</v>
      </c>
      <c r="Y584" s="9">
        <v>3593.29</v>
      </c>
      <c r="Z584" s="42">
        <v>7.3977000000000004</v>
      </c>
    </row>
    <row r="585" spans="19:26" x14ac:dyDescent="0.2">
      <c r="S585" s="9" t="s">
        <v>632</v>
      </c>
      <c r="T585" s="9">
        <v>219</v>
      </c>
      <c r="U585" s="9">
        <v>12</v>
      </c>
      <c r="V585" s="42">
        <f t="shared" si="12"/>
        <v>61.261400000000009</v>
      </c>
      <c r="W585" s="9">
        <v>78.040000000000006</v>
      </c>
      <c r="X585" s="42">
        <f t="shared" si="11"/>
        <v>18.25</v>
      </c>
      <c r="Y585" s="9">
        <v>4193.8100000000004</v>
      </c>
      <c r="Z585" s="42">
        <v>7.3307000000000002</v>
      </c>
    </row>
    <row r="586" spans="19:26" x14ac:dyDescent="0.2">
      <c r="S586" s="9" t="s">
        <v>633</v>
      </c>
      <c r="T586" s="9">
        <v>219</v>
      </c>
      <c r="U586" s="9">
        <v>14</v>
      </c>
      <c r="V586" s="42">
        <f t="shared" si="12"/>
        <v>70.775599999999997</v>
      </c>
      <c r="W586" s="9">
        <v>90.16</v>
      </c>
      <c r="X586" s="42">
        <f t="shared" si="11"/>
        <v>15.642857142857142</v>
      </c>
      <c r="Y586" s="9">
        <v>4758.5</v>
      </c>
      <c r="Z586" s="42">
        <v>7.2648999999999999</v>
      </c>
    </row>
    <row r="587" spans="19:26" x14ac:dyDescent="0.2">
      <c r="S587" s="9" t="s">
        <v>634</v>
      </c>
      <c r="T587" s="9">
        <v>219</v>
      </c>
      <c r="U587" s="9">
        <v>16</v>
      </c>
      <c r="V587" s="42">
        <f t="shared" si="12"/>
        <v>80.101400000000012</v>
      </c>
      <c r="W587" s="9">
        <v>102.04</v>
      </c>
      <c r="X587" s="42">
        <f t="shared" si="11"/>
        <v>13.6875</v>
      </c>
      <c r="Y587" s="9">
        <v>5288.81</v>
      </c>
      <c r="Z587" s="42">
        <v>7.1993999999999998</v>
      </c>
    </row>
    <row r="588" spans="19:26" x14ac:dyDescent="0.2">
      <c r="S588" s="9" t="s">
        <v>635</v>
      </c>
      <c r="T588" s="9">
        <v>219</v>
      </c>
      <c r="U588" s="9">
        <v>6</v>
      </c>
      <c r="V588" s="42">
        <f t="shared" si="12"/>
        <v>31.517749999999999</v>
      </c>
      <c r="W588" s="9">
        <v>40.15</v>
      </c>
      <c r="X588" s="42">
        <f t="shared" si="11"/>
        <v>36.5</v>
      </c>
      <c r="Y588" s="9">
        <v>2278.7399999999998</v>
      </c>
      <c r="Z588" s="42">
        <v>7.5335999999999999</v>
      </c>
    </row>
    <row r="589" spans="19:26" x14ac:dyDescent="0.2">
      <c r="S589" s="9" t="s">
        <v>636</v>
      </c>
      <c r="T589" s="9">
        <v>219</v>
      </c>
      <c r="U589" s="9">
        <v>6.5</v>
      </c>
      <c r="V589" s="42">
        <f t="shared" si="12"/>
        <v>34.061150000000005</v>
      </c>
      <c r="W589" s="9">
        <v>43.39</v>
      </c>
      <c r="X589" s="42">
        <f t="shared" si="11"/>
        <v>33.692307692307693</v>
      </c>
      <c r="Y589" s="9">
        <v>2451.64</v>
      </c>
      <c r="Z589" s="42">
        <v>7.5167999999999999</v>
      </c>
    </row>
    <row r="590" spans="19:26" x14ac:dyDescent="0.2">
      <c r="S590" s="9" t="s">
        <v>637</v>
      </c>
      <c r="T590" s="9">
        <v>219</v>
      </c>
      <c r="U590" s="9">
        <v>7</v>
      </c>
      <c r="V590" s="42">
        <f t="shared" si="12"/>
        <v>36.596699999999998</v>
      </c>
      <c r="W590" s="9">
        <v>46.62</v>
      </c>
      <c r="X590" s="42">
        <f t="shared" si="11"/>
        <v>31.285714285714285</v>
      </c>
      <c r="Y590" s="9">
        <v>2622.04</v>
      </c>
      <c r="Z590" s="42">
        <v>7.4995000000000003</v>
      </c>
    </row>
    <row r="591" spans="19:26" x14ac:dyDescent="0.2">
      <c r="S591" s="9" t="s">
        <v>638</v>
      </c>
      <c r="T591" s="9">
        <v>219</v>
      </c>
      <c r="U591" s="9">
        <v>7.5</v>
      </c>
      <c r="V591" s="42">
        <f t="shared" si="12"/>
        <v>39.116550000000004</v>
      </c>
      <c r="W591" s="9">
        <v>49.83</v>
      </c>
      <c r="X591" s="42">
        <f t="shared" si="11"/>
        <v>29.2</v>
      </c>
      <c r="Y591" s="9">
        <v>2789.96</v>
      </c>
      <c r="Z591" s="42">
        <v>7.4825999999999997</v>
      </c>
    </row>
    <row r="592" spans="19:26" x14ac:dyDescent="0.2">
      <c r="S592" s="9" t="s">
        <v>639</v>
      </c>
      <c r="T592" s="9">
        <v>219</v>
      </c>
      <c r="U592" s="9">
        <v>8</v>
      </c>
      <c r="V592" s="42">
        <f t="shared" si="12"/>
        <v>41.628550000000004</v>
      </c>
      <c r="W592" s="9">
        <v>53.03</v>
      </c>
      <c r="X592" s="42">
        <f t="shared" si="11"/>
        <v>27.375</v>
      </c>
      <c r="Y592" s="9">
        <v>2955.43</v>
      </c>
      <c r="Z592" s="42">
        <v>7.4653</v>
      </c>
    </row>
    <row r="593" spans="19:26" x14ac:dyDescent="0.2">
      <c r="S593" s="9" t="s">
        <v>640</v>
      </c>
      <c r="T593" s="9">
        <v>219</v>
      </c>
      <c r="U593" s="9">
        <v>9</v>
      </c>
      <c r="V593" s="42">
        <f t="shared" si="12"/>
        <v>46.613300000000002</v>
      </c>
      <c r="W593" s="9">
        <v>59.38</v>
      </c>
      <c r="X593" s="42">
        <f t="shared" si="11"/>
        <v>24.333333333333332</v>
      </c>
      <c r="Y593" s="9">
        <v>3279.12</v>
      </c>
      <c r="Z593" s="42">
        <v>7.4311999999999996</v>
      </c>
    </row>
    <row r="594" spans="19:26" x14ac:dyDescent="0.2">
      <c r="S594" s="9" t="s">
        <v>641</v>
      </c>
      <c r="T594" s="9">
        <v>245</v>
      </c>
      <c r="U594" s="9">
        <v>10</v>
      </c>
      <c r="V594" s="42">
        <f t="shared" si="12"/>
        <v>57.95655</v>
      </c>
      <c r="W594" s="9">
        <v>73.83</v>
      </c>
      <c r="X594" s="42">
        <f t="shared" si="11"/>
        <v>24.5</v>
      </c>
      <c r="Y594" s="9">
        <v>5105.63</v>
      </c>
      <c r="Z594" s="42">
        <v>8.3158999999999992</v>
      </c>
    </row>
    <row r="595" spans="19:26" x14ac:dyDescent="0.2">
      <c r="S595" s="9" t="s">
        <v>642</v>
      </c>
      <c r="T595" s="9">
        <v>245</v>
      </c>
      <c r="U595" s="9">
        <v>12</v>
      </c>
      <c r="V595" s="42">
        <f t="shared" si="12"/>
        <v>68.954400000000007</v>
      </c>
      <c r="W595" s="9">
        <v>87.84</v>
      </c>
      <c r="X595" s="42">
        <f t="shared" si="11"/>
        <v>20.416666666666668</v>
      </c>
      <c r="Y595" s="9">
        <v>5976.67</v>
      </c>
      <c r="Z595" s="42">
        <v>8.2486999999999995</v>
      </c>
    </row>
    <row r="596" spans="19:26" x14ac:dyDescent="0.2">
      <c r="S596" s="9" t="s">
        <v>643</v>
      </c>
      <c r="T596" s="9">
        <v>245</v>
      </c>
      <c r="U596" s="9">
        <v>14</v>
      </c>
      <c r="V596" s="42">
        <f t="shared" si="12"/>
        <v>79.756</v>
      </c>
      <c r="W596" s="9">
        <v>101.6</v>
      </c>
      <c r="X596" s="42">
        <f t="shared" si="11"/>
        <v>17.5</v>
      </c>
      <c r="Y596" s="9">
        <v>6801.68</v>
      </c>
      <c r="Z596" s="42">
        <v>8.1820000000000004</v>
      </c>
    </row>
    <row r="597" spans="19:26" x14ac:dyDescent="0.2">
      <c r="S597" s="9" t="s">
        <v>644</v>
      </c>
      <c r="T597" s="9">
        <v>245</v>
      </c>
      <c r="U597" s="9">
        <v>16</v>
      </c>
      <c r="V597" s="42">
        <f t="shared" si="12"/>
        <v>90.361350000000002</v>
      </c>
      <c r="W597" s="9">
        <v>115.11</v>
      </c>
      <c r="X597" s="42">
        <f t="shared" si="11"/>
        <v>15.3125</v>
      </c>
      <c r="Y597" s="9">
        <v>7582.3</v>
      </c>
      <c r="Z597" s="42">
        <v>8.1159999999999997</v>
      </c>
    </row>
    <row r="598" spans="19:26" x14ac:dyDescent="0.2">
      <c r="S598" s="9" t="s">
        <v>645</v>
      </c>
      <c r="T598" s="9">
        <v>245</v>
      </c>
      <c r="U598" s="9">
        <v>6.5</v>
      </c>
      <c r="V598" s="42">
        <f t="shared" si="12"/>
        <v>38.229500000000002</v>
      </c>
      <c r="W598" s="9">
        <v>48.7</v>
      </c>
      <c r="X598" s="42">
        <f t="shared" si="11"/>
        <v>37.692307692307693</v>
      </c>
      <c r="Y598" s="9">
        <v>3465.46</v>
      </c>
      <c r="Z598" s="42">
        <v>8.4356000000000009</v>
      </c>
    </row>
    <row r="599" spans="19:26" x14ac:dyDescent="0.2">
      <c r="S599" s="9" t="s">
        <v>646</v>
      </c>
      <c r="T599" s="9">
        <v>245</v>
      </c>
      <c r="U599" s="9">
        <v>7</v>
      </c>
      <c r="V599" s="42">
        <f t="shared" si="12"/>
        <v>41.086900000000007</v>
      </c>
      <c r="W599" s="9">
        <v>52.34</v>
      </c>
      <c r="X599" s="42">
        <f t="shared" ref="X599:X646" si="13">T599/U599</f>
        <v>35</v>
      </c>
      <c r="Y599" s="9">
        <v>3709.06</v>
      </c>
      <c r="Z599" s="42">
        <v>8.4181000000000008</v>
      </c>
    </row>
    <row r="600" spans="19:26" x14ac:dyDescent="0.2">
      <c r="S600" s="9" t="s">
        <v>647</v>
      </c>
      <c r="T600" s="9">
        <v>245</v>
      </c>
      <c r="U600" s="9">
        <v>7.5</v>
      </c>
      <c r="V600" s="42">
        <f t="shared" si="12"/>
        <v>43.928600000000003</v>
      </c>
      <c r="W600" s="9">
        <v>55.96</v>
      </c>
      <c r="X600" s="42">
        <f t="shared" si="13"/>
        <v>32.666666666666664</v>
      </c>
      <c r="Y600" s="9">
        <v>3949.52</v>
      </c>
      <c r="Z600" s="42">
        <v>8.4009999999999998</v>
      </c>
    </row>
    <row r="601" spans="19:26" x14ac:dyDescent="0.2">
      <c r="S601" s="9" t="s">
        <v>648</v>
      </c>
      <c r="T601" s="9">
        <v>245</v>
      </c>
      <c r="U601" s="9">
        <v>8</v>
      </c>
      <c r="V601" s="42">
        <f t="shared" si="12"/>
        <v>46.754600000000003</v>
      </c>
      <c r="W601" s="9">
        <v>59.56</v>
      </c>
      <c r="X601" s="42">
        <f t="shared" si="13"/>
        <v>30.625</v>
      </c>
      <c r="Y601" s="9">
        <v>4186.87</v>
      </c>
      <c r="Z601" s="42">
        <v>8.3842999999999996</v>
      </c>
    </row>
    <row r="602" spans="19:26" x14ac:dyDescent="0.2">
      <c r="S602" s="9" t="s">
        <v>649</v>
      </c>
      <c r="T602" s="9">
        <v>245</v>
      </c>
      <c r="U602" s="9">
        <v>9</v>
      </c>
      <c r="V602" s="42">
        <f t="shared" si="12"/>
        <v>52.383050000000004</v>
      </c>
      <c r="W602" s="9">
        <v>66.73</v>
      </c>
      <c r="X602" s="42">
        <f t="shared" si="13"/>
        <v>27.222222222222221</v>
      </c>
      <c r="Y602" s="9">
        <v>4652.32</v>
      </c>
      <c r="Z602" s="42">
        <v>8.3498000000000001</v>
      </c>
    </row>
    <row r="603" spans="19:26" x14ac:dyDescent="0.2">
      <c r="S603" s="9" t="s">
        <v>650</v>
      </c>
      <c r="T603" s="9">
        <v>273</v>
      </c>
      <c r="U603" s="9">
        <v>10</v>
      </c>
      <c r="V603" s="42">
        <f t="shared" si="12"/>
        <v>64.856700000000004</v>
      </c>
      <c r="W603" s="9">
        <v>82.62</v>
      </c>
      <c r="X603" s="42">
        <f t="shared" si="13"/>
        <v>27.3</v>
      </c>
      <c r="Y603" s="9">
        <v>7154.09</v>
      </c>
      <c r="Z603" s="42">
        <v>9.3054000000000006</v>
      </c>
    </row>
    <row r="604" spans="19:26" x14ac:dyDescent="0.2">
      <c r="S604" s="9" t="s">
        <v>651</v>
      </c>
      <c r="T604" s="9">
        <v>273</v>
      </c>
      <c r="U604" s="9">
        <v>12</v>
      </c>
      <c r="V604" s="42">
        <f t="shared" si="12"/>
        <v>77.236150000000009</v>
      </c>
      <c r="W604" s="9">
        <v>98.39</v>
      </c>
      <c r="X604" s="42">
        <f t="shared" si="13"/>
        <v>22.75</v>
      </c>
      <c r="Y604" s="9">
        <v>8396.14</v>
      </c>
      <c r="Z604" s="42">
        <v>9.2377000000000002</v>
      </c>
    </row>
    <row r="605" spans="19:26" x14ac:dyDescent="0.2">
      <c r="S605" s="9" t="s">
        <v>652</v>
      </c>
      <c r="T605" s="9">
        <v>273</v>
      </c>
      <c r="U605" s="9">
        <v>14</v>
      </c>
      <c r="V605" s="42">
        <f t="shared" si="12"/>
        <v>90.204350000000005</v>
      </c>
      <c r="W605" s="9">
        <v>114.91</v>
      </c>
      <c r="X605" s="42">
        <f t="shared" si="13"/>
        <v>19.5</v>
      </c>
      <c r="Y605" s="9">
        <v>9579.75</v>
      </c>
      <c r="Z605" s="42">
        <v>9.1305999999999994</v>
      </c>
    </row>
    <row r="606" spans="19:26" x14ac:dyDescent="0.2">
      <c r="S606" s="9" t="s">
        <v>653</v>
      </c>
      <c r="T606" s="9">
        <v>273</v>
      </c>
      <c r="U606" s="9">
        <v>16</v>
      </c>
      <c r="V606" s="42">
        <f t="shared" si="12"/>
        <v>101.40630000000002</v>
      </c>
      <c r="W606" s="9">
        <v>129.18</v>
      </c>
      <c r="X606" s="42">
        <f t="shared" si="13"/>
        <v>17.0625</v>
      </c>
      <c r="Y606" s="9">
        <v>10706.79</v>
      </c>
      <c r="Z606" s="42">
        <v>9.1039999999999992</v>
      </c>
    </row>
    <row r="607" spans="19:26" x14ac:dyDescent="0.2">
      <c r="S607" s="9" t="s">
        <v>654</v>
      </c>
      <c r="T607" s="9">
        <v>273</v>
      </c>
      <c r="U607" s="9">
        <v>6.5</v>
      </c>
      <c r="V607" s="42">
        <f t="shared" si="12"/>
        <v>42.719700000000003</v>
      </c>
      <c r="W607" s="9">
        <v>54.42</v>
      </c>
      <c r="X607" s="42">
        <f t="shared" si="13"/>
        <v>42</v>
      </c>
      <c r="Y607" s="9">
        <v>4834.18</v>
      </c>
      <c r="Z607" s="42">
        <v>9.4250000000000007</v>
      </c>
    </row>
    <row r="608" spans="19:26" x14ac:dyDescent="0.2">
      <c r="S608" s="9" t="s">
        <v>655</v>
      </c>
      <c r="T608" s="9">
        <v>273</v>
      </c>
      <c r="U608" s="9">
        <v>7</v>
      </c>
      <c r="V608" s="42">
        <f t="shared" si="12"/>
        <v>45.922499999999999</v>
      </c>
      <c r="W608" s="9">
        <v>58.5</v>
      </c>
      <c r="X608" s="42">
        <f t="shared" si="13"/>
        <v>39</v>
      </c>
      <c r="Y608" s="9">
        <v>5177.3</v>
      </c>
      <c r="Z608" s="42">
        <v>9.4075000000000006</v>
      </c>
    </row>
    <row r="609" spans="19:26" x14ac:dyDescent="0.2">
      <c r="S609" s="9" t="s">
        <v>656</v>
      </c>
      <c r="T609" s="9">
        <v>273</v>
      </c>
      <c r="U609" s="9">
        <v>7.5</v>
      </c>
      <c r="V609" s="42">
        <f t="shared" si="12"/>
        <v>49.1096</v>
      </c>
      <c r="W609" s="9">
        <v>62.56</v>
      </c>
      <c r="X609" s="42">
        <f t="shared" si="13"/>
        <v>36.4</v>
      </c>
      <c r="Y609" s="9">
        <v>5516.47</v>
      </c>
      <c r="Z609" s="42">
        <v>9.3903999999999996</v>
      </c>
    </row>
    <row r="610" spans="19:26" x14ac:dyDescent="0.2">
      <c r="S610" s="9" t="s">
        <v>657</v>
      </c>
      <c r="T610" s="9">
        <v>273</v>
      </c>
      <c r="U610" s="9">
        <v>8</v>
      </c>
      <c r="V610" s="42">
        <f t="shared" si="12"/>
        <v>52.280999999999999</v>
      </c>
      <c r="W610" s="9">
        <v>66.599999999999994</v>
      </c>
      <c r="X610" s="42">
        <f t="shared" si="13"/>
        <v>34.125</v>
      </c>
      <c r="Y610" s="9">
        <v>5851.71</v>
      </c>
      <c r="Z610" s="42">
        <v>9.3735999999999997</v>
      </c>
    </row>
    <row r="611" spans="19:26" x14ac:dyDescent="0.2">
      <c r="S611" s="9" t="s">
        <v>658</v>
      </c>
      <c r="T611" s="9">
        <v>273</v>
      </c>
      <c r="U611" s="9">
        <v>9</v>
      </c>
      <c r="V611" s="42">
        <f t="shared" si="12"/>
        <v>58.592400000000005</v>
      </c>
      <c r="W611" s="9">
        <v>74.64</v>
      </c>
      <c r="X611" s="42">
        <f t="shared" si="13"/>
        <v>30.333333333333332</v>
      </c>
      <c r="Y611" s="9">
        <v>6510.56</v>
      </c>
      <c r="Z611" s="42">
        <v>9.3394999999999992</v>
      </c>
    </row>
    <row r="612" spans="19:26" x14ac:dyDescent="0.2">
      <c r="S612" s="9" t="s">
        <v>659</v>
      </c>
      <c r="T612" s="9">
        <v>299</v>
      </c>
      <c r="U612" s="9">
        <v>10</v>
      </c>
      <c r="V612" s="42">
        <f t="shared" si="12"/>
        <v>71.270150000000001</v>
      </c>
      <c r="W612" s="9">
        <v>90.79</v>
      </c>
      <c r="X612" s="42">
        <f t="shared" si="13"/>
        <v>29.9</v>
      </c>
      <c r="Y612" s="9">
        <v>9490.15</v>
      </c>
      <c r="Z612" s="42">
        <v>10.2239</v>
      </c>
    </row>
    <row r="613" spans="19:26" x14ac:dyDescent="0.2">
      <c r="S613" s="9" t="s">
        <v>660</v>
      </c>
      <c r="T613" s="9">
        <v>299</v>
      </c>
      <c r="U613" s="9">
        <v>12</v>
      </c>
      <c r="V613" s="42">
        <f t="shared" si="12"/>
        <v>84.937000000000012</v>
      </c>
      <c r="W613" s="9">
        <v>108.2</v>
      </c>
      <c r="X613" s="42">
        <f t="shared" si="13"/>
        <v>24.916666666666668</v>
      </c>
      <c r="Y613" s="9">
        <v>11159.52</v>
      </c>
      <c r="Z613" s="42">
        <v>10.1557</v>
      </c>
    </row>
    <row r="614" spans="19:26" x14ac:dyDescent="0.2">
      <c r="S614" s="9" t="s">
        <v>661</v>
      </c>
      <c r="T614" s="9">
        <v>299</v>
      </c>
      <c r="U614" s="9">
        <v>14</v>
      </c>
      <c r="V614" s="42">
        <f t="shared" si="12"/>
        <v>98.399749999999997</v>
      </c>
      <c r="W614" s="9">
        <v>125.35</v>
      </c>
      <c r="X614" s="42">
        <f t="shared" si="13"/>
        <v>21.357142857142858</v>
      </c>
      <c r="Y614" s="9">
        <v>12757.61</v>
      </c>
      <c r="Z614" s="42">
        <v>10.0884</v>
      </c>
    </row>
    <row r="615" spans="19:26" x14ac:dyDescent="0.2">
      <c r="S615" s="9" t="s">
        <v>662</v>
      </c>
      <c r="T615" s="9">
        <v>299</v>
      </c>
      <c r="U615" s="9">
        <v>16</v>
      </c>
      <c r="V615" s="42">
        <f t="shared" si="12"/>
        <v>111.66625000000001</v>
      </c>
      <c r="W615" s="9">
        <v>142.25</v>
      </c>
      <c r="X615" s="42">
        <f t="shared" si="13"/>
        <v>18.6875</v>
      </c>
      <c r="Y615" s="9">
        <v>14286.48</v>
      </c>
      <c r="Z615" s="42">
        <v>10.021599999999999</v>
      </c>
    </row>
    <row r="616" spans="19:26" x14ac:dyDescent="0.2">
      <c r="S616" s="9" t="s">
        <v>663</v>
      </c>
      <c r="T616" s="9">
        <v>299</v>
      </c>
      <c r="U616" s="9">
        <v>7.5</v>
      </c>
      <c r="V616" s="42">
        <f t="shared" si="12"/>
        <v>53.913800000000009</v>
      </c>
      <c r="W616" s="9">
        <v>68.680000000000007</v>
      </c>
      <c r="X616" s="42">
        <f t="shared" si="13"/>
        <v>39.866666666666667</v>
      </c>
      <c r="Y616" s="9">
        <v>7300.02</v>
      </c>
      <c r="Z616" s="42">
        <v>10.309699999999999</v>
      </c>
    </row>
    <row r="617" spans="19:26" x14ac:dyDescent="0.2">
      <c r="S617" s="9" t="s">
        <v>664</v>
      </c>
      <c r="T617" s="9">
        <v>299</v>
      </c>
      <c r="U617" s="9">
        <v>8</v>
      </c>
      <c r="V617" s="42">
        <f t="shared" si="12"/>
        <v>57.414900000000003</v>
      </c>
      <c r="W617" s="9">
        <v>73.14</v>
      </c>
      <c r="X617" s="42">
        <f t="shared" si="13"/>
        <v>37.375</v>
      </c>
      <c r="Y617" s="9">
        <v>7747.42</v>
      </c>
      <c r="Z617" s="42">
        <v>10.292</v>
      </c>
    </row>
    <row r="618" spans="19:26" x14ac:dyDescent="0.2">
      <c r="S618" s="9" t="s">
        <v>665</v>
      </c>
      <c r="T618" s="9">
        <v>299</v>
      </c>
      <c r="U618" s="9">
        <v>9</v>
      </c>
      <c r="V618" s="42">
        <f t="shared" si="12"/>
        <v>64.37</v>
      </c>
      <c r="W618" s="9">
        <v>82</v>
      </c>
      <c r="X618" s="42">
        <f t="shared" si="13"/>
        <v>33.222222222222221</v>
      </c>
      <c r="Y618" s="9">
        <v>8628.09</v>
      </c>
      <c r="Z618" s="42">
        <v>10.2577</v>
      </c>
    </row>
    <row r="619" spans="19:26" x14ac:dyDescent="0.2">
      <c r="S619" s="9" t="s">
        <v>666</v>
      </c>
      <c r="T619" s="9">
        <v>325</v>
      </c>
      <c r="U619" s="9">
        <v>10</v>
      </c>
      <c r="V619" s="42">
        <f t="shared" si="12"/>
        <v>77.683599999999998</v>
      </c>
      <c r="W619" s="9">
        <v>98.96</v>
      </c>
      <c r="X619" s="42">
        <f t="shared" si="13"/>
        <v>32.5</v>
      </c>
      <c r="Y619" s="9">
        <v>12286.52</v>
      </c>
      <c r="Z619" s="42">
        <v>11.1426</v>
      </c>
    </row>
    <row r="620" spans="19:26" x14ac:dyDescent="0.2">
      <c r="S620" s="9" t="s">
        <v>667</v>
      </c>
      <c r="T620" s="9">
        <v>325</v>
      </c>
      <c r="U620" s="9">
        <v>12</v>
      </c>
      <c r="V620" s="42">
        <f t="shared" si="12"/>
        <v>92.63000000000001</v>
      </c>
      <c r="W620" s="9">
        <v>118</v>
      </c>
      <c r="X620" s="42">
        <f t="shared" si="13"/>
        <v>27.083333333333332</v>
      </c>
      <c r="Y620" s="9">
        <v>14471.45</v>
      </c>
      <c r="Z620" s="42">
        <v>11.074299999999999</v>
      </c>
    </row>
    <row r="621" spans="19:26" x14ac:dyDescent="0.2">
      <c r="S621" s="9" t="s">
        <v>668</v>
      </c>
      <c r="T621" s="9">
        <v>325</v>
      </c>
      <c r="U621" s="9">
        <v>14</v>
      </c>
      <c r="V621" s="42">
        <f t="shared" si="12"/>
        <v>107.37230000000001</v>
      </c>
      <c r="W621" s="9">
        <v>136.78</v>
      </c>
      <c r="X621" s="42">
        <f t="shared" si="13"/>
        <v>23.214285714285715</v>
      </c>
      <c r="Y621" s="9">
        <v>16570.98</v>
      </c>
      <c r="Z621" s="42">
        <v>11.0068</v>
      </c>
    </row>
    <row r="622" spans="19:26" x14ac:dyDescent="0.2">
      <c r="S622" s="9" t="s">
        <v>669</v>
      </c>
      <c r="T622" s="9">
        <v>325</v>
      </c>
      <c r="U622" s="9">
        <v>16</v>
      </c>
      <c r="V622" s="42">
        <f t="shared" si="12"/>
        <v>121.92619999999999</v>
      </c>
      <c r="W622" s="9">
        <v>155.32</v>
      </c>
      <c r="X622" s="42">
        <f t="shared" si="13"/>
        <v>20.3125</v>
      </c>
      <c r="Y622" s="9">
        <v>18587.38</v>
      </c>
      <c r="Z622" s="42">
        <v>10.939399999999999</v>
      </c>
    </row>
    <row r="623" spans="19:26" x14ac:dyDescent="0.2">
      <c r="S623" s="9" t="s">
        <v>670</v>
      </c>
      <c r="T623" s="9">
        <v>325</v>
      </c>
      <c r="U623" s="9">
        <v>7.5</v>
      </c>
      <c r="V623" s="42">
        <f t="shared" si="12"/>
        <v>58.725850000000001</v>
      </c>
      <c r="W623" s="9">
        <v>74.81</v>
      </c>
      <c r="X623" s="42">
        <f t="shared" si="13"/>
        <v>43.333333333333336</v>
      </c>
      <c r="Y623" s="9">
        <v>9431.7999999999993</v>
      </c>
      <c r="Z623" s="42">
        <v>11.228400000000001</v>
      </c>
    </row>
    <row r="624" spans="19:26" x14ac:dyDescent="0.2">
      <c r="S624" s="9" t="s">
        <v>671</v>
      </c>
      <c r="T624" s="9">
        <v>325</v>
      </c>
      <c r="U624" s="9">
        <v>8</v>
      </c>
      <c r="V624" s="42">
        <f t="shared" si="12"/>
        <v>62.540950000000002</v>
      </c>
      <c r="W624" s="9">
        <v>79.67</v>
      </c>
      <c r="X624" s="42">
        <f t="shared" si="13"/>
        <v>40.625</v>
      </c>
      <c r="Y624" s="9">
        <v>10013.92</v>
      </c>
      <c r="Z624" s="42">
        <v>11.2113</v>
      </c>
    </row>
    <row r="625" spans="19:26" x14ac:dyDescent="0.2">
      <c r="S625" s="9" t="s">
        <v>672</v>
      </c>
      <c r="T625" s="9">
        <v>325</v>
      </c>
      <c r="U625" s="9">
        <v>9</v>
      </c>
      <c r="V625" s="42">
        <f t="shared" si="12"/>
        <v>70.139749999999992</v>
      </c>
      <c r="W625" s="9">
        <v>89.35</v>
      </c>
      <c r="X625" s="42">
        <f t="shared" si="13"/>
        <v>36.111111111111114</v>
      </c>
      <c r="Y625" s="9">
        <v>11161.33</v>
      </c>
      <c r="Z625" s="42">
        <v>11.176600000000001</v>
      </c>
    </row>
    <row r="626" spans="19:26" x14ac:dyDescent="0.2">
      <c r="S626" s="9" t="s">
        <v>673</v>
      </c>
      <c r="T626" s="9">
        <v>351</v>
      </c>
      <c r="U626" s="9">
        <v>10</v>
      </c>
      <c r="V626" s="42">
        <f t="shared" si="12"/>
        <v>84.097049999999996</v>
      </c>
      <c r="W626" s="9">
        <v>107.13</v>
      </c>
      <c r="X626" s="42">
        <f t="shared" si="13"/>
        <v>35.1</v>
      </c>
      <c r="Y626" s="9">
        <v>15584.62</v>
      </c>
      <c r="Z626" s="42">
        <v>12.061299999999999</v>
      </c>
    </row>
    <row r="627" spans="19:26" x14ac:dyDescent="0.2">
      <c r="S627" s="9" t="s">
        <v>674</v>
      </c>
      <c r="T627" s="9">
        <v>351</v>
      </c>
      <c r="U627" s="9">
        <v>12</v>
      </c>
      <c r="V627" s="42">
        <f t="shared" si="12"/>
        <v>100.32300000000001</v>
      </c>
      <c r="W627" s="9">
        <v>127.8</v>
      </c>
      <c r="X627" s="42">
        <f t="shared" si="13"/>
        <v>29.25</v>
      </c>
      <c r="Y627" s="9">
        <v>18381.63</v>
      </c>
      <c r="Z627" s="42">
        <v>11.993</v>
      </c>
    </row>
    <row r="628" spans="19:26" x14ac:dyDescent="0.2">
      <c r="S628" s="9" t="s">
        <v>675</v>
      </c>
      <c r="T628" s="9">
        <v>351</v>
      </c>
      <c r="U628" s="9">
        <v>14</v>
      </c>
      <c r="V628" s="42">
        <f t="shared" si="12"/>
        <v>116.3527</v>
      </c>
      <c r="W628" s="9">
        <v>148.22</v>
      </c>
      <c r="X628" s="42">
        <f t="shared" si="13"/>
        <v>25.071428571428573</v>
      </c>
      <c r="Y628" s="9">
        <v>21077.86</v>
      </c>
      <c r="Z628" s="42">
        <v>11.925000000000001</v>
      </c>
    </row>
    <row r="629" spans="19:26" x14ac:dyDescent="0.2">
      <c r="S629" s="9" t="s">
        <v>676</v>
      </c>
      <c r="T629" s="9">
        <v>351</v>
      </c>
      <c r="U629" s="9">
        <v>16</v>
      </c>
      <c r="V629" s="42">
        <f t="shared" si="12"/>
        <v>132.18615</v>
      </c>
      <c r="W629" s="9">
        <v>168.39</v>
      </c>
      <c r="X629" s="42">
        <f t="shared" si="13"/>
        <v>21.9375</v>
      </c>
      <c r="Y629" s="9">
        <v>23675.75</v>
      </c>
      <c r="Z629" s="42">
        <v>11.8575</v>
      </c>
    </row>
    <row r="630" spans="19:26" x14ac:dyDescent="0.2">
      <c r="S630" s="9" t="s">
        <v>677</v>
      </c>
      <c r="T630" s="9">
        <v>351</v>
      </c>
      <c r="U630" s="9">
        <v>8</v>
      </c>
      <c r="V630" s="42">
        <f t="shared" si="12"/>
        <v>67.674849999999992</v>
      </c>
      <c r="W630" s="9">
        <v>86.21</v>
      </c>
      <c r="X630" s="42">
        <f t="shared" si="13"/>
        <v>43.875</v>
      </c>
      <c r="Y630" s="9">
        <v>12684.36</v>
      </c>
      <c r="Z630" s="42">
        <v>12.129899999999999</v>
      </c>
    </row>
    <row r="631" spans="19:26" x14ac:dyDescent="0.2">
      <c r="S631" s="9" t="s">
        <v>678</v>
      </c>
      <c r="T631" s="9">
        <v>351</v>
      </c>
      <c r="U631" s="9">
        <v>9</v>
      </c>
      <c r="V631" s="42">
        <f t="shared" si="12"/>
        <v>75.909500000000008</v>
      </c>
      <c r="W631" s="9">
        <v>96.7</v>
      </c>
      <c r="X631" s="42">
        <f t="shared" si="13"/>
        <v>39</v>
      </c>
      <c r="Y631" s="9">
        <v>14147.55</v>
      </c>
      <c r="Z631" s="42">
        <v>12.095599999999999</v>
      </c>
    </row>
    <row r="632" spans="19:26" x14ac:dyDescent="0.2">
      <c r="S632" s="9" t="s">
        <v>685</v>
      </c>
      <c r="T632" s="9">
        <v>102</v>
      </c>
      <c r="U632" s="9">
        <v>5</v>
      </c>
      <c r="V632" s="42">
        <f t="shared" si="12"/>
        <v>11.9634</v>
      </c>
      <c r="W632" s="42">
        <v>15.24</v>
      </c>
      <c r="X632" s="42">
        <f t="shared" si="13"/>
        <v>20.399999999999999</v>
      </c>
      <c r="Y632" s="42">
        <v>179.68</v>
      </c>
      <c r="Z632" s="42">
        <v>3.4340000000000002</v>
      </c>
    </row>
    <row r="633" spans="19:26" x14ac:dyDescent="0.2">
      <c r="S633" s="9" t="s">
        <v>686</v>
      </c>
      <c r="T633" s="9">
        <v>159</v>
      </c>
      <c r="U633" s="9">
        <v>10</v>
      </c>
      <c r="V633" s="42">
        <f t="shared" ref="V633:V646" si="14">W633*0.785</f>
        <v>36.745850000000004</v>
      </c>
      <c r="W633" s="42">
        <v>46.81</v>
      </c>
      <c r="X633" s="42">
        <f t="shared" si="13"/>
        <v>15.9</v>
      </c>
      <c r="Y633" s="42">
        <v>1304.8800000000001</v>
      </c>
      <c r="Z633" s="42">
        <v>5.2797999999999998</v>
      </c>
    </row>
    <row r="634" spans="19:26" x14ac:dyDescent="0.2">
      <c r="S634" s="9" t="s">
        <v>687</v>
      </c>
      <c r="T634" s="9">
        <v>159</v>
      </c>
      <c r="U634" s="9">
        <v>6</v>
      </c>
      <c r="V634" s="42">
        <f t="shared" si="14"/>
        <v>22.639400000000002</v>
      </c>
      <c r="W634" s="42">
        <v>28.84</v>
      </c>
      <c r="X634" s="42">
        <f t="shared" si="13"/>
        <v>26.5</v>
      </c>
      <c r="Y634" s="42">
        <v>845.19</v>
      </c>
      <c r="Z634" s="42">
        <v>5.4135</v>
      </c>
    </row>
    <row r="635" spans="19:26" x14ac:dyDescent="0.2">
      <c r="S635" s="9" t="s">
        <v>688</v>
      </c>
      <c r="T635" s="9">
        <v>300</v>
      </c>
      <c r="U635" s="9">
        <v>6</v>
      </c>
      <c r="V635" s="42">
        <f t="shared" si="14"/>
        <v>43.5047</v>
      </c>
      <c r="W635" s="42">
        <v>55.42</v>
      </c>
      <c r="X635" s="42">
        <f t="shared" si="13"/>
        <v>50</v>
      </c>
      <c r="Y635" s="42">
        <v>5990.1</v>
      </c>
      <c r="Z635" s="42">
        <v>10.396599999999999</v>
      </c>
    </row>
    <row r="636" spans="19:26" x14ac:dyDescent="0.2">
      <c r="S636" s="9" t="s">
        <v>689</v>
      </c>
      <c r="T636" s="9">
        <v>300</v>
      </c>
      <c r="U636" s="9">
        <v>8</v>
      </c>
      <c r="V636" s="42">
        <f t="shared" si="14"/>
        <v>57.611150000000002</v>
      </c>
      <c r="W636" s="42">
        <v>73.39</v>
      </c>
      <c r="X636" s="42">
        <f t="shared" si="13"/>
        <v>37.5</v>
      </c>
      <c r="Y636" s="42">
        <v>7827.52</v>
      </c>
      <c r="Z636" s="42">
        <v>10.3276</v>
      </c>
    </row>
    <row r="637" spans="19:26" x14ac:dyDescent="0.2">
      <c r="S637" s="9" t="s">
        <v>690</v>
      </c>
      <c r="T637" s="9">
        <v>400</v>
      </c>
      <c r="U637" s="9">
        <v>8</v>
      </c>
      <c r="V637" s="42">
        <f t="shared" si="14"/>
        <v>77.338200000000001</v>
      </c>
      <c r="W637" s="42">
        <v>98.52</v>
      </c>
      <c r="X637" s="42">
        <f t="shared" si="13"/>
        <v>50</v>
      </c>
      <c r="Y637" s="42">
        <v>18931.669999999998</v>
      </c>
      <c r="Z637" s="42">
        <v>13.8622</v>
      </c>
    </row>
    <row r="638" spans="19:26" x14ac:dyDescent="0.2">
      <c r="S638" s="9" t="s">
        <v>691</v>
      </c>
      <c r="T638" s="9">
        <v>500</v>
      </c>
      <c r="U638" s="9">
        <v>10</v>
      </c>
      <c r="V638" s="42">
        <f t="shared" si="14"/>
        <v>120.8429</v>
      </c>
      <c r="W638" s="42">
        <v>153.94</v>
      </c>
      <c r="X638" s="42">
        <f t="shared" si="13"/>
        <v>50</v>
      </c>
      <c r="Y638" s="42">
        <v>46219.9</v>
      </c>
      <c r="Z638" s="42">
        <v>17.3277</v>
      </c>
    </row>
    <row r="639" spans="19:26" x14ac:dyDescent="0.2">
      <c r="S639" s="9" t="s">
        <v>692</v>
      </c>
      <c r="T639" s="9">
        <v>500</v>
      </c>
      <c r="U639" s="9">
        <v>16</v>
      </c>
      <c r="V639" s="42">
        <f t="shared" si="14"/>
        <v>190.97480000000002</v>
      </c>
      <c r="W639" s="42">
        <v>243.28</v>
      </c>
      <c r="X639" s="42">
        <f t="shared" si="13"/>
        <v>31.25</v>
      </c>
      <c r="Y639" s="42">
        <v>71316.55</v>
      </c>
      <c r="Z639" s="42">
        <v>17.121300000000002</v>
      </c>
    </row>
    <row r="640" spans="19:26" x14ac:dyDescent="0.2">
      <c r="S640" s="9" t="s">
        <v>693</v>
      </c>
      <c r="T640" s="9">
        <v>500</v>
      </c>
      <c r="U640" s="9">
        <v>8</v>
      </c>
      <c r="V640" s="42">
        <f t="shared" si="14"/>
        <v>97.065250000000006</v>
      </c>
      <c r="W640" s="42">
        <v>123.65</v>
      </c>
      <c r="X640" s="42">
        <f t="shared" si="13"/>
        <v>62.5</v>
      </c>
      <c r="Y640" s="42">
        <v>37424.839999999997</v>
      </c>
      <c r="Z640" s="42">
        <v>17.397099999999998</v>
      </c>
    </row>
    <row r="641" spans="19:26" x14ac:dyDescent="0.2">
      <c r="S641" s="9" t="s">
        <v>694</v>
      </c>
      <c r="T641" s="9">
        <v>600</v>
      </c>
      <c r="U641" s="9">
        <v>10</v>
      </c>
      <c r="V641" s="42">
        <f t="shared" si="14"/>
        <v>145.49975000000001</v>
      </c>
      <c r="W641" s="42">
        <v>185.35</v>
      </c>
      <c r="X641" s="42">
        <f t="shared" si="13"/>
        <v>60</v>
      </c>
      <c r="Y641" s="42">
        <v>80675.31</v>
      </c>
      <c r="Z641" s="42">
        <v>20.8626</v>
      </c>
    </row>
    <row r="642" spans="19:26" x14ac:dyDescent="0.2">
      <c r="S642" s="9" t="s">
        <v>695</v>
      </c>
      <c r="T642" s="9">
        <v>600</v>
      </c>
      <c r="U642" s="9">
        <v>14</v>
      </c>
      <c r="V642" s="42">
        <f t="shared" si="14"/>
        <v>202.32590000000002</v>
      </c>
      <c r="W642" s="42">
        <v>257.74</v>
      </c>
      <c r="X642" s="42">
        <f t="shared" si="13"/>
        <v>42.857142857142854</v>
      </c>
      <c r="Y642" s="42">
        <v>110695.15</v>
      </c>
      <c r="Z642" s="42">
        <v>20.7241</v>
      </c>
    </row>
    <row r="643" spans="19:26" x14ac:dyDescent="0.2">
      <c r="S643" s="9" t="s">
        <v>696</v>
      </c>
      <c r="T643" s="9">
        <v>600</v>
      </c>
      <c r="U643" s="9">
        <v>16</v>
      </c>
      <c r="V643" s="42">
        <f t="shared" si="14"/>
        <v>230.43675000000002</v>
      </c>
      <c r="W643" s="42">
        <v>293.55</v>
      </c>
      <c r="X643" s="42">
        <f t="shared" si="13"/>
        <v>37.5</v>
      </c>
      <c r="Y643" s="42">
        <v>125240.35</v>
      </c>
      <c r="Z643" s="42">
        <v>20.6553</v>
      </c>
    </row>
    <row r="644" spans="19:26" x14ac:dyDescent="0.2">
      <c r="S644" s="9" t="s">
        <v>697</v>
      </c>
      <c r="T644" s="9">
        <v>650</v>
      </c>
      <c r="U644" s="9">
        <v>16</v>
      </c>
      <c r="V644" s="42">
        <f t="shared" si="14"/>
        <v>250.16380000000001</v>
      </c>
      <c r="W644" s="42">
        <v>318.68</v>
      </c>
      <c r="X644" s="42">
        <f t="shared" si="13"/>
        <v>40.625</v>
      </c>
      <c r="Y644" s="42">
        <v>160222.74</v>
      </c>
      <c r="Z644" s="42">
        <v>22.4224</v>
      </c>
    </row>
    <row r="645" spans="19:26" x14ac:dyDescent="0.2">
      <c r="S645" s="9" t="s">
        <v>766</v>
      </c>
      <c r="T645" s="9">
        <v>650</v>
      </c>
      <c r="U645" s="9">
        <v>20</v>
      </c>
      <c r="V645" s="42">
        <f t="shared" si="14"/>
        <v>310.73439999999999</v>
      </c>
      <c r="W645" s="42">
        <v>395.84</v>
      </c>
      <c r="X645" s="42">
        <f t="shared" si="13"/>
        <v>32.5</v>
      </c>
      <c r="Y645" s="42">
        <v>196584.37</v>
      </c>
      <c r="Z645" s="42">
        <v>22.22</v>
      </c>
    </row>
    <row r="646" spans="19:26" x14ac:dyDescent="0.2">
      <c r="S646" s="9" t="s">
        <v>698</v>
      </c>
      <c r="T646" s="9">
        <v>88.9</v>
      </c>
      <c r="U646" s="9">
        <v>4</v>
      </c>
      <c r="V646" s="42">
        <f t="shared" si="14"/>
        <v>8.3759499999999996</v>
      </c>
      <c r="W646" s="42">
        <v>10.67</v>
      </c>
      <c r="X646" s="42">
        <f t="shared" si="13"/>
        <v>22.225000000000001</v>
      </c>
      <c r="Y646" s="42">
        <v>96.34</v>
      </c>
      <c r="Z646" s="42">
        <v>3.0049999999999999</v>
      </c>
    </row>
  </sheetData>
  <sheetProtection algorithmName="SHA-512" hashValue="x0G4lQ7ZoK6KOtLByQ0pWB1HiDoHUh8U2L9DRd4hfUe6w++g6Hn8Euhit7keIETSdI/GX79BcuG7/RwWA9njFQ==" saltValue="NiffWkAFJiJQq4kgUxTTbg==" spinCount="100000" sheet="1"/>
  <protectedRanges>
    <protectedRange sqref="B3" name="Range1"/>
  </protectedRanges>
  <customSheetViews>
    <customSheetView guid="{3F54ED01-F470-44CD-9D95-C83F10D1F47F}" showPageBreaks="1" printArea="1" hiddenRows="1" view="pageBreakPreview" topLeftCell="A21">
      <selection activeCell="F69" sqref="F69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1"/>
      <headerFooter alignWithMargins="0"/>
    </customSheetView>
    <customSheetView guid="{0C5208E9-3051-4FC2-8B4B-B958270FD3E7}" showPageBreaks="1" printArea="1" hiddenRows="1" view="pageBreakPreview" topLeftCell="A10">
      <selection activeCell="B2" sqref="B2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2"/>
      <headerFooter alignWithMargins="0"/>
    </customSheetView>
    <customSheetView guid="{5DAEFDBE-AD85-4E22-AC29-138B2C643105}" showPageBreaks="1" printArea="1" hiddenRows="1" view="pageBreakPreview" showRuler="0" topLeftCell="A37">
      <selection activeCell="J62" sqref="J62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3"/>
      <headerFooter alignWithMargins="0"/>
    </customSheetView>
    <customSheetView guid="{76A51612-6EF4-4E75-84B4-1099D28C0721}" showPageBreaks="1" printArea="1" hiddenRows="1" view="pageBreakPreview" showRuler="0">
      <selection activeCell="D60" sqref="D60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4"/>
      <headerFooter alignWithMargins="0"/>
    </customSheetView>
    <customSheetView guid="{19234967-C4B5-489A-89E1-ACFDB500E954}" showPageBreaks="1" printArea="1" hiddenRows="1" view="pageBreakPreview" topLeftCell="A6">
      <selection activeCell="D73" sqref="D73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5"/>
      <headerFooter alignWithMargins="0"/>
    </customSheetView>
    <customSheetView guid="{C1DC9CC7-86F5-4DFC-8546-62821D47C9EC}" showPageBreaks="1" printArea="1" hiddenRows="1" view="pageBreakPreview" topLeftCell="A40">
      <selection activeCell="D68" sqref="D68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6"/>
      <headerFooter alignWithMargins="0"/>
    </customSheetView>
  </customSheetViews>
  <mergeCells count="4">
    <mergeCell ref="S5:S9"/>
    <mergeCell ref="I6:I10"/>
    <mergeCell ref="B1:H1"/>
    <mergeCell ref="B3:H3"/>
  </mergeCells>
  <phoneticPr fontId="3" type="noConversion"/>
  <dataValidations count="10">
    <dataValidation type="list" allowBlank="1" showInputMessage="1" showErrorMessage="1" sqref="B70" xr:uid="{00000000-0002-0000-0000-000000000000}">
      <formula1>$M$66:$M$67</formula1>
    </dataValidation>
    <dataValidation type="list" allowBlank="1" showInputMessage="1" showErrorMessage="1" sqref="B48 B11" xr:uid="{00000000-0002-0000-0000-000001000000}">
      <formula1>$B$106:$B$110</formula1>
    </dataValidation>
    <dataValidation type="list" allowBlank="1" showInputMessage="1" showErrorMessage="1" sqref="B12" xr:uid="{00000000-0002-0000-0000-000002000000}">
      <formula1>"2.4,2.8,3.6,2.35,2.25,2.15,2.05,3.45,3.25,2.95"</formula1>
    </dataValidation>
    <dataValidation type="list" allowBlank="1" showInputMessage="1" showErrorMessage="1" sqref="H7" xr:uid="{00000000-0002-0000-0000-000003000000}">
      <formula1>"ONE,TWO"</formula1>
    </dataValidation>
    <dataValidation type="list" allowBlank="1" showInputMessage="1" showErrorMessage="1" sqref="B13" xr:uid="{00000000-0002-0000-0000-000004000000}">
      <formula1>$S$10:$S$646</formula1>
    </dataValidation>
    <dataValidation type="list" allowBlank="1" showInputMessage="1" showErrorMessage="1" sqref="F12" xr:uid="{00000000-0002-0000-0000-000005000000}">
      <formula1>"B,M"</formula1>
    </dataValidation>
    <dataValidation type="list" allowBlank="1" showInputMessage="1" showErrorMessage="1" sqref="B53" xr:uid="{00000000-0002-0000-0000-000006000000}">
      <formula1>"4.6,4.8,5.6,5.8,6.8,8.8,10.9"</formula1>
    </dataValidation>
    <dataValidation type="list" allowBlank="1" showInputMessage="1" showErrorMessage="1" sqref="B52" xr:uid="{00000000-0002-0000-0000-000007000000}">
      <formula1>"2,4,6,8,9,10,12,14,16,18,20,22,24,26,28,30"</formula1>
    </dataValidation>
    <dataValidation type="list" allowBlank="1" showInputMessage="1" showErrorMessage="1" sqref="B54" xr:uid="{00000000-0002-0000-0000-000008000000}">
      <formula1>"12,14,16,20,22,24,27,30,33,36,39,42,45,48,50,52"</formula1>
    </dataValidation>
    <dataValidation type="list" allowBlank="1" showInputMessage="1" showErrorMessage="1" sqref="C53" xr:uid="{00000000-0002-0000-0000-000009000000}">
      <formula1>"Bearing Type,Friction Type"</formula1>
    </dataValidation>
  </dataValidations>
  <pageMargins left="0.75" right="0.75" top="1" bottom="1" header="0.5" footer="0.5"/>
  <pageSetup paperSize="9" scale="64" orientation="portrait" r:id="rId7"/>
  <headerFooter alignWithMargins="0"/>
  <colBreaks count="1" manualBreakCount="1">
    <brk id="8" max="1048575" man="1"/>
  </colBreaks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customSheetViews>
    <customSheetView guid="{3F54ED01-F470-44CD-9D95-C83F10D1F47F}">
      <pageMargins left="0.75" right="0.75" top="1" bottom="1" header="0.5" footer="0.5"/>
      <headerFooter alignWithMargins="0"/>
    </customSheetView>
    <customSheetView guid="{0C5208E9-3051-4FC2-8B4B-B958270FD3E7}">
      <pageMargins left="0.75" right="0.75" top="1" bottom="1" header="0.5" footer="0.5"/>
      <headerFooter alignWithMargins="0"/>
    </customSheetView>
    <customSheetView guid="{5DAEFDBE-AD85-4E22-AC29-138B2C643105}" showRuler="0">
      <pageMargins left="0.75" right="0.75" top="1" bottom="1" header="0.5" footer="0.5"/>
      <headerFooter alignWithMargins="0"/>
    </customSheetView>
    <customSheetView guid="{76A51612-6EF4-4E75-84B4-1099D28C0721}" showRuler="0">
      <pageMargins left="0.75" right="0.75" top="1" bottom="1" header="0.5" footer="0.5"/>
      <headerFooter alignWithMargins="0"/>
    </customSheetView>
    <customSheetView guid="{19234967-C4B5-489A-89E1-ACFDB500E954}">
      <pageMargins left="0.75" right="0.75" top="1" bottom="1" header="0.5" footer="0.5"/>
      <headerFooter alignWithMargins="0"/>
    </customSheetView>
    <customSheetView guid="{C1DC9CC7-86F5-4DFC-8546-62821D47C9EC}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customSheetViews>
    <customSheetView guid="{3F54ED01-F470-44CD-9D95-C83F10D1F47F}">
      <pageMargins left="0.75" right="0.75" top="1" bottom="1" header="0.5" footer="0.5"/>
      <headerFooter alignWithMargins="0"/>
    </customSheetView>
    <customSheetView guid="{0C5208E9-3051-4FC2-8B4B-B958270FD3E7}">
      <pageMargins left="0.75" right="0.75" top="1" bottom="1" header="0.5" footer="0.5"/>
      <headerFooter alignWithMargins="0"/>
    </customSheetView>
    <customSheetView guid="{5DAEFDBE-AD85-4E22-AC29-138B2C643105}" showRuler="0">
      <pageMargins left="0.75" right="0.75" top="1" bottom="1" header="0.5" footer="0.5"/>
      <headerFooter alignWithMargins="0"/>
    </customSheetView>
    <customSheetView guid="{76A51612-6EF4-4E75-84B4-1099D28C0721}" showRuler="0">
      <pageMargins left="0.75" right="0.75" top="1" bottom="1" header="0.5" footer="0.5"/>
      <headerFooter alignWithMargins="0"/>
    </customSheetView>
    <customSheetView guid="{19234967-C4B5-489A-89E1-ACFDB500E954}">
      <pageMargins left="0.75" right="0.75" top="1" bottom="1" header="0.5" footer="0.5"/>
      <headerFooter alignWithMargins="0"/>
    </customSheetView>
    <customSheetView guid="{C1DC9CC7-86F5-4DFC-8546-62821D47C9EC}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Bt_n</vt:lpstr>
      <vt:lpstr>Bt_S</vt:lpstr>
      <vt:lpstr>FY</vt:lpstr>
      <vt:lpstr>Pl</vt:lpstr>
      <vt:lpstr>Sheet1!Print_Area</vt:lpstr>
      <vt:lpstr>S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motaz</dc:creator>
  <cp:lastModifiedBy>Mohamed Helmy</cp:lastModifiedBy>
  <cp:lastPrinted>2009-12-02T12:03:03Z</cp:lastPrinted>
  <dcterms:created xsi:type="dcterms:W3CDTF">2007-10-29T15:27:45Z</dcterms:created>
  <dcterms:modified xsi:type="dcterms:W3CDTF">2020-06-01T08:15:16Z</dcterms:modified>
</cp:coreProperties>
</file>