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15" yWindow="-15" windowWidth="15210" windowHeight="4485"/>
  </bookViews>
  <sheets>
    <sheet name="shear" sheetId="1" r:id="rId1"/>
    <sheet name="data" sheetId="2" r:id="rId2"/>
    <sheet name="Sheet2" sheetId="3" r:id="rId3"/>
    <sheet name="Sheet3" sheetId="4" r:id="rId4"/>
    <sheet name="Sheet4" sheetId="5" r:id="rId5"/>
  </sheets>
  <definedNames>
    <definedName name="A">shear!$O$32</definedName>
    <definedName name="Axial">shear!$O$32</definedName>
    <definedName name="bf_beam">shear!$L$10</definedName>
    <definedName name="bf_column">shear!$O$18</definedName>
    <definedName name="boltsno">shear!$AB$39</definedName>
    <definedName name="bp">shear!$R$63</definedName>
    <definedName name="bpP">shear!$R$63</definedName>
    <definedName name="Bt_S">shear!$E$39</definedName>
    <definedName name="d_beam">shear!$L$9</definedName>
    <definedName name="d_clear">shear!$AE$11</definedName>
    <definedName name="d_column">shear!$O$17</definedName>
    <definedName name="d_hole">shear!$AE$39</definedName>
    <definedName name="db">shear!$L$37</definedName>
    <definedName name="e">shear!$S$40</definedName>
    <definedName name="ex">shear!$S$41</definedName>
    <definedName name="Fu_beam">shear!$X$15</definedName>
    <definedName name="Fu_Gusset">shear!$X$29</definedName>
    <definedName name="Fy_beam">shear!$X$14</definedName>
    <definedName name="Fy_gusset">shear!$X$28</definedName>
    <definedName name="g">shear!$S$44</definedName>
    <definedName name="L_n">IF([0]!Type="S",1,2)</definedName>
    <definedName name="m">shear!$S$39</definedName>
    <definedName name="n">shear!$S$38</definedName>
    <definedName name="p">shear!$S$42</definedName>
    <definedName name="_xlnm.Print_Area" localSheetId="0">shear!$B$1:$AD$91</definedName>
    <definedName name="_xlnm.Print_Titles" localSheetId="0">shear!$1:$2</definedName>
    <definedName name="r_beam">shear!$L$13</definedName>
    <definedName name="r_column">shear!$O$21</definedName>
    <definedName name="shpl">shear!$S$45</definedName>
    <definedName name="St_Table">Sheet2!$A$6:$N$524</definedName>
    <definedName name="ST_Table1">Sheet3!$A$6:$W$88</definedName>
    <definedName name="tf_beam">shear!$L$12</definedName>
    <definedName name="tf_column">shear!$O$20</definedName>
    <definedName name="tp">shear!$O$24</definedName>
    <definedName name="tw_beam">shear!$L$11</definedName>
    <definedName name="tw_column">shear!$O$19</definedName>
    <definedName name="Type">shear!$B$12</definedName>
    <definedName name="V_2">shear!$O$33</definedName>
    <definedName name="WW">shear!$L$9</definedName>
    <definedName name="Z_3B78D0E4_16CC_11D4_B7CE_0050DA395D67_.wvu.PrintArea" localSheetId="0" hidden="1">shear!$B$1:$AD$48</definedName>
    <definedName name="Z_4C47D3AA_B81B_446B_A336_E8EB64E8766E_.wvu.PrintArea" localSheetId="0" hidden="1">shear!$B$1:$AD$108</definedName>
    <definedName name="Z_4C47D3AA_B81B_446B_A336_E8EB64E8766E_.wvu.PrintTitles" localSheetId="0" hidden="1">shear!$A:$A,shear!$1:$2</definedName>
    <definedName name="Z_4C47D3AA_B81B_446B_A336_E8EB64E8766E_.wvu.Rows" localSheetId="0" hidden="1">shear!$51:$51</definedName>
    <definedName name="Z_4E0995C2_F4BF_4EBE_942E_FAA93D921566_.wvu.PrintArea" localSheetId="0" hidden="1">shear!$B$1:$AD$93</definedName>
    <definedName name="Z_4E0995C2_F4BF_4EBE_942E_FAA93D921566_.wvu.PrintTitles" localSheetId="0" hidden="1">shear!$A:$A,shear!$1:$2</definedName>
    <definedName name="Z_4E0995C2_F4BF_4EBE_942E_FAA93D921566_.wvu.Rows" localSheetId="0" hidden="1">shear!$51:$51,shear!$95:$108</definedName>
    <definedName name="Z_6034D056_81D7_49B7_9FD6_B49DF2C1DBFE_.wvu.PrintArea" localSheetId="0" hidden="1">shear!$B$1:$AD$91</definedName>
    <definedName name="Z_6034D056_81D7_49B7_9FD6_B49DF2C1DBFE_.wvu.PrintTitles" localSheetId="0" hidden="1">shear!$1:$2</definedName>
    <definedName name="Z_7DA3F3CC_1588_489F_B8A9_3FAFF8097049_.wvu.PrintArea" localSheetId="0" hidden="1">shear!$B$1:$AD$91</definedName>
    <definedName name="Z_7DA3F3CC_1588_489F_B8A9_3FAFF8097049_.wvu.PrintTitles" localSheetId="0" hidden="1">shear!$1:$2</definedName>
    <definedName name="Z_7DA3F3CC_1588_489F_B8A9_3FAFF8097049_.wvu.Rows" localSheetId="0" hidden="1">shear!$61:$61</definedName>
    <definedName name="Z_A9EC0360_97A2_11D4_9FCE_0050DA3D4DED_.wvu.PrintArea" localSheetId="0" hidden="1">shear!$B$1:$AD$48</definedName>
    <definedName name="Z_B43D84F6_ECE1_4184_859D_4B803B980EF6_.wvu.PrintArea" localSheetId="0" hidden="1">shear!$B$1:$AD$48</definedName>
    <definedName name="Z_C2D7D384_8011_11D3_B45A_D0656AEFEC34_.wvu.PrintArea" localSheetId="0" hidden="1">shear!$B$1:$AD$48</definedName>
    <definedName name="Z_D127AEA6_C2DF_11D2_8A4B_444553540000_.wvu.PrintArea" localSheetId="0" hidden="1">shear!$B$1:$AD$48</definedName>
    <definedName name="Z_D9B23BE2_DE21_11D3_BB22_0050DA3D5129_.wvu.PrintArea" localSheetId="0" hidden="1">shear!$B$1:$AD$48</definedName>
  </definedNames>
  <calcPr calcId="125725"/>
  <customWorkbookViews>
    <customWorkbookView name="civ10560 - Personal View" guid="{B43D84F6-ECE1-4184-859D-4B803B980EF6}" mergeInterval="0" personalView="1" maximized="1" windowWidth="1020" windowHeight="579" activeSheetId="1"/>
    <customWorkbookView name="Hisham Ismail - Personal View" guid="{D127AEA6-C2DF-11D2-8A4B-444553540000}" mergeInterval="0" personalView="1" maximized="1" windowWidth="1012" windowHeight="599" activeSheetId="1"/>
    <customWorkbookView name="Dr. Ahmed - Personal View" guid="{A9EC0360-97A2-11D4-9FCE-0050DA3D4DED}" mergeInterval="0" personalView="1" maximized="1" windowWidth="987" windowHeight="611" activeSheetId="1"/>
    <customWorkbookView name="Dr: Ahmed Farok - Personal View" guid="{3B78D0E4-16CC-11D4-B7CE-0050DA395D67}" mergeInterval="0" personalView="1" maximized="1" windowWidth="794" windowHeight="466" activeSheetId="1" showComments="commNone"/>
    <customWorkbookView name="**/** - Personal View" guid="{C2D7D384-8011-11D3-B45A-D0656AEFEC34}" mergeInterval="0" personalView="1" maximized="1" windowWidth="1020" windowHeight="607" activeSheetId="1"/>
    <customWorkbookView name="******* - Personal View" guid="{D9B23BE2-DE21-11D3-BB22-0050DA3D5129}" mergeInterval="0" personalView="1" maximized="1" windowWidth="796" windowHeight="438" activeSheetId="1" showComments="commNone"/>
    <customWorkbookView name="new1 - Personal View" guid="{4C47D3AA-B81B-446B-A336-E8EB64E8766E}" mergeInterval="0" personalView="1" maximized="1" windowWidth="1071" windowHeight="852" activeSheetId="1"/>
    <customWorkbookView name="Ayman - Personal View" guid="{4E0995C2-F4BF-4EBE-942E-FAA93D921566}" mergeInterval="0" personalView="1" maximized="1" xWindow="1" yWindow="1" windowWidth="1280" windowHeight="582" activeSheetId="1"/>
    <customWorkbookView name="WW - Personal View" guid="{7DA3F3CC-1588-489F-B8A9-3FAFF8097049}" mergeInterval="0" personalView="1" maximized="1" xWindow="1" yWindow="1" windowWidth="1440" windowHeight="682" activeSheetId="1"/>
    <customWorkbookView name="mhelmy-7 - Personal View" guid="{6034D056-81D7-49B7-9FD6-B49DF2C1DBFE}" mergeInterval="0" personalView="1" maximized="1" xWindow="1" yWindow="1" windowWidth="1436" windowHeight="670" activeSheetId="1"/>
  </customWorkbookViews>
</workbook>
</file>

<file path=xl/calcChain.xml><?xml version="1.0" encoding="utf-8"?>
<calcChain xmlns="http://schemas.openxmlformats.org/spreadsheetml/2006/main">
  <c r="R73" i="1"/>
  <c r="S77"/>
  <c r="T25"/>
  <c r="C6" i="4"/>
  <c r="H6"/>
  <c r="C7"/>
  <c r="H7"/>
  <c r="C8"/>
  <c r="H8"/>
  <c r="C9"/>
  <c r="H9"/>
  <c r="C10"/>
  <c r="H10"/>
  <c r="C11"/>
  <c r="H11"/>
  <c r="C12"/>
  <c r="H12"/>
  <c r="C13"/>
  <c r="H13"/>
  <c r="C14"/>
  <c r="H14"/>
  <c r="C15"/>
  <c r="H15"/>
  <c r="C16"/>
  <c r="H16"/>
  <c r="C17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F413" i="3"/>
  <c r="L413"/>
  <c r="E8" i="2"/>
  <c r="G8"/>
  <c r="E9"/>
  <c r="G32" s="1"/>
  <c r="G9"/>
  <c r="K25" s="1"/>
  <c r="F2" i="1"/>
  <c r="AN6"/>
  <c r="AO6"/>
  <c r="AN7"/>
  <c r="AO7"/>
  <c r="AN8"/>
  <c r="AO8"/>
  <c r="AN9"/>
  <c r="AO9"/>
  <c r="AN10"/>
  <c r="AO10"/>
  <c r="AN11"/>
  <c r="AO11"/>
  <c r="AN12"/>
  <c r="AO12"/>
  <c r="AN13"/>
  <c r="AO13"/>
  <c r="X29"/>
  <c r="AI32"/>
  <c r="L37"/>
  <c r="AB39"/>
  <c r="AE39"/>
  <c r="AE41"/>
  <c r="K41" s="1"/>
  <c r="K43"/>
  <c r="AG44"/>
  <c r="AI46"/>
  <c r="W47"/>
  <c r="AG49"/>
  <c r="G52"/>
  <c r="G53"/>
  <c r="G56"/>
  <c r="AK57"/>
  <c r="R71"/>
  <c r="S78"/>
  <c r="S79"/>
  <c r="S80"/>
  <c r="AR214"/>
  <c r="AR215"/>
  <c r="AR216"/>
  <c r="AR217"/>
  <c r="AR218"/>
  <c r="AR219"/>
  <c r="AR220"/>
  <c r="AR221"/>
  <c r="AR222"/>
  <c r="AR223"/>
  <c r="AR224"/>
  <c r="AR225"/>
  <c r="AR226"/>
  <c r="AR227"/>
  <c r="AR228"/>
  <c r="AR229"/>
  <c r="AR230"/>
  <c r="AR231"/>
  <c r="AR232"/>
  <c r="AR233"/>
  <c r="AR234"/>
  <c r="AR235"/>
  <c r="AR236"/>
  <c r="AR237"/>
  <c r="AR238"/>
  <c r="AR239"/>
  <c r="AR240"/>
  <c r="AR241"/>
  <c r="AR242"/>
  <c r="AR243"/>
  <c r="AR244"/>
  <c r="AR245"/>
  <c r="AR246"/>
  <c r="AR247"/>
  <c r="AR248"/>
  <c r="AR249"/>
  <c r="AR250"/>
  <c r="AR251"/>
  <c r="AR252"/>
  <c r="AR253"/>
  <c r="AR254"/>
  <c r="AR255"/>
  <c r="AR256"/>
  <c r="AR257"/>
  <c r="AR258"/>
  <c r="AR259"/>
  <c r="AR260"/>
  <c r="AR261"/>
  <c r="AR262"/>
  <c r="AR263"/>
  <c r="AR264"/>
  <c r="AR265"/>
  <c r="AR266"/>
  <c r="AR267"/>
  <c r="AR268"/>
  <c r="AR269"/>
  <c r="AR270"/>
  <c r="AR271"/>
  <c r="AR272"/>
  <c r="AR273"/>
  <c r="AR274"/>
  <c r="AR275"/>
  <c r="AR276"/>
  <c r="AR277"/>
  <c r="AR278"/>
  <c r="AR279"/>
  <c r="AR280"/>
  <c r="AR281"/>
  <c r="AR282"/>
  <c r="AR283"/>
  <c r="AR284"/>
  <c r="AR285"/>
  <c r="AR286"/>
  <c r="AR287"/>
  <c r="AR288"/>
  <c r="AR289"/>
  <c r="AR290"/>
  <c r="AR291"/>
  <c r="AR292"/>
  <c r="AR293"/>
  <c r="AR294"/>
  <c r="AR295"/>
  <c r="AR296"/>
  <c r="AR297"/>
  <c r="AR298"/>
  <c r="AR299"/>
  <c r="AR300"/>
  <c r="AR301"/>
  <c r="AR302"/>
  <c r="AR303"/>
  <c r="AR304"/>
  <c r="AR305"/>
  <c r="AR306"/>
  <c r="AR307"/>
  <c r="AR308"/>
  <c r="AR309"/>
  <c r="AR310"/>
  <c r="AR311"/>
  <c r="AR312"/>
  <c r="AR313"/>
  <c r="AR314"/>
  <c r="AR315"/>
  <c r="AR316"/>
  <c r="AR317"/>
  <c r="AR318"/>
  <c r="AR319"/>
  <c r="AR320"/>
  <c r="AR321"/>
  <c r="AR322"/>
  <c r="AR323"/>
  <c r="AR324"/>
  <c r="AR325"/>
  <c r="AR326"/>
  <c r="AR327"/>
  <c r="AR328"/>
  <c r="AR329"/>
  <c r="AR330"/>
  <c r="AR331"/>
  <c r="AR332"/>
  <c r="AR333"/>
  <c r="AR334"/>
  <c r="AR335"/>
  <c r="AR336"/>
  <c r="AR337"/>
  <c r="AR338"/>
  <c r="AR339"/>
  <c r="AR340"/>
  <c r="AR341"/>
  <c r="AR342"/>
  <c r="AR343"/>
  <c r="AR344"/>
  <c r="AR345"/>
  <c r="AR346"/>
  <c r="AR347"/>
  <c r="AR348"/>
  <c r="AR349"/>
  <c r="AR350"/>
  <c r="AR351"/>
  <c r="AR352"/>
  <c r="AR353"/>
  <c r="AR354"/>
  <c r="AR355"/>
  <c r="AR356"/>
  <c r="AR357"/>
  <c r="AR358"/>
  <c r="AR359"/>
  <c r="AR360"/>
  <c r="AR361"/>
  <c r="AR362"/>
  <c r="AR363"/>
  <c r="AR364"/>
  <c r="AR365"/>
  <c r="AR366"/>
  <c r="AR367"/>
  <c r="AR368"/>
  <c r="AR369"/>
  <c r="AR370"/>
  <c r="AR371"/>
  <c r="AR372"/>
  <c r="AR373"/>
  <c r="AR374"/>
  <c r="AR375"/>
  <c r="AR376"/>
  <c r="AR377"/>
  <c r="AR378"/>
  <c r="AR379"/>
  <c r="AR380"/>
  <c r="AR381"/>
  <c r="AR382"/>
  <c r="AR383"/>
  <c r="AR384"/>
  <c r="AR385"/>
  <c r="AR386"/>
  <c r="AR387"/>
  <c r="AR388"/>
  <c r="AR389"/>
  <c r="AR390"/>
  <c r="AR391"/>
  <c r="AR392"/>
  <c r="AR393"/>
  <c r="AR394"/>
  <c r="AR395"/>
  <c r="AR396"/>
  <c r="AR397"/>
  <c r="AR398"/>
  <c r="AR399"/>
  <c r="AR400"/>
  <c r="AR401"/>
  <c r="AR402"/>
  <c r="AR403"/>
  <c r="AR404"/>
  <c r="AR405"/>
  <c r="AR406"/>
  <c r="AR407"/>
  <c r="AR408"/>
  <c r="AR409"/>
  <c r="AR410"/>
  <c r="AR411"/>
  <c r="AR412"/>
  <c r="AR413"/>
  <c r="AR414"/>
  <c r="AR415"/>
  <c r="AR416"/>
  <c r="AR417"/>
  <c r="AR418"/>
  <c r="AR419"/>
  <c r="AR420"/>
  <c r="AR421"/>
  <c r="AR422"/>
  <c r="AR423"/>
  <c r="AR424"/>
  <c r="AR425"/>
  <c r="AR426"/>
  <c r="AR427"/>
  <c r="AR428"/>
  <c r="AR429"/>
  <c r="AR430"/>
  <c r="AR431"/>
  <c r="AR432"/>
  <c r="AR433"/>
  <c r="AR434"/>
  <c r="AR435"/>
  <c r="AR436"/>
  <c r="AR437"/>
  <c r="AR438"/>
  <c r="AR439"/>
  <c r="AR440"/>
  <c r="AR441"/>
  <c r="AR442"/>
  <c r="AR443"/>
  <c r="AR444"/>
  <c r="AR445"/>
  <c r="AR446"/>
  <c r="AR447"/>
  <c r="AR448"/>
  <c r="AR449"/>
  <c r="AR450"/>
  <c r="AR451"/>
  <c r="AR452"/>
  <c r="AR453"/>
  <c r="AR454"/>
  <c r="AR455"/>
  <c r="AR456"/>
  <c r="AR457"/>
  <c r="AR458"/>
  <c r="AR459"/>
  <c r="AR460"/>
  <c r="AR461"/>
  <c r="AR462"/>
  <c r="AR463"/>
  <c r="AR464"/>
  <c r="AR465"/>
  <c r="AR466"/>
  <c r="AR467"/>
  <c r="AR468"/>
  <c r="AR469"/>
  <c r="AR470"/>
  <c r="AR471"/>
  <c r="AR472"/>
  <c r="AR473"/>
  <c r="AR474"/>
  <c r="AR475"/>
  <c r="AR476"/>
  <c r="AR477"/>
  <c r="AR478"/>
  <c r="AR479"/>
  <c r="AR480"/>
  <c r="AR481"/>
  <c r="AR482"/>
  <c r="AR483"/>
  <c r="AR484"/>
  <c r="AR485"/>
  <c r="AR486"/>
  <c r="AR487"/>
  <c r="AR488"/>
  <c r="AR489"/>
  <c r="AR490"/>
  <c r="AR491"/>
  <c r="AR492"/>
  <c r="AR493"/>
  <c r="AR494"/>
  <c r="AR495"/>
  <c r="AR496"/>
  <c r="AR497"/>
  <c r="AR498"/>
  <c r="AR499"/>
  <c r="AR500"/>
  <c r="AR501"/>
  <c r="AR502"/>
  <c r="AR503"/>
  <c r="AR504"/>
  <c r="AR505"/>
  <c r="AR506"/>
  <c r="AR507"/>
  <c r="AR508"/>
  <c r="AR509"/>
  <c r="AR510"/>
  <c r="AR511"/>
  <c r="AR512"/>
  <c r="AR513"/>
  <c r="AR514"/>
  <c r="AR515"/>
  <c r="AR516"/>
  <c r="AR517"/>
  <c r="AR518"/>
  <c r="AR519"/>
  <c r="AR520"/>
  <c r="AR521"/>
  <c r="AR522"/>
  <c r="AR523"/>
  <c r="AR524"/>
  <c r="AR525"/>
  <c r="AR526"/>
  <c r="AR527"/>
  <c r="AR528"/>
  <c r="AR529"/>
  <c r="AR530"/>
  <c r="AR531"/>
  <c r="AR532"/>
  <c r="AR533"/>
  <c r="AR534"/>
  <c r="AR535"/>
  <c r="AR536"/>
  <c r="AR537"/>
  <c r="AR538"/>
  <c r="AR539"/>
  <c r="AR540"/>
  <c r="AR541"/>
  <c r="AR542"/>
  <c r="AR543"/>
  <c r="AR544"/>
  <c r="AR545"/>
  <c r="AR546"/>
  <c r="AR547"/>
  <c r="AR548"/>
  <c r="AR549"/>
  <c r="AR550"/>
  <c r="AR551"/>
  <c r="AR552"/>
  <c r="AR553"/>
  <c r="AR554"/>
  <c r="AR555"/>
  <c r="AR556"/>
  <c r="AR557"/>
  <c r="AR558"/>
  <c r="AR559"/>
  <c r="AR560"/>
  <c r="AR561"/>
  <c r="AR562"/>
  <c r="AR563"/>
  <c r="AR564"/>
  <c r="AR565"/>
  <c r="AR566"/>
  <c r="AR567"/>
  <c r="AR568"/>
  <c r="AR569"/>
  <c r="AR570"/>
  <c r="AR571"/>
  <c r="AR572"/>
  <c r="AR573"/>
  <c r="AR574"/>
  <c r="AR575"/>
  <c r="AR576"/>
  <c r="AR577"/>
  <c r="AR578"/>
  <c r="AR579"/>
  <c r="AR580"/>
  <c r="AR581"/>
  <c r="AR582"/>
  <c r="AR583"/>
  <c r="AR584"/>
  <c r="AR585"/>
  <c r="AR586"/>
  <c r="AR587"/>
  <c r="AR588"/>
  <c r="AR589"/>
  <c r="AR590"/>
  <c r="AR591"/>
  <c r="AR592"/>
  <c r="AR593"/>
  <c r="AR594"/>
  <c r="AR595"/>
  <c r="AR596"/>
  <c r="AR597"/>
  <c r="AR598"/>
  <c r="AR599"/>
  <c r="AR600"/>
  <c r="AR601"/>
  <c r="AR602"/>
  <c r="AR603"/>
  <c r="AR604"/>
  <c r="AR605"/>
  <c r="AR606"/>
  <c r="AR607"/>
  <c r="AR608"/>
  <c r="AR609"/>
  <c r="AR610"/>
  <c r="AR611"/>
  <c r="AR612"/>
  <c r="AR613"/>
  <c r="AR614"/>
  <c r="AR615"/>
  <c r="AR616"/>
  <c r="AR617"/>
  <c r="AR618"/>
  <c r="AR619"/>
  <c r="AR620"/>
  <c r="AR621"/>
  <c r="AR622"/>
  <c r="AR623"/>
  <c r="AR624"/>
  <c r="AR625"/>
  <c r="AR626"/>
  <c r="AR627"/>
  <c r="AR628"/>
  <c r="AR629"/>
  <c r="AR630"/>
  <c r="AR631"/>
  <c r="AR632"/>
  <c r="AR633"/>
  <c r="AR634"/>
  <c r="AR635"/>
  <c r="AR636"/>
  <c r="AR637"/>
  <c r="AR638"/>
  <c r="AR639"/>
  <c r="AR640"/>
  <c r="AR641"/>
  <c r="AR642"/>
  <c r="AR643"/>
  <c r="AR644"/>
  <c r="AR645"/>
  <c r="AR646"/>
  <c r="AR647"/>
  <c r="AR648"/>
  <c r="AR649"/>
  <c r="AR650"/>
  <c r="AR651"/>
  <c r="AR652"/>
  <c r="AR653"/>
  <c r="AR654"/>
  <c r="AR655"/>
  <c r="AR656"/>
  <c r="AR657"/>
  <c r="AR658"/>
  <c r="AR659"/>
  <c r="AR660"/>
  <c r="AR661"/>
  <c r="AR662"/>
  <c r="AR663"/>
  <c r="AR664"/>
  <c r="AR665"/>
  <c r="AR666"/>
  <c r="AR667"/>
  <c r="AR668"/>
  <c r="AR669"/>
  <c r="AR670"/>
  <c r="AR671"/>
  <c r="AR672"/>
  <c r="AR673"/>
  <c r="AR674"/>
  <c r="AR675"/>
  <c r="AR676"/>
  <c r="AR677"/>
  <c r="AR678"/>
  <c r="AR679"/>
  <c r="AR680"/>
  <c r="AR681"/>
  <c r="AR682"/>
  <c r="AR683"/>
  <c r="AR684"/>
  <c r="AR685"/>
  <c r="AR686"/>
  <c r="AR687"/>
  <c r="AR688"/>
  <c r="AR689"/>
  <c r="AR690"/>
  <c r="AR691"/>
  <c r="AR692"/>
  <c r="AR693"/>
  <c r="AR694"/>
  <c r="AR695"/>
  <c r="AR696"/>
  <c r="AR697"/>
  <c r="AR698"/>
  <c r="AR699"/>
  <c r="AR700"/>
  <c r="AR701"/>
  <c r="AR702"/>
  <c r="AR703"/>
  <c r="AR704"/>
  <c r="AR705"/>
  <c r="AR706"/>
  <c r="AR707"/>
  <c r="AR708"/>
  <c r="AR709"/>
  <c r="AR710"/>
  <c r="AR711"/>
  <c r="AR712"/>
  <c r="AR713"/>
  <c r="AR714"/>
  <c r="AR715"/>
  <c r="AR716"/>
  <c r="AR717"/>
  <c r="AR718"/>
  <c r="AR719"/>
  <c r="AR720"/>
  <c r="AR721"/>
  <c r="AR722"/>
  <c r="AR723"/>
  <c r="AR724"/>
  <c r="AR725"/>
  <c r="AR726"/>
  <c r="AR727"/>
  <c r="AR728"/>
  <c r="AR729"/>
  <c r="AR730"/>
  <c r="AR731"/>
  <c r="AR732"/>
  <c r="AR733"/>
  <c r="AR734"/>
  <c r="AR735"/>
  <c r="AR736"/>
  <c r="AR737"/>
  <c r="AR738"/>
  <c r="AR739"/>
  <c r="AR740"/>
  <c r="AR741"/>
  <c r="AR742"/>
  <c r="AR743"/>
  <c r="AR744"/>
  <c r="AR745"/>
  <c r="AR746"/>
  <c r="AR747"/>
  <c r="AR748"/>
  <c r="AR749"/>
  <c r="AR750"/>
  <c r="AR751"/>
  <c r="AR752"/>
  <c r="AR753"/>
  <c r="AR754"/>
  <c r="AR755"/>
  <c r="AR756"/>
  <c r="AR757"/>
  <c r="AR758"/>
  <c r="AR759"/>
  <c r="AR760"/>
  <c r="AR761"/>
  <c r="AR762"/>
  <c r="AR763"/>
  <c r="AR764"/>
  <c r="AR765"/>
  <c r="AR766"/>
  <c r="AR767"/>
  <c r="AR768"/>
  <c r="AR769"/>
  <c r="AR770"/>
  <c r="AR771"/>
  <c r="AR772"/>
  <c r="AR773"/>
  <c r="AR774"/>
  <c r="AR775"/>
  <c r="AR776"/>
  <c r="AR777"/>
  <c r="AR778"/>
  <c r="AR779"/>
  <c r="AR780"/>
  <c r="AR781"/>
  <c r="AR782"/>
  <c r="AR783"/>
  <c r="AR784"/>
  <c r="AR785"/>
  <c r="AR786"/>
  <c r="AR787"/>
  <c r="AR788"/>
  <c r="AR789"/>
  <c r="AR790"/>
  <c r="AR791"/>
  <c r="AR792"/>
  <c r="AR793"/>
  <c r="AR794"/>
  <c r="AR795"/>
  <c r="AR796"/>
  <c r="AR797"/>
  <c r="AR798"/>
  <c r="AR799"/>
  <c r="AR800"/>
  <c r="AR801"/>
  <c r="AR802"/>
  <c r="AR803"/>
  <c r="AR804"/>
  <c r="AR805"/>
  <c r="AR806"/>
  <c r="AR807"/>
  <c r="AR808"/>
  <c r="AR809"/>
  <c r="AR810"/>
  <c r="AR811"/>
  <c r="AR812"/>
  <c r="AR813"/>
  <c r="AR814"/>
  <c r="AR815"/>
  <c r="AR816"/>
  <c r="AR817"/>
  <c r="AR818"/>
  <c r="AR819"/>
  <c r="AR820"/>
  <c r="AR821"/>
  <c r="AR822"/>
  <c r="AR823"/>
  <c r="AR824"/>
  <c r="AR825"/>
  <c r="AR826"/>
  <c r="AR827"/>
  <c r="AR828"/>
  <c r="AR829"/>
  <c r="AR830"/>
  <c r="AR831"/>
  <c r="AR832"/>
  <c r="AR833"/>
  <c r="AR834"/>
  <c r="R74" l="1"/>
  <c r="AG66"/>
  <c r="J58"/>
  <c r="L66"/>
  <c r="AA36"/>
  <c r="F63"/>
  <c r="E64"/>
  <c r="C63"/>
  <c r="R63"/>
  <c r="R65" s="1"/>
  <c r="C65"/>
  <c r="C67"/>
  <c r="C68"/>
  <c r="AE40"/>
  <c r="AE42"/>
  <c r="K42" s="1"/>
  <c r="L17" i="2"/>
  <c r="J30"/>
  <c r="O32"/>
  <c r="O33" s="1"/>
  <c r="H15"/>
  <c r="O25"/>
  <c r="G25"/>
  <c r="O11"/>
  <c r="L30"/>
  <c r="H30"/>
  <c r="M25"/>
  <c r="I25"/>
  <c r="J18"/>
  <c r="N16"/>
  <c r="J38" i="1"/>
  <c r="M12" i="2"/>
  <c r="K40" i="1"/>
  <c r="T54"/>
  <c r="T55" s="1"/>
  <c r="T56" s="1"/>
  <c r="R72"/>
  <c r="S81"/>
  <c r="S57"/>
  <c r="P55"/>
  <c r="AH53"/>
  <c r="K32" i="2"/>
  <c r="R18"/>
  <c r="T17"/>
  <c r="V16"/>
  <c r="F16"/>
  <c r="J14"/>
  <c r="S82" i="1"/>
  <c r="P15" i="2"/>
  <c r="R14"/>
  <c r="L13"/>
  <c r="T13"/>
  <c r="U12"/>
  <c r="M32"/>
  <c r="I32"/>
  <c r="V18"/>
  <c r="N18"/>
  <c r="F18"/>
  <c r="P17"/>
  <c r="H17"/>
  <c r="R16"/>
  <c r="J16"/>
  <c r="T15"/>
  <c r="L15"/>
  <c r="V14"/>
  <c r="N14"/>
  <c r="F14"/>
  <c r="P13"/>
  <c r="H13"/>
  <c r="G11"/>
  <c r="H23" s="1"/>
  <c r="AI14" i="1"/>
  <c r="M30" i="2"/>
  <c r="K30"/>
  <c r="I30"/>
  <c r="G30"/>
  <c r="G33" s="1"/>
  <c r="N25"/>
  <c r="L25"/>
  <c r="J25"/>
  <c r="H25"/>
  <c r="F25"/>
  <c r="T18"/>
  <c r="P18"/>
  <c r="L18"/>
  <c r="H18"/>
  <c r="V17"/>
  <c r="R17"/>
  <c r="N17"/>
  <c r="J17"/>
  <c r="F17"/>
  <c r="T16"/>
  <c r="P16"/>
  <c r="L16"/>
  <c r="H16"/>
  <c r="V15"/>
  <c r="R15"/>
  <c r="N15"/>
  <c r="J15"/>
  <c r="F15"/>
  <c r="T14"/>
  <c r="P14"/>
  <c r="L14"/>
  <c r="H14"/>
  <c r="V13"/>
  <c r="R13"/>
  <c r="N13"/>
  <c r="J13"/>
  <c r="F13"/>
  <c r="Q12"/>
  <c r="E12"/>
  <c r="K11"/>
  <c r="L23" s="1"/>
  <c r="F30"/>
  <c r="F55" i="1"/>
  <c r="P54"/>
  <c r="AE43"/>
  <c r="N32" i="2"/>
  <c r="N33" s="1"/>
  <c r="L32"/>
  <c r="L33" s="1"/>
  <c r="J32"/>
  <c r="H32"/>
  <c r="F32"/>
  <c r="U18"/>
  <c r="S18"/>
  <c r="Q18"/>
  <c r="O18"/>
  <c r="M18"/>
  <c r="K18"/>
  <c r="I18"/>
  <c r="G18"/>
  <c r="E18"/>
  <c r="U17"/>
  <c r="S17"/>
  <c r="Q17"/>
  <c r="O17"/>
  <c r="M17"/>
  <c r="K17"/>
  <c r="I17"/>
  <c r="G17"/>
  <c r="E17"/>
  <c r="U16"/>
  <c r="S16"/>
  <c r="Q16"/>
  <c r="O16"/>
  <c r="M16"/>
  <c r="K16"/>
  <c r="I16"/>
  <c r="G16"/>
  <c r="E16"/>
  <c r="U15"/>
  <c r="S15"/>
  <c r="Q15"/>
  <c r="O15"/>
  <c r="M15"/>
  <c r="K15"/>
  <c r="I15"/>
  <c r="G15"/>
  <c r="E15"/>
  <c r="U14"/>
  <c r="S14"/>
  <c r="Q14"/>
  <c r="O14"/>
  <c r="M14"/>
  <c r="K14"/>
  <c r="I14"/>
  <c r="G14"/>
  <c r="E14"/>
  <c r="U13"/>
  <c r="S13"/>
  <c r="Q13"/>
  <c r="O13"/>
  <c r="M13"/>
  <c r="K13"/>
  <c r="I13"/>
  <c r="G13"/>
  <c r="E13"/>
  <c r="S12"/>
  <c r="O12"/>
  <c r="I12"/>
  <c r="S11"/>
  <c r="E11"/>
  <c r="F23" s="1"/>
  <c r="F26" s="1"/>
  <c r="AH58" i="1"/>
  <c r="T52" s="1"/>
  <c r="AE52" s="1"/>
  <c r="Y52" s="1"/>
  <c r="A30" s="1"/>
  <c r="W57"/>
  <c r="W56"/>
  <c r="S56"/>
  <c r="F56"/>
  <c r="S55"/>
  <c r="G55"/>
  <c r="E55"/>
  <c r="S54"/>
  <c r="D54"/>
  <c r="I33" i="2"/>
  <c r="K12"/>
  <c r="G12"/>
  <c r="U11"/>
  <c r="Q11"/>
  <c r="M11"/>
  <c r="N23" s="1"/>
  <c r="N26" s="1"/>
  <c r="I11"/>
  <c r="J23" s="1"/>
  <c r="F11"/>
  <c r="G23" s="1"/>
  <c r="S90" i="1"/>
  <c r="AI15"/>
  <c r="AI13"/>
  <c r="AI12"/>
  <c r="V12" i="2"/>
  <c r="T12"/>
  <c r="R12"/>
  <c r="P12"/>
  <c r="N12"/>
  <c r="L12"/>
  <c r="J12"/>
  <c r="H12"/>
  <c r="F12"/>
  <c r="V11"/>
  <c r="T11"/>
  <c r="R11"/>
  <c r="P11"/>
  <c r="N11"/>
  <c r="O23" s="1"/>
  <c r="O26" s="1"/>
  <c r="L11"/>
  <c r="M23" s="1"/>
  <c r="M26" s="1"/>
  <c r="J11"/>
  <c r="K23" s="1"/>
  <c r="K26" s="1"/>
  <c r="H11"/>
  <c r="I23" s="1"/>
  <c r="I26" s="1"/>
  <c r="R75" i="1"/>
  <c r="T53"/>
  <c r="R69" l="1"/>
  <c r="X28"/>
  <c r="L26" i="2"/>
  <c r="H33"/>
  <c r="G26"/>
  <c r="J33"/>
  <c r="F33"/>
  <c r="S84" i="1"/>
  <c r="S86" s="1"/>
  <c r="Q30" i="2"/>
  <c r="O35" s="1"/>
  <c r="S83" i="1"/>
  <c r="H26" i="2"/>
  <c r="M33"/>
  <c r="J26"/>
  <c r="K33"/>
  <c r="AE56" i="1"/>
  <c r="Y56" s="1"/>
  <c r="A31" s="1"/>
  <c r="T57"/>
  <c r="Q26" i="2"/>
  <c r="AB41" i="1"/>
  <c r="AG88"/>
  <c r="AF49"/>
  <c r="AH49"/>
  <c r="Q23" i="2"/>
  <c r="AE75" i="1"/>
  <c r="Y75" s="1"/>
  <c r="A43" s="1"/>
  <c r="AG65" l="1"/>
  <c r="R67" s="1"/>
  <c r="R66" s="1"/>
  <c r="R64"/>
  <c r="Y69"/>
  <c r="A42" s="1"/>
  <c r="AE69"/>
  <c r="AE65"/>
  <c r="Y65" s="1"/>
  <c r="A39" s="1"/>
  <c r="Q33" i="2"/>
  <c r="Q38" s="1"/>
  <c r="AB42" i="1" s="1"/>
  <c r="P59" s="1"/>
  <c r="S87"/>
  <c r="S88"/>
  <c r="AJ49"/>
  <c r="AH50"/>
  <c r="O28" i="2"/>
  <c r="AB40" i="1"/>
  <c r="AE66" l="1"/>
  <c r="Y66" s="1"/>
  <c r="R68"/>
  <c r="V64"/>
  <c r="AE64"/>
  <c r="Y64" s="1"/>
  <c r="A38" s="1"/>
  <c r="G59"/>
  <c r="T60" s="1"/>
  <c r="AE60" l="1"/>
  <c r="AE68"/>
  <c r="Y68" s="1"/>
  <c r="A41" s="1"/>
  <c r="Y60"/>
  <c r="A32" s="1"/>
  <c r="A40"/>
  <c r="S89"/>
  <c r="S91" s="1"/>
  <c r="AF114"/>
  <c r="AE91" l="1"/>
  <c r="Y91" s="1"/>
  <c r="A44" s="1"/>
</calcChain>
</file>

<file path=xl/comments1.xml><?xml version="1.0" encoding="utf-8"?>
<comments xmlns="http://schemas.openxmlformats.org/spreadsheetml/2006/main">
  <authors>
    <author>M H Ismail</author>
  </authors>
  <commentList>
    <comment ref="S40" authorId="0">
      <text>
        <r>
          <rPr>
            <b/>
            <sz val="8"/>
            <color indexed="81"/>
            <rFont val="Tahoma"/>
            <charset val="1"/>
          </rPr>
          <t>M H Ismail:</t>
        </r>
        <r>
          <rPr>
            <sz val="8"/>
            <color indexed="81"/>
            <rFont val="Tahoma"/>
            <charset val="1"/>
          </rPr>
          <t xml:space="preserve">
Recommended Values:
M12=24
M16=32
M20=40
M22=45
M24=50
M27=55
M30=60
M33=70
M36=75</t>
        </r>
      </text>
    </comment>
    <comment ref="S41" authorId="0">
      <text>
        <r>
          <rPr>
            <b/>
            <sz val="8"/>
            <color indexed="81"/>
            <rFont val="Tahoma"/>
            <charset val="1"/>
          </rPr>
          <t>M H Ismail:</t>
        </r>
        <r>
          <rPr>
            <sz val="8"/>
            <color indexed="81"/>
            <rFont val="Tahoma"/>
            <charset val="1"/>
          </rPr>
          <t xml:space="preserve">
Recommended Values:
M12=24
M16=32
M20=40
M22=45
M24=50
M27=55
M30=60
M33=70
M36=75</t>
        </r>
      </text>
    </comment>
    <comment ref="S42" authorId="0">
      <text>
        <r>
          <rPr>
            <b/>
            <sz val="8"/>
            <color indexed="81"/>
            <rFont val="Tahoma"/>
            <charset val="1"/>
          </rPr>
          <t>M H Ismail:</t>
        </r>
        <r>
          <rPr>
            <sz val="8"/>
            <color indexed="81"/>
            <rFont val="Tahoma"/>
            <charset val="1"/>
          </rPr>
          <t xml:space="preserve">
Recommended Values:
M12=36
M16=50
M20=60
M22=70
M24=75
M27=85
M30=90
M33=100
M36=110</t>
        </r>
      </text>
    </comment>
    <comment ref="S43" authorId="0">
      <text>
        <r>
          <rPr>
            <b/>
            <sz val="8"/>
            <color indexed="81"/>
            <rFont val="Tahoma"/>
            <charset val="1"/>
          </rPr>
          <t>M H Ismail:</t>
        </r>
        <r>
          <rPr>
            <sz val="8"/>
            <color indexed="81"/>
            <rFont val="Tahoma"/>
            <charset val="1"/>
          </rPr>
          <t xml:space="preserve">
Recommended Values:
M12=36
M16=50
M20=60
M22=70
M24=75
M27=85
M30=90
M33=100
M36=110</t>
        </r>
      </text>
    </comment>
  </commentList>
</comments>
</file>

<file path=xl/sharedStrings.xml><?xml version="1.0" encoding="utf-8"?>
<sst xmlns="http://schemas.openxmlformats.org/spreadsheetml/2006/main" count="1629" uniqueCount="893">
  <si>
    <t>Profile:</t>
  </si>
  <si>
    <t>Depth</t>
  </si>
  <si>
    <t>Width</t>
  </si>
  <si>
    <t>Thickness of</t>
  </si>
  <si>
    <t>Root</t>
  </si>
  <si>
    <t>Second Moment</t>
  </si>
  <si>
    <t>Radius</t>
  </si>
  <si>
    <t>Elastic</t>
  </si>
  <si>
    <t>Plastic</t>
  </si>
  <si>
    <t>of</t>
  </si>
  <si>
    <t>Web</t>
  </si>
  <si>
    <t>Flange</t>
  </si>
  <si>
    <t>between</t>
  </si>
  <si>
    <t>of Area</t>
  </si>
  <si>
    <t>Modulus</t>
  </si>
  <si>
    <t>Designation</t>
  </si>
  <si>
    <t>Section</t>
  </si>
  <si>
    <t>fillets</t>
  </si>
  <si>
    <t>Axis x-x</t>
  </si>
  <si>
    <t>Axis y-y</t>
  </si>
  <si>
    <t>h</t>
  </si>
  <si>
    <t>b</t>
  </si>
  <si>
    <t>s</t>
  </si>
  <si>
    <t>t</t>
  </si>
  <si>
    <t>r</t>
  </si>
  <si>
    <t>d</t>
  </si>
  <si>
    <r>
      <t>I</t>
    </r>
    <r>
      <rPr>
        <vertAlign val="subscript"/>
        <sz val="10"/>
        <rFont val="Arial"/>
        <family val="2"/>
      </rPr>
      <t>x</t>
    </r>
  </si>
  <si>
    <r>
      <t>I</t>
    </r>
    <r>
      <rPr>
        <vertAlign val="subscript"/>
        <sz val="10"/>
        <rFont val="Arial"/>
        <family val="2"/>
      </rPr>
      <t>y</t>
    </r>
  </si>
  <si>
    <r>
      <t>Z</t>
    </r>
    <r>
      <rPr>
        <vertAlign val="subscript"/>
        <sz val="10"/>
        <rFont val="Arial"/>
        <family val="2"/>
      </rPr>
      <t>x</t>
    </r>
  </si>
  <si>
    <r>
      <t>Z</t>
    </r>
    <r>
      <rPr>
        <vertAlign val="subscript"/>
        <sz val="10"/>
        <rFont val="Arial"/>
        <family val="2"/>
      </rPr>
      <t>y</t>
    </r>
  </si>
  <si>
    <r>
      <t>S</t>
    </r>
    <r>
      <rPr>
        <vertAlign val="subscript"/>
        <sz val="10"/>
        <rFont val="Arial"/>
        <family val="2"/>
      </rPr>
      <t>x</t>
    </r>
  </si>
  <si>
    <r>
      <t>S</t>
    </r>
    <r>
      <rPr>
        <vertAlign val="subscript"/>
        <sz val="10"/>
        <rFont val="Arial"/>
        <family val="2"/>
      </rPr>
      <t>y</t>
    </r>
  </si>
  <si>
    <t>mm</t>
  </si>
  <si>
    <r>
      <t>cm</t>
    </r>
    <r>
      <rPr>
        <vertAlign val="superscript"/>
        <sz val="10"/>
        <rFont val="Arial"/>
        <family val="2"/>
      </rPr>
      <t>4</t>
    </r>
  </si>
  <si>
    <r>
      <t>cm</t>
    </r>
    <r>
      <rPr>
        <vertAlign val="superscript"/>
        <sz val="10"/>
        <rFont val="Arial"/>
        <family val="2"/>
      </rPr>
      <t>3</t>
    </r>
  </si>
  <si>
    <t>IPE 100A</t>
  </si>
  <si>
    <t>IPE 100</t>
  </si>
  <si>
    <t>IPE 120 A</t>
  </si>
  <si>
    <t>IPE 120</t>
  </si>
  <si>
    <t>IPE 140 A</t>
  </si>
  <si>
    <t>IPE 140</t>
  </si>
  <si>
    <t>IPE 140 R</t>
  </si>
  <si>
    <t>IPE 160 A</t>
  </si>
  <si>
    <t>IPE 160</t>
  </si>
  <si>
    <t>IPE 160 R</t>
  </si>
  <si>
    <t>IPE 180 A</t>
  </si>
  <si>
    <t>IPE 180</t>
  </si>
  <si>
    <t>IPE 180 O</t>
  </si>
  <si>
    <t>IPE 180 R</t>
  </si>
  <si>
    <t>IPE 200 A</t>
  </si>
  <si>
    <t>IPE 200</t>
  </si>
  <si>
    <t>IPE 200 O</t>
  </si>
  <si>
    <t>IPE 200 R</t>
  </si>
  <si>
    <t>IPE 220 A</t>
  </si>
  <si>
    <t>IPE 220</t>
  </si>
  <si>
    <t>IPE 220 O</t>
  </si>
  <si>
    <t>IPE 220 R</t>
  </si>
  <si>
    <t>IPE 240 A</t>
  </si>
  <si>
    <t>IPE 240</t>
  </si>
  <si>
    <t>IPE 240 O</t>
  </si>
  <si>
    <t>IPE 240 R</t>
  </si>
  <si>
    <t>IPE 270 A</t>
  </si>
  <si>
    <t>IPE 270</t>
  </si>
  <si>
    <t>IPE 270 O</t>
  </si>
  <si>
    <t>IPE 270 R</t>
  </si>
  <si>
    <t>IPE 300 A</t>
  </si>
  <si>
    <t>IPE 300</t>
  </si>
  <si>
    <t>IPE 300O</t>
  </si>
  <si>
    <t>IPE 300 R</t>
  </si>
  <si>
    <t>IPE 330 A</t>
  </si>
  <si>
    <t>IPE 330</t>
  </si>
  <si>
    <t>IPE 330 O</t>
  </si>
  <si>
    <t>IPE 330 R</t>
  </si>
  <si>
    <t>IPE 360 A</t>
  </si>
  <si>
    <t>IPE 360</t>
  </si>
  <si>
    <t>IPE 360 O</t>
  </si>
  <si>
    <t>IPE 360 R</t>
  </si>
  <si>
    <t>IPE 400 A</t>
  </si>
  <si>
    <t>IPE 400</t>
  </si>
  <si>
    <t>IPE 400 O</t>
  </si>
  <si>
    <t>IPE 400 R</t>
  </si>
  <si>
    <t>IPE 400 V</t>
  </si>
  <si>
    <t>IPE 450 A</t>
  </si>
  <si>
    <t>IPE 450</t>
  </si>
  <si>
    <t>IPE 450 O</t>
  </si>
  <si>
    <t>IPE 450 R</t>
  </si>
  <si>
    <t>IPE 450 V</t>
  </si>
  <si>
    <t>IPE 500 A</t>
  </si>
  <si>
    <t>IPE 500</t>
  </si>
  <si>
    <t>IPE 500 O</t>
  </si>
  <si>
    <t>IPE 500 R</t>
  </si>
  <si>
    <t>IPE 500 V</t>
  </si>
  <si>
    <t>IPE 550 A</t>
  </si>
  <si>
    <t>IPE 550</t>
  </si>
  <si>
    <t>IPE 550 O</t>
  </si>
  <si>
    <t>IPE 550 R</t>
  </si>
  <si>
    <t>IPE 550 V</t>
  </si>
  <si>
    <t>IPE 600 A</t>
  </si>
  <si>
    <t>IPE 600</t>
  </si>
  <si>
    <t>IPE 600 O</t>
  </si>
  <si>
    <t>IPE 600 R</t>
  </si>
  <si>
    <t>IPE 600 V</t>
  </si>
  <si>
    <t>IPE 750 x 137</t>
  </si>
  <si>
    <t>IPE 750 x 147</t>
  </si>
  <si>
    <t>IPE 750 x 161</t>
  </si>
  <si>
    <t>IPE 750 x 174</t>
  </si>
  <si>
    <t>IPE 750 x185</t>
  </si>
  <si>
    <t>IPE 750 x 197</t>
  </si>
  <si>
    <t>IPE 750 x 210</t>
  </si>
  <si>
    <t>IPE 750 x 223</t>
  </si>
  <si>
    <t>HE 100 AA</t>
  </si>
  <si>
    <t>HE 100 A</t>
  </si>
  <si>
    <t>HE 100 B</t>
  </si>
  <si>
    <t>HE 120 AA</t>
  </si>
  <si>
    <t>HE 120 A</t>
  </si>
  <si>
    <t>HE 120 B</t>
  </si>
  <si>
    <t>HE 140 AA</t>
  </si>
  <si>
    <t>HE 140 A</t>
  </si>
  <si>
    <t>HE 140 B</t>
  </si>
  <si>
    <t>HE 160 AA</t>
  </si>
  <si>
    <t>HE 160 A</t>
  </si>
  <si>
    <t>HE 160 B</t>
  </si>
  <si>
    <t>HE 160 M</t>
  </si>
  <si>
    <t>HE 180 AA</t>
  </si>
  <si>
    <t>HE 180 A</t>
  </si>
  <si>
    <t>HE 180 B</t>
  </si>
  <si>
    <t>HE 180 M</t>
  </si>
  <si>
    <t>HE 200 AA</t>
  </si>
  <si>
    <t>HE 200 A</t>
  </si>
  <si>
    <t>HE 200 B</t>
  </si>
  <si>
    <t>HE 200 M</t>
  </si>
  <si>
    <t>HE 220 AA</t>
  </si>
  <si>
    <t>HE 220 A</t>
  </si>
  <si>
    <t>HE 220 B</t>
  </si>
  <si>
    <t>HE 220 M</t>
  </si>
  <si>
    <t>HE 240 AA</t>
  </si>
  <si>
    <t>HE 240 A</t>
  </si>
  <si>
    <t>HE 240 B</t>
  </si>
  <si>
    <t>HE 240 M</t>
  </si>
  <si>
    <t>HE 260 AA</t>
  </si>
  <si>
    <t>HE 260 A</t>
  </si>
  <si>
    <t>HE 260 B</t>
  </si>
  <si>
    <t>HE 260 M</t>
  </si>
  <si>
    <t>HE 280 AA</t>
  </si>
  <si>
    <t>HE 280 A</t>
  </si>
  <si>
    <t>HE 280 B</t>
  </si>
  <si>
    <t>HE 280 M</t>
  </si>
  <si>
    <t>HE 300 AA</t>
  </si>
  <si>
    <t>HE 300 A</t>
  </si>
  <si>
    <t>HE 300 B</t>
  </si>
  <si>
    <t>HE 300 C</t>
  </si>
  <si>
    <t>HE 300 M</t>
  </si>
  <si>
    <t>HE 320 AA</t>
  </si>
  <si>
    <t>HE 320 A</t>
  </si>
  <si>
    <t>HE 320 B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</si>
  <si>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</si>
  <si>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</si>
  <si>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</si>
  <si>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</si>
  <si>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</si>
  <si>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</si>
  <si>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</si>
  <si>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</si>
  <si>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</si>
  <si>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</si>
  <si>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x 107</t>
  </si>
  <si>
    <t>HE 400 A</t>
  </si>
  <si>
    <t>HE 400 B</t>
  </si>
  <si>
    <t>HE 400 M</t>
  </si>
  <si>
    <t>HE450 AA</t>
  </si>
  <si>
    <t>HE 450 x 124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</si>
  <si>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</si>
  <si>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</si>
  <si>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</si>
  <si>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</si>
  <si>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</si>
  <si>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</si>
  <si>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</si>
  <si>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</si>
  <si>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</si>
  <si>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</si>
  <si>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</si>
  <si>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</si>
  <si>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x 137</t>
  </si>
  <si>
    <t>HE 600 x 151</t>
  </si>
  <si>
    <t>HE 600 x 175</t>
  </si>
  <si>
    <t>HE 600 A</t>
  </si>
  <si>
    <t>HE 600 B</t>
  </si>
  <si>
    <t>HE 600 M</t>
  </si>
  <si>
    <t>HE 650 AA</t>
  </si>
  <si>
    <t>HE 650 A</t>
  </si>
  <si>
    <t>HE 650 B</t>
  </si>
  <si>
    <t>HE 650 M</t>
  </si>
  <si>
    <t>HE 700 AA</t>
  </si>
  <si>
    <t>HE 700 x 166</t>
  </si>
  <si>
    <t>HE 700 A</t>
  </si>
  <si>
    <t>HE 700 B</t>
  </si>
  <si>
    <t>HE 700 M</t>
  </si>
  <si>
    <t>HE 800 AA</t>
  </si>
  <si>
    <t>HE 800 A</t>
  </si>
  <si>
    <t>HE 800 B</t>
  </si>
  <si>
    <t>HE 800 M</t>
  </si>
  <si>
    <t>HE 900 AA</t>
  </si>
  <si>
    <t>HE 900 A</t>
  </si>
  <si>
    <t>HE 900 B</t>
  </si>
  <si>
    <t>HE 900 M</t>
  </si>
  <si>
    <t>HE 1000 A</t>
  </si>
  <si>
    <t>HE 1000 B</t>
  </si>
  <si>
    <t>HE 1000 M</t>
  </si>
  <si>
    <t>Web Thickness</t>
  </si>
  <si>
    <t>Flange Thickness</t>
  </si>
  <si>
    <t>=</t>
  </si>
  <si>
    <t>N</t>
  </si>
  <si>
    <t>Bolt Diameter</t>
  </si>
  <si>
    <t>M20</t>
  </si>
  <si>
    <t>M22</t>
  </si>
  <si>
    <t>M24</t>
  </si>
  <si>
    <t>M27</t>
  </si>
  <si>
    <t>M30</t>
  </si>
  <si>
    <t>M36</t>
  </si>
  <si>
    <t>Fnt</t>
  </si>
  <si>
    <t>Fnv</t>
  </si>
  <si>
    <t>Fu</t>
  </si>
  <si>
    <t>Fy</t>
  </si>
  <si>
    <t>Minimum Yield Strength</t>
  </si>
  <si>
    <t>g</t>
  </si>
  <si>
    <t>bf</t>
  </si>
  <si>
    <t>tw</t>
  </si>
  <si>
    <t>tf</t>
  </si>
  <si>
    <t>w</t>
  </si>
  <si>
    <t>Area</t>
  </si>
  <si>
    <t>A</t>
  </si>
  <si>
    <t>Mass</t>
  </si>
  <si>
    <t>Ratios for</t>
  </si>
  <si>
    <t>Buckling</t>
  </si>
  <si>
    <t>Torsional</t>
  </si>
  <si>
    <t>Warping</t>
  </si>
  <si>
    <t>per</t>
  </si>
  <si>
    <t>Local Buckling</t>
  </si>
  <si>
    <t>of Gyration</t>
  </si>
  <si>
    <t>Parameter</t>
  </si>
  <si>
    <t>Index</t>
  </si>
  <si>
    <t>Constant</t>
  </si>
  <si>
    <t>metre</t>
  </si>
  <si>
    <t> </t>
  </si>
  <si>
    <t>b/2t</t>
  </si>
  <si>
    <t>d/s</t>
  </si>
  <si>
    <r>
      <t>r</t>
    </r>
    <r>
      <rPr>
        <vertAlign val="subscript"/>
        <sz val="10"/>
        <rFont val="Arial"/>
        <family val="2"/>
      </rPr>
      <t>x</t>
    </r>
  </si>
  <si>
    <r>
      <t>r</t>
    </r>
    <r>
      <rPr>
        <vertAlign val="subscript"/>
        <sz val="10"/>
        <rFont val="Arial"/>
        <family val="2"/>
      </rPr>
      <t>y</t>
    </r>
  </si>
  <si>
    <t>u</t>
  </si>
  <si>
    <t>x</t>
  </si>
  <si>
    <t>H</t>
  </si>
  <si>
    <t>J</t>
  </si>
  <si>
    <t>kg/m</t>
  </si>
  <si>
    <t>cm</t>
  </si>
  <si>
    <r>
      <t>dm</t>
    </r>
    <r>
      <rPr>
        <vertAlign val="superscript"/>
        <sz val="10"/>
        <rFont val="Arial"/>
        <family val="2"/>
      </rPr>
      <t>6</t>
    </r>
  </si>
  <si>
    <r>
      <t>cm</t>
    </r>
    <r>
      <rPr>
        <vertAlign val="superscript"/>
        <sz val="10"/>
        <rFont val="Arial"/>
        <family val="2"/>
      </rPr>
      <t>2</t>
    </r>
  </si>
  <si>
    <t>HE 1000 AA</t>
  </si>
  <si>
    <t>W40x12x359</t>
  </si>
  <si>
    <t>W40x12x327</t>
  </si>
  <si>
    <t>W40x12x294</t>
  </si>
  <si>
    <t>W40x12x264</t>
  </si>
  <si>
    <t>W40x12x235</t>
  </si>
  <si>
    <t>W40x12x211</t>
  </si>
  <si>
    <t>W40x12x183</t>
  </si>
  <si>
    <t>W40x12x167</t>
  </si>
  <si>
    <t>W40x12x149</t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</si>
  <si>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x359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</si>
  <si>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x328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</si>
  <si>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x300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</si>
  <si>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x280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</si>
  <si>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x260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</si>
  <si>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x245</t>
    </r>
  </si>
  <si>
    <r>
      <t>W36x16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x230</t>
    </r>
  </si>
  <si>
    <t>W36x12x387</t>
  </si>
  <si>
    <t>W36x12x350</t>
  </si>
  <si>
    <t>W36x12x318</t>
  </si>
  <si>
    <t>W36x12x286</t>
  </si>
  <si>
    <t>W36x12x256</t>
  </si>
  <si>
    <t>W36x12x232</t>
  </si>
  <si>
    <t>W36x12x210</t>
  </si>
  <si>
    <t>W36x12x194</t>
  </si>
  <si>
    <t>W36x12x182</t>
  </si>
  <si>
    <t>W36x12x170</t>
  </si>
  <si>
    <t>W36x12x160</t>
  </si>
  <si>
    <t>W36x12x150</t>
  </si>
  <si>
    <t>W36x12x135</t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</si>
  <si>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x468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</si>
  <si>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x424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</si>
  <si>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x387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</si>
  <si>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x354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</si>
  <si>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x318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</si>
  <si>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x291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</si>
  <si>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x263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</si>
  <si>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x241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</si>
  <si>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x221</t>
    </r>
  </si>
  <si>
    <r>
      <t>W33x15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x201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</si>
  <si>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x361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</si>
  <si>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x332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</si>
  <si>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x301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</si>
  <si>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x271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</si>
  <si>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x243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</si>
  <si>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x219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</si>
  <si>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x204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</si>
  <si>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x187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</si>
  <si>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x169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</si>
  <si>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x152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</si>
  <si>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x141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</si>
  <si>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x130</t>
    </r>
  </si>
  <si>
    <r>
      <t>W33x11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x118</t>
    </r>
  </si>
  <si>
    <t>W30x15x357</t>
  </si>
  <si>
    <t>W30x15x326</t>
  </si>
  <si>
    <t>W30x15x292</t>
  </si>
  <si>
    <t>W30x15x261</t>
  </si>
  <si>
    <t>W30x15x235</t>
  </si>
  <si>
    <t>W30x15x211</t>
  </si>
  <si>
    <t>W30x15x191</t>
  </si>
  <si>
    <t>W30x15x173</t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</si>
  <si>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x295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</si>
  <si>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x269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</si>
  <si>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x246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</si>
  <si>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x226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</si>
  <si>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x207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</si>
  <si>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x185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</si>
  <si>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x165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</si>
  <si>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x148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</si>
  <si>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x132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</si>
  <si>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x124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</si>
  <si>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x116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</si>
  <si>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x108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</si>
  <si>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x99</t>
    </r>
  </si>
  <si>
    <r>
      <t>W30x10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x90</t>
    </r>
  </si>
  <si>
    <t>W27x14x336</t>
  </si>
  <si>
    <t>W27x14x307</t>
  </si>
  <si>
    <t>W27x14x281</t>
  </si>
  <si>
    <t>W27x14x258</t>
  </si>
  <si>
    <t>W27x14x235</t>
  </si>
  <si>
    <t>W27x14x217</t>
  </si>
  <si>
    <t>W27x14x194</t>
  </si>
  <si>
    <t>W27x14x178</t>
  </si>
  <si>
    <t>W27x14x161</t>
  </si>
  <si>
    <t>W27x14x146</t>
  </si>
  <si>
    <t>W27x10x302</t>
  </si>
  <si>
    <t>W27x10x271</t>
  </si>
  <si>
    <t>W27x10x247</t>
  </si>
  <si>
    <t>W27x10x221</t>
  </si>
  <si>
    <t>W27x10x201</t>
  </si>
  <si>
    <t>W27x10x182</t>
  </si>
  <si>
    <t>W27x10x159</t>
  </si>
  <si>
    <t>W27x10x143</t>
  </si>
  <si>
    <t>W27x10x129</t>
  </si>
  <si>
    <t>W27x10x114</t>
  </si>
  <si>
    <t>W27x10x102</t>
  </si>
  <si>
    <t>W27x10x94</t>
  </si>
  <si>
    <t>W27x10x84</t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</si>
  <si>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x306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</si>
  <si>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x279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</si>
  <si>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x250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</si>
  <si>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x229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</si>
  <si>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x207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</si>
  <si>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x192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</si>
  <si>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x176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</si>
  <si>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x162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</si>
  <si>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x146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</si>
  <si>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x131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</si>
  <si>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x117</t>
    </r>
  </si>
  <si>
    <r>
      <t>W24x12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x104</t>
    </r>
  </si>
  <si>
    <t>W24x9x239</t>
  </si>
  <si>
    <t>W24x9x218</t>
  </si>
  <si>
    <t>W24x9x198</t>
  </si>
  <si>
    <t>W24x9x181</t>
  </si>
  <si>
    <t>W24x9x163</t>
  </si>
  <si>
    <t>W24x9x146</t>
  </si>
  <si>
    <t>W24x9x128</t>
  </si>
  <si>
    <t>W24x9x114</t>
  </si>
  <si>
    <t>W24x9x103</t>
  </si>
  <si>
    <t>W24x9x94</t>
  </si>
  <si>
    <t>W24x9x84</t>
  </si>
  <si>
    <t>W24x9x76</t>
  </si>
  <si>
    <t>W24x9x68</t>
  </si>
  <si>
    <t>W24x7x62</t>
  </si>
  <si>
    <t>W24x7x55</t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</si>
  <si>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x275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</si>
  <si>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x248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</si>
  <si>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x223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</si>
  <si>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x201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</si>
  <si>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x182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</si>
  <si>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x166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</si>
  <si>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x147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</si>
  <si>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x132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</si>
  <si>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x122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</si>
  <si>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x111</t>
    </r>
  </si>
  <si>
    <r>
      <t>W21x12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x101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</si>
  <si>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x93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</si>
  <si>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x83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</si>
  <si>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x73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</si>
  <si>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x68</t>
    </r>
  </si>
  <si>
    <r>
      <t>W21x8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</t>
    </r>
  </si>
  <si>
    <r>
      <t>W21x6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x57</t>
    </r>
  </si>
  <si>
    <r>
      <t>W21x6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x50</t>
    </r>
  </si>
  <si>
    <r>
      <t>W21x6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x44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</si>
  <si>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x71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</si>
  <si>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x65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</si>
  <si>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x60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</si>
  <si>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x55</t>
    </r>
  </si>
  <si>
    <r>
      <t>W18x7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x50</t>
    </r>
  </si>
  <si>
    <t>W18x6x46</t>
  </si>
  <si>
    <t>W18x6x40</t>
  </si>
  <si>
    <t>W18x6x35</t>
  </si>
  <si>
    <t>W16x7x57</t>
  </si>
  <si>
    <t>W16x7x50</t>
  </si>
  <si>
    <t>W16x7x45</t>
  </si>
  <si>
    <t>W16x7x40</t>
  </si>
  <si>
    <t>W16x7x36</t>
  </si>
  <si>
    <r>
      <t>W16x5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x31</t>
    </r>
  </si>
  <si>
    <r>
      <t>W16x5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x26</t>
    </r>
  </si>
  <si>
    <t>W14x16x730</t>
  </si>
  <si>
    <t>W14x16x665</t>
  </si>
  <si>
    <t>W14x16x605</t>
  </si>
  <si>
    <t>W14x16x550</t>
  </si>
  <si>
    <t>W14x16x500</t>
  </si>
  <si>
    <t>W14x16x455</t>
  </si>
  <si>
    <t>W14x16x426</t>
  </si>
  <si>
    <t>W14x16x398</t>
  </si>
  <si>
    <t>W14x16x370</t>
  </si>
  <si>
    <t>W14x16x342</t>
  </si>
  <si>
    <t>W14x16x311</t>
  </si>
  <si>
    <t>W14x16x283</t>
  </si>
  <si>
    <t>W14x16x257</t>
  </si>
  <si>
    <t>W14x16x233</t>
  </si>
  <si>
    <t>W14x16x219</t>
  </si>
  <si>
    <t>W14x16x211</t>
  </si>
  <si>
    <t>W14x16x193</t>
  </si>
  <si>
    <t>W14x16x176</t>
  </si>
  <si>
    <t>W14x16x159</t>
  </si>
  <si>
    <t>W14x16x145</t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</si>
  <si>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x132</t>
    </r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</si>
  <si>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x120</t>
    </r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</si>
  <si>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x109</t>
    </r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</si>
  <si>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x99</t>
    </r>
  </si>
  <si>
    <r>
      <t>W14x14</t>
    </r>
    <r>
      <rPr>
        <vertAlign val="superscript"/>
        <sz val="10"/>
        <rFont val="Arial"/>
        <family val="2"/>
      </rPr>
      <t>1/2</t>
    </r>
    <r>
      <rPr>
        <sz val="10"/>
        <rFont val="Arial"/>
        <family val="2"/>
      </rPr>
      <t>x90</t>
    </r>
  </si>
  <si>
    <r>
      <t>W14x6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x38</t>
    </r>
  </si>
  <si>
    <r>
      <t>W14x6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x34</t>
    </r>
  </si>
  <si>
    <r>
      <t>W14x6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x30</t>
    </r>
  </si>
  <si>
    <t>W14x5x26</t>
  </si>
  <si>
    <t>W14x5x22</t>
  </si>
  <si>
    <t>W12x12x336</t>
  </si>
  <si>
    <t>W12x12x305</t>
  </si>
  <si>
    <t>W12x12x279</t>
  </si>
  <si>
    <t>W12x12x252</t>
  </si>
  <si>
    <t>W12x12x230</t>
  </si>
  <si>
    <t>W12x12x210</t>
  </si>
  <si>
    <t>W12x12x190</t>
  </si>
  <si>
    <t>W12x12x170</t>
  </si>
  <si>
    <t>W12x12x152</t>
  </si>
  <si>
    <t>W12x12x136</t>
  </si>
  <si>
    <t>W12x12x120</t>
  </si>
  <si>
    <t>W12x12x106</t>
  </si>
  <si>
    <t>W12x12x96</t>
  </si>
  <si>
    <t>W12x12x87</t>
  </si>
  <si>
    <t>W12x12x79</t>
  </si>
  <si>
    <t>W12x12x72</t>
  </si>
  <si>
    <t>W12x12x65</t>
  </si>
  <si>
    <t>W12x4x22</t>
  </si>
  <si>
    <t>W12x4x19</t>
  </si>
  <si>
    <t>W12x4x16</t>
  </si>
  <si>
    <t>W10x10x112</t>
  </si>
  <si>
    <t>W10x10x100</t>
  </si>
  <si>
    <t>W10x10x88</t>
  </si>
  <si>
    <t>W10x10x77</t>
  </si>
  <si>
    <t>W10x10x68</t>
  </si>
  <si>
    <t>W10x10x60</t>
  </si>
  <si>
    <t>W10x10x54</t>
  </si>
  <si>
    <t>W10x10x49</t>
  </si>
  <si>
    <r>
      <t>W10x5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x30</t>
    </r>
  </si>
  <si>
    <r>
      <t>W10x5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x26</t>
    </r>
  </si>
  <si>
    <r>
      <t>W10x5</t>
    </r>
    <r>
      <rPr>
        <vertAlign val="superscript"/>
        <sz val="10"/>
        <rFont val="Arial"/>
        <family val="2"/>
      </rPr>
      <t>3/4</t>
    </r>
    <r>
      <rPr>
        <sz val="10"/>
        <rFont val="Arial"/>
        <family val="2"/>
      </rPr>
      <t>x22</t>
    </r>
  </si>
  <si>
    <t>10x4x19</t>
  </si>
  <si>
    <t>10x4x17</t>
  </si>
  <si>
    <t>10x4x15</t>
  </si>
  <si>
    <t>W8x8x67</t>
  </si>
  <si>
    <t>W8x8x58</t>
  </si>
  <si>
    <t>W8x8x48</t>
  </si>
  <si>
    <t>W8x8x40</t>
  </si>
  <si>
    <t>W8x8x35</t>
  </si>
  <si>
    <t>W8x8x31</t>
  </si>
  <si>
    <r>
      <t>W8x5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x21</t>
    </r>
  </si>
  <si>
    <r>
      <t>W8x5</t>
    </r>
    <r>
      <rPr>
        <vertAlign val="superscript"/>
        <sz val="10"/>
        <rFont val="Arial"/>
        <family val="2"/>
      </rPr>
      <t>1/4</t>
    </r>
    <r>
      <rPr>
        <sz val="10"/>
        <rFont val="Arial"/>
        <family val="2"/>
      </rPr>
      <t>x18</t>
    </r>
  </si>
  <si>
    <t>W6x6x25</t>
  </si>
  <si>
    <t>W6x6x20</t>
  </si>
  <si>
    <t>W6x6x15</t>
  </si>
  <si>
    <t>W21x55</t>
  </si>
  <si>
    <t>Mpa</t>
  </si>
  <si>
    <t>Minimum Tensile Strength</t>
  </si>
  <si>
    <t>ST 37</t>
  </si>
  <si>
    <t>ST 52</t>
  </si>
  <si>
    <t>Toe</t>
  </si>
  <si>
    <t>radius</t>
  </si>
  <si>
    <t>D x B x t</t>
  </si>
  <si>
    <t>Axis</t>
  </si>
  <si>
    <t>r1</t>
  </si>
  <si>
    <t>r2</t>
  </si>
  <si>
    <t>u-u</t>
  </si>
  <si>
    <t>v-v</t>
  </si>
  <si>
    <t>mm x mm x mm</t>
  </si>
  <si>
    <t>Mass Per</t>
  </si>
  <si>
    <t>Distance</t>
  </si>
  <si>
    <t>Angle</t>
  </si>
  <si>
    <t>of centre</t>
  </si>
  <si>
    <t>x-x Axis</t>
  </si>
  <si>
    <t>of gravity</t>
  </si>
  <si>
    <t>to u-u Axis</t>
  </si>
  <si>
    <t>Cx</t>
  </si>
  <si>
    <t>Cy</t>
  </si>
  <si>
    <t>Tan a</t>
  </si>
  <si>
    <t>x-x</t>
  </si>
  <si>
    <t>y-y</t>
  </si>
  <si>
    <t>D</t>
  </si>
  <si>
    <t>B</t>
  </si>
  <si>
    <t>L200x200x24</t>
  </si>
  <si>
    <t>L200x200x20</t>
  </si>
  <si>
    <t>L200x200x18</t>
  </si>
  <si>
    <t>L200x200x16</t>
  </si>
  <si>
    <t>L150x150x18</t>
  </si>
  <si>
    <t>L150x150x15</t>
  </si>
  <si>
    <t>L150x150x12</t>
  </si>
  <si>
    <t>L150x150x10</t>
  </si>
  <si>
    <t>L120x120x15</t>
  </si>
  <si>
    <t>L120x120x12</t>
  </si>
  <si>
    <t>L120x120x10</t>
  </si>
  <si>
    <t>L120x120x8</t>
  </si>
  <si>
    <t>L100x100x15</t>
  </si>
  <si>
    <t>L100x100x12</t>
  </si>
  <si>
    <t>L100x100x10</t>
  </si>
  <si>
    <t>L100x100x8</t>
  </si>
  <si>
    <t>L90x90x12</t>
  </si>
  <si>
    <t>L90x90x10</t>
  </si>
  <si>
    <t>L90x90x8</t>
  </si>
  <si>
    <t>L90x90x7</t>
  </si>
  <si>
    <t>L90x90x6</t>
  </si>
  <si>
    <t>L80x80x10</t>
  </si>
  <si>
    <t>L80x80x8</t>
  </si>
  <si>
    <t>L80x80x6</t>
  </si>
  <si>
    <t>L70x70x10</t>
  </si>
  <si>
    <t>L70x70x8</t>
  </si>
  <si>
    <t>L70x70x6</t>
  </si>
  <si>
    <t>L60x60x8</t>
  </si>
  <si>
    <t>L60x60x6</t>
  </si>
  <si>
    <t>L60x60x5</t>
  </si>
  <si>
    <t>L60x60x10</t>
  </si>
  <si>
    <t>L50x50x8</t>
  </si>
  <si>
    <t>L50x50x6</t>
  </si>
  <si>
    <t>L50x50x5</t>
  </si>
  <si>
    <t>L50x50x4</t>
  </si>
  <si>
    <t>L50x50x3</t>
  </si>
  <si>
    <t>L200x150x18</t>
  </si>
  <si>
    <t>L200x150x15</t>
  </si>
  <si>
    <t>L200x150x12</t>
  </si>
  <si>
    <t>L200x100x15</t>
  </si>
  <si>
    <t>L200x100x12</t>
  </si>
  <si>
    <t>L200x100x10</t>
  </si>
  <si>
    <t>L150x90x15</t>
  </si>
  <si>
    <t>L150x90x12</t>
  </si>
  <si>
    <t>L150x90x10</t>
  </si>
  <si>
    <t>L150x75x15</t>
  </si>
  <si>
    <t>L150x75x12</t>
  </si>
  <si>
    <t>L150x75x10</t>
  </si>
  <si>
    <t>L125x75x12</t>
  </si>
  <si>
    <t>L125x75x10</t>
  </si>
  <si>
    <t>L125x75x8</t>
  </si>
  <si>
    <t>L100x75x12</t>
  </si>
  <si>
    <t>L100x75x10</t>
  </si>
  <si>
    <t>L100x75x8</t>
  </si>
  <si>
    <t>L100x65x10</t>
  </si>
  <si>
    <t>L100x65x8</t>
  </si>
  <si>
    <t>L100x65x7</t>
  </si>
  <si>
    <t>L80x60x8</t>
  </si>
  <si>
    <t>L80x60x7</t>
  </si>
  <si>
    <t>L80x60x6</t>
  </si>
  <si>
    <t>L75x50x8</t>
  </si>
  <si>
    <t>L75x50x6</t>
  </si>
  <si>
    <t>L65x50x8</t>
  </si>
  <si>
    <t>L65x50x6</t>
  </si>
  <si>
    <t>L65x50x5</t>
  </si>
  <si>
    <t>L60x30x6</t>
  </si>
  <si>
    <t>L60x30x5</t>
  </si>
  <si>
    <t>G</t>
  </si>
  <si>
    <t>mm2</t>
  </si>
  <si>
    <t>e</t>
  </si>
  <si>
    <t>8,65</t>
  </si>
  <si>
    <t>10,6</t>
  </si>
  <si>
    <t>13,4</t>
  </si>
  <si>
    <t>16,0</t>
  </si>
  <si>
    <t>18,8</t>
  </si>
  <si>
    <t>22,0</t>
  </si>
  <si>
    <t>25,3</t>
  </si>
  <si>
    <t>29,4</t>
  </si>
  <si>
    <t>33,2</t>
  </si>
  <si>
    <t>37,9</t>
  </si>
  <si>
    <t>41,8</t>
  </si>
  <si>
    <t>46,2</t>
  </si>
  <si>
    <t>59,5</t>
  </si>
  <si>
    <t>60,6</t>
  </si>
  <si>
    <t>63,1</t>
  </si>
  <si>
    <t>71,8</t>
  </si>
  <si>
    <t>UPN80</t>
  </si>
  <si>
    <t>UPN100</t>
  </si>
  <si>
    <t>UPN120</t>
  </si>
  <si>
    <t>UPN140</t>
  </si>
  <si>
    <t>UPN160</t>
  </si>
  <si>
    <t>UPN180</t>
  </si>
  <si>
    <t>UPN200</t>
  </si>
  <si>
    <t>UPN220</t>
  </si>
  <si>
    <t>UPN240</t>
  </si>
  <si>
    <t>UPN260</t>
  </si>
  <si>
    <t>UPN280</t>
  </si>
  <si>
    <t>UPN300</t>
  </si>
  <si>
    <t>UPN320</t>
  </si>
  <si>
    <t>UPN350</t>
  </si>
  <si>
    <t>UPN380</t>
  </si>
  <si>
    <t>UPN400</t>
  </si>
  <si>
    <t>clearance</t>
  </si>
  <si>
    <t>p</t>
  </si>
  <si>
    <t>n</t>
  </si>
  <si>
    <t>Bolt Data</t>
  </si>
  <si>
    <t>Number of Bolt Rows</t>
  </si>
  <si>
    <t>Number of Bolt Columns</t>
  </si>
  <si>
    <t>m</t>
  </si>
  <si>
    <t>Welding</t>
  </si>
  <si>
    <t>Supporting Memebr Data</t>
  </si>
  <si>
    <t>e'</t>
  </si>
  <si>
    <t>Beam Data</t>
  </si>
  <si>
    <t>IR</t>
  </si>
  <si>
    <t>Beam</t>
  </si>
  <si>
    <t>Es</t>
  </si>
  <si>
    <t>Horizontal Weld Width</t>
  </si>
  <si>
    <t>a</t>
  </si>
  <si>
    <t>Q</t>
  </si>
  <si>
    <t>Min. EDGE</t>
  </si>
  <si>
    <t>M12</t>
  </si>
  <si>
    <t>M16</t>
  </si>
  <si>
    <t>NET AREA</t>
  </si>
  <si>
    <t>Thread DIAM.</t>
  </si>
  <si>
    <t>Ps</t>
  </si>
  <si>
    <t>FUB
ton/cm2</t>
  </si>
  <si>
    <t>FYB
ton/cm2</t>
  </si>
  <si>
    <t>qs.s
ton/cm2</t>
  </si>
  <si>
    <t>ft
ton/cm2</t>
  </si>
  <si>
    <r>
      <t>F</t>
    </r>
    <r>
      <rPr>
        <vertAlign val="subscript"/>
        <sz val="10"/>
        <rFont val="Arial"/>
        <family val="2"/>
      </rPr>
      <t>y</t>
    </r>
  </si>
  <si>
    <r>
      <t>F</t>
    </r>
    <r>
      <rPr>
        <vertAlign val="subscript"/>
        <sz val="10"/>
        <rFont val="Arial"/>
        <family val="2"/>
      </rPr>
      <t>u</t>
    </r>
  </si>
  <si>
    <r>
      <t>F</t>
    </r>
    <r>
      <rPr>
        <vertAlign val="subscript"/>
        <sz val="10"/>
        <rFont val="Arial"/>
        <family val="2"/>
      </rPr>
      <t>t</t>
    </r>
  </si>
  <si>
    <r>
      <t>F</t>
    </r>
    <r>
      <rPr>
        <vertAlign val="subscript"/>
        <sz val="10"/>
        <rFont val="Arial"/>
        <family val="2"/>
      </rPr>
      <t>crp</t>
    </r>
  </si>
  <si>
    <r>
      <t>F</t>
    </r>
    <r>
      <rPr>
        <vertAlign val="subscript"/>
        <sz val="10"/>
        <rFont val="Arial"/>
        <family val="2"/>
      </rPr>
      <t>b</t>
    </r>
  </si>
  <si>
    <t>Edge Distance
----------------------
Bolt Diameter</t>
  </si>
  <si>
    <t>ton</t>
  </si>
  <si>
    <t>Spacing</t>
  </si>
  <si>
    <t>M</t>
  </si>
  <si>
    <t>Axial Force</t>
  </si>
  <si>
    <t>Major Shear</t>
  </si>
  <si>
    <t>Combined Shear and Tension</t>
  </si>
  <si>
    <t>Vertical Weld Height</t>
  </si>
  <si>
    <t>Vertical Weld Size</t>
  </si>
  <si>
    <t>Vertical Area Weld</t>
  </si>
  <si>
    <t>Inertia Ix</t>
  </si>
  <si>
    <t>t/cm2</t>
  </si>
  <si>
    <t>Weld Shear In Horizontal Direction</t>
  </si>
  <si>
    <t>Weld Shear In Verttical Direction</t>
  </si>
  <si>
    <t>Allowable shear stress</t>
  </si>
  <si>
    <t>Horziontal shear stress due to torsion</t>
  </si>
  <si>
    <t xml:space="preserve">Horizontal shear stress due to Normal </t>
  </si>
  <si>
    <t>Vertical shear stress due to Shear</t>
  </si>
  <si>
    <t>Total shear stress</t>
  </si>
  <si>
    <t>t cm</t>
  </si>
  <si>
    <t>cm4</t>
  </si>
  <si>
    <t>BOLT-GRADE</t>
  </si>
  <si>
    <t>GRADE</t>
  </si>
  <si>
    <t>1.5Q</t>
  </si>
  <si>
    <r>
      <t>Q</t>
    </r>
    <r>
      <rPr>
        <b/>
        <vertAlign val="subscript"/>
        <sz val="10"/>
        <rFont val="Times New Roman"/>
        <family val="1"/>
      </rPr>
      <t>all</t>
    </r>
  </si>
  <si>
    <r>
      <t>M</t>
    </r>
    <r>
      <rPr>
        <b/>
        <vertAlign val="subscript"/>
        <sz val="10"/>
        <rFont val="Times New Roman"/>
        <family val="1"/>
      </rPr>
      <t>T</t>
    </r>
  </si>
  <si>
    <r>
      <t>q</t>
    </r>
    <r>
      <rPr>
        <b/>
        <vertAlign val="subscript"/>
        <sz val="10"/>
        <rFont val="Times New Roman"/>
        <family val="1"/>
      </rPr>
      <t>x</t>
    </r>
  </si>
  <si>
    <r>
      <t>q</t>
    </r>
    <r>
      <rPr>
        <b/>
        <vertAlign val="subscript"/>
        <sz val="10"/>
        <rFont val="Times New Roman"/>
        <family val="1"/>
      </rPr>
      <t>y</t>
    </r>
  </si>
  <si>
    <r>
      <t>t</t>
    </r>
    <r>
      <rPr>
        <b/>
        <vertAlign val="subscript"/>
        <sz val="10"/>
        <rFont val="Times New Roman"/>
        <family val="1"/>
      </rPr>
      <t>v</t>
    </r>
  </si>
  <si>
    <r>
      <t>A</t>
    </r>
    <r>
      <rPr>
        <b/>
        <vertAlign val="subscript"/>
        <sz val="10"/>
        <rFont val="Times New Roman"/>
        <family val="1"/>
      </rPr>
      <t>v</t>
    </r>
  </si>
  <si>
    <r>
      <t>I</t>
    </r>
    <r>
      <rPr>
        <b/>
        <vertAlign val="subscript"/>
        <sz val="10"/>
        <rFont val="Times New Roman"/>
        <family val="1"/>
      </rPr>
      <t>x</t>
    </r>
  </si>
  <si>
    <r>
      <t>q</t>
    </r>
    <r>
      <rPr>
        <b/>
        <vertAlign val="subscript"/>
        <sz val="10"/>
        <rFont val="Times New Roman"/>
        <family val="1"/>
      </rPr>
      <t>mt(x)</t>
    </r>
  </si>
  <si>
    <r>
      <t>q</t>
    </r>
    <r>
      <rPr>
        <b/>
        <vertAlign val="subscript"/>
        <sz val="10"/>
        <rFont val="Times New Roman"/>
        <family val="1"/>
      </rPr>
      <t>Qx</t>
    </r>
  </si>
  <si>
    <r>
      <t>q</t>
    </r>
    <r>
      <rPr>
        <b/>
        <vertAlign val="subscript"/>
        <sz val="10"/>
        <rFont val="Times New Roman"/>
        <family val="1"/>
      </rPr>
      <t>Qy</t>
    </r>
  </si>
  <si>
    <r>
      <t>q</t>
    </r>
    <r>
      <rPr>
        <b/>
        <vertAlign val="subscript"/>
        <sz val="10"/>
        <rFont val="Times New Roman"/>
        <family val="1"/>
      </rPr>
      <t>Total</t>
    </r>
  </si>
  <si>
    <r>
      <t>q</t>
    </r>
    <r>
      <rPr>
        <b/>
        <vertAlign val="subscript"/>
        <sz val="10"/>
        <rFont val="Times New Roman"/>
        <family val="1"/>
      </rPr>
      <t>All</t>
    </r>
  </si>
  <si>
    <t>TITLE</t>
  </si>
  <si>
    <t>H1000X300/10X14</t>
  </si>
  <si>
    <t>H1000X300/12X16</t>
  </si>
  <si>
    <t>H1000X300/12X18</t>
  </si>
  <si>
    <t>H1000X300/12X20</t>
  </si>
  <si>
    <t>H1000X300/12X24</t>
  </si>
  <si>
    <t>H1000X350/10X22</t>
  </si>
  <si>
    <t>H1000X350/12X20</t>
  </si>
  <si>
    <t>H1000X400/12X20</t>
  </si>
  <si>
    <t>H1000X400/16X20</t>
  </si>
  <si>
    <t>H1000X450/12X22</t>
  </si>
  <si>
    <t>H1100X400/16X20</t>
  </si>
  <si>
    <t>H1100X450/16X24</t>
  </si>
  <si>
    <t>H1100X550/16X36</t>
  </si>
  <si>
    <t>H1200X300/12X18</t>
  </si>
  <si>
    <t>H1200X350/12X22</t>
  </si>
  <si>
    <t>H1200X400/12X25</t>
  </si>
  <si>
    <t>H1300X350/14X16</t>
  </si>
  <si>
    <t>H1300X350/14X20</t>
  </si>
  <si>
    <t>H1300X400/16X20</t>
  </si>
  <si>
    <t>H1300X400/16X22</t>
  </si>
  <si>
    <t>H1400X350/14X20</t>
  </si>
  <si>
    <t>H1400X450/14X22</t>
  </si>
  <si>
    <t>H1400X500/14X20</t>
  </si>
  <si>
    <t>H1400X500/16X20</t>
  </si>
  <si>
    <t>H1400X500/16X24</t>
  </si>
  <si>
    <t>H250X100/5X10</t>
  </si>
  <si>
    <t>H250X100/5X8</t>
  </si>
  <si>
    <t>H250X200/5X8</t>
  </si>
  <si>
    <t>H300X150/5X8</t>
  </si>
  <si>
    <t>H300X200/5X10</t>
  </si>
  <si>
    <t>H300X200/6X10</t>
  </si>
  <si>
    <t>H300X300/10X15</t>
  </si>
  <si>
    <t>H400X160/6X10</t>
  </si>
  <si>
    <t>H400X180/6X10</t>
  </si>
  <si>
    <t>H400X200/6X10</t>
  </si>
  <si>
    <t>H400X250/8X12</t>
  </si>
  <si>
    <t>H400X250/8X14</t>
  </si>
  <si>
    <t>H500X200/6X10</t>
  </si>
  <si>
    <t>H500X250/10X16</t>
  </si>
  <si>
    <t>H500X250/8X12</t>
  </si>
  <si>
    <t>H500X300/8X16</t>
  </si>
  <si>
    <t>H500X350/12X16</t>
  </si>
  <si>
    <t>H600X220/10X14</t>
  </si>
  <si>
    <t>H600X250/10X12</t>
  </si>
  <si>
    <t>H600X250/6X12</t>
  </si>
  <si>
    <t>H600X250/8X12</t>
  </si>
  <si>
    <t>H600X250/8X14</t>
  </si>
  <si>
    <t>H600X250/8X16</t>
  </si>
  <si>
    <t>H600X300/10X12</t>
  </si>
  <si>
    <t>H600X300/10X14</t>
  </si>
  <si>
    <t>H600X300/10X18</t>
  </si>
  <si>
    <t>H600X300/10X22</t>
  </si>
  <si>
    <t>H600X300/8X14</t>
  </si>
  <si>
    <t>H600X300/8X15</t>
  </si>
  <si>
    <t>H600X300/8X16</t>
  </si>
  <si>
    <t>H600X350/12X24</t>
  </si>
  <si>
    <t>H600X350/16X24</t>
  </si>
  <si>
    <t>H600X350/8X14</t>
  </si>
  <si>
    <t>H600X350/8X16</t>
  </si>
  <si>
    <t>H600X400/10X18</t>
  </si>
  <si>
    <t>H600X400/10X24</t>
  </si>
  <si>
    <t>H600X500/12X30</t>
  </si>
  <si>
    <t>H700X220/10X14</t>
  </si>
  <si>
    <t>H700X250/10X14</t>
  </si>
  <si>
    <t>H700X250/8X12</t>
  </si>
  <si>
    <t>H700x250/8x14</t>
  </si>
  <si>
    <t>H700X300/10X14</t>
  </si>
  <si>
    <t>H700X300/10X20</t>
  </si>
  <si>
    <t>H700X300/8X14</t>
  </si>
  <si>
    <t>H700X300/8X16</t>
  </si>
  <si>
    <t>H700X300/8X18</t>
  </si>
  <si>
    <t>H700X350/10X16</t>
  </si>
  <si>
    <t>H700X350/10X18</t>
  </si>
  <si>
    <t>H700X350/10X20</t>
  </si>
  <si>
    <t>H700X350/12X20</t>
  </si>
  <si>
    <t>H700X400/10X20</t>
  </si>
  <si>
    <t>H700X500/16X30</t>
  </si>
  <si>
    <t>H800X250/8X12</t>
  </si>
  <si>
    <t>H800X250/8X14</t>
  </si>
  <si>
    <t>H800X300/10X14</t>
  </si>
  <si>
    <t>H800X300/12X22</t>
  </si>
  <si>
    <t>H800X300/12X26</t>
  </si>
  <si>
    <t>H800X350/12X22</t>
  </si>
  <si>
    <t>H800X400/16X25</t>
  </si>
  <si>
    <t>H900X300/10X14</t>
  </si>
  <si>
    <t>H900X300/10X16</t>
  </si>
  <si>
    <t>H900X300/10X20</t>
  </si>
  <si>
    <t>H900X300/12X14</t>
  </si>
  <si>
    <t>H900X300/12X20</t>
  </si>
  <si>
    <t>H900X300/12X22</t>
  </si>
  <si>
    <t>H900X350/10X20</t>
  </si>
  <si>
    <t>H900X350/12X16</t>
  </si>
  <si>
    <t>H900X350/12X20</t>
  </si>
  <si>
    <t>H900X350/12X22</t>
  </si>
  <si>
    <t>H900X400/10X20</t>
  </si>
  <si>
    <t>H900X400/10X24</t>
  </si>
  <si>
    <t>H900X400/12X22</t>
  </si>
  <si>
    <t>H900X450/10X25</t>
  </si>
  <si>
    <t>IPE160</t>
  </si>
  <si>
    <t>IPE180</t>
  </si>
  <si>
    <t>IPE200</t>
  </si>
  <si>
    <t>IPE220</t>
  </si>
  <si>
    <t>Q345</t>
  </si>
  <si>
    <t>Q235</t>
  </si>
  <si>
    <t>fully threaded</t>
  </si>
  <si>
    <t>partially threaded</t>
  </si>
  <si>
    <t>case 1</t>
  </si>
  <si>
    <t>case 2</t>
  </si>
  <si>
    <t>Mt=</t>
  </si>
  <si>
    <t>Connection Plates Data</t>
  </si>
  <si>
    <t>Col. Spacing</t>
  </si>
  <si>
    <t>Rows Spacing</t>
  </si>
  <si>
    <t>S1</t>
  </si>
  <si>
    <t>S2</t>
  </si>
  <si>
    <t>No. of rows</t>
  </si>
  <si>
    <t>No. of Columns</t>
  </si>
  <si>
    <t>Y</t>
  </si>
  <si>
    <t>X</t>
  </si>
  <si>
    <t>n(x2+y2)</t>
  </si>
  <si>
    <t>Y-Axis</t>
  </si>
  <si>
    <t>Y max</t>
  </si>
  <si>
    <t>Sx</t>
  </si>
  <si>
    <t>cm3</t>
  </si>
  <si>
    <t>f</t>
  </si>
  <si>
    <t>t /cm2</t>
  </si>
  <si>
    <t>Rsh</t>
  </si>
  <si>
    <t xml:space="preserve"> </t>
  </si>
  <si>
    <t>d_supp. Mem.</t>
  </si>
  <si>
    <t>bf_supp. Mem.</t>
  </si>
  <si>
    <t>tw_supp. Mem.</t>
  </si>
  <si>
    <t>tf_supp. Mem.</t>
  </si>
  <si>
    <t>Loading Case:</t>
  </si>
  <si>
    <t>H900X450/10X20</t>
  </si>
  <si>
    <t>H1200X450/14X20</t>
  </si>
  <si>
    <t>Number of plane ( Np)</t>
  </si>
  <si>
    <t>Np</t>
  </si>
  <si>
    <r>
      <t>R</t>
    </r>
    <r>
      <rPr>
        <vertAlign val="subscript"/>
        <sz val="10"/>
        <color indexed="39"/>
        <rFont val="Arial"/>
        <family val="2"/>
      </rPr>
      <t>S.S (gross Area bolt)</t>
    </r>
  </si>
  <si>
    <r>
      <t>R</t>
    </r>
    <r>
      <rPr>
        <vertAlign val="subscript"/>
        <sz val="10"/>
        <color indexed="39"/>
        <rFont val="Arial"/>
        <family val="2"/>
      </rPr>
      <t>S.S (net Area bolt)</t>
    </r>
  </si>
  <si>
    <r>
      <t>q</t>
    </r>
    <r>
      <rPr>
        <vertAlign val="subscript"/>
        <sz val="12"/>
        <rFont val="Arial"/>
        <family val="2"/>
      </rPr>
      <t>t</t>
    </r>
  </si>
  <si>
    <t>X-Axis</t>
  </si>
  <si>
    <t>X max</t>
  </si>
  <si>
    <t>p'</t>
  </si>
  <si>
    <t xml:space="preserve">Vertical Bolt Edge Distance </t>
  </si>
  <si>
    <t xml:space="preserve">Hz. Bolt Edge Distance </t>
  </si>
  <si>
    <t xml:space="preserve">Vertical Bolt Spacing </t>
  </si>
  <si>
    <t xml:space="preserve">Hz. Bolt Spacing </t>
  </si>
  <si>
    <t>bolts</t>
  </si>
  <si>
    <t>Bolts no.   =</t>
  </si>
  <si>
    <t>Ymax =</t>
  </si>
  <si>
    <t>Xmax =</t>
  </si>
  <si>
    <t>Fillet Radius/Weld thickness</t>
  </si>
  <si>
    <t xml:space="preserve">Gab between two beams (@ webs &amp;@ flanges) </t>
  </si>
  <si>
    <t>Ecc. between c.g. of bolts &amp; beam C.L=0.5*tw_supp.+g+e'+(m-1)*0.5*p'/2)</t>
  </si>
  <si>
    <t>Steel Grade :</t>
  </si>
  <si>
    <t>Material Properties:</t>
  </si>
  <si>
    <t>Strainning Actions:</t>
  </si>
  <si>
    <t>2*e+(n-1)*p</t>
  </si>
  <si>
    <t>Weld Moment=</t>
  </si>
  <si>
    <t xml:space="preserve">Gusset Plate  </t>
  </si>
  <si>
    <t>tgp</t>
  </si>
  <si>
    <t>Check of weld on the G. plate :</t>
  </si>
  <si>
    <t>th_supp. Mem.</t>
  </si>
  <si>
    <t>th</t>
  </si>
  <si>
    <r>
      <t>cm</t>
    </r>
    <r>
      <rPr>
        <b/>
        <vertAlign val="superscript"/>
        <sz val="10"/>
        <rFont val="Times New Roman"/>
        <family val="1"/>
      </rPr>
      <t>2</t>
    </r>
  </si>
  <si>
    <r>
      <rPr>
        <b/>
        <sz val="12"/>
        <rFont val="Calibri"/>
        <family val="2"/>
      </rPr>
      <t>∑</t>
    </r>
    <r>
      <rPr>
        <b/>
        <sz val="12"/>
        <rFont val="Times New Roman"/>
        <family val="1"/>
      </rPr>
      <t>r</t>
    </r>
    <r>
      <rPr>
        <b/>
        <vertAlign val="superscript"/>
        <sz val="10"/>
        <rFont val="Times New Roman"/>
        <family val="1"/>
      </rPr>
      <t xml:space="preserve">2      </t>
    </r>
    <r>
      <rPr>
        <b/>
        <sz val="10"/>
        <rFont val="Times New Roman"/>
        <family val="1"/>
      </rPr>
      <t>=</t>
    </r>
  </si>
  <si>
    <t>, Ecc.</t>
  </si>
  <si>
    <t>ton/bolt</t>
  </si>
  <si>
    <t>Equivalent Shear (Axial&amp;Shear) on the Critical Bolt</t>
  </si>
  <si>
    <t>Allowable Shear Strength (Shear or Axial)</t>
  </si>
  <si>
    <t>cm.t</t>
  </si>
  <si>
    <r>
      <t>F</t>
    </r>
    <r>
      <rPr>
        <b/>
        <vertAlign val="subscript"/>
        <sz val="10"/>
        <rFont val="Times New Roman"/>
        <family val="1"/>
      </rPr>
      <t>eq</t>
    </r>
  </si>
  <si>
    <t>fn</t>
  </si>
  <si>
    <t>fm</t>
  </si>
  <si>
    <r>
      <t>Feq = (f</t>
    </r>
    <r>
      <rPr>
        <b/>
        <vertAlign val="subscript"/>
        <sz val="10"/>
        <rFont val="Times New Roman"/>
        <family val="1"/>
      </rPr>
      <t>n</t>
    </r>
    <r>
      <rPr>
        <b/>
        <sz val="10"/>
        <rFont val="Times New Roman"/>
        <family val="1"/>
      </rPr>
      <t>)^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+3*(1.5*q</t>
    </r>
    <r>
      <rPr>
        <b/>
        <vertAlign val="subscript"/>
        <sz val="10"/>
        <rFont val="Times New Roman"/>
        <family val="1"/>
      </rPr>
      <t>sh</t>
    </r>
    <r>
      <rPr>
        <b/>
        <sz val="10"/>
        <rFont val="Times New Roman"/>
        <family val="1"/>
      </rPr>
      <t>)^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)^0.5 =</t>
    </r>
  </si>
  <si>
    <t>Add. Moment=Ecc.*Q</t>
  </si>
  <si>
    <t>ps-st52</t>
  </si>
  <si>
    <t>Bearing Type</t>
  </si>
  <si>
    <t>Friction Type</t>
  </si>
  <si>
    <t>Bolts Check:</t>
  </si>
  <si>
    <t>Bolts connection type :</t>
  </si>
  <si>
    <t>diameter</t>
  </si>
  <si>
    <t>ps</t>
  </si>
  <si>
    <t>Bolt Material :</t>
  </si>
  <si>
    <t>single shear</t>
  </si>
  <si>
    <t>sxnet</t>
  </si>
  <si>
    <t>sxgross</t>
  </si>
  <si>
    <t>preferred gab not less than 10mm</t>
  </si>
  <si>
    <t>Q Hz.(N+Mt)=</t>
  </si>
  <si>
    <t>Q Vl. (Q+Mt)=</t>
  </si>
  <si>
    <t>Normal stresses=(N/Aweb+M/Sxweb)</t>
  </si>
  <si>
    <t>Hpl. =</t>
  </si>
  <si>
    <t xml:space="preserve"> Moment=(bf supp. Mem.*0.5+gap)*Q)</t>
  </si>
  <si>
    <t>Axial stress=(N/Aweb)</t>
  </si>
  <si>
    <t>Mt</t>
  </si>
  <si>
    <t>Add. Moment=Ecc.*Q =</t>
  </si>
  <si>
    <t>H1250X300/15X25</t>
  </si>
  <si>
    <t>H330X150/5X6</t>
  </si>
  <si>
    <t>Check plate at bolts location (shear+normal ) :</t>
  </si>
  <si>
    <t>Case 1</t>
  </si>
  <si>
    <t xml:space="preserve"> Plate section modelus</t>
  </si>
  <si>
    <t>Beam to web column Simple Connection</t>
  </si>
  <si>
    <t>Check plate at column face (normal+moment check) :</t>
  </si>
  <si>
    <t>Q*(g+e'+(m-1)*0.5*p')=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</si>
</sst>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\F\u\l\lyy\ \Th\re\aded\ &quot;&quot;"/>
  </numFmts>
  <fonts count="55">
    <font>
      <sz val="10"/>
      <name val="Arial"/>
      <charset val="178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i/>
      <sz val="10"/>
      <name val="Bradley Hand ITC"/>
      <family val="4"/>
    </font>
    <font>
      <b/>
      <i/>
      <sz val="8"/>
      <name val="Bradley Hand ITC"/>
      <family val="4"/>
    </font>
    <font>
      <sz val="10"/>
      <name val="Times New Roman"/>
      <family val="1"/>
    </font>
    <font>
      <sz val="6"/>
      <name val="Arial"/>
      <family val="2"/>
    </font>
    <font>
      <sz val="8"/>
      <name val="Arial"/>
      <family val="2"/>
      <charset val="178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name val="Times New Roman"/>
      <family val="1"/>
    </font>
    <font>
      <b/>
      <strike/>
      <sz val="10"/>
      <name val="Times New Roman"/>
      <family val="1"/>
    </font>
    <font>
      <b/>
      <sz val="10"/>
      <color indexed="10"/>
      <name val="Times New Roman"/>
      <family val="1"/>
    </font>
    <font>
      <b/>
      <vertAlign val="subscript"/>
      <sz val="10"/>
      <name val="Times New Roman"/>
      <family val="1"/>
    </font>
    <font>
      <b/>
      <sz val="8"/>
      <name val="Times New Roman"/>
      <family val="1"/>
    </font>
    <font>
      <b/>
      <sz val="14"/>
      <color indexed="8"/>
      <name val="Arial"/>
      <family val="2"/>
      <charset val="178"/>
    </font>
    <font>
      <sz val="12"/>
      <color indexed="8"/>
      <name val="Arial"/>
      <family val="2"/>
      <charset val="178"/>
    </font>
    <font>
      <sz val="8"/>
      <color indexed="8"/>
      <name val="Arial"/>
      <family val="2"/>
      <charset val="178"/>
    </font>
    <font>
      <b/>
      <sz val="10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1"/>
      <name val="Times New Roman"/>
      <family val="1"/>
    </font>
    <font>
      <b/>
      <i/>
      <sz val="8"/>
      <name val="Arial"/>
      <family val="2"/>
    </font>
    <font>
      <b/>
      <i/>
      <sz val="10"/>
      <name val="Arial"/>
      <family val="2"/>
    </font>
    <font>
      <b/>
      <i/>
      <sz val="10"/>
      <color indexed="12"/>
      <name val="Arial"/>
      <family val="2"/>
    </font>
    <font>
      <b/>
      <i/>
      <sz val="8"/>
      <color indexed="10"/>
      <name val="Arial"/>
      <family val="2"/>
    </font>
    <font>
      <b/>
      <i/>
      <sz val="8"/>
      <color indexed="17"/>
      <name val="Arial"/>
      <family val="2"/>
    </font>
    <font>
      <b/>
      <i/>
      <u/>
      <sz val="8"/>
      <color indexed="56"/>
      <name val="Arial"/>
      <family val="2"/>
    </font>
    <font>
      <b/>
      <i/>
      <sz val="10"/>
      <color indexed="10"/>
      <name val="Arial"/>
      <family val="2"/>
    </font>
    <font>
      <sz val="10"/>
      <color indexed="39"/>
      <name val="Arial"/>
      <family val="2"/>
    </font>
    <font>
      <vertAlign val="subscript"/>
      <sz val="10"/>
      <color indexed="39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vertAlign val="subscript"/>
      <sz val="12"/>
      <name val="Arial"/>
      <family val="2"/>
    </font>
    <font>
      <b/>
      <i/>
      <sz val="8"/>
      <color indexed="10"/>
      <name val="Arial"/>
      <family val="2"/>
    </font>
    <font>
      <sz val="10"/>
      <color indexed="56"/>
      <name val="Arial"/>
      <family val="2"/>
    </font>
    <font>
      <b/>
      <sz val="12"/>
      <name val="Times New Roman"/>
      <family val="1"/>
    </font>
    <font>
      <b/>
      <vertAlign val="superscript"/>
      <sz val="10"/>
      <name val="Times New Roman"/>
      <family val="1"/>
    </font>
    <font>
      <b/>
      <sz val="12"/>
      <name val="Calibri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0"/>
      <color indexed="13"/>
      <name val="Arial"/>
      <family val="2"/>
    </font>
    <font>
      <b/>
      <sz val="10"/>
      <color indexed="17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3" fillId="0" borderId="0"/>
    <xf numFmtId="0" fontId="25" fillId="0" borderId="0"/>
    <xf numFmtId="9" fontId="1" fillId="0" borderId="0" applyFont="0" applyFill="0" applyBorder="0" applyAlignment="0" applyProtection="0"/>
  </cellStyleXfs>
  <cellXfs count="2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Continuous" vertical="center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 vertical="center"/>
    </xf>
    <xf numFmtId="0" fontId="0" fillId="0" borderId="8" xfId="0" applyBorder="1" applyAlignment="1">
      <alignment horizontal="centerContinuous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/>
    <xf numFmtId="0" fontId="0" fillId="0" borderId="5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2" xfId="0" applyBorder="1" applyAlignment="1">
      <alignment horizontal="centerContinuous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NumberFormat="1" applyBorder="1" applyAlignment="1">
      <alignment vertical="center"/>
    </xf>
    <xf numFmtId="0" fontId="0" fillId="0" borderId="13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0" xfId="0" applyFont="1"/>
    <xf numFmtId="0" fontId="20" fillId="0" borderId="0" xfId="0" applyFont="1" applyFill="1" applyBorder="1" applyAlignment="1" applyProtection="1">
      <alignment horizontal="centerContinuous" vertical="center"/>
    </xf>
    <xf numFmtId="0" fontId="10" fillId="0" borderId="0" xfId="0" applyFont="1" applyBorder="1" applyAlignment="1" applyProtection="1">
      <alignment vertical="center"/>
    </xf>
    <xf numFmtId="0" fontId="25" fillId="0" borderId="0" xfId="2"/>
    <xf numFmtId="164" fontId="13" fillId="0" borderId="0" xfId="0" applyNumberFormat="1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2" fontId="13" fillId="0" borderId="0" xfId="0" applyNumberFormat="1" applyFont="1" applyBorder="1" applyAlignment="1" applyProtection="1">
      <alignment vertical="center"/>
    </xf>
    <xf numFmtId="0" fontId="1" fillId="0" borderId="0" xfId="2" applyFont="1"/>
    <xf numFmtId="0" fontId="5" fillId="0" borderId="0" xfId="0" applyFont="1" applyBorder="1" applyAlignment="1" applyProtection="1">
      <alignment vertical="center"/>
    </xf>
    <xf numFmtId="0" fontId="28" fillId="0" borderId="0" xfId="0" applyFont="1" applyAlignment="1" applyProtection="1">
      <alignment vertical="center"/>
    </xf>
    <xf numFmtId="2" fontId="5" fillId="0" borderId="0" xfId="0" applyNumberFormat="1" applyFont="1" applyAlignment="1" applyProtection="1">
      <alignment horizontal="center"/>
    </xf>
    <xf numFmtId="0" fontId="1" fillId="0" borderId="0" xfId="2" applyFont="1" applyFill="1"/>
    <xf numFmtId="0" fontId="0" fillId="0" borderId="17" xfId="0" applyFill="1" applyBorder="1" applyAlignment="1">
      <alignment vertical="center"/>
    </xf>
    <xf numFmtId="0" fontId="53" fillId="0" borderId="0" xfId="1"/>
    <xf numFmtId="1" fontId="53" fillId="0" borderId="0" xfId="1" applyNumberFormat="1"/>
    <xf numFmtId="0" fontId="53" fillId="0" borderId="0" xfId="1" applyBorder="1"/>
    <xf numFmtId="0" fontId="53" fillId="0" borderId="24" xfId="1" applyBorder="1"/>
    <xf numFmtId="0" fontId="53" fillId="0" borderId="25" xfId="1" applyBorder="1"/>
    <xf numFmtId="0" fontId="1" fillId="0" borderId="0" xfId="1" applyFont="1"/>
    <xf numFmtId="0" fontId="1" fillId="0" borderId="24" xfId="1" applyFont="1" applyBorder="1"/>
    <xf numFmtId="0" fontId="12" fillId="0" borderId="0" xfId="1" applyFont="1"/>
    <xf numFmtId="0" fontId="26" fillId="0" borderId="0" xfId="1" applyFont="1"/>
    <xf numFmtId="0" fontId="43" fillId="0" borderId="0" xfId="1" applyFont="1"/>
    <xf numFmtId="0" fontId="21" fillId="0" borderId="26" xfId="0" applyFont="1" applyFill="1" applyBorder="1" applyAlignment="1" applyProtection="1">
      <alignment horizontal="centerContinuous" vertical="center"/>
    </xf>
    <xf numFmtId="0" fontId="22" fillId="0" borderId="26" xfId="0" applyFont="1" applyFill="1" applyBorder="1" applyAlignment="1" applyProtection="1">
      <alignment vertical="center"/>
    </xf>
    <xf numFmtId="0" fontId="10" fillId="0" borderId="27" xfId="0" applyFont="1" applyBorder="1" applyAlignment="1" applyProtection="1">
      <alignment vertical="center"/>
    </xf>
    <xf numFmtId="0" fontId="10" fillId="0" borderId="28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1" fontId="13" fillId="0" borderId="0" xfId="0" applyNumberFormat="1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vertical="center"/>
    </xf>
    <xf numFmtId="2" fontId="13" fillId="0" borderId="0" xfId="0" applyNumberFormat="1" applyFont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center" vertical="center" wrapText="1"/>
    </xf>
    <xf numFmtId="0" fontId="13" fillId="0" borderId="29" xfId="0" applyFont="1" applyBorder="1" applyAlignment="1" applyProtection="1">
      <alignment horizontal="center" vertical="center"/>
    </xf>
    <xf numFmtId="0" fontId="13" fillId="0" borderId="30" xfId="0" applyFont="1" applyBorder="1" applyAlignment="1" applyProtection="1">
      <alignment vertical="center"/>
    </xf>
    <xf numFmtId="1" fontId="13" fillId="0" borderId="31" xfId="0" applyNumberFormat="1" applyFont="1" applyBorder="1" applyAlignment="1" applyProtection="1">
      <alignment vertical="center"/>
    </xf>
    <xf numFmtId="0" fontId="28" fillId="0" borderId="0" xfId="0" applyFont="1" applyAlignment="1" applyProtection="1">
      <alignment horizontal="center" vertical="center" wrapText="1"/>
    </xf>
    <xf numFmtId="0" fontId="30" fillId="0" borderId="0" xfId="0" applyFont="1" applyAlignment="1" applyProtection="1">
      <alignment horizontal="left" vertical="center"/>
    </xf>
    <xf numFmtId="0" fontId="28" fillId="0" borderId="0" xfId="0" applyFont="1" applyAlignment="1" applyProtection="1">
      <alignment horizontal="right" vertical="center" wrapText="1"/>
    </xf>
    <xf numFmtId="0" fontId="7" fillId="0" borderId="0" xfId="0" applyFont="1" applyAlignment="1" applyProtection="1">
      <alignment horizontal="center" vertical="center" wrapText="1"/>
    </xf>
    <xf numFmtId="0" fontId="13" fillId="0" borderId="32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1" fontId="13" fillId="0" borderId="33" xfId="0" applyNumberFormat="1" applyFont="1" applyBorder="1" applyAlignment="1" applyProtection="1">
      <alignment vertical="center"/>
    </xf>
    <xf numFmtId="0" fontId="28" fillId="0" borderId="0" xfId="0" applyFont="1" applyAlignment="1" applyProtection="1">
      <alignment horizontal="right" vertical="center"/>
    </xf>
    <xf numFmtId="0" fontId="13" fillId="0" borderId="32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horizontal="center" vertical="center"/>
    </xf>
    <xf numFmtId="1" fontId="13" fillId="0" borderId="0" xfId="0" applyNumberFormat="1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1" fontId="28" fillId="0" borderId="0" xfId="0" applyNumberFormat="1" applyFont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1" fillId="0" borderId="0" xfId="0" applyFont="1" applyAlignment="1" applyProtection="1">
      <alignment vertical="center"/>
    </xf>
    <xf numFmtId="0" fontId="13" fillId="0" borderId="0" xfId="0" applyFont="1" applyBorder="1" applyAlignment="1" applyProtection="1">
      <alignment horizontal="right" vertical="center"/>
    </xf>
    <xf numFmtId="1" fontId="13" fillId="0" borderId="32" xfId="0" applyNumberFormat="1" applyFont="1" applyBorder="1" applyAlignment="1" applyProtection="1">
      <alignment vertical="center"/>
    </xf>
    <xf numFmtId="0" fontId="29" fillId="2" borderId="0" xfId="0" applyFont="1" applyFill="1" applyAlignment="1" applyProtection="1">
      <alignment vertical="center"/>
    </xf>
    <xf numFmtId="0" fontId="28" fillId="2" borderId="0" xfId="0" applyFont="1" applyFill="1" applyAlignment="1" applyProtection="1">
      <alignment vertical="center"/>
    </xf>
    <xf numFmtId="0" fontId="28" fillId="0" borderId="0" xfId="0" applyFont="1" applyAlignment="1" applyProtection="1">
      <alignment horizontal="left" vertical="center"/>
    </xf>
    <xf numFmtId="0" fontId="13" fillId="0" borderId="33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horizontal="left" vertical="center"/>
    </xf>
    <xf numFmtId="1" fontId="13" fillId="0" borderId="0" xfId="0" applyNumberFormat="1" applyFont="1" applyBorder="1" applyAlignment="1" applyProtection="1">
      <alignment horizontal="left"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vertical="center"/>
    </xf>
    <xf numFmtId="0" fontId="42" fillId="0" borderId="0" xfId="0" applyFont="1" applyAlignment="1" applyProtection="1">
      <alignment vertical="center"/>
    </xf>
    <xf numFmtId="0" fontId="17" fillId="0" borderId="33" xfId="0" applyFont="1" applyBorder="1" applyAlignment="1" applyProtection="1">
      <alignment horizontal="left" vertical="center"/>
    </xf>
    <xf numFmtId="0" fontId="13" fillId="0" borderId="33" xfId="0" applyFont="1" applyBorder="1" applyAlignment="1" applyProtection="1">
      <alignment horizontal="left" vertical="center"/>
    </xf>
    <xf numFmtId="2" fontId="28" fillId="0" borderId="0" xfId="0" applyNumberFormat="1" applyFont="1" applyAlignment="1" applyProtection="1">
      <alignment vertical="center"/>
    </xf>
    <xf numFmtId="0" fontId="17" fillId="0" borderId="0" xfId="0" applyFont="1" applyBorder="1" applyAlignment="1" applyProtection="1">
      <alignment horizontal="left" vertical="center"/>
    </xf>
    <xf numFmtId="0" fontId="49" fillId="2" borderId="0" xfId="0" applyFont="1" applyFill="1" applyAlignment="1" applyProtection="1">
      <alignment horizontal="center" vertical="center" wrapText="1"/>
    </xf>
    <xf numFmtId="0" fontId="13" fillId="0" borderId="0" xfId="0" quotePrefix="1" applyFont="1" applyBorder="1" applyAlignment="1" applyProtection="1">
      <alignment vertical="center"/>
    </xf>
    <xf numFmtId="0" fontId="1" fillId="0" borderId="0" xfId="0" applyFont="1" applyProtection="1"/>
    <xf numFmtId="0" fontId="34" fillId="0" borderId="0" xfId="0" applyFont="1" applyAlignment="1" applyProtection="1">
      <alignment vertical="center"/>
    </xf>
    <xf numFmtId="2" fontId="34" fillId="0" borderId="0" xfId="0" applyNumberFormat="1" applyFont="1" applyAlignment="1" applyProtection="1">
      <alignment vertical="center"/>
    </xf>
    <xf numFmtId="2" fontId="31" fillId="0" borderId="0" xfId="0" applyNumberFormat="1" applyFont="1" applyAlignment="1" applyProtection="1">
      <alignment vertical="center"/>
    </xf>
    <xf numFmtId="2" fontId="28" fillId="0" borderId="0" xfId="0" applyNumberFormat="1" applyFont="1" applyAlignment="1" applyProtection="1">
      <alignment horizontal="right" vertical="center"/>
    </xf>
    <xf numFmtId="0" fontId="24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0" fontId="1" fillId="0" borderId="0" xfId="0" applyFont="1" applyBorder="1" applyProtection="1"/>
    <xf numFmtId="0" fontId="28" fillId="0" borderId="0" xfId="0" applyFont="1" applyBorder="1" applyAlignment="1" applyProtection="1">
      <alignment horizontal="right" vertical="center"/>
    </xf>
    <xf numFmtId="167" fontId="28" fillId="0" borderId="0" xfId="0" applyNumberFormat="1" applyFont="1" applyBorder="1" applyAlignment="1" applyProtection="1">
      <alignment vertical="center"/>
    </xf>
    <xf numFmtId="0" fontId="34" fillId="0" borderId="34" xfId="0" applyFont="1" applyBorder="1" applyAlignment="1" applyProtection="1">
      <alignment vertical="center"/>
    </xf>
    <xf numFmtId="0" fontId="34" fillId="0" borderId="35" xfId="0" applyFont="1" applyBorder="1" applyAlignment="1" applyProtection="1">
      <alignment horizontal="left" vertical="center"/>
    </xf>
    <xf numFmtId="9" fontId="28" fillId="0" borderId="0" xfId="3" applyFont="1" applyAlignment="1" applyProtection="1">
      <alignment vertical="center"/>
    </xf>
    <xf numFmtId="0" fontId="34" fillId="0" borderId="36" xfId="0" applyFont="1" applyBorder="1" applyAlignment="1" applyProtection="1">
      <alignment vertical="center"/>
    </xf>
    <xf numFmtId="0" fontId="34" fillId="0" borderId="37" xfId="0" applyFont="1" applyBorder="1" applyAlignment="1" applyProtection="1">
      <alignment horizontal="left" vertical="center"/>
    </xf>
    <xf numFmtId="2" fontId="29" fillId="0" borderId="0" xfId="0" applyNumberFormat="1" applyFont="1" applyAlignment="1" applyProtection="1">
      <alignment vertical="center"/>
    </xf>
    <xf numFmtId="0" fontId="13" fillId="0" borderId="0" xfId="0" applyFont="1" applyBorder="1" applyAlignment="1" applyProtection="1">
      <alignment vertical="top"/>
    </xf>
    <xf numFmtId="0" fontId="23" fillId="0" borderId="0" xfId="0" applyFont="1" applyBorder="1" applyAlignment="1" applyProtection="1">
      <alignment vertical="top"/>
    </xf>
    <xf numFmtId="0" fontId="34" fillId="0" borderId="38" xfId="0" applyFont="1" applyBorder="1" applyAlignment="1" applyProtection="1">
      <alignment vertical="center"/>
    </xf>
    <xf numFmtId="0" fontId="34" fillId="0" borderId="39" xfId="0" applyFont="1" applyBorder="1" applyAlignment="1" applyProtection="1">
      <alignment horizontal="left" vertical="center"/>
    </xf>
    <xf numFmtId="0" fontId="34" fillId="0" borderId="40" xfId="0" applyFont="1" applyBorder="1" applyAlignment="1" applyProtection="1">
      <alignment vertical="center"/>
    </xf>
    <xf numFmtId="0" fontId="34" fillId="0" borderId="41" xfId="0" applyFont="1" applyBorder="1" applyAlignment="1" applyProtection="1">
      <alignment horizontal="left" vertical="center"/>
    </xf>
    <xf numFmtId="165" fontId="28" fillId="2" borderId="0" xfId="0" applyNumberFormat="1" applyFont="1" applyFill="1" applyAlignment="1" applyProtection="1">
      <alignment vertical="center"/>
    </xf>
    <xf numFmtId="0" fontId="13" fillId="0" borderId="42" xfId="0" applyFont="1" applyBorder="1" applyAlignment="1" applyProtection="1">
      <alignment vertical="center"/>
    </xf>
    <xf numFmtId="1" fontId="13" fillId="0" borderId="43" xfId="0" applyNumberFormat="1" applyFont="1" applyBorder="1" applyAlignment="1" applyProtection="1">
      <alignment vertical="center"/>
    </xf>
    <xf numFmtId="1" fontId="13" fillId="0" borderId="44" xfId="0" applyNumberFormat="1" applyFont="1" applyBorder="1" applyAlignment="1" applyProtection="1">
      <alignment vertical="center"/>
    </xf>
    <xf numFmtId="1" fontId="24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horizontal="center" vertical="center"/>
    </xf>
    <xf numFmtId="2" fontId="12" fillId="0" borderId="0" xfId="0" applyNumberFormat="1" applyFont="1" applyBorder="1" applyProtection="1"/>
    <xf numFmtId="0" fontId="35" fillId="0" borderId="0" xfId="0" applyFont="1" applyFill="1" applyBorder="1" applyAlignment="1" applyProtection="1">
      <alignment horizontal="left" vertical="center"/>
    </xf>
    <xf numFmtId="0" fontId="37" fillId="0" borderId="0" xfId="0" applyFont="1" applyBorder="1" applyProtection="1"/>
    <xf numFmtId="2" fontId="17" fillId="0" borderId="0" xfId="0" applyNumberFormat="1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Continuous"/>
    </xf>
    <xf numFmtId="0" fontId="24" fillId="0" borderId="0" xfId="0" applyFont="1" applyBorder="1" applyAlignment="1" applyProtection="1">
      <alignment horizontal="center"/>
    </xf>
    <xf numFmtId="0" fontId="5" fillId="0" borderId="0" xfId="0" applyFont="1" applyBorder="1" applyProtection="1"/>
    <xf numFmtId="0" fontId="11" fillId="0" borderId="0" xfId="0" applyFont="1" applyBorder="1" applyProtection="1"/>
    <xf numFmtId="1" fontId="17" fillId="0" borderId="0" xfId="0" applyNumberFormat="1" applyFont="1" applyBorder="1" applyAlignment="1" applyProtection="1">
      <alignment vertical="center"/>
    </xf>
    <xf numFmtId="2" fontId="13" fillId="0" borderId="33" xfId="0" applyNumberFormat="1" applyFont="1" applyBorder="1" applyAlignment="1" applyProtection="1">
      <alignment vertical="center"/>
    </xf>
    <xf numFmtId="167" fontId="28" fillId="0" borderId="24" xfId="0" applyNumberFormat="1" applyFont="1" applyBorder="1" applyAlignment="1" applyProtection="1">
      <alignment vertical="center"/>
    </xf>
    <xf numFmtId="0" fontId="28" fillId="0" borderId="24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vertical="center"/>
    </xf>
    <xf numFmtId="1" fontId="27" fillId="0" borderId="0" xfId="0" applyNumberFormat="1" applyFont="1" applyBorder="1" applyAlignment="1" applyProtection="1">
      <alignment horizontal="right" vertical="center"/>
    </xf>
    <xf numFmtId="0" fontId="38" fillId="0" borderId="0" xfId="0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1" fontId="13" fillId="0" borderId="0" xfId="0" applyNumberFormat="1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center" vertical="center"/>
    </xf>
    <xf numFmtId="0" fontId="13" fillId="0" borderId="43" xfId="0" applyFont="1" applyBorder="1" applyAlignment="1" applyProtection="1">
      <alignment vertical="center"/>
    </xf>
    <xf numFmtId="0" fontId="13" fillId="0" borderId="43" xfId="0" applyFont="1" applyBorder="1" applyAlignment="1" applyProtection="1">
      <alignment horizontal="right" vertical="center"/>
    </xf>
    <xf numFmtId="1" fontId="13" fillId="0" borderId="43" xfId="0" applyNumberFormat="1" applyFont="1" applyBorder="1" applyAlignment="1" applyProtection="1">
      <alignment horizontal="right" vertical="center"/>
    </xf>
    <xf numFmtId="1" fontId="13" fillId="0" borderId="43" xfId="0" applyNumberFormat="1" applyFont="1" applyBorder="1" applyAlignment="1" applyProtection="1">
      <alignment horizontal="left" vertical="center"/>
    </xf>
    <xf numFmtId="0" fontId="0" fillId="0" borderId="43" xfId="0" applyBorder="1" applyAlignment="1" applyProtection="1">
      <alignment vertical="center"/>
    </xf>
    <xf numFmtId="166" fontId="28" fillId="0" borderId="0" xfId="0" applyNumberFormat="1" applyFont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9" fontId="19" fillId="0" borderId="0" xfId="3" applyFont="1" applyBorder="1" applyAlignment="1" applyProtection="1">
      <alignment vertical="center"/>
    </xf>
    <xf numFmtId="1" fontId="29" fillId="0" borderId="0" xfId="0" applyNumberFormat="1" applyFont="1" applyBorder="1" applyAlignment="1" applyProtection="1">
      <alignment vertical="center"/>
    </xf>
    <xf numFmtId="0" fontId="29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29" fillId="0" borderId="0" xfId="0" applyFont="1" applyBorder="1" applyAlignment="1" applyProtection="1">
      <alignment vertical="center"/>
    </xf>
    <xf numFmtId="0" fontId="29" fillId="0" borderId="0" xfId="0" quotePrefix="1" applyFont="1" applyAlignment="1" applyProtection="1">
      <alignment vertical="center"/>
    </xf>
    <xf numFmtId="0" fontId="48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left"/>
    </xf>
    <xf numFmtId="0" fontId="48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39" fillId="0" borderId="0" xfId="0" applyFont="1" applyBorder="1" applyAlignment="1" applyProtection="1">
      <alignment horizontal="left"/>
    </xf>
    <xf numFmtId="2" fontId="48" fillId="0" borderId="0" xfId="0" applyNumberFormat="1" applyFont="1" applyBorder="1" applyAlignment="1" applyProtection="1">
      <alignment horizontal="left"/>
    </xf>
    <xf numFmtId="165" fontId="48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2" fontId="48" fillId="0" borderId="0" xfId="0" applyNumberFormat="1" applyFont="1" applyBorder="1" applyAlignment="1" applyProtection="1">
      <alignment horizontal="center"/>
    </xf>
    <xf numFmtId="0" fontId="40" fillId="0" borderId="0" xfId="0" applyFont="1" applyProtection="1"/>
    <xf numFmtId="2" fontId="1" fillId="0" borderId="0" xfId="0" applyNumberFormat="1" applyFont="1" applyAlignment="1" applyProtection="1">
      <alignment horizontal="left"/>
    </xf>
    <xf numFmtId="2" fontId="1" fillId="0" borderId="0" xfId="0" applyNumberFormat="1" applyFont="1" applyProtection="1"/>
    <xf numFmtId="2" fontId="1" fillId="0" borderId="0" xfId="0" applyNumberFormat="1" applyFont="1" applyAlignment="1" applyProtection="1">
      <alignment horizontal="center"/>
    </xf>
    <xf numFmtId="0" fontId="5" fillId="0" borderId="45" xfId="0" applyFont="1" applyBorder="1" applyAlignment="1" applyProtection="1">
      <alignment horizontal="center" vertical="center" wrapText="1"/>
    </xf>
    <xf numFmtId="0" fontId="5" fillId="0" borderId="46" xfId="0" applyFont="1" applyBorder="1" applyAlignment="1" applyProtection="1">
      <alignment horizontal="center" vertical="center" wrapText="1"/>
    </xf>
    <xf numFmtId="0" fontId="5" fillId="0" borderId="47" xfId="0" applyFont="1" applyFill="1" applyBorder="1" applyAlignment="1" applyProtection="1">
      <alignment horizontal="center" vertical="center"/>
    </xf>
    <xf numFmtId="0" fontId="5" fillId="0" borderId="47" xfId="0" applyFont="1" applyBorder="1" applyAlignment="1" applyProtection="1">
      <alignment horizontal="center" vertical="center"/>
    </xf>
    <xf numFmtId="0" fontId="5" fillId="0" borderId="48" xfId="0" applyFont="1" applyBorder="1" applyAlignment="1" applyProtection="1">
      <alignment horizontal="center" vertical="center"/>
    </xf>
    <xf numFmtId="0" fontId="5" fillId="0" borderId="49" xfId="0" applyFont="1" applyFill="1" applyBorder="1" applyAlignment="1" applyProtection="1">
      <alignment horizontal="center" vertical="center"/>
    </xf>
    <xf numFmtId="0" fontId="5" fillId="0" borderId="49" xfId="0" applyFont="1" applyBorder="1" applyAlignment="1" applyProtection="1">
      <alignment horizontal="center" vertical="center"/>
    </xf>
    <xf numFmtId="0" fontId="5" fillId="0" borderId="50" xfId="0" applyFont="1" applyBorder="1" applyAlignment="1" applyProtection="1">
      <alignment horizontal="center" vertical="center"/>
    </xf>
    <xf numFmtId="0" fontId="5" fillId="0" borderId="51" xfId="0" applyFont="1" applyFill="1" applyBorder="1" applyAlignment="1" applyProtection="1">
      <alignment horizontal="center" vertical="center"/>
    </xf>
    <xf numFmtId="0" fontId="5" fillId="0" borderId="51" xfId="0" applyFont="1" applyBorder="1" applyAlignment="1" applyProtection="1">
      <alignment horizontal="center" vertical="center"/>
    </xf>
    <xf numFmtId="0" fontId="5" fillId="0" borderId="52" xfId="0" applyFont="1" applyBorder="1" applyAlignment="1" applyProtection="1">
      <alignment horizontal="center" vertical="center"/>
    </xf>
    <xf numFmtId="0" fontId="1" fillId="0" borderId="30" xfId="0" applyFont="1" applyBorder="1" applyAlignment="1" applyProtection="1">
      <alignment horizontal="left"/>
    </xf>
    <xf numFmtId="0" fontId="1" fillId="0" borderId="31" xfId="0" applyFont="1" applyBorder="1" applyAlignment="1" applyProtection="1">
      <alignment horizontal="left"/>
    </xf>
    <xf numFmtId="0" fontId="5" fillId="0" borderId="43" xfId="0" applyFont="1" applyBorder="1" applyAlignment="1" applyProtection="1">
      <alignment horizontal="left" vertical="center"/>
    </xf>
    <xf numFmtId="0" fontId="5" fillId="0" borderId="44" xfId="0" applyFont="1" applyBorder="1" applyAlignment="1" applyProtection="1">
      <alignment horizontal="left" vertical="center"/>
    </xf>
    <xf numFmtId="0" fontId="1" fillId="0" borderId="45" xfId="0" applyFont="1" applyBorder="1" applyAlignment="1" applyProtection="1">
      <alignment horizontal="left"/>
    </xf>
    <xf numFmtId="0" fontId="38" fillId="0" borderId="46" xfId="0" applyFont="1" applyBorder="1" applyAlignment="1" applyProtection="1">
      <alignment horizontal="left"/>
    </xf>
    <xf numFmtId="0" fontId="1" fillId="0" borderId="47" xfId="0" applyFont="1" applyBorder="1" applyAlignment="1" applyProtection="1">
      <alignment horizontal="left"/>
    </xf>
    <xf numFmtId="0" fontId="1" fillId="0" borderId="48" xfId="0" applyFont="1" applyBorder="1" applyAlignment="1" applyProtection="1">
      <alignment horizontal="left"/>
    </xf>
    <xf numFmtId="0" fontId="1" fillId="0" borderId="49" xfId="0" applyFont="1" applyBorder="1" applyAlignment="1" applyProtection="1">
      <alignment horizontal="left"/>
    </xf>
    <xf numFmtId="0" fontId="1" fillId="0" borderId="50" xfId="0" applyFont="1" applyBorder="1" applyAlignment="1" applyProtection="1">
      <alignment horizontal="left"/>
    </xf>
    <xf numFmtId="0" fontId="1" fillId="0" borderId="51" xfId="0" applyFont="1" applyBorder="1" applyAlignment="1" applyProtection="1">
      <alignment horizontal="left"/>
    </xf>
    <xf numFmtId="0" fontId="1" fillId="0" borderId="52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/>
    </xf>
    <xf numFmtId="0" fontId="1" fillId="0" borderId="53" xfId="0" applyFont="1" applyBorder="1" applyAlignment="1" applyProtection="1">
      <alignment vertical="center" wrapText="1"/>
    </xf>
    <xf numFmtId="0" fontId="1" fillId="0" borderId="54" xfId="0" applyFont="1" applyBorder="1" applyAlignment="1" applyProtection="1">
      <alignment vertical="center"/>
    </xf>
    <xf numFmtId="0" fontId="1" fillId="0" borderId="35" xfId="0" applyFont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38" fillId="0" borderId="55" xfId="0" applyFont="1" applyBorder="1" applyAlignment="1" applyProtection="1">
      <alignment vertical="center"/>
    </xf>
    <xf numFmtId="0" fontId="1" fillId="0" borderId="56" xfId="0" applyFont="1" applyBorder="1" applyAlignment="1" applyProtection="1">
      <alignment vertical="center"/>
    </xf>
    <xf numFmtId="0" fontId="1" fillId="0" borderId="41" xfId="0" applyFont="1" applyBorder="1" applyAlignment="1" applyProtection="1">
      <alignment vertical="center"/>
    </xf>
    <xf numFmtId="0" fontId="5" fillId="0" borderId="57" xfId="0" applyFont="1" applyBorder="1" applyAlignment="1" applyProtection="1">
      <alignment horizontal="center" vertical="center"/>
    </xf>
    <xf numFmtId="164" fontId="5" fillId="0" borderId="58" xfId="0" applyNumberFormat="1" applyFont="1" applyBorder="1" applyAlignment="1" applyProtection="1">
      <alignment horizontal="center" vertical="center"/>
    </xf>
    <xf numFmtId="164" fontId="5" fillId="0" borderId="59" xfId="0" applyNumberFormat="1" applyFont="1" applyBorder="1" applyAlignment="1" applyProtection="1">
      <alignment horizontal="center" vertical="center"/>
    </xf>
    <xf numFmtId="164" fontId="5" fillId="0" borderId="60" xfId="0" applyNumberFormat="1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vertical="center"/>
    </xf>
    <xf numFmtId="0" fontId="1" fillId="2" borderId="12" xfId="0" applyFont="1" applyFill="1" applyBorder="1" applyAlignment="1" applyProtection="1">
      <alignment vertical="center"/>
    </xf>
    <xf numFmtId="0" fontId="1" fillId="2" borderId="14" xfId="0" applyFont="1" applyFill="1" applyBorder="1" applyAlignment="1" applyProtection="1">
      <alignment vertical="center"/>
    </xf>
    <xf numFmtId="0" fontId="50" fillId="0" borderId="0" xfId="0" applyFont="1" applyBorder="1" applyAlignment="1" applyProtection="1">
      <alignment vertical="center"/>
    </xf>
    <xf numFmtId="0" fontId="50" fillId="0" borderId="43" xfId="0" applyFont="1" applyBorder="1" applyAlignment="1" applyProtection="1">
      <alignment vertical="center"/>
    </xf>
    <xf numFmtId="10" fontId="28" fillId="0" borderId="0" xfId="3" applyNumberFormat="1" applyFont="1" applyAlignment="1" applyProtection="1">
      <alignment vertical="center"/>
    </xf>
    <xf numFmtId="10" fontId="24" fillId="0" borderId="0" xfId="0" applyNumberFormat="1" applyFont="1" applyBorder="1" applyAlignment="1" applyProtection="1">
      <alignment vertical="center"/>
    </xf>
    <xf numFmtId="10" fontId="28" fillId="0" borderId="0" xfId="0" applyNumberFormat="1" applyFont="1" applyAlignment="1" applyProtection="1">
      <alignment vertical="center"/>
    </xf>
    <xf numFmtId="10" fontId="28" fillId="0" borderId="0" xfId="3" applyNumberFormat="1" applyFont="1" applyBorder="1" applyAlignment="1" applyProtection="1">
      <alignment vertical="center"/>
    </xf>
    <xf numFmtId="0" fontId="13" fillId="0" borderId="29" xfId="0" applyFont="1" applyBorder="1" applyAlignment="1" applyProtection="1">
      <alignment vertical="center"/>
    </xf>
    <xf numFmtId="0" fontId="15" fillId="0" borderId="30" xfId="0" applyFont="1" applyBorder="1" applyAlignment="1" applyProtection="1">
      <alignment vertical="center"/>
    </xf>
    <xf numFmtId="0" fontId="13" fillId="0" borderId="30" xfId="0" applyFont="1" applyBorder="1" applyAlignment="1" applyProtection="1">
      <alignment horizontal="right" vertical="center"/>
    </xf>
    <xf numFmtId="2" fontId="13" fillId="0" borderId="30" xfId="0" applyNumberFormat="1" applyFont="1" applyBorder="1" applyAlignment="1" applyProtection="1">
      <alignment vertical="center"/>
    </xf>
    <xf numFmtId="0" fontId="13" fillId="0" borderId="31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43" xfId="0" applyBorder="1" applyAlignment="1">
      <alignment vertical="center"/>
    </xf>
    <xf numFmtId="0" fontId="14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</xf>
    <xf numFmtId="2" fontId="13" fillId="0" borderId="0" xfId="0" applyNumberFormat="1" applyFont="1" applyBorder="1" applyAlignment="1" applyProtection="1">
      <alignment horizontal="left" vertical="center"/>
    </xf>
    <xf numFmtId="2" fontId="13" fillId="0" borderId="0" xfId="0" applyNumberFormat="1" applyFont="1" applyBorder="1" applyAlignment="1" applyProtection="1">
      <alignment horizontal="left" vertical="center"/>
    </xf>
    <xf numFmtId="0" fontId="0" fillId="0" borderId="0" xfId="0" applyBorder="1" applyAlignment="1">
      <alignment vertical="center"/>
    </xf>
    <xf numFmtId="164" fontId="13" fillId="0" borderId="0" xfId="0" applyNumberFormat="1" applyFont="1" applyBorder="1" applyAlignment="1" applyProtection="1">
      <alignment vertical="center"/>
    </xf>
    <xf numFmtId="0" fontId="20" fillId="0" borderId="27" xfId="0" applyFont="1" applyFill="1" applyBorder="1" applyAlignment="1" applyProtection="1">
      <alignment horizontal="center" vertical="center" wrapText="1"/>
    </xf>
    <xf numFmtId="0" fontId="0" fillId="0" borderId="27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61" xfId="0" applyFont="1" applyBorder="1" applyAlignment="1" applyProtection="1">
      <alignment vertical="center"/>
    </xf>
    <xf numFmtId="0" fontId="23" fillId="0" borderId="61" xfId="0" applyFont="1" applyBorder="1" applyAlignment="1" applyProtection="1">
      <alignment vertical="center"/>
    </xf>
    <xf numFmtId="0" fontId="0" fillId="0" borderId="61" xfId="0" applyBorder="1" applyAlignment="1" applyProtection="1">
      <alignment vertical="center"/>
    </xf>
    <xf numFmtId="0" fontId="13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1" fontId="13" fillId="0" borderId="0" xfId="0" applyNumberFormat="1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54" fillId="0" borderId="0" xfId="0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33" xfId="0" applyBorder="1" applyAlignment="1">
      <alignment vertical="center"/>
    </xf>
    <xf numFmtId="0" fontId="0" fillId="0" borderId="0" xfId="0" applyBorder="1" applyAlignment="1" applyProtection="1">
      <alignment vertical="center"/>
    </xf>
    <xf numFmtId="0" fontId="13" fillId="0" borderId="0" xfId="0" applyFont="1" applyBorder="1" applyAlignment="1" applyProtection="1">
      <alignment horizontal="left" vertical="center"/>
    </xf>
    <xf numFmtId="1" fontId="13" fillId="0" borderId="0" xfId="0" applyNumberFormat="1" applyFont="1" applyBorder="1" applyAlignment="1" applyProtection="1">
      <alignment horizontal="right" vertical="center"/>
    </xf>
    <xf numFmtId="2" fontId="13" fillId="0" borderId="0" xfId="0" applyNumberFormat="1" applyFont="1" applyBorder="1" applyAlignment="1" applyProtection="1">
      <alignment horizontal="right" vertical="center"/>
    </xf>
    <xf numFmtId="165" fontId="13" fillId="0" borderId="0" xfId="0" applyNumberFormat="1" applyFont="1" applyBorder="1" applyAlignment="1" applyProtection="1">
      <alignment horizontal="right" vertical="center"/>
    </xf>
    <xf numFmtId="2" fontId="13" fillId="0" borderId="43" xfId="0" applyNumberFormat="1" applyFont="1" applyBorder="1" applyAlignment="1" applyProtection="1">
      <alignment horizontal="right" vertical="center"/>
    </xf>
    <xf numFmtId="2" fontId="13" fillId="0" borderId="0" xfId="0" applyNumberFormat="1" applyFont="1" applyBorder="1" applyAlignment="1" applyProtection="1">
      <alignment vertical="center"/>
    </xf>
    <xf numFmtId="167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center" vertical="center"/>
    </xf>
  </cellXfs>
  <cellStyles count="4">
    <cellStyle name="Normal" xfId="0" builtinId="0"/>
    <cellStyle name="Normal 2" xfId="1"/>
    <cellStyle name="Normal_Sheet2" xfId="2"/>
    <cellStyle name="Percent" xfId="3" builtinId="5"/>
  </cellStyles>
  <dxfs count="3">
    <dxf>
      <font>
        <u/>
        <color rgb="FFFF0000"/>
      </font>
    </dxf>
    <dxf>
      <font>
        <u/>
        <color rgb="FFFF0000"/>
      </font>
    </dxf>
    <dxf>
      <font>
        <strike val="0"/>
        <u/>
        <color rgb="FFFF000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35</xdr:row>
      <xdr:rowOff>85725</xdr:rowOff>
    </xdr:from>
    <xdr:to>
      <xdr:col>33</xdr:col>
      <xdr:colOff>0</xdr:colOff>
      <xdr:row>35</xdr:row>
      <xdr:rowOff>85725</xdr:rowOff>
    </xdr:to>
    <xdr:sp macro="" textlink="">
      <xdr:nvSpPr>
        <xdr:cNvPr id="234214" name="Line 16"/>
        <xdr:cNvSpPr>
          <a:spLocks noChangeShapeType="1"/>
        </xdr:cNvSpPr>
      </xdr:nvSpPr>
      <xdr:spPr bwMode="auto">
        <a:xfrm>
          <a:off x="10239375" y="8172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33</xdr:col>
      <xdr:colOff>0</xdr:colOff>
      <xdr:row>36</xdr:row>
      <xdr:rowOff>85725</xdr:rowOff>
    </xdr:from>
    <xdr:to>
      <xdr:col>33</xdr:col>
      <xdr:colOff>0</xdr:colOff>
      <xdr:row>36</xdr:row>
      <xdr:rowOff>85725</xdr:rowOff>
    </xdr:to>
    <xdr:sp macro="" textlink="">
      <xdr:nvSpPr>
        <xdr:cNvPr id="234215" name="Line 17"/>
        <xdr:cNvSpPr>
          <a:spLocks noChangeShapeType="1"/>
        </xdr:cNvSpPr>
      </xdr:nvSpPr>
      <xdr:spPr bwMode="auto">
        <a:xfrm>
          <a:off x="10239375" y="8362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33</xdr:col>
      <xdr:colOff>0</xdr:colOff>
      <xdr:row>38</xdr:row>
      <xdr:rowOff>85725</xdr:rowOff>
    </xdr:from>
    <xdr:to>
      <xdr:col>33</xdr:col>
      <xdr:colOff>0</xdr:colOff>
      <xdr:row>38</xdr:row>
      <xdr:rowOff>85725</xdr:rowOff>
    </xdr:to>
    <xdr:sp macro="" textlink="">
      <xdr:nvSpPr>
        <xdr:cNvPr id="234216" name="Line 19"/>
        <xdr:cNvSpPr>
          <a:spLocks noChangeShapeType="1"/>
        </xdr:cNvSpPr>
      </xdr:nvSpPr>
      <xdr:spPr bwMode="auto">
        <a:xfrm flipH="1">
          <a:off x="10239375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33</xdr:col>
      <xdr:colOff>0</xdr:colOff>
      <xdr:row>35</xdr:row>
      <xdr:rowOff>85725</xdr:rowOff>
    </xdr:from>
    <xdr:to>
      <xdr:col>33</xdr:col>
      <xdr:colOff>0</xdr:colOff>
      <xdr:row>35</xdr:row>
      <xdr:rowOff>85725</xdr:rowOff>
    </xdr:to>
    <xdr:sp macro="" textlink="">
      <xdr:nvSpPr>
        <xdr:cNvPr id="234217" name="Line 20"/>
        <xdr:cNvSpPr>
          <a:spLocks noChangeShapeType="1"/>
        </xdr:cNvSpPr>
      </xdr:nvSpPr>
      <xdr:spPr bwMode="auto">
        <a:xfrm>
          <a:off x="10239375" y="8172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33</xdr:col>
      <xdr:colOff>0</xdr:colOff>
      <xdr:row>36</xdr:row>
      <xdr:rowOff>85725</xdr:rowOff>
    </xdr:from>
    <xdr:to>
      <xdr:col>33</xdr:col>
      <xdr:colOff>0</xdr:colOff>
      <xdr:row>36</xdr:row>
      <xdr:rowOff>85725</xdr:rowOff>
    </xdr:to>
    <xdr:sp macro="" textlink="">
      <xdr:nvSpPr>
        <xdr:cNvPr id="234218" name="Line 21"/>
        <xdr:cNvSpPr>
          <a:spLocks noChangeShapeType="1"/>
        </xdr:cNvSpPr>
      </xdr:nvSpPr>
      <xdr:spPr bwMode="auto">
        <a:xfrm>
          <a:off x="10239375" y="8362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33</xdr:col>
      <xdr:colOff>0</xdr:colOff>
      <xdr:row>38</xdr:row>
      <xdr:rowOff>85725</xdr:rowOff>
    </xdr:from>
    <xdr:to>
      <xdr:col>33</xdr:col>
      <xdr:colOff>0</xdr:colOff>
      <xdr:row>38</xdr:row>
      <xdr:rowOff>85725</xdr:rowOff>
    </xdr:to>
    <xdr:sp macro="" textlink="">
      <xdr:nvSpPr>
        <xdr:cNvPr id="234219" name="Line 23"/>
        <xdr:cNvSpPr>
          <a:spLocks noChangeShapeType="1"/>
        </xdr:cNvSpPr>
      </xdr:nvSpPr>
      <xdr:spPr bwMode="auto">
        <a:xfrm flipH="1">
          <a:off x="10239375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33</xdr:col>
      <xdr:colOff>0</xdr:colOff>
      <xdr:row>36</xdr:row>
      <xdr:rowOff>85725</xdr:rowOff>
    </xdr:from>
    <xdr:to>
      <xdr:col>33</xdr:col>
      <xdr:colOff>0</xdr:colOff>
      <xdr:row>36</xdr:row>
      <xdr:rowOff>85725</xdr:rowOff>
    </xdr:to>
    <xdr:sp macro="" textlink="">
      <xdr:nvSpPr>
        <xdr:cNvPr id="234220" name="Line 24"/>
        <xdr:cNvSpPr>
          <a:spLocks noChangeShapeType="1"/>
        </xdr:cNvSpPr>
      </xdr:nvSpPr>
      <xdr:spPr bwMode="auto">
        <a:xfrm>
          <a:off x="10239375" y="8362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33</xdr:col>
      <xdr:colOff>0</xdr:colOff>
      <xdr:row>35</xdr:row>
      <xdr:rowOff>85725</xdr:rowOff>
    </xdr:from>
    <xdr:to>
      <xdr:col>33</xdr:col>
      <xdr:colOff>0</xdr:colOff>
      <xdr:row>35</xdr:row>
      <xdr:rowOff>85725</xdr:rowOff>
    </xdr:to>
    <xdr:sp macro="" textlink="">
      <xdr:nvSpPr>
        <xdr:cNvPr id="234221" name="Line 32"/>
        <xdr:cNvSpPr>
          <a:spLocks noChangeShapeType="1"/>
        </xdr:cNvSpPr>
      </xdr:nvSpPr>
      <xdr:spPr bwMode="auto">
        <a:xfrm>
          <a:off x="10239375" y="8172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33</xdr:col>
      <xdr:colOff>0</xdr:colOff>
      <xdr:row>36</xdr:row>
      <xdr:rowOff>85725</xdr:rowOff>
    </xdr:from>
    <xdr:to>
      <xdr:col>33</xdr:col>
      <xdr:colOff>0</xdr:colOff>
      <xdr:row>36</xdr:row>
      <xdr:rowOff>85725</xdr:rowOff>
    </xdr:to>
    <xdr:sp macro="" textlink="">
      <xdr:nvSpPr>
        <xdr:cNvPr id="234222" name="Line 33"/>
        <xdr:cNvSpPr>
          <a:spLocks noChangeShapeType="1"/>
        </xdr:cNvSpPr>
      </xdr:nvSpPr>
      <xdr:spPr bwMode="auto">
        <a:xfrm>
          <a:off x="10239375" y="8362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33</xdr:col>
      <xdr:colOff>0</xdr:colOff>
      <xdr:row>38</xdr:row>
      <xdr:rowOff>85725</xdr:rowOff>
    </xdr:from>
    <xdr:to>
      <xdr:col>33</xdr:col>
      <xdr:colOff>0</xdr:colOff>
      <xdr:row>38</xdr:row>
      <xdr:rowOff>85725</xdr:rowOff>
    </xdr:to>
    <xdr:sp macro="" textlink="">
      <xdr:nvSpPr>
        <xdr:cNvPr id="234223" name="Line 35"/>
        <xdr:cNvSpPr>
          <a:spLocks noChangeShapeType="1"/>
        </xdr:cNvSpPr>
      </xdr:nvSpPr>
      <xdr:spPr bwMode="auto">
        <a:xfrm flipH="1">
          <a:off x="10239375" y="874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8</xdr:col>
      <xdr:colOff>11724</xdr:colOff>
      <xdr:row>0</xdr:row>
      <xdr:rowOff>43962</xdr:rowOff>
    </xdr:from>
    <xdr:to>
      <xdr:col>29</xdr:col>
      <xdr:colOff>227134</xdr:colOff>
      <xdr:row>0</xdr:row>
      <xdr:rowOff>1355481</xdr:rowOff>
    </xdr:to>
    <xdr:sp macro="" textlink="">
      <xdr:nvSpPr>
        <xdr:cNvPr id="229838" name="Text Box 3"/>
        <xdr:cNvSpPr txBox="1">
          <a:spLocks noChangeArrowheads="1"/>
        </xdr:cNvSpPr>
      </xdr:nvSpPr>
      <xdr:spPr bwMode="auto">
        <a:xfrm>
          <a:off x="2246436" y="43962"/>
          <a:ext cx="5241679" cy="1311519"/>
        </a:xfrm>
        <a:prstGeom prst="rect">
          <a:avLst/>
        </a:prstGeom>
        <a:solidFill>
          <a:srgbClr val="FFFFFF"/>
        </a:solidFill>
        <a:ln w="0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 BEAM TO</a:t>
          </a:r>
          <a:r>
            <a:rPr lang="en-US" sz="1400" b="1" i="0" strike="noStrike" baseline="0">
              <a:solidFill>
                <a:srgbClr val="000000"/>
              </a:solidFill>
              <a:latin typeface="Arial"/>
              <a:cs typeface="Arial"/>
            </a:rPr>
            <a:t> WEB COLUMN </a:t>
          </a: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SHEAR CONNECTION</a:t>
          </a: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Single Shear -Type 1</a:t>
          </a: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(ECOP-2009)</a:t>
          </a:r>
          <a:r>
            <a:rPr lang="en-US" sz="1400" b="1" i="0" strike="noStrike" baseline="30000">
              <a:solidFill>
                <a:srgbClr val="000000"/>
              </a:solidFill>
              <a:latin typeface="Arial"/>
              <a:cs typeface="Arial"/>
            </a:rPr>
            <a:t>02</a:t>
          </a:r>
        </a:p>
        <a:p>
          <a:pPr algn="ctr" rtl="1">
            <a:defRPr sz="1000"/>
          </a:pP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133350</xdr:colOff>
      <xdr:row>0</xdr:row>
      <xdr:rowOff>47625</xdr:rowOff>
    </xdr:from>
    <xdr:to>
      <xdr:col>7</xdr:col>
      <xdr:colOff>57150</xdr:colOff>
      <xdr:row>0</xdr:row>
      <xdr:rowOff>1409700</xdr:rowOff>
    </xdr:to>
    <xdr:pic>
      <xdr:nvPicPr>
        <xdr:cNvPr id="23422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450" y="47625"/>
          <a:ext cx="1238250" cy="1362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34</xdr:col>
      <xdr:colOff>0</xdr:colOff>
      <xdr:row>33</xdr:row>
      <xdr:rowOff>85725</xdr:rowOff>
    </xdr:from>
    <xdr:to>
      <xdr:col>34</xdr:col>
      <xdr:colOff>0</xdr:colOff>
      <xdr:row>33</xdr:row>
      <xdr:rowOff>85725</xdr:rowOff>
    </xdr:to>
    <xdr:sp macro="" textlink="">
      <xdr:nvSpPr>
        <xdr:cNvPr id="234226" name="Line 16"/>
        <xdr:cNvSpPr>
          <a:spLocks noChangeShapeType="1"/>
        </xdr:cNvSpPr>
      </xdr:nvSpPr>
      <xdr:spPr bwMode="auto">
        <a:xfrm>
          <a:off x="1091565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34</xdr:col>
      <xdr:colOff>0</xdr:colOff>
      <xdr:row>33</xdr:row>
      <xdr:rowOff>85725</xdr:rowOff>
    </xdr:from>
    <xdr:to>
      <xdr:col>34</xdr:col>
      <xdr:colOff>0</xdr:colOff>
      <xdr:row>33</xdr:row>
      <xdr:rowOff>85725</xdr:rowOff>
    </xdr:to>
    <xdr:sp macro="" textlink="">
      <xdr:nvSpPr>
        <xdr:cNvPr id="234227" name="Line 20"/>
        <xdr:cNvSpPr>
          <a:spLocks noChangeShapeType="1"/>
        </xdr:cNvSpPr>
      </xdr:nvSpPr>
      <xdr:spPr bwMode="auto">
        <a:xfrm>
          <a:off x="1091565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>
    <xdr:from>
      <xdr:col>34</xdr:col>
      <xdr:colOff>0</xdr:colOff>
      <xdr:row>33</xdr:row>
      <xdr:rowOff>85725</xdr:rowOff>
    </xdr:from>
    <xdr:to>
      <xdr:col>34</xdr:col>
      <xdr:colOff>0</xdr:colOff>
      <xdr:row>33</xdr:row>
      <xdr:rowOff>85725</xdr:rowOff>
    </xdr:to>
    <xdr:sp macro="" textlink="">
      <xdr:nvSpPr>
        <xdr:cNvPr id="234228" name="Line 32"/>
        <xdr:cNvSpPr>
          <a:spLocks noChangeShapeType="1"/>
        </xdr:cNvSpPr>
      </xdr:nvSpPr>
      <xdr:spPr bwMode="auto">
        <a:xfrm>
          <a:off x="1091565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sm"/>
        </a:ln>
      </xdr:spPr>
    </xdr:sp>
    <xdr:clientData/>
  </xdr:twoCellAnchor>
  <xdr:twoCellAnchor editAs="oneCell">
    <xdr:from>
      <xdr:col>15</xdr:col>
      <xdr:colOff>142875</xdr:colOff>
      <xdr:row>3</xdr:row>
      <xdr:rowOff>152400</xdr:rowOff>
    </xdr:from>
    <xdr:to>
      <xdr:col>28</xdr:col>
      <xdr:colOff>123825</xdr:colOff>
      <xdr:row>12</xdr:row>
      <xdr:rowOff>161925</xdr:rowOff>
    </xdr:to>
    <xdr:pic>
      <xdr:nvPicPr>
        <xdr:cNvPr id="234229" name="Picture 22" descr="untitled.bmp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95775" y="1952625"/>
          <a:ext cx="2971800" cy="1724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/>
  </sheetPr>
  <dimension ref="A1:AV834"/>
  <sheetViews>
    <sheetView tabSelected="1" showRuler="0" view="pageBreakPreview" zoomScale="115" zoomScaleNormal="130" zoomScaleSheetLayoutView="115" workbookViewId="0">
      <selection activeCell="M6" sqref="M6"/>
    </sheetView>
  </sheetViews>
  <sheetFormatPr defaultRowHeight="14.25"/>
  <cols>
    <col min="1" max="1" width="12" style="81" customWidth="1"/>
    <col min="2" max="8" width="3.28515625" style="127" customWidth="1"/>
    <col min="9" max="9" width="7.5703125" style="127" customWidth="1"/>
    <col min="10" max="16" width="3.28515625" style="127" customWidth="1"/>
    <col min="17" max="17" width="4.7109375" style="127" customWidth="1"/>
    <col min="18" max="20" width="3.28515625" style="127" customWidth="1"/>
    <col min="21" max="21" width="3.7109375" style="127" customWidth="1"/>
    <col min="22" max="22" width="3.5703125" style="127" customWidth="1"/>
    <col min="23" max="29" width="3.28515625" style="127" customWidth="1"/>
    <col min="30" max="30" width="5.5703125" style="127" customWidth="1"/>
    <col min="31" max="31" width="9.140625" style="58"/>
    <col min="32" max="32" width="18" style="58" customWidth="1"/>
    <col min="33" max="33" width="11.5703125" style="58" customWidth="1"/>
    <col min="34" max="34" width="10.140625" style="58" customWidth="1"/>
    <col min="35" max="35" width="11.7109375" style="58" customWidth="1"/>
    <col min="36" max="36" width="12.140625" style="58" bestFit="1" customWidth="1"/>
    <col min="37" max="39" width="9.140625" style="58"/>
    <col min="40" max="40" width="10.7109375" style="58" customWidth="1"/>
    <col min="41" max="43" width="9.140625" style="58"/>
    <col min="44" max="44" width="14.7109375" style="58" customWidth="1"/>
    <col min="45" max="46" width="9.140625" style="58"/>
    <col min="47" max="16384" width="9.140625" style="83"/>
  </cols>
  <sheetData>
    <row r="1" spans="1:48" s="50" customFormat="1" ht="111.75" customHeight="1" thickBot="1">
      <c r="A1" s="49"/>
      <c r="B1" s="72"/>
      <c r="C1" s="256"/>
      <c r="D1" s="257"/>
      <c r="E1" s="257"/>
      <c r="F1" s="257"/>
      <c r="G1" s="257"/>
      <c r="H1" s="258"/>
      <c r="I1" s="73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5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</row>
    <row r="2" spans="1:48" ht="15" customHeight="1" thickBot="1">
      <c r="B2" s="260" t="s">
        <v>689</v>
      </c>
      <c r="C2" s="260"/>
      <c r="D2" s="260"/>
      <c r="E2" s="260"/>
      <c r="F2" s="261" t="str">
        <f>F8</f>
        <v>IPE 300</v>
      </c>
      <c r="G2" s="261"/>
      <c r="H2" s="261"/>
      <c r="I2" s="261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K2" s="82" t="s">
        <v>633</v>
      </c>
    </row>
    <row r="3" spans="1:48" s="91" customFormat="1" ht="15" customHeight="1">
      <c r="A3" s="84"/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7"/>
      <c r="AE3" s="88"/>
      <c r="AF3" s="88"/>
      <c r="AG3" s="88"/>
      <c r="AH3" s="88"/>
      <c r="AI3" s="88"/>
      <c r="AJ3" s="88"/>
      <c r="AK3" s="88"/>
      <c r="AL3" s="88"/>
      <c r="AM3" s="88"/>
      <c r="AN3" s="89"/>
      <c r="AO3" s="58"/>
      <c r="AP3" s="88"/>
      <c r="AQ3" s="90"/>
      <c r="AR3" s="88"/>
      <c r="AS3" s="88"/>
      <c r="AT3" s="88"/>
    </row>
    <row r="4" spans="1:48" ht="15" customHeight="1">
      <c r="A4" s="84"/>
      <c r="B4" s="92"/>
      <c r="C4" s="264" t="s">
        <v>890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93"/>
      <c r="AD4" s="94"/>
      <c r="AG4" s="58" t="s">
        <v>634</v>
      </c>
      <c r="AH4" s="58">
        <v>200000</v>
      </c>
      <c r="AI4" s="58" t="s">
        <v>492</v>
      </c>
      <c r="AN4" s="89"/>
      <c r="AQ4" s="95"/>
    </row>
    <row r="5" spans="1:48" ht="15" customHeight="1">
      <c r="A5" s="84"/>
      <c r="B5" s="96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  <c r="U5" s="98"/>
      <c r="V5" s="98"/>
      <c r="W5" s="98"/>
      <c r="X5" s="98"/>
      <c r="Y5" s="98"/>
      <c r="Z5" s="98"/>
      <c r="AA5" s="98"/>
      <c r="AB5" s="98"/>
      <c r="AC5" s="98"/>
      <c r="AD5" s="94"/>
      <c r="AF5" s="82"/>
      <c r="AG5" s="82"/>
      <c r="AI5" s="58" t="s">
        <v>220</v>
      </c>
      <c r="AJ5" s="58" t="s">
        <v>221</v>
      </c>
      <c r="AN5" s="89" t="s">
        <v>638</v>
      </c>
      <c r="AO5" s="89" t="s">
        <v>655</v>
      </c>
      <c r="AQ5" s="95"/>
    </row>
    <row r="6" spans="1:48" ht="15" customHeight="1">
      <c r="A6" s="84"/>
      <c r="B6" s="96"/>
      <c r="C6" s="78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78"/>
      <c r="S6" s="78"/>
      <c r="T6" s="78"/>
      <c r="U6" s="54"/>
      <c r="V6" s="78"/>
      <c r="W6" s="78"/>
      <c r="X6" s="78"/>
      <c r="Y6" s="78"/>
      <c r="Z6" s="78"/>
      <c r="AA6" s="78"/>
      <c r="AB6" s="78"/>
      <c r="AC6" s="78"/>
      <c r="AD6" s="94"/>
      <c r="AH6" s="58">
        <v>4.5999999999999996</v>
      </c>
      <c r="AI6" s="58">
        <v>2.4</v>
      </c>
      <c r="AJ6" s="58">
        <v>4</v>
      </c>
      <c r="AL6" s="58" t="s">
        <v>639</v>
      </c>
      <c r="AM6" s="58">
        <v>12</v>
      </c>
      <c r="AN6" s="58">
        <f>1.5*AM6</f>
        <v>18</v>
      </c>
      <c r="AO6" s="58">
        <f>3*AM6</f>
        <v>36</v>
      </c>
      <c r="AP6" s="100"/>
      <c r="AQ6" s="95"/>
    </row>
    <row r="7" spans="1:48" ht="15" customHeight="1">
      <c r="A7" s="84"/>
      <c r="B7" s="96"/>
      <c r="C7" s="99" t="s">
        <v>631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94"/>
      <c r="AH7" s="58">
        <v>5.6</v>
      </c>
      <c r="AI7" s="58">
        <v>3</v>
      </c>
      <c r="AJ7" s="58">
        <v>5</v>
      </c>
      <c r="AL7" s="58" t="s">
        <v>640</v>
      </c>
      <c r="AM7" s="58">
        <v>16</v>
      </c>
      <c r="AN7" s="58">
        <f t="shared" ref="AN7:AN13" si="0">1.5*AM7</f>
        <v>24</v>
      </c>
      <c r="AO7" s="58">
        <f t="shared" ref="AO7:AO13" si="1">3*AM7</f>
        <v>48</v>
      </c>
      <c r="AP7" s="100"/>
      <c r="AQ7" s="95"/>
    </row>
    <row r="8" spans="1:48" ht="15" customHeight="1">
      <c r="A8" s="84"/>
      <c r="B8" s="96"/>
      <c r="C8" s="78" t="s">
        <v>0</v>
      </c>
      <c r="D8" s="78"/>
      <c r="E8" s="78"/>
      <c r="F8" s="250" t="s">
        <v>66</v>
      </c>
      <c r="G8" s="250"/>
      <c r="H8" s="250"/>
      <c r="I8" s="250"/>
      <c r="J8" s="78"/>
      <c r="K8" s="78"/>
      <c r="L8" s="78"/>
      <c r="M8" s="78"/>
      <c r="N8" s="78"/>
      <c r="O8" s="78"/>
      <c r="P8" s="78"/>
      <c r="Q8" s="78"/>
      <c r="R8" s="78"/>
      <c r="S8" s="78"/>
      <c r="T8" s="102"/>
      <c r="U8" s="102"/>
      <c r="V8" s="102"/>
      <c r="W8" s="102"/>
      <c r="X8" s="102"/>
      <c r="Y8" s="102"/>
      <c r="Z8" s="102"/>
      <c r="AA8" s="102"/>
      <c r="AB8" s="78"/>
      <c r="AC8" s="78"/>
      <c r="AD8" s="94"/>
      <c r="AE8" s="103"/>
      <c r="AH8" s="58">
        <v>8.8000000000000007</v>
      </c>
      <c r="AI8" s="58">
        <v>6.4</v>
      </c>
      <c r="AJ8" s="58">
        <v>8</v>
      </c>
      <c r="AL8" s="58" t="s">
        <v>214</v>
      </c>
      <c r="AM8" s="58">
        <v>20</v>
      </c>
      <c r="AN8" s="58">
        <f t="shared" si="0"/>
        <v>30</v>
      </c>
      <c r="AO8" s="58">
        <f t="shared" si="1"/>
        <v>60</v>
      </c>
      <c r="AP8" s="100"/>
      <c r="AS8" s="82"/>
      <c r="AV8" s="81"/>
    </row>
    <row r="9" spans="1:48" ht="15" customHeight="1">
      <c r="A9" s="84"/>
      <c r="B9" s="96"/>
      <c r="C9" s="78" t="s">
        <v>1</v>
      </c>
      <c r="D9" s="78"/>
      <c r="E9" s="78"/>
      <c r="F9" s="78"/>
      <c r="G9" s="78"/>
      <c r="H9" s="78"/>
      <c r="I9" s="78"/>
      <c r="J9" s="78" t="s">
        <v>25</v>
      </c>
      <c r="K9" s="104" t="s">
        <v>211</v>
      </c>
      <c r="L9" s="259">
        <v>850</v>
      </c>
      <c r="M9" s="259"/>
      <c r="N9" s="259"/>
      <c r="O9" s="78" t="s">
        <v>32</v>
      </c>
      <c r="P9" s="78"/>
      <c r="Q9" s="78"/>
      <c r="R9" s="78"/>
      <c r="S9" s="78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94"/>
      <c r="AH9" s="58">
        <v>10.9</v>
      </c>
      <c r="AI9" s="58">
        <v>9</v>
      </c>
      <c r="AJ9" s="58">
        <v>10</v>
      </c>
      <c r="AL9" s="58" t="s">
        <v>215</v>
      </c>
      <c r="AM9" s="58">
        <v>22</v>
      </c>
      <c r="AN9" s="58">
        <f t="shared" si="0"/>
        <v>33</v>
      </c>
      <c r="AO9" s="58">
        <f t="shared" si="1"/>
        <v>66</v>
      </c>
      <c r="AP9" s="100"/>
    </row>
    <row r="10" spans="1:48" ht="15" customHeight="1">
      <c r="A10" s="84"/>
      <c r="B10" s="96"/>
      <c r="C10" s="78" t="s">
        <v>2</v>
      </c>
      <c r="D10" s="78"/>
      <c r="E10" s="78"/>
      <c r="F10" s="78"/>
      <c r="G10" s="78"/>
      <c r="H10" s="78"/>
      <c r="I10" s="78"/>
      <c r="J10" s="78" t="s">
        <v>226</v>
      </c>
      <c r="K10" s="104" t="s">
        <v>211</v>
      </c>
      <c r="L10" s="259">
        <v>180</v>
      </c>
      <c r="M10" s="259"/>
      <c r="N10" s="259"/>
      <c r="O10" s="78" t="s">
        <v>32</v>
      </c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94"/>
      <c r="AL10" s="58" t="s">
        <v>216</v>
      </c>
      <c r="AM10" s="58">
        <v>24</v>
      </c>
      <c r="AN10" s="58">
        <f t="shared" si="0"/>
        <v>36</v>
      </c>
      <c r="AO10" s="58">
        <f t="shared" si="1"/>
        <v>72</v>
      </c>
      <c r="AP10" s="100"/>
    </row>
    <row r="11" spans="1:48" ht="15" customHeight="1">
      <c r="A11" s="84"/>
      <c r="B11" s="105"/>
      <c r="C11" s="78" t="s">
        <v>209</v>
      </c>
      <c r="D11" s="78"/>
      <c r="E11" s="78"/>
      <c r="F11" s="78"/>
      <c r="G11" s="78"/>
      <c r="H11" s="78"/>
      <c r="I11" s="78"/>
      <c r="J11" s="78" t="s">
        <v>227</v>
      </c>
      <c r="K11" s="104" t="s">
        <v>211</v>
      </c>
      <c r="L11" s="259">
        <v>8</v>
      </c>
      <c r="M11" s="259"/>
      <c r="N11" s="259"/>
      <c r="O11" s="78" t="s">
        <v>32</v>
      </c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94"/>
      <c r="AE11" s="106"/>
      <c r="AF11" s="107"/>
      <c r="AI11" s="58" t="s">
        <v>223</v>
      </c>
      <c r="AJ11" s="58" t="s">
        <v>222</v>
      </c>
      <c r="AL11" s="58" t="s">
        <v>217</v>
      </c>
      <c r="AM11" s="58">
        <v>27</v>
      </c>
      <c r="AN11" s="58">
        <f t="shared" si="0"/>
        <v>40.5</v>
      </c>
      <c r="AO11" s="58">
        <f t="shared" si="1"/>
        <v>81</v>
      </c>
      <c r="AP11" s="100"/>
    </row>
    <row r="12" spans="1:48" ht="15" customHeight="1">
      <c r="A12" s="84"/>
      <c r="B12" s="96"/>
      <c r="C12" s="78" t="s">
        <v>210</v>
      </c>
      <c r="D12" s="78"/>
      <c r="E12" s="78"/>
      <c r="F12" s="78"/>
      <c r="G12" s="78"/>
      <c r="H12" s="78"/>
      <c r="I12" s="78"/>
      <c r="J12" s="78" t="s">
        <v>228</v>
      </c>
      <c r="K12" s="104" t="s">
        <v>211</v>
      </c>
      <c r="L12" s="259">
        <v>10</v>
      </c>
      <c r="M12" s="259"/>
      <c r="N12" s="259"/>
      <c r="O12" s="78" t="s">
        <v>32</v>
      </c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94"/>
      <c r="AH12" s="58" t="s">
        <v>494</v>
      </c>
      <c r="AI12" s="58">
        <f>IF(MAX(tw_beam,tw_column,tp)&lt;=40,2.4,2.15)</f>
        <v>2.4</v>
      </c>
      <c r="AJ12" s="58">
        <v>3.6</v>
      </c>
      <c r="AL12" s="108" t="s">
        <v>218</v>
      </c>
      <c r="AM12" s="58">
        <v>30</v>
      </c>
      <c r="AN12" s="58">
        <f t="shared" si="0"/>
        <v>45</v>
      </c>
      <c r="AO12" s="58">
        <f t="shared" si="1"/>
        <v>90</v>
      </c>
      <c r="AP12" s="100"/>
    </row>
    <row r="13" spans="1:48" ht="15" customHeight="1">
      <c r="A13" s="84"/>
      <c r="B13" s="96"/>
      <c r="C13" s="78" t="s">
        <v>840</v>
      </c>
      <c r="D13" s="78"/>
      <c r="E13" s="78"/>
      <c r="F13" s="78"/>
      <c r="G13" s="78"/>
      <c r="H13" s="78"/>
      <c r="I13" s="78"/>
      <c r="J13" s="78" t="s">
        <v>852</v>
      </c>
      <c r="K13" s="104" t="s">
        <v>211</v>
      </c>
      <c r="L13" s="259">
        <v>6</v>
      </c>
      <c r="M13" s="259"/>
      <c r="N13" s="259"/>
      <c r="O13" s="78" t="s">
        <v>32</v>
      </c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109"/>
      <c r="AH13" s="58" t="s">
        <v>495</v>
      </c>
      <c r="AI13" s="58">
        <f>IF(MAX(tw_beam,tw_column,tp)&lt;=40,3.6,3.35)</f>
        <v>3.6</v>
      </c>
      <c r="AJ13" s="58">
        <v>5.2</v>
      </c>
      <c r="AL13" s="58" t="s">
        <v>219</v>
      </c>
      <c r="AM13" s="58">
        <v>36</v>
      </c>
      <c r="AN13" s="58">
        <f t="shared" si="0"/>
        <v>54</v>
      </c>
      <c r="AO13" s="58">
        <f t="shared" si="1"/>
        <v>108</v>
      </c>
      <c r="AP13" s="100"/>
    </row>
    <row r="14" spans="1:48" ht="15" customHeight="1">
      <c r="A14" s="84"/>
      <c r="B14" s="96"/>
      <c r="C14" s="78"/>
      <c r="D14" s="78"/>
      <c r="E14" s="78"/>
      <c r="F14" s="78"/>
      <c r="G14" s="78"/>
      <c r="H14" s="266"/>
      <c r="I14" s="266"/>
      <c r="J14" s="266"/>
      <c r="K14" s="266"/>
      <c r="L14" s="78"/>
      <c r="M14" s="78"/>
      <c r="N14" s="110"/>
      <c r="O14" s="78"/>
      <c r="P14" s="78"/>
      <c r="Q14" s="78"/>
      <c r="R14" s="78"/>
      <c r="S14" s="78"/>
      <c r="T14" s="78"/>
      <c r="U14" s="78"/>
      <c r="V14" s="77"/>
      <c r="W14" s="104"/>
      <c r="X14" s="267"/>
      <c r="Y14" s="267"/>
      <c r="Z14" s="267"/>
      <c r="AA14" s="111"/>
      <c r="AB14" s="78"/>
      <c r="AC14" s="78"/>
      <c r="AD14" s="109"/>
      <c r="AH14" s="58" t="s">
        <v>793</v>
      </c>
      <c r="AI14" s="58">
        <f>IF(MAX(tw_beam,tw_column,tp)&lt;=16,2.35,IF(MAX(tw_beam,tw_column,tp)&lt;=40,2.25,2.15))</f>
        <v>2.35</v>
      </c>
      <c r="AJ14" s="58">
        <v>3.6</v>
      </c>
      <c r="AP14" s="100"/>
    </row>
    <row r="15" spans="1:48" ht="15" customHeight="1">
      <c r="A15" s="84"/>
      <c r="B15" s="96"/>
      <c r="C15" s="99" t="s">
        <v>629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7"/>
      <c r="W15" s="104"/>
      <c r="X15" s="267"/>
      <c r="Y15" s="267"/>
      <c r="Z15" s="267"/>
      <c r="AA15" s="111"/>
      <c r="AB15" s="78"/>
      <c r="AC15" s="78"/>
      <c r="AD15" s="109"/>
      <c r="AE15" s="112"/>
      <c r="AF15" s="112"/>
      <c r="AH15" s="58" t="s">
        <v>792</v>
      </c>
      <c r="AI15" s="58">
        <f>IF(MAX(tw_beam,tw_column,tp)&lt;=16,3.45,IF(MAX(tw_beam,tw_column,tp)&lt;=40,3.25,2.95))</f>
        <v>3.45</v>
      </c>
      <c r="AJ15" s="58">
        <v>5.2</v>
      </c>
      <c r="AL15" s="108"/>
      <c r="AP15" s="100"/>
    </row>
    <row r="16" spans="1:48" ht="15" customHeight="1">
      <c r="A16" s="84"/>
      <c r="B16" s="96"/>
      <c r="C16" s="78" t="s">
        <v>0</v>
      </c>
      <c r="D16" s="78"/>
      <c r="E16" s="78"/>
      <c r="F16" s="265" t="s">
        <v>66</v>
      </c>
      <c r="G16" s="265"/>
      <c r="H16" s="265"/>
      <c r="I16" s="265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109"/>
      <c r="AL16" s="108"/>
      <c r="AP16" s="100"/>
    </row>
    <row r="17" spans="1:36" ht="15" customHeight="1">
      <c r="A17" s="84"/>
      <c r="B17" s="96"/>
      <c r="C17" s="78" t="s">
        <v>1</v>
      </c>
      <c r="D17" s="78"/>
      <c r="E17" s="78"/>
      <c r="F17" s="78"/>
      <c r="G17" s="78"/>
      <c r="H17" s="78"/>
      <c r="I17" s="78"/>
      <c r="J17" s="78" t="s">
        <v>817</v>
      </c>
      <c r="K17" s="78"/>
      <c r="L17" s="78"/>
      <c r="M17" s="78"/>
      <c r="N17" s="104" t="s">
        <v>211</v>
      </c>
      <c r="O17" s="259">
        <v>500</v>
      </c>
      <c r="P17" s="259"/>
      <c r="Q17" s="259"/>
      <c r="R17" s="78" t="s">
        <v>32</v>
      </c>
      <c r="S17" s="78"/>
      <c r="T17" s="78"/>
      <c r="U17" s="78"/>
      <c r="V17" s="78"/>
      <c r="W17" s="97"/>
      <c r="X17" s="97"/>
      <c r="Y17" s="97"/>
      <c r="Z17" s="97"/>
      <c r="AA17" s="97"/>
      <c r="AB17" s="97"/>
      <c r="AC17" s="97"/>
      <c r="AD17" s="109"/>
      <c r="AE17" s="103"/>
    </row>
    <row r="18" spans="1:36" ht="15" customHeight="1">
      <c r="A18" s="84"/>
      <c r="B18" s="96"/>
      <c r="C18" s="78" t="s">
        <v>2</v>
      </c>
      <c r="D18" s="78"/>
      <c r="E18" s="78"/>
      <c r="F18" s="78"/>
      <c r="G18" s="78"/>
      <c r="H18" s="78"/>
      <c r="I18" s="78"/>
      <c r="J18" s="78" t="s">
        <v>818</v>
      </c>
      <c r="K18" s="78"/>
      <c r="L18" s="78"/>
      <c r="M18" s="78"/>
      <c r="N18" s="104" t="s">
        <v>211</v>
      </c>
      <c r="O18" s="259">
        <v>300</v>
      </c>
      <c r="P18" s="259"/>
      <c r="Q18" s="259"/>
      <c r="R18" s="78" t="s">
        <v>32</v>
      </c>
      <c r="S18" s="78"/>
      <c r="T18" s="78"/>
      <c r="U18" s="78"/>
      <c r="V18" s="78"/>
      <c r="W18" s="78"/>
      <c r="X18" s="78"/>
      <c r="Y18" s="263"/>
      <c r="Z18" s="263"/>
      <c r="AA18" s="263"/>
      <c r="AB18" s="101"/>
      <c r="AC18" s="101"/>
      <c r="AD18" s="109"/>
    </row>
    <row r="19" spans="1:36" ht="15" customHeight="1">
      <c r="A19" s="84"/>
      <c r="B19" s="96"/>
      <c r="C19" s="78" t="s">
        <v>209</v>
      </c>
      <c r="D19" s="78"/>
      <c r="E19" s="78"/>
      <c r="F19" s="78"/>
      <c r="G19" s="78"/>
      <c r="H19" s="78"/>
      <c r="I19" s="78"/>
      <c r="J19" s="78" t="s">
        <v>819</v>
      </c>
      <c r="K19" s="78"/>
      <c r="L19" s="78"/>
      <c r="M19" s="78"/>
      <c r="N19" s="104" t="s">
        <v>211</v>
      </c>
      <c r="O19" s="259">
        <v>5</v>
      </c>
      <c r="P19" s="259"/>
      <c r="Q19" s="259"/>
      <c r="R19" s="78" t="s">
        <v>32</v>
      </c>
      <c r="S19" s="78"/>
      <c r="T19" s="110"/>
      <c r="U19" s="110"/>
      <c r="V19" s="78"/>
      <c r="W19" s="78"/>
      <c r="X19" s="78"/>
      <c r="Y19" s="263"/>
      <c r="Z19" s="263"/>
      <c r="AA19" s="263"/>
      <c r="AB19" s="78"/>
      <c r="AC19" s="78"/>
      <c r="AD19" s="109"/>
      <c r="AE19" s="82"/>
    </row>
    <row r="20" spans="1:36" ht="15" customHeight="1">
      <c r="A20" s="84"/>
      <c r="B20" s="96"/>
      <c r="C20" s="78" t="s">
        <v>210</v>
      </c>
      <c r="D20" s="78"/>
      <c r="E20" s="78"/>
      <c r="F20" s="78"/>
      <c r="G20" s="78"/>
      <c r="H20" s="78"/>
      <c r="I20" s="78"/>
      <c r="J20" s="78" t="s">
        <v>820</v>
      </c>
      <c r="K20" s="78"/>
      <c r="L20" s="78"/>
      <c r="M20" s="78"/>
      <c r="N20" s="104" t="s">
        <v>211</v>
      </c>
      <c r="O20" s="259">
        <v>20</v>
      </c>
      <c r="P20" s="259"/>
      <c r="Q20" s="259"/>
      <c r="R20" s="78" t="s">
        <v>32</v>
      </c>
      <c r="S20" s="78"/>
      <c r="T20" s="110"/>
      <c r="U20" s="78"/>
      <c r="V20" s="78"/>
      <c r="W20" s="78"/>
      <c r="X20" s="78"/>
      <c r="Y20" s="78"/>
      <c r="Z20" s="78"/>
      <c r="AA20" s="78"/>
      <c r="AB20" s="78"/>
      <c r="AC20" s="78"/>
      <c r="AD20" s="109"/>
      <c r="AE20" s="82"/>
    </row>
    <row r="21" spans="1:36" ht="15" customHeight="1">
      <c r="A21" s="84"/>
      <c r="B21" s="96"/>
      <c r="C21" s="78" t="s">
        <v>840</v>
      </c>
      <c r="D21" s="78"/>
      <c r="E21" s="78"/>
      <c r="F21" s="78"/>
      <c r="G21" s="78"/>
      <c r="H21" s="78"/>
      <c r="I21" s="78"/>
      <c r="J21" s="78" t="s">
        <v>851</v>
      </c>
      <c r="K21" s="78"/>
      <c r="L21" s="78"/>
      <c r="M21" s="78"/>
      <c r="N21" s="104" t="s">
        <v>211</v>
      </c>
      <c r="O21" s="259">
        <v>5</v>
      </c>
      <c r="P21" s="259"/>
      <c r="Q21" s="259"/>
      <c r="R21" s="78" t="s">
        <v>32</v>
      </c>
      <c r="S21" s="78"/>
      <c r="T21" s="110"/>
      <c r="U21" s="78"/>
      <c r="V21" s="78"/>
      <c r="W21" s="78"/>
      <c r="X21" s="78"/>
      <c r="Y21" s="78"/>
      <c r="Z21" s="78"/>
      <c r="AA21" s="78"/>
      <c r="AB21" s="78"/>
      <c r="AC21" s="78"/>
      <c r="AD21" s="109"/>
      <c r="AE21" s="106"/>
      <c r="AF21" s="107"/>
    </row>
    <row r="22" spans="1:36" ht="15" customHeight="1">
      <c r="A22" s="84"/>
      <c r="B22" s="96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110"/>
      <c r="U22" s="78"/>
      <c r="V22" s="78"/>
      <c r="W22" s="78"/>
      <c r="X22" s="78"/>
      <c r="Y22" s="78"/>
      <c r="Z22" s="78"/>
      <c r="AA22" s="78"/>
      <c r="AB22" s="78"/>
      <c r="AC22" s="78"/>
      <c r="AD22" s="109"/>
      <c r="AG22" s="113"/>
    </row>
    <row r="23" spans="1:36" ht="15" customHeight="1">
      <c r="A23" s="84"/>
      <c r="B23" s="96"/>
      <c r="C23" s="99" t="s">
        <v>799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94"/>
      <c r="AE23" s="114"/>
    </row>
    <row r="24" spans="1:36" ht="15" customHeight="1">
      <c r="A24" s="84"/>
      <c r="B24" s="92"/>
      <c r="C24" s="78" t="s">
        <v>848</v>
      </c>
      <c r="D24" s="78"/>
      <c r="E24" s="78"/>
      <c r="F24" s="78"/>
      <c r="G24" s="78"/>
      <c r="H24" s="78"/>
      <c r="I24" s="78"/>
      <c r="J24" s="78"/>
      <c r="K24" s="78"/>
      <c r="L24" s="78"/>
      <c r="M24" s="104" t="s">
        <v>849</v>
      </c>
      <c r="N24" s="104" t="s">
        <v>211</v>
      </c>
      <c r="O24" s="265">
        <v>12</v>
      </c>
      <c r="P24" s="265"/>
      <c r="Q24" s="265"/>
      <c r="R24" s="110" t="s">
        <v>32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115"/>
      <c r="AE24" s="114"/>
    </row>
    <row r="25" spans="1:36" ht="15" customHeight="1">
      <c r="A25" s="84"/>
      <c r="B25" s="96"/>
      <c r="C25" s="98" t="s">
        <v>661</v>
      </c>
      <c r="D25" s="78"/>
      <c r="E25" s="78"/>
      <c r="F25" s="78"/>
      <c r="G25" s="78"/>
      <c r="H25" s="78"/>
      <c r="I25" s="78"/>
      <c r="J25" s="78"/>
      <c r="K25" s="78"/>
      <c r="L25" s="78"/>
      <c r="M25" s="104" t="s">
        <v>681</v>
      </c>
      <c r="N25" s="77" t="s">
        <v>211</v>
      </c>
      <c r="O25" s="265">
        <v>5</v>
      </c>
      <c r="P25" s="265"/>
      <c r="Q25" s="265"/>
      <c r="R25" s="98" t="s">
        <v>32</v>
      </c>
      <c r="S25" s="78"/>
      <c r="T25" s="270" t="str">
        <f>IF(O25&lt;=tw_column,"","Reduce weld size/use full penetration weld")</f>
        <v/>
      </c>
      <c r="U25" s="271"/>
      <c r="V25" s="271"/>
      <c r="W25" s="271"/>
      <c r="X25" s="271"/>
      <c r="Y25" s="271"/>
      <c r="Z25" s="271"/>
      <c r="AA25" s="271"/>
      <c r="AB25" s="271"/>
      <c r="AC25" s="271"/>
      <c r="AD25" s="272"/>
      <c r="AE25" s="114"/>
    </row>
    <row r="26" spans="1:36" ht="15" customHeight="1">
      <c r="A26" s="84"/>
      <c r="B26" s="96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109"/>
      <c r="AE26" s="114"/>
      <c r="AJ26" s="117"/>
    </row>
    <row r="27" spans="1:36" ht="15" customHeight="1">
      <c r="A27" s="84"/>
      <c r="B27" s="96"/>
      <c r="C27" s="99" t="s">
        <v>844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109"/>
      <c r="AE27" s="114"/>
      <c r="AJ27" s="117"/>
    </row>
    <row r="28" spans="1:36" ht="15" customHeight="1">
      <c r="B28" s="96"/>
      <c r="C28" s="78" t="s">
        <v>843</v>
      </c>
      <c r="D28" s="78"/>
      <c r="E28" s="78"/>
      <c r="F28" s="78"/>
      <c r="G28" s="78"/>
      <c r="H28" s="265" t="s">
        <v>495</v>
      </c>
      <c r="I28" s="281"/>
      <c r="J28" s="101"/>
      <c r="K28" s="101"/>
      <c r="L28" s="101"/>
      <c r="M28" s="78"/>
      <c r="N28" s="110" t="s">
        <v>224</v>
      </c>
      <c r="O28" s="78"/>
      <c r="P28" s="78"/>
      <c r="Q28" s="78"/>
      <c r="R28" s="78"/>
      <c r="S28" s="78"/>
      <c r="T28" s="78"/>
      <c r="U28" s="78"/>
      <c r="V28" s="77" t="s">
        <v>223</v>
      </c>
      <c r="W28" s="77" t="s">
        <v>211</v>
      </c>
      <c r="X28" s="267">
        <f>VLOOKUP($H$28,AH12:AJ15,2,FALSE)</f>
        <v>3.6</v>
      </c>
      <c r="Y28" s="267"/>
      <c r="Z28" s="267"/>
      <c r="AA28" s="111" t="s">
        <v>664</v>
      </c>
      <c r="AB28" s="118"/>
      <c r="AC28" s="78"/>
      <c r="AD28" s="109"/>
      <c r="AE28" s="114"/>
      <c r="AJ28" s="117"/>
    </row>
    <row r="29" spans="1:36" ht="15" customHeight="1">
      <c r="B29" s="96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10" t="s">
        <v>493</v>
      </c>
      <c r="O29" s="78"/>
      <c r="P29" s="78"/>
      <c r="Q29" s="78"/>
      <c r="R29" s="78"/>
      <c r="S29" s="78"/>
      <c r="T29" s="78"/>
      <c r="U29" s="78"/>
      <c r="V29" s="77" t="s">
        <v>222</v>
      </c>
      <c r="W29" s="77" t="s">
        <v>211</v>
      </c>
      <c r="X29" s="267">
        <f>VLOOKUP($H$28,AH12:AJ15,3,FALSE)</f>
        <v>5.2</v>
      </c>
      <c r="Y29" s="267"/>
      <c r="Z29" s="267"/>
      <c r="AA29" s="111" t="s">
        <v>664</v>
      </c>
      <c r="AB29" s="118"/>
      <c r="AC29" s="78"/>
      <c r="AD29" s="109"/>
      <c r="AE29" s="114"/>
      <c r="AJ29" s="117"/>
    </row>
    <row r="30" spans="1:36" ht="15" customHeight="1">
      <c r="A30" s="119" t="str">
        <f>Y52</f>
        <v>Pass 23.4%</v>
      </c>
      <c r="B30" s="96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09"/>
      <c r="AJ30" s="117"/>
    </row>
    <row r="31" spans="1:36" ht="15" customHeight="1">
      <c r="A31" s="119" t="str">
        <f>IF(AG44=1,"",Y56)</f>
        <v>Pass 13.78%</v>
      </c>
      <c r="B31" s="96"/>
      <c r="C31" s="99" t="s">
        <v>845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16"/>
      <c r="AJ31" s="117"/>
    </row>
    <row r="32" spans="1:36" ht="15" customHeight="1">
      <c r="A32" s="119" t="str">
        <f>Y60</f>
        <v>Pass 48.85%</v>
      </c>
      <c r="B32" s="96"/>
      <c r="C32" s="78" t="s">
        <v>657</v>
      </c>
      <c r="D32" s="78"/>
      <c r="E32" s="78"/>
      <c r="F32" s="78"/>
      <c r="G32" s="78"/>
      <c r="H32" s="78"/>
      <c r="I32" s="78"/>
      <c r="J32" s="78"/>
      <c r="K32" s="78"/>
      <c r="L32" s="78"/>
      <c r="M32" s="104" t="s">
        <v>212</v>
      </c>
      <c r="N32" s="104" t="s">
        <v>211</v>
      </c>
      <c r="O32" s="265">
        <v>9.77</v>
      </c>
      <c r="P32" s="265"/>
      <c r="Q32" s="265"/>
      <c r="R32" s="111" t="s">
        <v>654</v>
      </c>
      <c r="S32" s="78"/>
      <c r="T32" s="120"/>
      <c r="U32" s="78" t="s">
        <v>821</v>
      </c>
      <c r="V32" s="78"/>
      <c r="W32" s="78"/>
      <c r="X32" s="78"/>
      <c r="Y32" s="265" t="s">
        <v>888</v>
      </c>
      <c r="Z32" s="265"/>
      <c r="AA32" s="265"/>
      <c r="AB32" s="78"/>
      <c r="AC32" s="78"/>
      <c r="AD32" s="115"/>
      <c r="AI32" s="121">
        <f>VLOOKUP(Y32,AH33:AI34,2,FALSE)</f>
        <v>1</v>
      </c>
      <c r="AJ32" s="117"/>
    </row>
    <row r="33" spans="1:37" ht="15" customHeight="1">
      <c r="A33" s="119"/>
      <c r="B33" s="92"/>
      <c r="C33" s="78" t="s">
        <v>658</v>
      </c>
      <c r="D33" s="78"/>
      <c r="E33" s="78"/>
      <c r="F33" s="78"/>
      <c r="G33" s="78"/>
      <c r="H33" s="78"/>
      <c r="I33" s="78"/>
      <c r="J33" s="78"/>
      <c r="K33" s="78"/>
      <c r="L33" s="78"/>
      <c r="M33" s="104" t="s">
        <v>637</v>
      </c>
      <c r="N33" s="104" t="s">
        <v>211</v>
      </c>
      <c r="O33" s="265">
        <v>6.88</v>
      </c>
      <c r="P33" s="265"/>
      <c r="Q33" s="265"/>
      <c r="R33" s="111" t="s">
        <v>654</v>
      </c>
      <c r="S33" s="78"/>
      <c r="T33" s="78"/>
      <c r="U33" s="78"/>
      <c r="V33" s="78"/>
      <c r="W33" s="78"/>
      <c r="X33" s="104"/>
      <c r="Y33" s="98"/>
      <c r="Z33" s="78"/>
      <c r="AA33" s="78"/>
      <c r="AB33" s="78"/>
      <c r="AC33" s="78"/>
      <c r="AD33" s="116"/>
      <c r="AF33" s="122"/>
      <c r="AH33" s="58" t="s">
        <v>796</v>
      </c>
      <c r="AI33" s="58">
        <v>1</v>
      </c>
      <c r="AJ33" s="117"/>
    </row>
    <row r="34" spans="1:37" ht="15" customHeight="1">
      <c r="A34" s="119"/>
      <c r="B34" s="96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116"/>
      <c r="AF34" s="123"/>
      <c r="AH34" s="124" t="s">
        <v>797</v>
      </c>
      <c r="AI34" s="58">
        <v>1.2</v>
      </c>
      <c r="AJ34" s="125"/>
      <c r="AK34" s="95"/>
    </row>
    <row r="35" spans="1:37" ht="15" customHeight="1">
      <c r="A35" s="119"/>
      <c r="B35" s="96"/>
      <c r="C35" s="99" t="s">
        <v>624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116"/>
      <c r="AF35" s="123"/>
      <c r="AG35" s="124"/>
      <c r="AH35" s="126"/>
      <c r="AJ35" s="125"/>
      <c r="AK35" s="117"/>
    </row>
    <row r="36" spans="1:37" ht="15" customHeight="1">
      <c r="A36" s="119"/>
      <c r="B36" s="96"/>
      <c r="C36" s="98" t="s">
        <v>869</v>
      </c>
      <c r="D36" s="98"/>
      <c r="E36" s="98"/>
      <c r="F36" s="98"/>
      <c r="G36" s="98"/>
      <c r="H36" s="98"/>
      <c r="I36" s="265" t="s">
        <v>866</v>
      </c>
      <c r="J36" s="265"/>
      <c r="K36" s="265"/>
      <c r="L36" s="281"/>
      <c r="M36" s="98"/>
      <c r="N36" s="98"/>
      <c r="O36" s="268"/>
      <c r="P36" s="269"/>
      <c r="Q36" s="269"/>
      <c r="R36" s="269"/>
      <c r="S36" s="269"/>
      <c r="T36" s="104"/>
      <c r="U36" s="78"/>
      <c r="V36" s="78"/>
      <c r="W36" s="78"/>
      <c r="X36" s="78"/>
      <c r="Y36" s="78"/>
      <c r="Z36" s="78"/>
      <c r="AA36" s="78" t="str">
        <f>IF(AG44=1,"","Threading type :")</f>
        <v>Threading type :</v>
      </c>
      <c r="AB36" s="78"/>
      <c r="AC36" s="78"/>
      <c r="AD36" s="109"/>
      <c r="AI36" s="117"/>
      <c r="AJ36" s="95"/>
      <c r="AK36" s="117"/>
    </row>
    <row r="37" spans="1:37" ht="15" customHeight="1">
      <c r="A37" s="119"/>
      <c r="B37" s="96"/>
      <c r="C37" s="78" t="s">
        <v>213</v>
      </c>
      <c r="D37" s="78"/>
      <c r="E37" s="78"/>
      <c r="F37" s="78"/>
      <c r="G37" s="78"/>
      <c r="H37" s="264" t="s">
        <v>214</v>
      </c>
      <c r="I37" s="264"/>
      <c r="J37" s="264"/>
      <c r="K37" s="104" t="s">
        <v>211</v>
      </c>
      <c r="L37" s="259">
        <f>VLOOKUP($H$37,AL6:AO16,2,FALSE)</f>
        <v>20</v>
      </c>
      <c r="M37" s="259"/>
      <c r="N37" s="259"/>
      <c r="O37" s="110" t="s">
        <v>32</v>
      </c>
      <c r="P37" s="78"/>
      <c r="Q37" s="78" t="s">
        <v>872</v>
      </c>
      <c r="R37" s="78"/>
      <c r="S37" s="78"/>
      <c r="T37" s="78"/>
      <c r="U37" s="104"/>
      <c r="V37" s="104" t="s">
        <v>675</v>
      </c>
      <c r="W37" s="104"/>
      <c r="X37" s="264">
        <v>10.9</v>
      </c>
      <c r="Y37" s="264"/>
      <c r="Z37" s="78"/>
      <c r="AA37" s="280" t="s">
        <v>794</v>
      </c>
      <c r="AB37" s="281"/>
      <c r="AC37" s="281"/>
      <c r="AD37" s="282"/>
      <c r="AG37" s="76"/>
      <c r="AH37" s="128"/>
      <c r="AI37" s="76"/>
      <c r="AJ37" s="129"/>
      <c r="AK37" s="117"/>
    </row>
    <row r="38" spans="1:37" ht="15" customHeight="1" thickBot="1">
      <c r="A38" s="119" t="str">
        <f>Y64</f>
        <v>Pass 11.04%</v>
      </c>
      <c r="B38" s="96"/>
      <c r="C38" s="78" t="s">
        <v>625</v>
      </c>
      <c r="D38" s="78"/>
      <c r="E38" s="78"/>
      <c r="F38" s="78"/>
      <c r="G38" s="78"/>
      <c r="H38" s="78"/>
      <c r="I38" s="78"/>
      <c r="J38" s="53" t="str">
        <f>(IF(((n-1)*p+2*e)&lt;=(d_beam-(2*(tf_beam+r_beam))),"","Reduce Number of Bolts"))</f>
        <v/>
      </c>
      <c r="K38" s="78"/>
      <c r="L38" s="78"/>
      <c r="M38" s="78"/>
      <c r="N38" s="78"/>
      <c r="O38" s="78"/>
      <c r="P38" s="78"/>
      <c r="Q38" s="104" t="s">
        <v>623</v>
      </c>
      <c r="R38" s="104" t="s">
        <v>211</v>
      </c>
      <c r="S38" s="265">
        <v>6</v>
      </c>
      <c r="T38" s="265"/>
      <c r="U38" s="265"/>
      <c r="V38" s="110"/>
      <c r="W38" s="78"/>
      <c r="X38" s="80"/>
      <c r="Y38" s="80"/>
      <c r="Z38" s="80"/>
      <c r="AA38" s="80"/>
      <c r="AB38" s="93"/>
      <c r="AC38" s="93"/>
      <c r="AD38" s="109"/>
      <c r="AE38" s="103"/>
      <c r="AG38" s="76"/>
      <c r="AH38" s="130"/>
      <c r="AI38" s="76"/>
      <c r="AJ38" s="129"/>
    </row>
    <row r="39" spans="1:37" ht="15" customHeight="1">
      <c r="A39" s="119" t="str">
        <f>Y65</f>
        <v>Pass 06.31%</v>
      </c>
      <c r="B39" s="96"/>
      <c r="C39" s="78" t="s">
        <v>626</v>
      </c>
      <c r="D39" s="78"/>
      <c r="E39" s="78"/>
      <c r="F39" s="78"/>
      <c r="G39" s="78"/>
      <c r="H39" s="78"/>
      <c r="I39" s="78"/>
      <c r="J39" s="53"/>
      <c r="K39" s="78"/>
      <c r="L39" s="78"/>
      <c r="M39" s="78"/>
      <c r="N39" s="78"/>
      <c r="O39" s="78"/>
      <c r="P39" s="78"/>
      <c r="Q39" s="104" t="s">
        <v>627</v>
      </c>
      <c r="R39" s="104" t="s">
        <v>211</v>
      </c>
      <c r="S39" s="265">
        <v>1</v>
      </c>
      <c r="T39" s="265"/>
      <c r="U39" s="265"/>
      <c r="V39" s="78"/>
      <c r="W39" s="78"/>
      <c r="X39" s="78"/>
      <c r="Y39" s="78" t="s">
        <v>837</v>
      </c>
      <c r="Z39" s="78"/>
      <c r="AA39" s="78"/>
      <c r="AB39" s="267">
        <f>n*m</f>
        <v>6</v>
      </c>
      <c r="AC39" s="267"/>
      <c r="AD39" s="109" t="s">
        <v>836</v>
      </c>
      <c r="AE39" s="58">
        <f>IF(db&lt;24,db+2,db+3)</f>
        <v>22</v>
      </c>
      <c r="AG39" s="76"/>
      <c r="AH39" s="131"/>
      <c r="AI39" s="132"/>
      <c r="AJ39" s="76"/>
    </row>
    <row r="40" spans="1:37" ht="15" customHeight="1">
      <c r="A40" s="119" t="str">
        <f>Y66</f>
        <v>Pass 2.25%</v>
      </c>
      <c r="B40" s="96"/>
      <c r="C40" s="78" t="s">
        <v>832</v>
      </c>
      <c r="D40" s="78"/>
      <c r="E40" s="78"/>
      <c r="F40" s="78"/>
      <c r="G40" s="78"/>
      <c r="H40" s="78"/>
      <c r="I40" s="78"/>
      <c r="J40" s="78"/>
      <c r="K40" s="236" t="str">
        <f>IF(e&lt;AE40,"Min Distance="&amp;AE40,"OK")</f>
        <v>OK</v>
      </c>
      <c r="L40" s="78"/>
      <c r="M40" s="78"/>
      <c r="N40" s="78"/>
      <c r="O40" s="78"/>
      <c r="P40" s="78"/>
      <c r="Q40" s="104" t="s">
        <v>588</v>
      </c>
      <c r="R40" s="104" t="s">
        <v>211</v>
      </c>
      <c r="S40" s="265">
        <v>50</v>
      </c>
      <c r="T40" s="265"/>
      <c r="U40" s="265"/>
      <c r="V40" s="110" t="s">
        <v>32</v>
      </c>
      <c r="W40" s="78"/>
      <c r="X40" s="78"/>
      <c r="Y40" s="78"/>
      <c r="Z40" s="78" t="s">
        <v>838</v>
      </c>
      <c r="AA40" s="78"/>
      <c r="AB40" s="267">
        <f>data!Q23</f>
        <v>32.5</v>
      </c>
      <c r="AC40" s="267"/>
      <c r="AD40" s="109" t="s">
        <v>254</v>
      </c>
      <c r="AE40" s="58">
        <f>VLOOKUP($H$37,AL6:AP16,3,FALSE)</f>
        <v>30</v>
      </c>
      <c r="AF40" s="133"/>
      <c r="AG40" s="76"/>
      <c r="AH40" s="134"/>
      <c r="AI40" s="135"/>
      <c r="AJ40" s="76"/>
    </row>
    <row r="41" spans="1:37" ht="15" customHeight="1">
      <c r="A41" s="119" t="str">
        <f>Y68</f>
        <v>Pass 8.56%</v>
      </c>
      <c r="B41" s="96"/>
      <c r="C41" s="78" t="s">
        <v>833</v>
      </c>
      <c r="D41" s="78"/>
      <c r="E41" s="78"/>
      <c r="F41" s="78"/>
      <c r="G41" s="78"/>
      <c r="H41" s="78"/>
      <c r="I41" s="78"/>
      <c r="J41" s="78"/>
      <c r="K41" s="236" t="str">
        <f>IF(ex&lt;AE41,"Min Distance="&amp;AE41,"OK")</f>
        <v>OK</v>
      </c>
      <c r="L41" s="78"/>
      <c r="M41" s="78"/>
      <c r="N41" s="78"/>
      <c r="O41" s="78"/>
      <c r="P41" s="78"/>
      <c r="Q41" s="104" t="s">
        <v>630</v>
      </c>
      <c r="R41" s="104" t="s">
        <v>211</v>
      </c>
      <c r="S41" s="265">
        <v>50</v>
      </c>
      <c r="T41" s="265"/>
      <c r="U41" s="265"/>
      <c r="V41" s="110" t="s">
        <v>32</v>
      </c>
      <c r="W41" s="78"/>
      <c r="X41" s="78"/>
      <c r="Y41" s="78"/>
      <c r="Z41" s="78" t="s">
        <v>839</v>
      </c>
      <c r="AA41" s="78"/>
      <c r="AB41" s="267">
        <f>data!Q30</f>
        <v>0</v>
      </c>
      <c r="AC41" s="267"/>
      <c r="AD41" s="109" t="s">
        <v>254</v>
      </c>
      <c r="AE41" s="58">
        <f>VLOOKUP($H$37,AL6:AP16,3,FALSE)</f>
        <v>30</v>
      </c>
      <c r="AF41" s="136"/>
      <c r="AG41" s="76"/>
      <c r="AH41" s="134"/>
      <c r="AI41" s="135"/>
      <c r="AJ41" s="76"/>
    </row>
    <row r="42" spans="1:37" ht="15" customHeight="1">
      <c r="A42" s="119" t="str">
        <f>Y69</f>
        <v>Pass 28.71%</v>
      </c>
      <c r="B42" s="92"/>
      <c r="C42" s="78" t="s">
        <v>834</v>
      </c>
      <c r="D42" s="78"/>
      <c r="E42" s="78"/>
      <c r="F42" s="78"/>
      <c r="G42" s="78"/>
      <c r="H42" s="78"/>
      <c r="I42" s="78"/>
      <c r="J42" s="78"/>
      <c r="K42" s="236" t="str">
        <f>IF(p&lt;AE42,"Min Distance="&amp;AE42,"OK")</f>
        <v>OK</v>
      </c>
      <c r="L42" s="78"/>
      <c r="M42" s="78"/>
      <c r="N42" s="78"/>
      <c r="O42" s="78"/>
      <c r="P42" s="78"/>
      <c r="Q42" s="104" t="s">
        <v>622</v>
      </c>
      <c r="R42" s="104" t="s">
        <v>211</v>
      </c>
      <c r="S42" s="265">
        <v>130</v>
      </c>
      <c r="T42" s="265"/>
      <c r="U42" s="265"/>
      <c r="V42" s="110" t="s">
        <v>32</v>
      </c>
      <c r="W42" s="78"/>
      <c r="X42" s="78"/>
      <c r="Y42" s="78"/>
      <c r="Z42" s="137" t="s">
        <v>854</v>
      </c>
      <c r="AA42" s="138"/>
      <c r="AB42" s="267">
        <f>data!Q38</f>
        <v>2957.5</v>
      </c>
      <c r="AC42" s="267"/>
      <c r="AD42" s="109" t="s">
        <v>853</v>
      </c>
      <c r="AE42" s="58">
        <f>VLOOKUP($H$37,AL6:AP16,4,FALSE)</f>
        <v>60</v>
      </c>
      <c r="AF42" s="133"/>
      <c r="AG42" s="76"/>
      <c r="AH42" s="134"/>
      <c r="AI42" s="135"/>
      <c r="AJ42" s="76"/>
    </row>
    <row r="43" spans="1:37" ht="15" customHeight="1">
      <c r="A43" s="119" t="str">
        <f>Y75</f>
        <v>Pass 6.88%</v>
      </c>
      <c r="B43" s="92"/>
      <c r="C43" s="78" t="s">
        <v>835</v>
      </c>
      <c r="D43" s="78"/>
      <c r="E43" s="78"/>
      <c r="F43" s="78"/>
      <c r="G43" s="78"/>
      <c r="H43" s="78"/>
      <c r="I43" s="78"/>
      <c r="J43" s="78"/>
      <c r="K43" s="236" t="str">
        <f>IF(m&lt;=1,"",IF(S43&lt;AE43,"Min Distance="&amp;AE43,"OK"))</f>
        <v/>
      </c>
      <c r="L43" s="78"/>
      <c r="M43" s="78"/>
      <c r="N43" s="78"/>
      <c r="O43" s="78"/>
      <c r="P43" s="78"/>
      <c r="Q43" s="104" t="s">
        <v>831</v>
      </c>
      <c r="R43" s="104" t="s">
        <v>211</v>
      </c>
      <c r="S43" s="265">
        <v>130</v>
      </c>
      <c r="T43" s="265"/>
      <c r="U43" s="265"/>
      <c r="V43" s="110" t="s">
        <v>32</v>
      </c>
      <c r="W43" s="78"/>
      <c r="X43" s="78"/>
      <c r="Y43" s="104"/>
      <c r="Z43" s="78"/>
      <c r="AA43" s="78"/>
      <c r="AB43" s="78"/>
      <c r="AC43" s="78"/>
      <c r="AD43" s="94"/>
      <c r="AE43" s="58">
        <f>VLOOKUP($H$37,AL6:AP16,4,FALSE)</f>
        <v>60</v>
      </c>
      <c r="AH43" s="134"/>
      <c r="AI43" s="135"/>
    </row>
    <row r="44" spans="1:37" ht="15" customHeight="1">
      <c r="A44" s="119" t="str">
        <f>Y91</f>
        <v>Pass 22.45%</v>
      </c>
      <c r="B44" s="92"/>
      <c r="C44" s="78" t="s">
        <v>841</v>
      </c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104" t="s">
        <v>225</v>
      </c>
      <c r="R44" s="104" t="s">
        <v>211</v>
      </c>
      <c r="S44" s="265">
        <v>10</v>
      </c>
      <c r="T44" s="265"/>
      <c r="U44" s="265"/>
      <c r="V44" s="110" t="s">
        <v>32</v>
      </c>
      <c r="W44" s="78" t="s">
        <v>876</v>
      </c>
      <c r="X44" s="78"/>
      <c r="Y44" s="78"/>
      <c r="Z44" s="78"/>
      <c r="AA44" s="78"/>
      <c r="AB44" s="78"/>
      <c r="AC44" s="78"/>
      <c r="AD44" s="94"/>
      <c r="AG44" s="58">
        <f>IF(I36=AF45,1,2)</f>
        <v>2</v>
      </c>
      <c r="AH44" s="134"/>
      <c r="AI44" s="135"/>
    </row>
    <row r="45" spans="1:37" ht="15" customHeight="1">
      <c r="B45" s="92"/>
      <c r="C45" s="78" t="s">
        <v>824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104" t="s">
        <v>825</v>
      </c>
      <c r="R45" s="104" t="s">
        <v>211</v>
      </c>
      <c r="S45" s="78">
        <v>1</v>
      </c>
      <c r="T45" s="78" t="s">
        <v>873</v>
      </c>
      <c r="U45" s="78"/>
      <c r="V45" s="110"/>
      <c r="W45" s="104"/>
      <c r="X45" s="53"/>
      <c r="Y45" s="78"/>
      <c r="Z45" s="78"/>
      <c r="AA45" s="78"/>
      <c r="AB45" s="78"/>
      <c r="AC45" s="78"/>
      <c r="AD45" s="94"/>
      <c r="AF45" s="58" t="s">
        <v>867</v>
      </c>
      <c r="AG45" s="58">
        <v>1</v>
      </c>
      <c r="AH45" s="139"/>
      <c r="AI45" s="140"/>
    </row>
    <row r="46" spans="1:37" ht="15" customHeight="1" thickBot="1">
      <c r="B46" s="92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94"/>
      <c r="AF46" s="58" t="s">
        <v>866</v>
      </c>
      <c r="AG46" s="58">
        <v>2</v>
      </c>
      <c r="AH46" s="141"/>
      <c r="AI46" s="142">
        <f>IF(X37=10.9,1,0)</f>
        <v>1</v>
      </c>
    </row>
    <row r="47" spans="1:37" ht="15" customHeight="1">
      <c r="B47" s="92"/>
      <c r="C47" s="78" t="s">
        <v>842</v>
      </c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104" t="s">
        <v>855</v>
      </c>
      <c r="V47" s="104" t="s">
        <v>211</v>
      </c>
      <c r="W47" s="267">
        <f>IF(m=1,g+ex+0.5*tw_column,g+ex+0.5*tw_column+(m-1)*0.5*S43)</f>
        <v>62.5</v>
      </c>
      <c r="X47" s="267"/>
      <c r="Y47" s="110" t="s">
        <v>32</v>
      </c>
      <c r="Z47" s="78"/>
      <c r="AA47" s="78"/>
      <c r="AB47" s="78"/>
      <c r="AC47" s="78"/>
      <c r="AD47" s="94"/>
    </row>
    <row r="48" spans="1:37" ht="15" customHeight="1">
      <c r="B48" s="96"/>
      <c r="C48" s="99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94"/>
      <c r="AE48" s="143"/>
      <c r="AF48" s="107"/>
      <c r="AG48" s="76" t="s">
        <v>870</v>
      </c>
      <c r="AH48" s="76" t="s">
        <v>871</v>
      </c>
      <c r="AJ48" s="58">
        <v>8.8000000000000007</v>
      </c>
    </row>
    <row r="49" spans="1:46" ht="15" customHeight="1" thickBot="1">
      <c r="B49" s="144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6"/>
      <c r="AE49" s="76"/>
      <c r="AF49" s="58" t="str">
        <f>IF(Fy_gusset&lt;2.75,"0.4","0.5")</f>
        <v>0.5</v>
      </c>
      <c r="AG49" s="76" t="str">
        <f>H37</f>
        <v>M20</v>
      </c>
      <c r="AH49" s="76">
        <f>IF(Fy_gusset&gt;2.75,((VLOOKUP(AG49,AF167:AL176,7,0))),VLOOKUP(AG49,AF167:AL176,6,0))</f>
        <v>6.17</v>
      </c>
      <c r="AI49" s="76"/>
      <c r="AJ49" s="76">
        <f>AH49*0.7</f>
        <v>4.319</v>
      </c>
    </row>
    <row r="50" spans="1:46" ht="15" customHeight="1">
      <c r="B50" s="242"/>
      <c r="C50" s="86"/>
      <c r="D50" s="243" t="s">
        <v>868</v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244"/>
      <c r="AB50" s="245"/>
      <c r="AC50" s="245"/>
      <c r="AD50" s="246"/>
      <c r="AE50" s="147"/>
      <c r="AG50" s="76"/>
      <c r="AH50" s="76">
        <f>IF(X37=10.9,AH49,AJ49)</f>
        <v>6.17</v>
      </c>
      <c r="AI50" s="76"/>
      <c r="AJ50" s="76"/>
      <c r="AQ50" s="83"/>
      <c r="AR50" s="83"/>
      <c r="AS50" s="83"/>
      <c r="AT50" s="83"/>
    </row>
    <row r="51" spans="1:46" ht="15" customHeight="1">
      <c r="A51" s="148"/>
      <c r="B51" s="96"/>
      <c r="C51" s="78"/>
      <c r="D51" s="78" t="s">
        <v>858</v>
      </c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109"/>
      <c r="AE51" s="147"/>
      <c r="AG51" s="82"/>
      <c r="AQ51" s="83"/>
      <c r="AR51" s="83"/>
      <c r="AS51" s="83"/>
      <c r="AT51" s="83"/>
    </row>
    <row r="52" spans="1:46" ht="15" customHeight="1">
      <c r="A52" s="148"/>
      <c r="B52" s="96"/>
      <c r="C52" s="78"/>
      <c r="D52" s="162"/>
      <c r="E52" s="77" t="s">
        <v>815</v>
      </c>
      <c r="F52" s="77" t="s">
        <v>211</v>
      </c>
      <c r="G52" s="253" t="str">
        <f>IF(X37=10.9,IF(AG44=1,"Ps*n*Np","0.2 Fu*Abolt *n*m*Np"),IF(AG44=1,"0.7*Ps*n*Np","0.25 Fu*Abolt *n*m*Np"))</f>
        <v>0.2 Fu*Abolt *n*m*Np</v>
      </c>
      <c r="H52" s="253"/>
      <c r="I52" s="269"/>
      <c r="J52" s="269"/>
      <c r="K52" s="269"/>
      <c r="L52" s="269"/>
      <c r="M52" s="269"/>
      <c r="N52" s="269"/>
      <c r="O52" s="98"/>
      <c r="P52" s="54"/>
      <c r="Q52" s="54"/>
      <c r="R52" s="54"/>
      <c r="S52" s="104" t="s">
        <v>211</v>
      </c>
      <c r="T52" s="255">
        <f>IF(AG44=1,AI32*AH50*boltsno,(IF(AK57=1,AH58*n*m,AH53*boltsno))*AI32*S45)</f>
        <v>29.400000000000002</v>
      </c>
      <c r="U52" s="255"/>
      <c r="V52" s="255"/>
      <c r="W52" s="111" t="s">
        <v>654</v>
      </c>
      <c r="X52" s="153"/>
      <c r="Y52" s="236" t="str">
        <f>IF(T52&gt;(MAX(ABS(A),ABS(V_2))),"Pass","Fail")&amp;TEXT(AE52," #.##%")</f>
        <v>Pass 23.4%</v>
      </c>
      <c r="Z52" s="247"/>
      <c r="AA52" s="247"/>
      <c r="AB52" s="247"/>
      <c r="AC52" s="78"/>
      <c r="AD52" s="109"/>
      <c r="AE52" s="238">
        <f>(MAX(ABS(A/T52),ABS(V_2))/T52)</f>
        <v>0.23401360544217684</v>
      </c>
      <c r="AH52" s="149" t="s">
        <v>826</v>
      </c>
      <c r="AI52" s="149"/>
      <c r="AJ52" s="150"/>
      <c r="AK52" s="151"/>
      <c r="AL52" s="152"/>
      <c r="AQ52" s="83"/>
      <c r="AR52" s="83"/>
      <c r="AS52" s="83"/>
      <c r="AT52" s="83"/>
    </row>
    <row r="53" spans="1:46" ht="15" customHeight="1">
      <c r="A53" s="148"/>
      <c r="B53" s="96"/>
      <c r="C53" s="78"/>
      <c r="D53" s="162"/>
      <c r="E53" s="77"/>
      <c r="F53" s="77"/>
      <c r="G53" s="268" t="str">
        <f>IF(X37=10.9,"for grade 10.9",IF(AG44=1,"for grade 8.8","for grade 5.6, 4.6&amp;8.8"))</f>
        <v>for grade 10.9</v>
      </c>
      <c r="H53" s="269"/>
      <c r="I53" s="269"/>
      <c r="J53" s="269"/>
      <c r="K53" s="269"/>
      <c r="L53" s="269"/>
      <c r="M53" s="269"/>
      <c r="N53" s="269"/>
      <c r="O53" s="98"/>
      <c r="P53" s="54"/>
      <c r="Q53" s="54"/>
      <c r="R53" s="54"/>
      <c r="S53" s="104" t="s">
        <v>211</v>
      </c>
      <c r="T53" s="255">
        <f>T52/boltsno</f>
        <v>4.9000000000000004</v>
      </c>
      <c r="U53" s="255"/>
      <c r="V53" s="255"/>
      <c r="W53" s="111" t="s">
        <v>856</v>
      </c>
      <c r="X53" s="78"/>
      <c r="Y53" s="236"/>
      <c r="Z53" s="247"/>
      <c r="AA53" s="247"/>
      <c r="AB53" s="247"/>
      <c r="AC53" s="78"/>
      <c r="AD53" s="109"/>
      <c r="AE53" s="239"/>
      <c r="AH53" s="59">
        <f>AI32*(IF(AI46=1,0.2*VLOOKUP(X37,AG206:AK213,2,FALSE)*(VLOOKUP(H37,AF166:AK176,3,FALSE)),0.25*VLOOKUP(X37,AG206:AK213,2,FALSE)*(VLOOKUP(H37,AF166:AK176,3,FALSE))))</f>
        <v>6.28</v>
      </c>
      <c r="AI53" s="149" t="s">
        <v>654</v>
      </c>
      <c r="AJ53" s="150"/>
      <c r="AK53" s="151"/>
      <c r="AL53" s="152"/>
      <c r="AQ53" s="83"/>
      <c r="AR53" s="83"/>
      <c r="AS53" s="83"/>
      <c r="AT53" s="83"/>
    </row>
    <row r="54" spans="1:46" ht="12.75">
      <c r="A54" s="148"/>
      <c r="B54" s="96"/>
      <c r="C54" s="78"/>
      <c r="D54" s="78" t="str">
        <f>IF(AG44=1,"","Allowable Bearing Strength (Shear)")</f>
        <v>Allowable Bearing Strength (Shear)</v>
      </c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 t="str">
        <f>IF(AG44=1,"","E / d")</f>
        <v>E / d</v>
      </c>
      <c r="Q54" s="78"/>
      <c r="R54" s="77"/>
      <c r="S54" s="104" t="str">
        <f>IF(AG44=1,"","=")</f>
        <v>=</v>
      </c>
      <c r="T54" s="255">
        <f>IF(AG44=1,"",IF(e&lt;AE40,"Check",(FLOOR(MIN(e/db,ex/db),0.5))))</f>
        <v>2.5</v>
      </c>
      <c r="U54" s="255"/>
      <c r="V54" s="255"/>
      <c r="W54" s="110"/>
      <c r="X54" s="153"/>
      <c r="Y54" s="236"/>
      <c r="Z54" s="247"/>
      <c r="AA54" s="247"/>
      <c r="AB54" s="247"/>
      <c r="AC54" s="158"/>
      <c r="AD54" s="159"/>
      <c r="AE54" s="239"/>
      <c r="AH54" s="76"/>
      <c r="AI54" s="154"/>
      <c r="AJ54" s="155"/>
      <c r="AK54" s="156"/>
      <c r="AL54" s="157"/>
    </row>
    <row r="55" spans="1:46" ht="15" customHeight="1">
      <c r="A55" s="148"/>
      <c r="B55" s="96"/>
      <c r="C55" s="78"/>
      <c r="D55" s="78"/>
      <c r="E55" s="77" t="str">
        <f>IF(AG44=1,"","Rb")</f>
        <v>Rb</v>
      </c>
      <c r="F55" s="77" t="str">
        <f>IF(AG44=1,"","=")</f>
        <v>=</v>
      </c>
      <c r="G55" s="79" t="str">
        <f>IF(AG44=1,"","Fb*d*tw_beam*n*m")</f>
        <v>Fb*d*tw_beam*n*m</v>
      </c>
      <c r="H55" s="79"/>
      <c r="I55" s="54"/>
      <c r="J55" s="54"/>
      <c r="K55" s="54"/>
      <c r="L55" s="54"/>
      <c r="M55" s="54"/>
      <c r="N55" s="54"/>
      <c r="O55" s="78"/>
      <c r="P55" s="78" t="str">
        <f>IF(AG44=1,"","a Bearing")</f>
        <v>a Bearing</v>
      </c>
      <c r="Q55" s="78"/>
      <c r="R55" s="111"/>
      <c r="S55" s="104" t="str">
        <f>IF(AG44=1,"","=")</f>
        <v>=</v>
      </c>
      <c r="T55" s="255">
        <f>IF(AG44=1,"",IF(T54&gt;3,1.2,VLOOKUP(T54,AN199:AO202,2,FALSE)))</f>
        <v>1</v>
      </c>
      <c r="U55" s="255"/>
      <c r="V55" s="255"/>
      <c r="W55" s="110"/>
      <c r="X55" s="153"/>
      <c r="Y55" s="236"/>
      <c r="Z55" s="247"/>
      <c r="AA55" s="247"/>
      <c r="AB55" s="247"/>
      <c r="AC55" s="55"/>
      <c r="AD55" s="159"/>
      <c r="AE55" s="239"/>
      <c r="AH55" s="76"/>
      <c r="AI55" s="76"/>
      <c r="AJ55" s="76"/>
      <c r="AK55" s="76"/>
      <c r="AL55" s="76"/>
    </row>
    <row r="56" spans="1:46" ht="15" customHeight="1">
      <c r="A56" s="148"/>
      <c r="B56" s="96"/>
      <c r="C56" s="78"/>
      <c r="D56" s="78"/>
      <c r="E56" s="78"/>
      <c r="F56" s="77" t="str">
        <f>IF(AG44=1,"","=")</f>
        <v>=</v>
      </c>
      <c r="G56" s="79" t="str">
        <f>IF(AG44=1,"","aFu_beam*d*tw_ beam*n*m")</f>
        <v>aFu_beam*d*tw_ beam*n*m</v>
      </c>
      <c r="H56" s="79"/>
      <c r="I56" s="54"/>
      <c r="J56" s="54"/>
      <c r="K56" s="54"/>
      <c r="L56" s="54"/>
      <c r="M56" s="54"/>
      <c r="N56" s="54"/>
      <c r="O56" s="78"/>
      <c r="P56" s="78"/>
      <c r="Q56" s="78"/>
      <c r="R56" s="77"/>
      <c r="S56" s="104" t="str">
        <f>IF(AG44=1,"","=")</f>
        <v>=</v>
      </c>
      <c r="T56" s="255">
        <f>IF(AG44=1,"",(T55*Fu_Gusset*db*(MIN(tp,tw_beam))*boltsno/100)*AI32)</f>
        <v>49.92</v>
      </c>
      <c r="U56" s="255"/>
      <c r="V56" s="255"/>
      <c r="W56" s="111" t="str">
        <f>IF(AG44=1,"","ton")</f>
        <v>ton</v>
      </c>
      <c r="X56" s="153"/>
      <c r="Y56" s="236" t="str">
        <f>IF(AG44=1,"",IF(T56&gt;ABS(V_2),"Pass","Fail")&amp;TEXT(AE56," #.##%"))</f>
        <v>Pass 13.78%</v>
      </c>
      <c r="Z56" s="247"/>
      <c r="AA56" s="247"/>
      <c r="AB56" s="247"/>
      <c r="AC56" s="78"/>
      <c r="AD56" s="109"/>
      <c r="AE56" s="238">
        <f>IF(AG44=1,"",ABS(V_2)/T56)</f>
        <v>0.1378205128205128</v>
      </c>
      <c r="AF56" s="83"/>
    </row>
    <row r="57" spans="1:46" ht="15" customHeight="1">
      <c r="A57" s="148"/>
      <c r="B57" s="96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104" t="str">
        <f>IF(AG44=1,"","=")</f>
        <v>=</v>
      </c>
      <c r="T57" s="255">
        <f>IF(AG44=1,"",T56/boltsno)</f>
        <v>8.32</v>
      </c>
      <c r="U57" s="255"/>
      <c r="V57" s="255"/>
      <c r="W57" s="111" t="str">
        <f>IF(AG44=1,"","ton/bolt")</f>
        <v>ton/bolt</v>
      </c>
      <c r="X57" s="78"/>
      <c r="Y57" s="236"/>
      <c r="Z57" s="247"/>
      <c r="AA57" s="247"/>
      <c r="AB57" s="247"/>
      <c r="AC57" s="78"/>
      <c r="AD57" s="109"/>
      <c r="AE57" s="239"/>
      <c r="AF57" s="83"/>
      <c r="AH57" s="149" t="s">
        <v>827</v>
      </c>
      <c r="AI57" s="149"/>
      <c r="AJ57" s="149"/>
      <c r="AK57" s="121">
        <f>VLOOKUP(AA37,AK58:AL59,2,FALSE)</f>
        <v>1</v>
      </c>
    </row>
    <row r="58" spans="1:46" ht="15" customHeight="1">
      <c r="A58" s="148"/>
      <c r="B58" s="96"/>
      <c r="C58" s="110" t="s">
        <v>884</v>
      </c>
      <c r="D58" s="78"/>
      <c r="E58" s="78"/>
      <c r="F58" s="78"/>
      <c r="G58" s="78"/>
      <c r="H58" s="78"/>
      <c r="I58" s="77" t="s">
        <v>798</v>
      </c>
      <c r="J58" s="253">
        <f>V_2*W47/10</f>
        <v>43</v>
      </c>
      <c r="K58" s="254"/>
      <c r="L58" s="254"/>
      <c r="M58" s="78" t="s">
        <v>859</v>
      </c>
      <c r="N58" s="79"/>
      <c r="O58" s="80"/>
      <c r="P58" s="80"/>
      <c r="Q58" s="78"/>
      <c r="R58" s="78"/>
      <c r="S58" s="78"/>
      <c r="T58" s="52"/>
      <c r="U58" s="52"/>
      <c r="V58" s="52"/>
      <c r="W58" s="111"/>
      <c r="X58" s="78"/>
      <c r="Y58" s="236"/>
      <c r="Z58" s="247"/>
      <c r="AA58" s="247"/>
      <c r="AB58" s="247"/>
      <c r="AC58" s="78"/>
      <c r="AD58" s="109"/>
      <c r="AE58" s="239"/>
      <c r="AF58" s="83"/>
      <c r="AH58" s="59">
        <f>AI32*(IF(AI46=1,0.2*VLOOKUP(X37,AG206:AK213,2,FALSE)*(VLOOKUP(H37,AF166:AK176,2,FALSE)),0.25*VLOOKUP(X37,AG206:AK213,2,FALSE)*(VLOOKUP(H37,AF166:AK176,2,FALSE))))</f>
        <v>4.9000000000000004</v>
      </c>
      <c r="AI58" s="149" t="s">
        <v>654</v>
      </c>
      <c r="AJ58" s="59"/>
      <c r="AK58" s="160" t="s">
        <v>794</v>
      </c>
      <c r="AL58" s="161">
        <v>1</v>
      </c>
    </row>
    <row r="59" spans="1:46" ht="15" customHeight="1">
      <c r="A59" s="148"/>
      <c r="B59" s="96"/>
      <c r="C59" s="78"/>
      <c r="D59" s="96"/>
      <c r="E59" s="78"/>
      <c r="F59" s="77" t="s">
        <v>877</v>
      </c>
      <c r="G59" s="253">
        <f>(A/(boltsno))+((J58/AB42)*AB40)</f>
        <v>2.1008608058608056</v>
      </c>
      <c r="H59" s="273"/>
      <c r="I59" s="111" t="s">
        <v>856</v>
      </c>
      <c r="J59" s="78"/>
      <c r="K59" s="78"/>
      <c r="L59" s="78"/>
      <c r="M59" s="78"/>
      <c r="N59" s="54"/>
      <c r="O59" s="77" t="s">
        <v>878</v>
      </c>
      <c r="P59" s="253">
        <f>V_2/(boltsno)+((J58/AB42)*AB41)</f>
        <v>1.1466666666666667</v>
      </c>
      <c r="Q59" s="274"/>
      <c r="R59" s="111" t="s">
        <v>856</v>
      </c>
      <c r="S59" s="80"/>
      <c r="T59" s="78"/>
      <c r="U59" s="77"/>
      <c r="V59" s="52"/>
      <c r="W59" s="111"/>
      <c r="X59" s="153"/>
      <c r="Y59" s="236"/>
      <c r="Z59" s="247"/>
      <c r="AA59" s="247"/>
      <c r="AB59" s="247"/>
      <c r="AC59" s="78"/>
      <c r="AD59" s="109"/>
      <c r="AE59" s="239"/>
      <c r="AF59" s="83"/>
      <c r="AK59" s="161" t="s">
        <v>795</v>
      </c>
      <c r="AL59" s="161">
        <v>2</v>
      </c>
    </row>
    <row r="60" spans="1:46" ht="15" customHeight="1">
      <c r="A60" s="148"/>
      <c r="B60" s="96"/>
      <c r="C60" s="78"/>
      <c r="D60" s="78" t="s">
        <v>857</v>
      </c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 t="s">
        <v>816</v>
      </c>
      <c r="Q60" s="78"/>
      <c r="R60" s="78"/>
      <c r="S60" s="104" t="s">
        <v>211</v>
      </c>
      <c r="T60" s="279">
        <f>((G59^2)+(P59^2))^0.5</f>
        <v>2.3934202660725004</v>
      </c>
      <c r="U60" s="279"/>
      <c r="V60" s="279"/>
      <c r="W60" s="111" t="s">
        <v>654</v>
      </c>
      <c r="X60" s="153"/>
      <c r="Y60" s="236" t="str">
        <f>IF(AG44&gt;1,IF(T60&lt;(MIN((T56/(boltsno)),(T52/boltsno))),"Pass","Fail")&amp;TEXT(AE60," #.##%"),IF(T60&lt;(T52/boltsno),"Pass","Fail")&amp;TEXT(AE60," #.##%"))</f>
        <v>Pass 48.85%</v>
      </c>
      <c r="Z60" s="247"/>
      <c r="AA60" s="247"/>
      <c r="AB60" s="247"/>
      <c r="AC60" s="78"/>
      <c r="AD60" s="109"/>
      <c r="AE60" s="238">
        <f>IF(AG44=1,(ABS((G59^2+P59^2)^0.5)/(T52/boltsno)),(ABS((G59^2+P59^2)^0.5)/(MIN(T56/boltsno,T52/boltsno))))</f>
        <v>0.48845311552500004</v>
      </c>
      <c r="AH60" s="149"/>
      <c r="AK60" s="76"/>
      <c r="AL60" s="76"/>
    </row>
    <row r="61" spans="1:46" ht="15" customHeight="1">
      <c r="A61" s="148"/>
      <c r="B61" s="96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236"/>
      <c r="Z61" s="247"/>
      <c r="AA61" s="247"/>
      <c r="AB61" s="247"/>
      <c r="AC61" s="78"/>
      <c r="AD61" s="109"/>
      <c r="AE61" s="240"/>
      <c r="AK61" s="76"/>
      <c r="AL61" s="76"/>
    </row>
    <row r="62" spans="1:46" ht="15" customHeight="1">
      <c r="A62" s="84"/>
      <c r="B62" s="96"/>
      <c r="C62" s="99" t="s">
        <v>887</v>
      </c>
      <c r="D62" s="99"/>
      <c r="E62" s="99"/>
      <c r="F62" s="99"/>
      <c r="G62" s="99"/>
      <c r="H62" s="99"/>
      <c r="I62" s="99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236"/>
      <c r="Z62" s="247"/>
      <c r="AA62" s="247"/>
      <c r="AB62" s="247"/>
      <c r="AC62" s="78"/>
      <c r="AD62" s="109"/>
      <c r="AE62" s="240"/>
      <c r="AG62" s="149"/>
      <c r="AH62" s="149"/>
      <c r="AI62" s="149"/>
      <c r="AJ62" s="121"/>
    </row>
    <row r="63" spans="1:46" ht="15" customHeight="1">
      <c r="A63" s="84"/>
      <c r="B63" s="96"/>
      <c r="C63" s="78" t="str">
        <f>IF(AG44=1,"Hpl.=","Hpl.net=")</f>
        <v>Hpl.net=</v>
      </c>
      <c r="D63" s="78"/>
      <c r="E63" s="78"/>
      <c r="F63" s="78" t="str">
        <f>IF(AG44=1,"e+(n-1)*P+e","(n-1)*(p-d_hole)+2*(e-(d_hole*0.5)")</f>
        <v>(n-1)*(p-d_hole)+2*(e-(d_hole*0.5)</v>
      </c>
      <c r="G63" s="78"/>
      <c r="H63" s="78"/>
      <c r="I63" s="78"/>
      <c r="J63" s="78"/>
      <c r="K63" s="78"/>
      <c r="L63" s="78"/>
      <c r="M63" s="78"/>
      <c r="N63" s="78"/>
      <c r="O63" s="78"/>
      <c r="P63" s="162"/>
      <c r="Q63" s="104" t="s">
        <v>211</v>
      </c>
      <c r="R63" s="255">
        <f>IF(AG44=1,e+(n-1)*p+e,(n-1)*(p-d_hole)+(2*(e-(d_hole*0.5))))</f>
        <v>618</v>
      </c>
      <c r="S63" s="255"/>
      <c r="T63" s="255"/>
      <c r="U63" s="110" t="s">
        <v>32</v>
      </c>
      <c r="V63" s="162"/>
      <c r="W63" s="78"/>
      <c r="X63" s="78"/>
      <c r="Y63" s="236"/>
      <c r="Z63" s="247"/>
      <c r="AA63" s="247"/>
      <c r="AB63" s="247"/>
      <c r="AC63" s="78"/>
      <c r="AD63" s="94"/>
      <c r="AE63" s="238"/>
      <c r="AG63" s="59"/>
      <c r="AH63" s="149"/>
      <c r="AI63" s="59"/>
    </row>
    <row r="64" spans="1:46" ht="15" customHeight="1">
      <c r="A64" s="84"/>
      <c r="B64" s="96"/>
      <c r="C64" s="77" t="s">
        <v>677</v>
      </c>
      <c r="D64" s="77" t="s">
        <v>211</v>
      </c>
      <c r="E64" s="79" t="str">
        <f>IF(AG44=1,"0.35 Fy plate *Atgp ","0.35 Fy plate *Agp net")</f>
        <v>0.35 Fy plate *Agp net</v>
      </c>
      <c r="F64" s="79"/>
      <c r="G64" s="248"/>
      <c r="H64" s="248"/>
      <c r="I64" s="248"/>
      <c r="J64" s="248"/>
      <c r="K64" s="248"/>
      <c r="L64" s="248"/>
      <c r="M64" s="98"/>
      <c r="N64" s="78"/>
      <c r="O64" s="78"/>
      <c r="P64" s="77" t="s">
        <v>677</v>
      </c>
      <c r="Q64" s="104" t="s">
        <v>211</v>
      </c>
      <c r="R64" s="255">
        <f>0.35*Fy_gusset*((bp)/10)*(tp/10)*shpl*AI32</f>
        <v>93.441599999999994</v>
      </c>
      <c r="S64" s="255"/>
      <c r="T64" s="255"/>
      <c r="U64" s="111" t="s">
        <v>654</v>
      </c>
      <c r="V64" s="97" t="str">
        <f>IF(R64=1.5*V_2,"=",IF(R64&gt;V_2*1.5,"&gt;","&lt;"))</f>
        <v>&gt;</v>
      </c>
      <c r="W64" s="283" t="s">
        <v>676</v>
      </c>
      <c r="X64" s="283"/>
      <c r="Y64" s="236" t="str">
        <f>IF(R64&gt;ABS(1.5*V_2),"Pass","Fail")&amp;TEXT(AE64," #.##%")</f>
        <v>Pass 11.04%</v>
      </c>
      <c r="Z64" s="247"/>
      <c r="AA64" s="247"/>
      <c r="AB64" s="247"/>
      <c r="AC64" s="54"/>
      <c r="AD64" s="94"/>
      <c r="AE64" s="238">
        <f>ABS(1.5*V_2)/R64</f>
        <v>0.11044331432680948</v>
      </c>
    </row>
    <row r="65" spans="1:44" ht="15" customHeight="1">
      <c r="A65" s="84"/>
      <c r="B65" s="96"/>
      <c r="C65" s="78" t="str">
        <f>IF(AG44=1,"Axial stress= (N/Agp)","Axial stress= (N/Agp.net)")</f>
        <v>Axial stress= (N/Agp.net)</v>
      </c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7" t="s">
        <v>861</v>
      </c>
      <c r="Q65" s="104" t="s">
        <v>211</v>
      </c>
      <c r="R65" s="255">
        <f>A/(shpl*tp*bp/100)</f>
        <v>0.13174217907227617</v>
      </c>
      <c r="S65" s="255"/>
      <c r="T65" s="255"/>
      <c r="U65" s="111" t="s">
        <v>664</v>
      </c>
      <c r="V65" s="162"/>
      <c r="W65" s="78"/>
      <c r="X65" s="78"/>
      <c r="Y65" s="236" t="str">
        <f>IF(R65&lt;=AI32*0.58*Fy_gusset,"Pass","Fail")&amp;TEXT(AE65," 0#.##%")</f>
        <v>Pass 06.31%</v>
      </c>
      <c r="Z65" s="247"/>
      <c r="AA65" s="247"/>
      <c r="AB65" s="247"/>
      <c r="AC65" s="54"/>
      <c r="AD65" s="94"/>
      <c r="AE65" s="238">
        <f>R65/(AI32*0.58*Fy_gusset)</f>
        <v>6.3094913348791262E-2</v>
      </c>
      <c r="AF65" s="58" t="s">
        <v>874</v>
      </c>
      <c r="AG65" s="58">
        <f>((((tp/10)*(R71/10)^3)/12)-((n*(tp/10)*(d_hole/10)^3)/12)-(data!Q26*(d_hole/10)*(tp/10)))/(R71*0.5/10)</f>
        <v>916.62163199999986</v>
      </c>
    </row>
    <row r="66" spans="1:44" ht="15" customHeight="1">
      <c r="A66" s="84"/>
      <c r="B66" s="96"/>
      <c r="C66" s="110" t="s">
        <v>864</v>
      </c>
      <c r="D66" s="110"/>
      <c r="E66" s="110"/>
      <c r="F66" s="110"/>
      <c r="G66" s="110"/>
      <c r="H66" s="110"/>
      <c r="I66" s="110"/>
      <c r="J66" s="104" t="s">
        <v>883</v>
      </c>
      <c r="K66" s="104" t="s">
        <v>211</v>
      </c>
      <c r="L66" s="255">
        <f>V_2*W47/10</f>
        <v>43</v>
      </c>
      <c r="M66" s="255"/>
      <c r="N66" s="111" t="s">
        <v>859</v>
      </c>
      <c r="O66" s="162"/>
      <c r="P66" s="77" t="s">
        <v>862</v>
      </c>
      <c r="Q66" s="104" t="s">
        <v>211</v>
      </c>
      <c r="R66" s="255">
        <f>L66/R67</f>
        <v>4.6911395606251641E-2</v>
      </c>
      <c r="S66" s="255"/>
      <c r="T66" s="255"/>
      <c r="U66" s="111" t="s">
        <v>664</v>
      </c>
      <c r="V66" s="111"/>
      <c r="W66" s="78"/>
      <c r="X66" s="78"/>
      <c r="Y66" s="236" t="str">
        <f>IF(R66&lt;=AI32*0.58*Fy_gusset,"Pass","Fail")&amp;TEXT(AE66," #.##%")</f>
        <v>Pass 2.25%</v>
      </c>
      <c r="Z66" s="247"/>
      <c r="AA66" s="247"/>
      <c r="AB66" s="247"/>
      <c r="AC66" s="78"/>
      <c r="AD66" s="109"/>
      <c r="AE66" s="238">
        <f>R66/(AI32*0.58*Fy_gusset)</f>
        <v>2.2467143489584118E-2</v>
      </c>
      <c r="AF66" s="58" t="s">
        <v>875</v>
      </c>
      <c r="AG66" s="58">
        <f>((((tp/10)*(R71/10)^3)/12)/(R71*0.5/10))</f>
        <v>1125</v>
      </c>
    </row>
    <row r="67" spans="1:44" ht="15" customHeight="1">
      <c r="A67" s="84"/>
      <c r="B67" s="96"/>
      <c r="C67" s="78" t="str">
        <f>IF(AG44=1,"Plate section modelus","Net Plate section modelus")</f>
        <v>Net Plate section modelus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78"/>
      <c r="O67" s="78"/>
      <c r="P67" s="104" t="s">
        <v>811</v>
      </c>
      <c r="Q67" s="104" t="s">
        <v>211</v>
      </c>
      <c r="R67" s="255">
        <f>IF(AG44=1,AG66,AG65)</f>
        <v>916.62163199999986</v>
      </c>
      <c r="S67" s="255"/>
      <c r="T67" s="255"/>
      <c r="U67" s="110" t="s">
        <v>812</v>
      </c>
      <c r="V67" s="111"/>
      <c r="W67" s="78"/>
      <c r="X67" s="78"/>
      <c r="Y67" s="236"/>
      <c r="Z67" s="247"/>
      <c r="AA67" s="247"/>
      <c r="AB67" s="247"/>
      <c r="AC67" s="78"/>
      <c r="AD67" s="109"/>
      <c r="AE67" s="240"/>
    </row>
    <row r="68" spans="1:44" ht="15" customHeight="1">
      <c r="A68" s="84"/>
      <c r="B68" s="96"/>
      <c r="C68" s="78" t="str">
        <f>IF(AG44=1,"Normal stresses=(N/Agp+M/Sxgp)","Normal stresses=(N/Agp.net+M/Sxgpnet)")</f>
        <v>Normal stresses=(N/Agp.net+M/Sxgpnet)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78"/>
      <c r="O68" s="78"/>
      <c r="P68" s="77" t="s">
        <v>813</v>
      </c>
      <c r="Q68" s="104" t="s">
        <v>211</v>
      </c>
      <c r="R68" s="255">
        <f>R65+R66</f>
        <v>0.17865357467852783</v>
      </c>
      <c r="S68" s="255"/>
      <c r="T68" s="255"/>
      <c r="U68" s="111" t="s">
        <v>664</v>
      </c>
      <c r="V68" s="111"/>
      <c r="W68" s="78"/>
      <c r="X68" s="78"/>
      <c r="Y68" s="236" t="str">
        <f>IF(R68&lt;=AI32*0.58*Fy_gusset,"Pass","Fail")&amp;TEXT(AE68," #.##%")</f>
        <v>Pass 8.56%</v>
      </c>
      <c r="Z68" s="247"/>
      <c r="AA68" s="247"/>
      <c r="AB68" s="247"/>
      <c r="AC68" s="78"/>
      <c r="AD68" s="109"/>
      <c r="AE68" s="238">
        <f>R68/(AI32*0.58*Fy_gusset)</f>
        <v>8.5562056838375394E-2</v>
      </c>
    </row>
    <row r="69" spans="1:44" ht="15" customHeight="1">
      <c r="A69" s="84"/>
      <c r="B69" s="96"/>
      <c r="C69" s="110" t="s">
        <v>863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78"/>
      <c r="O69" s="78"/>
      <c r="P69" s="77" t="s">
        <v>860</v>
      </c>
      <c r="Q69" s="104" t="s">
        <v>211</v>
      </c>
      <c r="R69" s="255">
        <f>((R65)^2+3*(1.5*V_2/(R63*tp/100)))^0.5</f>
        <v>0.65941772034276691</v>
      </c>
      <c r="S69" s="255"/>
      <c r="T69" s="255"/>
      <c r="U69" s="111" t="s">
        <v>814</v>
      </c>
      <c r="V69" s="162"/>
      <c r="W69" s="78"/>
      <c r="X69" s="163"/>
      <c r="Y69" s="236" t="str">
        <f>IF(R69&lt;=1.1*0.58*Fy_gusset*AI32,"Pass","Fail")&amp;TEXT(AE69," #.##%")</f>
        <v>Pass 28.71%</v>
      </c>
      <c r="Z69" s="247"/>
      <c r="AA69" s="247"/>
      <c r="AB69" s="247"/>
      <c r="AC69" s="78"/>
      <c r="AD69" s="109"/>
      <c r="AE69" s="238">
        <f>R69/(1.1*0.58*Fy_gusset*AI32)</f>
        <v>0.28710280405031646</v>
      </c>
    </row>
    <row r="70" spans="1:44" ht="15" customHeight="1">
      <c r="A70" s="84"/>
      <c r="B70" s="96"/>
      <c r="C70" s="99" t="s">
        <v>891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162"/>
      <c r="P70" s="162"/>
      <c r="Q70" s="162"/>
      <c r="R70" s="162"/>
      <c r="S70" s="162"/>
      <c r="T70" s="162"/>
      <c r="U70" s="162"/>
      <c r="V70" s="162"/>
      <c r="W70" s="78"/>
      <c r="X70" s="97"/>
      <c r="Y70" s="236"/>
      <c r="Z70" s="247"/>
      <c r="AA70" s="247"/>
      <c r="AB70" s="247"/>
      <c r="AC70" s="54"/>
      <c r="AD70" s="94"/>
      <c r="AE70" s="240"/>
    </row>
    <row r="71" spans="1:44" ht="15" customHeight="1">
      <c r="A71" s="84"/>
      <c r="B71" s="96"/>
      <c r="C71" s="78" t="s">
        <v>880</v>
      </c>
      <c r="D71" s="78"/>
      <c r="E71" s="78" t="s">
        <v>846</v>
      </c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104"/>
      <c r="Q71" s="104" t="s">
        <v>211</v>
      </c>
      <c r="R71" s="255">
        <f>2*e+(n-1)*p</f>
        <v>750</v>
      </c>
      <c r="S71" s="255"/>
      <c r="T71" s="255"/>
      <c r="U71" s="110" t="s">
        <v>32</v>
      </c>
      <c r="V71" s="78"/>
      <c r="W71" s="162"/>
      <c r="X71" s="97"/>
      <c r="Y71" s="236"/>
      <c r="Z71" s="247"/>
      <c r="AA71" s="247"/>
      <c r="AB71" s="247"/>
      <c r="AC71" s="54"/>
      <c r="AD71" s="94"/>
      <c r="AE71" s="238"/>
    </row>
    <row r="72" spans="1:44" ht="15" customHeight="1">
      <c r="A72" s="84"/>
      <c r="B72" s="96"/>
      <c r="C72" s="251" t="s">
        <v>889</v>
      </c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162"/>
      <c r="O72" s="162"/>
      <c r="P72" s="104" t="s">
        <v>811</v>
      </c>
      <c r="Q72" s="104" t="s">
        <v>211</v>
      </c>
      <c r="R72" s="255">
        <f>((tp/10)*((R71/10)^2)/6)*shpl</f>
        <v>1125</v>
      </c>
      <c r="S72" s="255"/>
      <c r="T72" s="255"/>
      <c r="U72" s="110" t="s">
        <v>812</v>
      </c>
      <c r="V72" s="78"/>
      <c r="W72" s="162"/>
      <c r="X72" s="97"/>
      <c r="Y72" s="236"/>
      <c r="Z72" s="247"/>
      <c r="AA72" s="247"/>
      <c r="AB72" s="247"/>
      <c r="AC72" s="54"/>
      <c r="AD72" s="94"/>
      <c r="AE72" s="238"/>
    </row>
    <row r="73" spans="1:44" ht="15" customHeight="1">
      <c r="A73" s="84"/>
      <c r="B73" s="96"/>
      <c r="C73" s="251" t="s">
        <v>881</v>
      </c>
      <c r="D73" s="78"/>
      <c r="E73" s="78"/>
      <c r="F73" s="252" t="s">
        <v>892</v>
      </c>
      <c r="G73" s="78"/>
      <c r="H73" s="78"/>
      <c r="I73" s="78"/>
      <c r="J73" s="78"/>
      <c r="K73" s="78"/>
      <c r="L73" s="78"/>
      <c r="M73" s="78"/>
      <c r="N73" s="78"/>
      <c r="O73" s="78"/>
      <c r="P73" s="104" t="s">
        <v>656</v>
      </c>
      <c r="Q73" s="104" t="s">
        <v>211</v>
      </c>
      <c r="R73" s="279">
        <f>ABS(V_2*(tw_column/2-g-ex-((m-1)*0.5*S43))/10)</f>
        <v>39.559999999999995</v>
      </c>
      <c r="S73" s="279"/>
      <c r="T73" s="279"/>
      <c r="U73" s="111" t="s">
        <v>672</v>
      </c>
      <c r="V73" s="78"/>
      <c r="W73" s="162"/>
      <c r="X73" s="78"/>
      <c r="Y73" s="236"/>
      <c r="Z73" s="247"/>
      <c r="AA73" s="247"/>
      <c r="AB73" s="247"/>
      <c r="AC73" s="78"/>
      <c r="AD73" s="94"/>
      <c r="AE73" s="240"/>
      <c r="AI73" s="76"/>
      <c r="AJ73" s="76"/>
      <c r="AK73" s="76"/>
      <c r="AL73" s="76"/>
      <c r="AM73" s="76"/>
      <c r="AN73" s="76"/>
      <c r="AO73" s="76"/>
      <c r="AP73" s="76"/>
      <c r="AQ73" s="76"/>
      <c r="AR73" s="76"/>
    </row>
    <row r="74" spans="1:44" ht="15" customHeight="1">
      <c r="A74" s="84"/>
      <c r="B74" s="96"/>
      <c r="C74" s="78" t="s">
        <v>882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104" t="s">
        <v>212</v>
      </c>
      <c r="Q74" s="104" t="s">
        <v>211</v>
      </c>
      <c r="R74" s="255">
        <f>A/(shpl*tp*R71/100)</f>
        <v>0.10855555555555554</v>
      </c>
      <c r="S74" s="255"/>
      <c r="T74" s="255"/>
      <c r="U74" s="111" t="s">
        <v>664</v>
      </c>
      <c r="V74" s="78"/>
      <c r="W74" s="162"/>
      <c r="X74" s="78"/>
      <c r="Y74" s="236"/>
      <c r="Z74" s="247"/>
      <c r="AA74" s="247"/>
      <c r="AB74" s="247"/>
      <c r="AC74" s="78"/>
      <c r="AD74" s="94"/>
      <c r="AE74" s="240"/>
      <c r="AI74" s="76"/>
      <c r="AJ74" s="164"/>
      <c r="AK74" s="165"/>
      <c r="AL74" s="165"/>
      <c r="AM74" s="165"/>
      <c r="AN74" s="165"/>
      <c r="AO74" s="165"/>
      <c r="AP74" s="165"/>
      <c r="AQ74" s="165"/>
      <c r="AR74" s="76"/>
    </row>
    <row r="75" spans="1:44" ht="15" customHeight="1">
      <c r="A75" s="84"/>
      <c r="B75" s="96"/>
      <c r="C75" s="78" t="s">
        <v>879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166" t="s">
        <v>813</v>
      </c>
      <c r="Q75" s="104" t="s">
        <v>211</v>
      </c>
      <c r="R75" s="255">
        <f>(R74)+(R73/(R72))</f>
        <v>0.14371999999999999</v>
      </c>
      <c r="S75" s="255"/>
      <c r="T75" s="255"/>
      <c r="U75" s="111" t="s">
        <v>814</v>
      </c>
      <c r="V75" s="78"/>
      <c r="W75" s="162"/>
      <c r="X75" s="97"/>
      <c r="Y75" s="236" t="str">
        <f>IF(R75&lt;=AI32*0.58*Fy_gusset,"Pass","Fail")&amp;TEXT(AE75," #.##%")</f>
        <v>Pass 6.88%</v>
      </c>
      <c r="Z75" s="247"/>
      <c r="AA75" s="247"/>
      <c r="AB75" s="247"/>
      <c r="AC75" s="78"/>
      <c r="AD75" s="94"/>
      <c r="AE75" s="238">
        <f>R75/(AI32*0.58*Fy_gusset)</f>
        <v>6.8831417624521066E-2</v>
      </c>
      <c r="AI75" s="76"/>
      <c r="AJ75" s="167"/>
      <c r="AK75" s="165"/>
      <c r="AL75" s="165"/>
      <c r="AM75" s="165"/>
      <c r="AN75" s="165"/>
      <c r="AO75" s="165"/>
      <c r="AP75" s="165"/>
      <c r="AQ75" s="165"/>
      <c r="AR75" s="76"/>
    </row>
    <row r="76" spans="1:44" ht="15" customHeight="1">
      <c r="A76" s="84"/>
      <c r="B76" s="96"/>
      <c r="C76" s="99" t="s">
        <v>628</v>
      </c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98"/>
      <c r="Y76" s="236"/>
      <c r="Z76" s="247"/>
      <c r="AA76" s="247"/>
      <c r="AB76" s="247"/>
      <c r="AC76" s="98"/>
      <c r="AD76" s="94"/>
      <c r="AE76" s="240"/>
    </row>
    <row r="77" spans="1:44" ht="15" customHeight="1">
      <c r="A77" s="84"/>
      <c r="B77" s="96"/>
      <c r="C77" s="78" t="s">
        <v>847</v>
      </c>
      <c r="D77" s="78"/>
      <c r="E77" s="78"/>
      <c r="F77" s="78"/>
      <c r="G77" s="252" t="s">
        <v>892</v>
      </c>
      <c r="H77" s="78"/>
      <c r="I77" s="78"/>
      <c r="J77" s="78"/>
      <c r="K77" s="78"/>
      <c r="L77" s="78"/>
      <c r="M77" s="78"/>
      <c r="N77" s="78"/>
      <c r="O77" s="78"/>
      <c r="P77" s="78"/>
      <c r="Q77" s="104" t="s">
        <v>678</v>
      </c>
      <c r="R77" s="104" t="s">
        <v>211</v>
      </c>
      <c r="S77" s="276">
        <f>ABS(V_2*(tw_column/2-g-ex-((m-1)*0.5*S43))/10)</f>
        <v>39.559999999999995</v>
      </c>
      <c r="T77" s="276"/>
      <c r="U77" s="276"/>
      <c r="V77" s="111" t="s">
        <v>672</v>
      </c>
      <c r="W77" s="78"/>
      <c r="X77" s="78"/>
      <c r="Y77" s="236"/>
      <c r="Z77" s="247"/>
      <c r="AA77" s="247"/>
      <c r="AB77" s="247"/>
      <c r="AC77" s="78"/>
      <c r="AD77" s="94"/>
      <c r="AE77" s="240"/>
    </row>
    <row r="78" spans="1:44" ht="15" customHeight="1">
      <c r="A78" s="84"/>
      <c r="B78" s="96"/>
      <c r="C78" s="78" t="s">
        <v>665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104" t="s">
        <v>679</v>
      </c>
      <c r="R78" s="104" t="s">
        <v>211</v>
      </c>
      <c r="S78" s="276">
        <f>Axial</f>
        <v>9.77</v>
      </c>
      <c r="T78" s="276"/>
      <c r="U78" s="276"/>
      <c r="V78" s="111" t="s">
        <v>654</v>
      </c>
      <c r="W78" s="78"/>
      <c r="X78" s="78"/>
      <c r="Y78" s="236"/>
      <c r="Z78" s="247"/>
      <c r="AA78" s="247"/>
      <c r="AB78" s="247"/>
      <c r="AC78" s="78"/>
      <c r="AD78" s="94"/>
      <c r="AE78" s="240"/>
    </row>
    <row r="79" spans="1:44" ht="15" customHeight="1">
      <c r="A79" s="84"/>
      <c r="B79" s="96"/>
      <c r="C79" s="78" t="s">
        <v>666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104" t="s">
        <v>680</v>
      </c>
      <c r="R79" s="104" t="s">
        <v>211</v>
      </c>
      <c r="S79" s="276">
        <f>V_2</f>
        <v>6.88</v>
      </c>
      <c r="T79" s="276"/>
      <c r="U79" s="276"/>
      <c r="V79" s="111" t="s">
        <v>654</v>
      </c>
      <c r="W79" s="78"/>
      <c r="X79" s="78"/>
      <c r="Y79" s="236"/>
      <c r="Z79" s="247"/>
      <c r="AA79" s="247"/>
      <c r="AB79" s="247"/>
      <c r="AC79" s="78"/>
      <c r="AD79" s="94"/>
      <c r="AE79" s="240"/>
    </row>
    <row r="80" spans="1:44" ht="15" customHeight="1">
      <c r="A80" s="84"/>
      <c r="B80" s="96"/>
      <c r="C80" s="98" t="s">
        <v>661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104" t="s">
        <v>681</v>
      </c>
      <c r="R80" s="77" t="s">
        <v>211</v>
      </c>
      <c r="S80" s="267">
        <f>O25</f>
        <v>5</v>
      </c>
      <c r="T80" s="267"/>
      <c r="U80" s="267"/>
      <c r="V80" s="98" t="s">
        <v>32</v>
      </c>
      <c r="W80" s="78"/>
      <c r="X80" s="78"/>
      <c r="Y80" s="236"/>
      <c r="Z80" s="247"/>
      <c r="AA80" s="247"/>
      <c r="AB80" s="247"/>
      <c r="AC80" s="78"/>
      <c r="AD80" s="94"/>
      <c r="AE80" s="238"/>
    </row>
    <row r="81" spans="1:33" ht="15" customHeight="1">
      <c r="A81" s="84"/>
      <c r="B81" s="96"/>
      <c r="C81" s="98" t="s">
        <v>660</v>
      </c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104" t="s">
        <v>20</v>
      </c>
      <c r="R81" s="77" t="s">
        <v>211</v>
      </c>
      <c r="S81" s="275">
        <f>R71</f>
        <v>750</v>
      </c>
      <c r="T81" s="275"/>
      <c r="U81" s="275"/>
      <c r="V81" s="98" t="s">
        <v>32</v>
      </c>
      <c r="W81" s="98"/>
      <c r="X81" s="98"/>
      <c r="Y81" s="236"/>
      <c r="Z81" s="247"/>
      <c r="AA81" s="247"/>
      <c r="AB81" s="247"/>
      <c r="AC81" s="98"/>
      <c r="AD81" s="94"/>
      <c r="AE81" s="240"/>
    </row>
    <row r="82" spans="1:33" ht="15" customHeight="1">
      <c r="A82" s="84"/>
      <c r="B82" s="96"/>
      <c r="C82" s="78" t="s">
        <v>635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104" t="s">
        <v>229</v>
      </c>
      <c r="R82" s="77" t="s">
        <v>211</v>
      </c>
      <c r="S82" s="275">
        <f>(bf_column-tw_column)/2-r_column</f>
        <v>142.5</v>
      </c>
      <c r="T82" s="275"/>
      <c r="U82" s="275"/>
      <c r="V82" s="98" t="s">
        <v>32</v>
      </c>
      <c r="W82" s="168"/>
      <c r="X82" s="168"/>
      <c r="Y82" s="236"/>
      <c r="Z82" s="247"/>
      <c r="AA82" s="247"/>
      <c r="AB82" s="247"/>
      <c r="AC82" s="168"/>
      <c r="AD82" s="94"/>
      <c r="AE82" s="240"/>
    </row>
    <row r="83" spans="1:33" ht="15" customHeight="1">
      <c r="A83" s="84"/>
      <c r="B83" s="96"/>
      <c r="C83" s="78" t="s">
        <v>662</v>
      </c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104" t="s">
        <v>682</v>
      </c>
      <c r="R83" s="77" t="s">
        <v>211</v>
      </c>
      <c r="S83" s="275">
        <f>S80*S81*2</f>
        <v>7500</v>
      </c>
      <c r="T83" s="275"/>
      <c r="U83" s="275"/>
      <c r="V83" s="98" t="s">
        <v>587</v>
      </c>
      <c r="W83" s="169"/>
      <c r="X83" s="170"/>
      <c r="Y83" s="236"/>
      <c r="Z83" s="247"/>
      <c r="AA83" s="247"/>
      <c r="AB83" s="247"/>
      <c r="AC83" s="168"/>
      <c r="AD83" s="94"/>
      <c r="AE83" s="240"/>
    </row>
    <row r="84" spans="1:33" ht="15" customHeight="1">
      <c r="A84" s="84"/>
      <c r="B84" s="96"/>
      <c r="C84" s="78" t="s">
        <v>663</v>
      </c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104" t="s">
        <v>683</v>
      </c>
      <c r="R84" s="77" t="s">
        <v>211</v>
      </c>
      <c r="S84" s="275">
        <f>((1/12*S80*S81^3))/10000</f>
        <v>17578.124999999996</v>
      </c>
      <c r="T84" s="275"/>
      <c r="U84" s="275"/>
      <c r="V84" s="98" t="s">
        <v>673</v>
      </c>
      <c r="W84" s="78"/>
      <c r="X84" s="78"/>
      <c r="Y84" s="236"/>
      <c r="Z84" s="247"/>
      <c r="AA84" s="247"/>
      <c r="AB84" s="247"/>
      <c r="AC84" s="78"/>
      <c r="AD84" s="94"/>
      <c r="AE84" s="238"/>
    </row>
    <row r="85" spans="1:33" ht="15" customHeight="1">
      <c r="A85" s="84"/>
      <c r="B85" s="96"/>
      <c r="C85" s="99" t="s">
        <v>850</v>
      </c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98"/>
      <c r="R85" s="77"/>
      <c r="S85" s="77"/>
      <c r="T85" s="77"/>
      <c r="U85" s="77"/>
      <c r="V85" s="98"/>
      <c r="W85" s="78"/>
      <c r="X85" s="78"/>
      <c r="Y85" s="236"/>
      <c r="Z85" s="247"/>
      <c r="AA85" s="247"/>
      <c r="AB85" s="247"/>
      <c r="AC85" s="78"/>
      <c r="AD85" s="94"/>
      <c r="AE85" s="240"/>
    </row>
    <row r="86" spans="1:33" ht="15" customHeight="1">
      <c r="A86" s="84"/>
      <c r="B86" s="96"/>
      <c r="C86" s="78" t="s">
        <v>668</v>
      </c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7" t="s">
        <v>684</v>
      </c>
      <c r="R86" s="104" t="s">
        <v>211</v>
      </c>
      <c r="S86" s="277">
        <f>S77*(S81/2)/S84/10</f>
        <v>8.4394666666666673E-2</v>
      </c>
      <c r="T86" s="277"/>
      <c r="U86" s="277"/>
      <c r="V86" s="111" t="s">
        <v>664</v>
      </c>
      <c r="W86" s="78"/>
      <c r="X86" s="78"/>
      <c r="Y86" s="236"/>
      <c r="Z86" s="247"/>
      <c r="AA86" s="247"/>
      <c r="AB86" s="247"/>
      <c r="AC86" s="78"/>
      <c r="AD86" s="94"/>
      <c r="AE86" s="240"/>
    </row>
    <row r="87" spans="1:33" ht="15" customHeight="1">
      <c r="A87" s="84"/>
      <c r="B87" s="96"/>
      <c r="C87" s="78" t="s">
        <v>669</v>
      </c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7" t="s">
        <v>685</v>
      </c>
      <c r="R87" s="104" t="s">
        <v>211</v>
      </c>
      <c r="S87" s="277">
        <f>S78/(S83)*100</f>
        <v>0.13026666666666667</v>
      </c>
      <c r="T87" s="277"/>
      <c r="U87" s="277"/>
      <c r="V87" s="111" t="s">
        <v>664</v>
      </c>
      <c r="W87" s="78"/>
      <c r="X87" s="78"/>
      <c r="Y87" s="236"/>
      <c r="Z87" s="247"/>
      <c r="AA87" s="247"/>
      <c r="AB87" s="247"/>
      <c r="AC87" s="78"/>
      <c r="AD87" s="94"/>
      <c r="AE87" s="238"/>
    </row>
    <row r="88" spans="1:33" ht="15" customHeight="1">
      <c r="A88" s="84"/>
      <c r="B88" s="96"/>
      <c r="C88" s="78" t="s">
        <v>670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7" t="s">
        <v>686</v>
      </c>
      <c r="R88" s="104" t="s">
        <v>211</v>
      </c>
      <c r="S88" s="277">
        <f>S79/(S83)*100</f>
        <v>9.1733333333333333E-2</v>
      </c>
      <c r="T88" s="277"/>
      <c r="U88" s="277"/>
      <c r="V88" s="111" t="s">
        <v>664</v>
      </c>
      <c r="W88" s="78"/>
      <c r="X88" s="78"/>
      <c r="Y88" s="236"/>
      <c r="Z88" s="247"/>
      <c r="AA88" s="247"/>
      <c r="AB88" s="247"/>
      <c r="AC88" s="78"/>
      <c r="AD88" s="94"/>
      <c r="AE88" s="238"/>
      <c r="AG88" s="58">
        <f>(tp*bp^2/6)/1000</f>
        <v>763.84799999999996</v>
      </c>
    </row>
    <row r="89" spans="1:33" ht="15" customHeight="1">
      <c r="A89" s="84"/>
      <c r="B89" s="96"/>
      <c r="C89" s="78" t="s">
        <v>671</v>
      </c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7" t="s">
        <v>687</v>
      </c>
      <c r="R89" s="104" t="s">
        <v>211</v>
      </c>
      <c r="S89" s="277">
        <f>((S86+S87)^2+(S88)^2)^0.5</f>
        <v>0.23344055447348666</v>
      </c>
      <c r="T89" s="277"/>
      <c r="U89" s="277"/>
      <c r="V89" s="111" t="s">
        <v>664</v>
      </c>
      <c r="W89" s="78"/>
      <c r="X89" s="78"/>
      <c r="Y89" s="236"/>
      <c r="Z89" s="247"/>
      <c r="AA89" s="247"/>
      <c r="AB89" s="247"/>
      <c r="AC89" s="78"/>
      <c r="AD89" s="94"/>
      <c r="AE89" s="238"/>
    </row>
    <row r="90" spans="1:33" ht="15" customHeight="1">
      <c r="A90" s="84"/>
      <c r="B90" s="96"/>
      <c r="C90" s="78" t="s">
        <v>667</v>
      </c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7" t="s">
        <v>688</v>
      </c>
      <c r="R90" s="104" t="s">
        <v>211</v>
      </c>
      <c r="S90" s="276">
        <f>0.2*Fu_Gusset*AI32</f>
        <v>1.04</v>
      </c>
      <c r="T90" s="276"/>
      <c r="U90" s="276"/>
      <c r="V90" s="111" t="s">
        <v>664</v>
      </c>
      <c r="W90" s="111"/>
      <c r="X90" s="53"/>
      <c r="Y90" s="236"/>
      <c r="Z90" s="247"/>
      <c r="AA90" s="247"/>
      <c r="AB90" s="247"/>
      <c r="AC90" s="78"/>
      <c r="AD90" s="94"/>
      <c r="AE90" s="240"/>
    </row>
    <row r="91" spans="1:33" ht="15" customHeight="1" thickBot="1">
      <c r="A91" s="84"/>
      <c r="B91" s="144"/>
      <c r="C91" s="171" t="s">
        <v>659</v>
      </c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2" t="s">
        <v>632</v>
      </c>
      <c r="R91" s="173" t="s">
        <v>211</v>
      </c>
      <c r="S91" s="278">
        <f>S89/S90</f>
        <v>0.22446207160912179</v>
      </c>
      <c r="T91" s="278"/>
      <c r="U91" s="278"/>
      <c r="V91" s="174"/>
      <c r="W91" s="174"/>
      <c r="X91" s="171"/>
      <c r="Y91" s="237" t="str">
        <f>IF(S91&lt;=AI32,"Pass","Fail") &amp; TEXT(AE91," #.##%")</f>
        <v>Pass 22.45%</v>
      </c>
      <c r="Z91" s="249"/>
      <c r="AA91" s="249"/>
      <c r="AB91" s="249"/>
      <c r="AC91" s="175"/>
      <c r="AD91" s="146"/>
      <c r="AE91" s="241">
        <f>S91</f>
        <v>0.22446207160912179</v>
      </c>
    </row>
    <row r="92" spans="1:33" ht="15" customHeight="1">
      <c r="A92" s="84"/>
      <c r="B92" s="78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83"/>
    </row>
    <row r="93" spans="1:33" ht="15" customHeight="1">
      <c r="A93" s="84"/>
      <c r="B93" s="78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83"/>
      <c r="AG93" s="176"/>
    </row>
    <row r="94" spans="1:33" ht="15" customHeight="1">
      <c r="A94" s="84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177"/>
      <c r="AG94" s="176"/>
    </row>
    <row r="95" spans="1:33" ht="15" customHeight="1">
      <c r="A95" s="84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177"/>
      <c r="AE95" s="133"/>
      <c r="AG95" s="176"/>
    </row>
    <row r="96" spans="1:33" ht="15" customHeight="1">
      <c r="A96" s="84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178"/>
      <c r="AG96" s="176"/>
    </row>
    <row r="97" spans="1:32" ht="15" customHeight="1">
      <c r="A97" s="84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</row>
    <row r="98" spans="1:32" ht="15" customHeight="1">
      <c r="A98" s="84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177"/>
    </row>
    <row r="99" spans="1:32" ht="15" customHeight="1">
      <c r="A99" s="84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178"/>
    </row>
    <row r="100" spans="1:32" ht="15" customHeight="1">
      <c r="A100" s="84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</row>
    <row r="101" spans="1:32" ht="15" customHeight="1">
      <c r="A101" s="84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177"/>
      <c r="AE101" s="179"/>
      <c r="AF101" s="133"/>
    </row>
    <row r="102" spans="1:32" ht="15" customHeight="1">
      <c r="A102" s="84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177"/>
      <c r="AE102" s="179"/>
      <c r="AF102" s="133"/>
    </row>
    <row r="103" spans="1:32" ht="15" customHeight="1">
      <c r="A103" s="84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177"/>
      <c r="AE103" s="180"/>
      <c r="AF103" s="133"/>
    </row>
    <row r="104" spans="1:32" ht="15" customHeight="1">
      <c r="A104" s="84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178"/>
      <c r="AE104" s="179"/>
      <c r="AF104" s="133"/>
    </row>
    <row r="105" spans="1:32" ht="15" customHeight="1">
      <c r="A105" s="84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179"/>
      <c r="AF105" s="133"/>
    </row>
    <row r="106" spans="1:32" ht="15" customHeight="1">
      <c r="A106" s="181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177"/>
      <c r="AE106" s="179"/>
    </row>
    <row r="107" spans="1:32" ht="15" customHeight="1">
      <c r="A107" s="84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177"/>
      <c r="AE107" s="182"/>
    </row>
    <row r="108" spans="1:32" ht="15" customHeight="1">
      <c r="A108" s="84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178"/>
      <c r="AE108" s="182"/>
    </row>
    <row r="109" spans="1:32" ht="15" customHeight="1">
      <c r="A109" s="84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178"/>
      <c r="AE109" s="182"/>
    </row>
    <row r="110" spans="1:32" ht="15" customHeight="1">
      <c r="A110" s="84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182"/>
    </row>
    <row r="111" spans="1:32" ht="15" customHeight="1">
      <c r="A111" s="84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182"/>
    </row>
    <row r="112" spans="1:32" ht="15" customHeight="1">
      <c r="A112" s="84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179"/>
    </row>
    <row r="113" spans="1:41" ht="15" customHeight="1">
      <c r="A113" s="84"/>
      <c r="B113" s="78"/>
      <c r="C113" s="78"/>
      <c r="D113" s="9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98"/>
      <c r="R113" s="77"/>
      <c r="S113" s="266"/>
      <c r="T113" s="266"/>
      <c r="U113" s="266"/>
      <c r="V113" s="98"/>
      <c r="W113" s="78"/>
      <c r="X113" s="78"/>
      <c r="Y113" s="78"/>
      <c r="Z113" s="78"/>
      <c r="AA113" s="78"/>
      <c r="AB113" s="78"/>
      <c r="AC113" s="78"/>
      <c r="AD113" s="78"/>
      <c r="AE113" s="179"/>
    </row>
    <row r="114" spans="1:41" ht="15" customHeight="1">
      <c r="A114" s="84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179"/>
      <c r="AF114" s="58" t="e">
        <f>S77*(S81/2+r_column)/#REF!/10</f>
        <v>#REF!</v>
      </c>
    </row>
    <row r="115" spans="1:41" ht="15" customHeight="1">
      <c r="A115" s="84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179"/>
      <c r="AF115" s="133"/>
      <c r="AH115" s="183"/>
      <c r="AI115" s="183"/>
      <c r="AJ115" s="183"/>
      <c r="AK115" s="183"/>
      <c r="AL115" s="183"/>
      <c r="AM115" s="183"/>
      <c r="AN115" s="82"/>
      <c r="AO115" s="82"/>
    </row>
    <row r="116" spans="1:41" ht="15" customHeight="1">
      <c r="A116" s="84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179"/>
      <c r="AF116" s="133"/>
      <c r="AH116" s="82"/>
      <c r="AI116" s="82"/>
      <c r="AJ116" s="82"/>
      <c r="AK116" s="82"/>
      <c r="AL116" s="82"/>
      <c r="AM116" s="82"/>
      <c r="AO116" s="82"/>
    </row>
    <row r="117" spans="1:41" ht="15" customHeight="1">
      <c r="A117" s="84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6"/>
      <c r="AF117" s="133"/>
      <c r="AH117" s="82"/>
      <c r="AI117" s="82"/>
      <c r="AJ117" s="82"/>
      <c r="AK117" s="82"/>
      <c r="AL117" s="82"/>
      <c r="AM117" s="82"/>
      <c r="AO117" s="82"/>
    </row>
    <row r="118" spans="1:41" ht="15" customHeight="1">
      <c r="A118" s="84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6"/>
    </row>
    <row r="119" spans="1:41" ht="15" customHeight="1">
      <c r="A119" s="84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H119" s="183"/>
      <c r="AI119" s="183"/>
    </row>
    <row r="120" spans="1:41" ht="15" customHeight="1">
      <c r="A120" s="84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</row>
    <row r="121" spans="1:41" ht="15" customHeight="1">
      <c r="A121" s="84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</row>
    <row r="122" spans="1:41" ht="15" customHeight="1">
      <c r="A122" s="84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98"/>
    </row>
    <row r="123" spans="1:41" ht="15" customHeight="1">
      <c r="A123" s="84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98"/>
    </row>
    <row r="124" spans="1:41" ht="15" customHeight="1">
      <c r="A124" s="84"/>
      <c r="B124" s="7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</row>
    <row r="125" spans="1:41" ht="15" customHeight="1">
      <c r="A125" s="84"/>
      <c r="B125" s="7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</row>
    <row r="126" spans="1:41" ht="15" customHeight="1">
      <c r="A126" s="84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98"/>
    </row>
    <row r="127" spans="1:41" ht="15" customHeight="1">
      <c r="A127" s="84"/>
      <c r="B127" s="78"/>
      <c r="AD127" s="98"/>
    </row>
    <row r="128" spans="1:41" ht="15" customHeight="1">
      <c r="A128" s="84"/>
      <c r="B128" s="78"/>
      <c r="AD128" s="98"/>
    </row>
    <row r="129" spans="1:31" ht="15" customHeight="1">
      <c r="A129" s="84"/>
      <c r="B129" s="78"/>
      <c r="AD129" s="98"/>
    </row>
    <row r="130" spans="1:31" ht="15" customHeight="1">
      <c r="A130" s="84"/>
      <c r="B130" s="78"/>
      <c r="AD130" s="98"/>
    </row>
    <row r="131" spans="1:31" ht="15" customHeight="1">
      <c r="A131" s="84"/>
      <c r="B131" s="78"/>
      <c r="AD131" s="98"/>
    </row>
    <row r="132" spans="1:31" ht="15" customHeight="1">
      <c r="A132" s="84"/>
      <c r="B132" s="78"/>
      <c r="AD132" s="98"/>
    </row>
    <row r="133" spans="1:31" ht="15" customHeight="1">
      <c r="A133" s="84"/>
      <c r="B133" s="78"/>
      <c r="AD133" s="98"/>
    </row>
    <row r="134" spans="1:31" ht="15" customHeight="1">
      <c r="A134" s="84"/>
      <c r="AD134" s="98"/>
    </row>
    <row r="135" spans="1:31" ht="15" customHeight="1">
      <c r="A135" s="84"/>
      <c r="AD135" s="78"/>
    </row>
    <row r="136" spans="1:31" ht="15" customHeight="1">
      <c r="A136" s="84"/>
    </row>
    <row r="137" spans="1:31" ht="15" customHeight="1">
      <c r="A137" s="84"/>
    </row>
    <row r="138" spans="1:31" ht="15" customHeight="1">
      <c r="A138" s="84"/>
      <c r="AE138" s="76"/>
    </row>
    <row r="139" spans="1:31" ht="15" customHeight="1">
      <c r="A139" s="84"/>
      <c r="AE139" s="76"/>
    </row>
    <row r="140" spans="1:31" ht="15" customHeight="1">
      <c r="A140" s="84"/>
      <c r="AE140" s="76"/>
    </row>
    <row r="141" spans="1:31" ht="15" customHeight="1">
      <c r="A141" s="84"/>
      <c r="AE141" s="76"/>
    </row>
    <row r="142" spans="1:31" ht="15" customHeight="1">
      <c r="A142" s="84"/>
      <c r="AE142" s="76"/>
    </row>
    <row r="143" spans="1:31" ht="15" customHeight="1">
      <c r="A143" s="84"/>
      <c r="AE143" s="76"/>
    </row>
    <row r="144" spans="1:31" ht="15" customHeight="1">
      <c r="A144" s="84"/>
      <c r="AE144" s="76"/>
    </row>
    <row r="145" spans="1:31" ht="15" customHeight="1">
      <c r="A145" s="84"/>
      <c r="AE145" s="76"/>
    </row>
    <row r="146" spans="1:31" ht="15" customHeight="1">
      <c r="A146" s="84"/>
      <c r="AE146" s="76"/>
    </row>
    <row r="147" spans="1:31" ht="15" customHeight="1">
      <c r="A147" s="84"/>
      <c r="AE147" s="76"/>
    </row>
    <row r="148" spans="1:31" ht="15" customHeight="1">
      <c r="A148" s="84"/>
      <c r="AE148" s="76"/>
    </row>
    <row r="149" spans="1:31" ht="15" customHeight="1">
      <c r="A149" s="84"/>
      <c r="AE149" s="76"/>
    </row>
    <row r="150" spans="1:31" ht="15" customHeight="1">
      <c r="A150" s="84"/>
      <c r="AE150" s="76"/>
    </row>
    <row r="151" spans="1:31" ht="15" customHeight="1">
      <c r="A151" s="84"/>
      <c r="AE151" s="76"/>
    </row>
    <row r="152" spans="1:31" ht="15" customHeight="1">
      <c r="A152" s="84"/>
      <c r="AE152" s="76"/>
    </row>
    <row r="153" spans="1:31" ht="15" customHeight="1">
      <c r="A153" s="84"/>
      <c r="AE153" s="76"/>
    </row>
    <row r="154" spans="1:31" ht="15" customHeight="1">
      <c r="A154" s="84"/>
      <c r="AE154" s="76"/>
    </row>
    <row r="155" spans="1:31" ht="15" customHeight="1">
      <c r="A155" s="84"/>
      <c r="AE155" s="76"/>
    </row>
    <row r="156" spans="1:31" ht="15" customHeight="1">
      <c r="A156" s="84"/>
      <c r="AE156" s="76"/>
    </row>
    <row r="157" spans="1:31" ht="15" customHeight="1">
      <c r="A157" s="84"/>
      <c r="AE157" s="76"/>
    </row>
    <row r="158" spans="1:31" ht="15" customHeight="1">
      <c r="A158" s="84"/>
      <c r="AE158" s="76"/>
    </row>
    <row r="159" spans="1:31" ht="15" customHeight="1">
      <c r="A159" s="84"/>
      <c r="AE159" s="76"/>
    </row>
    <row r="160" spans="1:31" ht="15" customHeight="1">
      <c r="A160" s="84"/>
      <c r="AE160" s="76"/>
    </row>
    <row r="161" spans="31:43" ht="15" customHeight="1">
      <c r="AE161" s="76"/>
    </row>
    <row r="162" spans="31:43" ht="15" customHeight="1">
      <c r="AE162" s="76"/>
    </row>
    <row r="163" spans="31:43" ht="15" customHeight="1"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</row>
    <row r="164" spans="31:43" ht="15" customHeight="1"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</row>
    <row r="165" spans="31:43" ht="15" customHeight="1"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</row>
    <row r="166" spans="31:43" ht="15" customHeight="1">
      <c r="AF166" s="184"/>
      <c r="AG166" s="185" t="s">
        <v>641</v>
      </c>
      <c r="AH166" s="186" t="s">
        <v>230</v>
      </c>
      <c r="AI166" s="185" t="s">
        <v>642</v>
      </c>
      <c r="AJ166" s="184"/>
      <c r="AK166" s="186" t="s">
        <v>643</v>
      </c>
      <c r="AL166" s="184" t="s">
        <v>865</v>
      </c>
      <c r="AM166" s="187"/>
      <c r="AN166" s="187"/>
      <c r="AO166" s="187"/>
      <c r="AP166" s="187"/>
      <c r="AQ166" s="187"/>
    </row>
    <row r="167" spans="31:43" ht="15" customHeight="1">
      <c r="AF167" s="184" t="s">
        <v>639</v>
      </c>
      <c r="AG167" s="188">
        <v>0.84</v>
      </c>
      <c r="AH167" s="189">
        <v>1.1309733552923256</v>
      </c>
      <c r="AI167" s="184">
        <v>10.343999999999999</v>
      </c>
      <c r="AJ167" s="190"/>
      <c r="AK167" s="189">
        <v>1.69</v>
      </c>
      <c r="AL167" s="184">
        <v>2.11</v>
      </c>
      <c r="AM167" s="191"/>
      <c r="AN167" s="191"/>
      <c r="AO167" s="187"/>
      <c r="AP167" s="187"/>
      <c r="AQ167" s="187"/>
    </row>
    <row r="168" spans="31:43" ht="15" customHeight="1">
      <c r="AF168" s="184"/>
      <c r="AG168" s="188"/>
      <c r="AH168" s="189"/>
      <c r="AI168" s="184"/>
      <c r="AJ168" s="190"/>
      <c r="AK168" s="189"/>
      <c r="AL168" s="192"/>
      <c r="AM168" s="191"/>
      <c r="AN168" s="191"/>
      <c r="AO168" s="187"/>
      <c r="AP168" s="187"/>
      <c r="AQ168" s="187"/>
    </row>
    <row r="169" spans="31:43" ht="15" customHeight="1">
      <c r="AF169" s="184" t="s">
        <v>640</v>
      </c>
      <c r="AG169" s="188">
        <v>1.57</v>
      </c>
      <c r="AH169" s="189">
        <v>2.0106192982974678</v>
      </c>
      <c r="AI169" s="184">
        <v>14.16</v>
      </c>
      <c r="AJ169" s="190"/>
      <c r="AK169" s="189">
        <v>3.16</v>
      </c>
      <c r="AL169" s="184">
        <v>3.95</v>
      </c>
      <c r="AM169" s="191"/>
      <c r="AN169" s="191"/>
      <c r="AO169" s="187"/>
      <c r="AP169" s="187"/>
      <c r="AQ169" s="187"/>
    </row>
    <row r="170" spans="31:43" ht="15" customHeight="1">
      <c r="AF170" s="184"/>
      <c r="AG170" s="188"/>
      <c r="AH170" s="189"/>
      <c r="AI170" s="184"/>
      <c r="AJ170" s="190"/>
      <c r="AK170" s="189"/>
      <c r="AL170" s="184"/>
      <c r="AM170" s="191"/>
      <c r="AN170" s="191"/>
      <c r="AO170" s="187"/>
      <c r="AP170" s="187"/>
      <c r="AQ170" s="187"/>
    </row>
    <row r="171" spans="31:43" ht="15" customHeight="1">
      <c r="AF171" s="184" t="s">
        <v>214</v>
      </c>
      <c r="AG171" s="188">
        <v>2.4500000000000002</v>
      </c>
      <c r="AH171" s="189">
        <v>3.14</v>
      </c>
      <c r="AI171" s="184">
        <v>19.47</v>
      </c>
      <c r="AJ171" s="190"/>
      <c r="AK171" s="189">
        <v>4.93</v>
      </c>
      <c r="AL171" s="184">
        <v>6.17</v>
      </c>
      <c r="AM171" s="191"/>
      <c r="AN171" s="191"/>
      <c r="AO171" s="187"/>
      <c r="AP171" s="187"/>
      <c r="AQ171" s="187"/>
    </row>
    <row r="172" spans="31:43" ht="15" customHeight="1">
      <c r="AF172" s="184" t="s">
        <v>215</v>
      </c>
      <c r="AG172" s="188">
        <v>3.03</v>
      </c>
      <c r="AH172" s="189">
        <v>3.8</v>
      </c>
      <c r="AI172" s="184">
        <v>21.24</v>
      </c>
      <c r="AJ172" s="190"/>
      <c r="AK172" s="189">
        <v>6.1</v>
      </c>
      <c r="AL172" s="184"/>
      <c r="AM172" s="191"/>
      <c r="AN172" s="191"/>
      <c r="AO172" s="187"/>
      <c r="AP172" s="187"/>
      <c r="AQ172" s="187"/>
    </row>
    <row r="173" spans="31:43" ht="15" customHeight="1">
      <c r="AF173" s="184" t="s">
        <v>216</v>
      </c>
      <c r="AG173" s="188">
        <v>3.53</v>
      </c>
      <c r="AH173" s="189">
        <v>4.5199999999999996</v>
      </c>
      <c r="AI173" s="184">
        <v>24.1785</v>
      </c>
      <c r="AJ173" s="190"/>
      <c r="AK173" s="189">
        <v>7.11</v>
      </c>
      <c r="AL173" s="184">
        <v>8.89</v>
      </c>
      <c r="AM173" s="191"/>
      <c r="AN173" s="191"/>
      <c r="AO173" s="187"/>
      <c r="AP173" s="187"/>
      <c r="AQ173" s="187"/>
    </row>
    <row r="174" spans="31:43" ht="15" customHeight="1">
      <c r="AF174" s="184" t="s">
        <v>217</v>
      </c>
      <c r="AG174" s="188">
        <v>4.59</v>
      </c>
      <c r="AH174" s="189">
        <v>5.73</v>
      </c>
      <c r="AI174" s="184">
        <v>26.864999999999998</v>
      </c>
      <c r="AJ174" s="190"/>
      <c r="AK174" s="189">
        <v>9.25</v>
      </c>
      <c r="AL174" s="184">
        <v>11.56</v>
      </c>
      <c r="AM174" s="191"/>
      <c r="AN174" s="191"/>
      <c r="AO174" s="187"/>
      <c r="AP174" s="187"/>
      <c r="AQ174" s="187"/>
    </row>
    <row r="175" spans="31:43" ht="15" customHeight="1">
      <c r="AF175" s="184" t="s">
        <v>218</v>
      </c>
      <c r="AG175" s="188">
        <v>5.61</v>
      </c>
      <c r="AH175" s="189">
        <v>7.06</v>
      </c>
      <c r="AI175" s="184">
        <v>29.551499999999997</v>
      </c>
      <c r="AJ175" s="190"/>
      <c r="AK175" s="189">
        <v>11.3</v>
      </c>
      <c r="AL175" s="192">
        <v>14.13</v>
      </c>
      <c r="AM175" s="191"/>
      <c r="AN175" s="191"/>
      <c r="AO175" s="187"/>
      <c r="AP175" s="187"/>
      <c r="AQ175" s="187"/>
    </row>
    <row r="176" spans="31:43" ht="15" customHeight="1">
      <c r="AF176" s="184" t="s">
        <v>219</v>
      </c>
      <c r="AG176" s="188">
        <v>8.17</v>
      </c>
      <c r="AH176" s="189">
        <v>10.178760197630929</v>
      </c>
      <c r="AI176" s="184">
        <v>32.238</v>
      </c>
      <c r="AJ176" s="190"/>
      <c r="AK176" s="189">
        <v>16.47</v>
      </c>
      <c r="AL176" s="184">
        <v>20.58</v>
      </c>
      <c r="AM176" s="191"/>
      <c r="AN176" s="191"/>
      <c r="AO176" s="187"/>
      <c r="AP176" s="187"/>
      <c r="AQ176" s="187"/>
    </row>
    <row r="177" spans="32:43" ht="15" customHeight="1">
      <c r="AF177" s="193"/>
      <c r="AG177" s="194"/>
      <c r="AH177" s="194"/>
      <c r="AI177" s="187"/>
      <c r="AJ177" s="187"/>
      <c r="AK177" s="187"/>
      <c r="AL177" s="187"/>
      <c r="AM177" s="187"/>
      <c r="AN177" s="187"/>
      <c r="AO177" s="187"/>
      <c r="AP177" s="187"/>
      <c r="AQ177" s="187"/>
    </row>
    <row r="178" spans="32:43" ht="15" customHeight="1">
      <c r="AF178" s="193"/>
      <c r="AG178" s="195"/>
      <c r="AH178" s="196"/>
      <c r="AI178" s="187"/>
      <c r="AJ178" s="187"/>
      <c r="AK178" s="187"/>
      <c r="AL178" s="187"/>
      <c r="AM178" s="187"/>
      <c r="AN178" s="187"/>
      <c r="AO178" s="187"/>
      <c r="AP178" s="187"/>
      <c r="AQ178" s="187"/>
    </row>
    <row r="179" spans="32:43" ht="15" customHeight="1" thickBot="1">
      <c r="AF179" s="193"/>
      <c r="AG179" s="195"/>
      <c r="AH179" s="196"/>
      <c r="AI179" s="187"/>
      <c r="AJ179" s="187"/>
      <c r="AK179" s="187"/>
      <c r="AL179" s="187"/>
      <c r="AM179" s="187"/>
      <c r="AN179" s="187"/>
      <c r="AO179" s="187"/>
      <c r="AP179" s="187"/>
      <c r="AQ179" s="187"/>
    </row>
    <row r="180" spans="32:43" ht="27" customHeight="1" thickBot="1">
      <c r="AF180" s="57"/>
      <c r="AG180" s="197" t="s">
        <v>644</v>
      </c>
      <c r="AH180" s="197" t="s">
        <v>645</v>
      </c>
      <c r="AI180" s="197" t="s">
        <v>646</v>
      </c>
      <c r="AJ180" s="198" t="s">
        <v>647</v>
      </c>
      <c r="AK180" s="187"/>
      <c r="AL180" s="187"/>
      <c r="AM180" s="187"/>
      <c r="AN180" s="187"/>
      <c r="AO180" s="187"/>
      <c r="AP180" s="187"/>
      <c r="AQ180" s="187"/>
    </row>
    <row r="181" spans="32:43" ht="15" customHeight="1">
      <c r="AF181" s="57">
        <v>0.6</v>
      </c>
      <c r="AG181" s="199">
        <v>4</v>
      </c>
      <c r="AH181" s="200">
        <v>2.4</v>
      </c>
      <c r="AI181" s="200">
        <v>0.8</v>
      </c>
      <c r="AJ181" s="201">
        <v>1.32</v>
      </c>
      <c r="AK181" s="187"/>
      <c r="AL181" s="187"/>
      <c r="AM181" s="187"/>
      <c r="AN181" s="187"/>
      <c r="AO181" s="187"/>
      <c r="AP181" s="187"/>
      <c r="AQ181" s="187"/>
    </row>
    <row r="182" spans="32:43" ht="15" customHeight="1">
      <c r="AF182" s="57">
        <v>0.8</v>
      </c>
      <c r="AG182" s="202">
        <v>4</v>
      </c>
      <c r="AH182" s="203">
        <v>3.2</v>
      </c>
      <c r="AI182" s="203">
        <v>0.8</v>
      </c>
      <c r="AJ182" s="204">
        <v>1.32</v>
      </c>
      <c r="AK182" s="121"/>
      <c r="AL182" s="121"/>
      <c r="AM182" s="121"/>
      <c r="AN182" s="121"/>
      <c r="AO182" s="121"/>
      <c r="AP182" s="121"/>
      <c r="AQ182" s="121"/>
    </row>
    <row r="183" spans="32:43" ht="15" customHeight="1">
      <c r="AF183" s="57">
        <v>0.8</v>
      </c>
      <c r="AG183" s="202">
        <v>5</v>
      </c>
      <c r="AH183" s="203">
        <v>4</v>
      </c>
      <c r="AI183" s="203">
        <v>1</v>
      </c>
      <c r="AJ183" s="204">
        <v>1.65</v>
      </c>
      <c r="AK183" s="121"/>
      <c r="AL183" s="121"/>
      <c r="AM183" s="121"/>
      <c r="AN183" s="121"/>
      <c r="AO183" s="121"/>
      <c r="AP183" s="121"/>
      <c r="AQ183" s="121"/>
    </row>
    <row r="184" spans="32:43" ht="15" customHeight="1">
      <c r="AF184" s="57">
        <v>0.8</v>
      </c>
      <c r="AG184" s="202">
        <v>5</v>
      </c>
      <c r="AH184" s="203">
        <v>4</v>
      </c>
      <c r="AI184" s="203">
        <v>1</v>
      </c>
      <c r="AJ184" s="204">
        <v>1.65</v>
      </c>
      <c r="AK184" s="121"/>
      <c r="AL184" s="121"/>
      <c r="AM184" s="121"/>
      <c r="AN184" s="121"/>
      <c r="AO184" s="121"/>
      <c r="AP184" s="121"/>
      <c r="AQ184" s="121"/>
    </row>
    <row r="185" spans="32:43" ht="15" customHeight="1">
      <c r="AF185" s="57">
        <v>0.8</v>
      </c>
      <c r="AG185" s="202">
        <v>6</v>
      </c>
      <c r="AH185" s="203">
        <v>4.8</v>
      </c>
      <c r="AI185" s="203">
        <v>1.2</v>
      </c>
      <c r="AJ185" s="204">
        <v>1.98</v>
      </c>
      <c r="AK185" s="121"/>
      <c r="AL185" s="121"/>
      <c r="AM185" s="121"/>
      <c r="AN185" s="121"/>
      <c r="AO185" s="121"/>
      <c r="AP185" s="121"/>
      <c r="AQ185" s="121"/>
    </row>
    <row r="186" spans="32:43" ht="15" customHeight="1">
      <c r="AF186" s="57">
        <v>0.8</v>
      </c>
      <c r="AG186" s="202">
        <v>8</v>
      </c>
      <c r="AH186" s="203">
        <v>6.4</v>
      </c>
      <c r="AI186" s="203">
        <v>1.6</v>
      </c>
      <c r="AJ186" s="204">
        <v>2.64</v>
      </c>
      <c r="AK186" s="121"/>
      <c r="AL186" s="121"/>
      <c r="AM186" s="121"/>
      <c r="AN186" s="121"/>
      <c r="AO186" s="121"/>
      <c r="AP186" s="121"/>
      <c r="AQ186" s="121"/>
    </row>
    <row r="187" spans="32:43" ht="15" customHeight="1" thickBot="1">
      <c r="AF187" s="57">
        <v>0.9</v>
      </c>
      <c r="AG187" s="205">
        <v>10</v>
      </c>
      <c r="AH187" s="206">
        <v>9</v>
      </c>
      <c r="AI187" s="206">
        <v>2</v>
      </c>
      <c r="AJ187" s="207">
        <v>3.3</v>
      </c>
      <c r="AK187" s="121"/>
      <c r="AL187" s="121"/>
      <c r="AM187" s="121"/>
      <c r="AN187" s="121"/>
      <c r="AO187" s="121"/>
      <c r="AP187" s="121"/>
      <c r="AQ187" s="121"/>
    </row>
    <row r="188" spans="32:43" ht="15" customHeight="1" thickBot="1"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</row>
    <row r="189" spans="32:43" ht="15" customHeight="1">
      <c r="AF189" s="121"/>
      <c r="AG189" s="208">
        <v>2</v>
      </c>
      <c r="AH189" s="208">
        <v>3</v>
      </c>
      <c r="AI189" s="208">
        <v>4</v>
      </c>
      <c r="AJ189" s="208">
        <v>5</v>
      </c>
      <c r="AK189" s="208">
        <v>6</v>
      </c>
      <c r="AL189" s="209">
        <v>7</v>
      </c>
      <c r="AM189" s="121"/>
      <c r="AN189" s="121"/>
      <c r="AO189" s="121"/>
      <c r="AP189" s="121"/>
      <c r="AQ189" s="121"/>
    </row>
    <row r="190" spans="32:43" ht="15" customHeight="1" thickBot="1">
      <c r="AF190" s="121"/>
      <c r="AG190" s="210"/>
      <c r="AH190" s="210"/>
      <c r="AI190" s="210"/>
      <c r="AJ190" s="210"/>
      <c r="AK190" s="210"/>
      <c r="AL190" s="211"/>
      <c r="AM190" s="121"/>
      <c r="AN190" s="121"/>
      <c r="AO190" s="121"/>
      <c r="AP190" s="121"/>
      <c r="AQ190" s="121"/>
    </row>
    <row r="191" spans="32:43" ht="15" customHeight="1" thickBot="1">
      <c r="AF191" s="121"/>
      <c r="AG191" s="212" t="s">
        <v>648</v>
      </c>
      <c r="AH191" s="212" t="s">
        <v>649</v>
      </c>
      <c r="AI191" s="212" t="s">
        <v>650</v>
      </c>
      <c r="AJ191" s="212" t="s">
        <v>651</v>
      </c>
      <c r="AK191" s="212" t="s">
        <v>652</v>
      </c>
      <c r="AL191" s="213" t="s">
        <v>828</v>
      </c>
      <c r="AM191" s="121"/>
      <c r="AN191" s="121"/>
      <c r="AO191" s="121"/>
      <c r="AP191" s="121"/>
      <c r="AQ191" s="121"/>
    </row>
    <row r="192" spans="32:43" ht="15" customHeight="1">
      <c r="AF192" s="121"/>
      <c r="AG192" s="214">
        <v>2400</v>
      </c>
      <c r="AH192" s="214">
        <v>3600</v>
      </c>
      <c r="AI192" s="214">
        <v>1400</v>
      </c>
      <c r="AJ192" s="214">
        <v>1800</v>
      </c>
      <c r="AK192" s="214">
        <v>2800</v>
      </c>
      <c r="AL192" s="215">
        <v>840</v>
      </c>
      <c r="AM192" s="121"/>
      <c r="AN192" s="121"/>
      <c r="AO192" s="121"/>
      <c r="AP192" s="121"/>
      <c r="AQ192" s="121"/>
    </row>
    <row r="193" spans="32:43" ht="15" customHeight="1">
      <c r="AF193" s="121"/>
      <c r="AG193" s="216">
        <v>2800</v>
      </c>
      <c r="AH193" s="216">
        <v>4400</v>
      </c>
      <c r="AI193" s="216">
        <v>1600</v>
      </c>
      <c r="AJ193" s="216">
        <v>2100</v>
      </c>
      <c r="AK193" s="216">
        <v>3200</v>
      </c>
      <c r="AL193" s="217">
        <v>960</v>
      </c>
      <c r="AM193" s="121"/>
      <c r="AN193" s="121"/>
      <c r="AO193" s="121"/>
      <c r="AP193" s="121"/>
      <c r="AQ193" s="121"/>
    </row>
    <row r="194" spans="32:43" ht="15" customHeight="1" thickBot="1">
      <c r="AF194" s="121"/>
      <c r="AG194" s="218">
        <v>3600</v>
      </c>
      <c r="AH194" s="218">
        <v>5200</v>
      </c>
      <c r="AI194" s="218">
        <v>2100</v>
      </c>
      <c r="AJ194" s="218">
        <v>2700</v>
      </c>
      <c r="AK194" s="218">
        <v>4200</v>
      </c>
      <c r="AL194" s="219">
        <v>1260</v>
      </c>
      <c r="AM194" s="121"/>
      <c r="AN194" s="121"/>
      <c r="AO194" s="121"/>
      <c r="AP194" s="121"/>
      <c r="AQ194" s="121"/>
    </row>
    <row r="195" spans="32:43" ht="15" customHeight="1">
      <c r="AF195" s="220"/>
      <c r="AG195" s="220"/>
      <c r="AH195" s="220"/>
      <c r="AI195" s="220"/>
      <c r="AJ195" s="220"/>
      <c r="AK195" s="220"/>
      <c r="AL195" s="221"/>
      <c r="AM195" s="121"/>
      <c r="AN195" s="121"/>
      <c r="AO195" s="121"/>
      <c r="AP195" s="121"/>
      <c r="AQ195" s="121"/>
    </row>
    <row r="196" spans="32:43" ht="15" customHeight="1">
      <c r="AF196" s="57"/>
      <c r="AG196" s="57"/>
      <c r="AH196" s="57"/>
      <c r="AI196" s="57"/>
      <c r="AJ196" s="57"/>
      <c r="AK196" s="57"/>
      <c r="AL196" s="121"/>
      <c r="AM196" s="121"/>
      <c r="AN196" s="121"/>
      <c r="AO196" s="121"/>
      <c r="AP196" s="121"/>
      <c r="AQ196" s="121"/>
    </row>
    <row r="197" spans="32:43" ht="15" customHeight="1">
      <c r="AF197" s="57"/>
      <c r="AG197" s="57"/>
      <c r="AH197" s="57"/>
      <c r="AI197" s="57"/>
      <c r="AJ197" s="57"/>
      <c r="AK197" s="57"/>
      <c r="AL197" s="121"/>
      <c r="AM197" s="121"/>
      <c r="AN197" s="121"/>
      <c r="AO197" s="121"/>
      <c r="AP197" s="121"/>
      <c r="AQ197" s="121"/>
    </row>
    <row r="198" spans="32:43" ht="15" customHeight="1">
      <c r="AF198" s="57"/>
      <c r="AG198" s="57"/>
      <c r="AH198" s="57"/>
      <c r="AI198" s="57"/>
      <c r="AJ198" s="57"/>
      <c r="AK198" s="57"/>
      <c r="AL198" s="121"/>
      <c r="AM198" s="121"/>
      <c r="AN198" s="121"/>
      <c r="AO198" s="121"/>
      <c r="AP198" s="121"/>
      <c r="AQ198" s="121"/>
    </row>
    <row r="199" spans="32:43" ht="15" customHeight="1" thickBot="1">
      <c r="AF199" s="57"/>
      <c r="AG199" s="57"/>
      <c r="AH199" s="57"/>
      <c r="AI199" s="57"/>
      <c r="AJ199" s="57"/>
      <c r="AK199" s="57"/>
      <c r="AL199" s="121"/>
      <c r="AM199" s="121"/>
      <c r="AN199" s="121">
        <v>1.5</v>
      </c>
      <c r="AO199" s="121">
        <v>0.6</v>
      </c>
      <c r="AP199" s="121"/>
      <c r="AQ199" s="121"/>
    </row>
    <row r="200" spans="32:43" ht="48.75" customHeight="1">
      <c r="AF200" s="222" t="s">
        <v>653</v>
      </c>
      <c r="AG200" s="223">
        <v>1.875</v>
      </c>
      <c r="AH200" s="223">
        <v>2</v>
      </c>
      <c r="AI200" s="223">
        <v>2.25</v>
      </c>
      <c r="AJ200" s="223">
        <v>2.5</v>
      </c>
      <c r="AK200" s="223">
        <v>2.75</v>
      </c>
      <c r="AL200" s="224">
        <v>3</v>
      </c>
      <c r="AM200" s="225"/>
      <c r="AN200" s="225">
        <v>2</v>
      </c>
      <c r="AO200" s="225">
        <v>0.8</v>
      </c>
      <c r="AP200" s="225"/>
      <c r="AQ200" s="225"/>
    </row>
    <row r="201" spans="32:43" ht="15" customHeight="1" thickBot="1">
      <c r="AF201" s="226" t="s">
        <v>636</v>
      </c>
      <c r="AG201" s="227">
        <v>0.75</v>
      </c>
      <c r="AH201" s="227">
        <v>0.8</v>
      </c>
      <c r="AI201" s="227">
        <v>0.9</v>
      </c>
      <c r="AJ201" s="227">
        <v>1</v>
      </c>
      <c r="AK201" s="227">
        <v>1.1000000000000001</v>
      </c>
      <c r="AL201" s="228">
        <v>1.2</v>
      </c>
      <c r="AM201" s="225"/>
      <c r="AN201" s="225">
        <v>2.5</v>
      </c>
      <c r="AO201" s="225">
        <v>1</v>
      </c>
      <c r="AP201" s="225"/>
      <c r="AQ201" s="225"/>
    </row>
    <row r="202" spans="32:43" ht="15" customHeight="1">
      <c r="AF202" s="121"/>
      <c r="AG202" s="121"/>
      <c r="AH202" s="121"/>
      <c r="AI202" s="121"/>
      <c r="AJ202" s="121"/>
      <c r="AK202" s="121"/>
      <c r="AL202" s="121"/>
      <c r="AM202" s="121"/>
      <c r="AN202" s="121">
        <v>3</v>
      </c>
      <c r="AO202" s="121">
        <v>1.2</v>
      </c>
      <c r="AP202" s="121"/>
      <c r="AQ202" s="121"/>
    </row>
    <row r="203" spans="32:43" ht="15" customHeight="1"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</row>
    <row r="204" spans="32:43" ht="15" customHeight="1"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</row>
    <row r="205" spans="32:43" ht="15" customHeight="1" thickBot="1"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</row>
    <row r="206" spans="32:43" ht="22.5" customHeight="1" thickBot="1">
      <c r="AF206" s="57"/>
      <c r="AG206" s="229" t="s">
        <v>674</v>
      </c>
      <c r="AH206" s="197" t="s">
        <v>644</v>
      </c>
      <c r="AI206" s="197" t="s">
        <v>645</v>
      </c>
      <c r="AJ206" s="197" t="s">
        <v>646</v>
      </c>
      <c r="AK206" s="198" t="s">
        <v>647</v>
      </c>
      <c r="AL206" s="187"/>
      <c r="AM206" s="121"/>
      <c r="AN206" s="121"/>
      <c r="AO206" s="121"/>
      <c r="AP206" s="121"/>
      <c r="AQ206" s="121"/>
    </row>
    <row r="207" spans="32:43" ht="15" customHeight="1">
      <c r="AF207" s="57">
        <v>0.6</v>
      </c>
      <c r="AG207" s="230">
        <v>4.5999999999999996</v>
      </c>
      <c r="AH207" s="199">
        <v>4</v>
      </c>
      <c r="AI207" s="200">
        <v>2.4</v>
      </c>
      <c r="AJ207" s="200">
        <v>0.8</v>
      </c>
      <c r="AK207" s="201">
        <v>1.32</v>
      </c>
      <c r="AL207" s="187"/>
      <c r="AM207" s="121"/>
      <c r="AN207" s="121"/>
      <c r="AO207" s="121"/>
      <c r="AP207" s="121"/>
      <c r="AQ207" s="121"/>
    </row>
    <row r="208" spans="32:43" ht="15" customHeight="1">
      <c r="AF208" s="57">
        <v>0.8</v>
      </c>
      <c r="AG208" s="231">
        <v>4.8</v>
      </c>
      <c r="AH208" s="202">
        <v>4</v>
      </c>
      <c r="AI208" s="203">
        <v>3.2</v>
      </c>
      <c r="AJ208" s="203">
        <v>0.8</v>
      </c>
      <c r="AK208" s="204">
        <v>1.32</v>
      </c>
      <c r="AL208" s="121"/>
      <c r="AM208" s="121"/>
      <c r="AN208" s="121"/>
      <c r="AO208" s="121"/>
      <c r="AP208" s="121"/>
      <c r="AQ208" s="121"/>
    </row>
    <row r="209" spans="32:44" ht="15" customHeight="1">
      <c r="AF209" s="57">
        <v>0.8</v>
      </c>
      <c r="AG209" s="231">
        <v>5.6</v>
      </c>
      <c r="AH209" s="202">
        <v>5</v>
      </c>
      <c r="AI209" s="203">
        <v>4</v>
      </c>
      <c r="AJ209" s="203">
        <v>1</v>
      </c>
      <c r="AK209" s="204">
        <v>1.65</v>
      </c>
      <c r="AL209" s="121"/>
      <c r="AM209" s="121"/>
      <c r="AN209" s="121"/>
      <c r="AO209" s="121"/>
      <c r="AP209" s="121"/>
      <c r="AQ209" s="121"/>
    </row>
    <row r="210" spans="32:44" ht="15" customHeight="1">
      <c r="AF210" s="57">
        <v>0.8</v>
      </c>
      <c r="AG210" s="231">
        <v>5.8</v>
      </c>
      <c r="AH210" s="202">
        <v>5</v>
      </c>
      <c r="AI210" s="203">
        <v>4</v>
      </c>
      <c r="AJ210" s="203">
        <v>1</v>
      </c>
      <c r="AK210" s="204">
        <v>1.65</v>
      </c>
      <c r="AL210" s="121"/>
      <c r="AM210" s="121"/>
      <c r="AN210" s="121"/>
      <c r="AO210" s="121"/>
      <c r="AP210" s="121"/>
      <c r="AQ210" s="121"/>
    </row>
    <row r="211" spans="32:44" ht="15" customHeight="1">
      <c r="AF211" s="57">
        <v>0.8</v>
      </c>
      <c r="AG211" s="231">
        <v>6.8</v>
      </c>
      <c r="AH211" s="202">
        <v>6</v>
      </c>
      <c r="AI211" s="203">
        <v>4.8</v>
      </c>
      <c r="AJ211" s="203">
        <v>1.2</v>
      </c>
      <c r="AK211" s="204">
        <v>1.98</v>
      </c>
      <c r="AL211" s="121"/>
      <c r="AM211" s="121"/>
      <c r="AN211" s="121"/>
      <c r="AO211" s="121"/>
      <c r="AP211" s="121"/>
      <c r="AQ211" s="121"/>
    </row>
    <row r="212" spans="32:44" ht="15" customHeight="1">
      <c r="AF212" s="57">
        <v>0.8</v>
      </c>
      <c r="AG212" s="231">
        <v>8.8000000000000007</v>
      </c>
      <c r="AH212" s="202">
        <v>8</v>
      </c>
      <c r="AI212" s="203">
        <v>6.4</v>
      </c>
      <c r="AJ212" s="203">
        <v>1.6</v>
      </c>
      <c r="AK212" s="204">
        <v>2.64</v>
      </c>
      <c r="AL212" s="121"/>
      <c r="AM212" s="121"/>
      <c r="AN212" s="121"/>
      <c r="AO212" s="121"/>
      <c r="AP212" s="121"/>
      <c r="AQ212" s="121"/>
    </row>
    <row r="213" spans="32:44" ht="15" customHeight="1" thickBot="1">
      <c r="AF213" s="57">
        <v>0.9</v>
      </c>
      <c r="AG213" s="232">
        <v>10.9</v>
      </c>
      <c r="AH213" s="205">
        <v>10</v>
      </c>
      <c r="AI213" s="206">
        <v>9</v>
      </c>
      <c r="AJ213" s="206">
        <v>2</v>
      </c>
      <c r="AK213" s="207">
        <v>3.3</v>
      </c>
      <c r="AL213" s="121"/>
      <c r="AM213" s="121"/>
      <c r="AN213" s="121"/>
      <c r="AO213" s="121"/>
      <c r="AP213" s="121"/>
      <c r="AQ213" s="121"/>
      <c r="AR213" s="233"/>
    </row>
    <row r="214" spans="32:44" ht="15" customHeight="1"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234" t="str">
        <f>Sheet2!A6</f>
        <v>IPE 100A</v>
      </c>
    </row>
    <row r="215" spans="32:44" ht="15" customHeight="1"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235" t="str">
        <f>Sheet2!A7</f>
        <v>IPE 100</v>
      </c>
    </row>
    <row r="216" spans="32:44" ht="15" customHeight="1"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234" t="str">
        <f>Sheet2!A8</f>
        <v>IPE 120 A</v>
      </c>
    </row>
    <row r="217" spans="32:44" ht="15" customHeight="1"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235" t="str">
        <f>Sheet2!A9</f>
        <v>IPE 120</v>
      </c>
    </row>
    <row r="218" spans="32:44" ht="15" customHeight="1"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234" t="str">
        <f>Sheet2!A10</f>
        <v>IPE 140 A</v>
      </c>
    </row>
    <row r="219" spans="32:44" ht="15" customHeight="1">
      <c r="AR219" s="235" t="str">
        <f>Sheet2!A11</f>
        <v>IPE 140</v>
      </c>
    </row>
    <row r="220" spans="32:44" ht="15" customHeight="1">
      <c r="AR220" s="234" t="str">
        <f>Sheet2!A12</f>
        <v>IPE 140 R</v>
      </c>
    </row>
    <row r="221" spans="32:44" ht="15" customHeight="1">
      <c r="AR221" s="235" t="str">
        <f>Sheet2!A13</f>
        <v>IPE 160 A</v>
      </c>
    </row>
    <row r="222" spans="32:44" ht="15" customHeight="1">
      <c r="AR222" s="234" t="str">
        <f>Sheet2!A14</f>
        <v>IPE 160</v>
      </c>
    </row>
    <row r="223" spans="32:44" ht="15" customHeight="1">
      <c r="AR223" s="235" t="str">
        <f>Sheet2!A15</f>
        <v>IPE 160 R</v>
      </c>
    </row>
    <row r="224" spans="32:44" ht="15" customHeight="1">
      <c r="AR224" s="234" t="str">
        <f>Sheet2!A16</f>
        <v>IPE 180 A</v>
      </c>
    </row>
    <row r="225" spans="44:44" ht="15" customHeight="1">
      <c r="AR225" s="235" t="str">
        <f>Sheet2!A17</f>
        <v>IPE 180</v>
      </c>
    </row>
    <row r="226" spans="44:44" ht="15" customHeight="1">
      <c r="AR226" s="234" t="str">
        <f>Sheet2!A18</f>
        <v>IPE 180 O</v>
      </c>
    </row>
    <row r="227" spans="44:44" ht="15" customHeight="1">
      <c r="AR227" s="235" t="str">
        <f>Sheet2!A19</f>
        <v>IPE 180 R</v>
      </c>
    </row>
    <row r="228" spans="44:44" ht="15" customHeight="1">
      <c r="AR228" s="234" t="str">
        <f>Sheet2!A20</f>
        <v>IPE 200 A</v>
      </c>
    </row>
    <row r="229" spans="44:44" ht="15" customHeight="1">
      <c r="AR229" s="235" t="str">
        <f>Sheet2!A21</f>
        <v>IPE 200</v>
      </c>
    </row>
    <row r="230" spans="44:44" ht="15" customHeight="1">
      <c r="AR230" s="234" t="str">
        <f>Sheet2!A22</f>
        <v>IPE 200 O</v>
      </c>
    </row>
    <row r="231" spans="44:44" ht="15" customHeight="1">
      <c r="AR231" s="235" t="str">
        <f>Sheet2!A23</f>
        <v>IPE 200 R</v>
      </c>
    </row>
    <row r="232" spans="44:44" ht="15" customHeight="1">
      <c r="AR232" s="234" t="str">
        <f>Sheet2!A24</f>
        <v>IPE 220 A</v>
      </c>
    </row>
    <row r="233" spans="44:44" ht="15" customHeight="1">
      <c r="AR233" s="235" t="str">
        <f>Sheet2!A25</f>
        <v>IPE 220</v>
      </c>
    </row>
    <row r="234" spans="44:44" ht="15" customHeight="1">
      <c r="AR234" s="234" t="str">
        <f>Sheet2!A26</f>
        <v>IPE 220 O</v>
      </c>
    </row>
    <row r="235" spans="44:44" ht="15" customHeight="1">
      <c r="AR235" s="235" t="str">
        <f>Sheet2!A27</f>
        <v>IPE 220 R</v>
      </c>
    </row>
    <row r="236" spans="44:44" ht="15" customHeight="1">
      <c r="AR236" s="234" t="str">
        <f>Sheet2!A28</f>
        <v>IPE 240 A</v>
      </c>
    </row>
    <row r="237" spans="44:44" ht="15" customHeight="1">
      <c r="AR237" s="235" t="str">
        <f>Sheet2!A29</f>
        <v>IPE 240</v>
      </c>
    </row>
    <row r="238" spans="44:44" ht="15" customHeight="1">
      <c r="AR238" s="234" t="str">
        <f>Sheet2!A30</f>
        <v>IPE 240 O</v>
      </c>
    </row>
    <row r="239" spans="44:44" ht="15" customHeight="1">
      <c r="AR239" s="235" t="str">
        <f>Sheet2!A31</f>
        <v>IPE 240 R</v>
      </c>
    </row>
    <row r="240" spans="44:44" ht="15" customHeight="1">
      <c r="AR240" s="234" t="str">
        <f>Sheet2!A32</f>
        <v>IPE 270 A</v>
      </c>
    </row>
    <row r="241" spans="44:44" ht="15" customHeight="1">
      <c r="AR241" s="235" t="str">
        <f>Sheet2!A33</f>
        <v>IPE 270</v>
      </c>
    </row>
    <row r="242" spans="44:44" ht="15" customHeight="1">
      <c r="AR242" s="234" t="str">
        <f>Sheet2!A34</f>
        <v>IPE 270 O</v>
      </c>
    </row>
    <row r="243" spans="44:44" ht="15" customHeight="1">
      <c r="AR243" s="235" t="str">
        <f>Sheet2!A35</f>
        <v>IPE 270 R</v>
      </c>
    </row>
    <row r="244" spans="44:44" ht="15" customHeight="1">
      <c r="AR244" s="234" t="str">
        <f>Sheet2!A36</f>
        <v>IPE 300 A</v>
      </c>
    </row>
    <row r="245" spans="44:44" ht="15" customHeight="1">
      <c r="AR245" s="235" t="str">
        <f>Sheet2!A37</f>
        <v>IPE 300</v>
      </c>
    </row>
    <row r="246" spans="44:44" ht="15" customHeight="1">
      <c r="AR246" s="234" t="str">
        <f>Sheet2!A38</f>
        <v>IPE 300O</v>
      </c>
    </row>
    <row r="247" spans="44:44" ht="15" customHeight="1">
      <c r="AR247" s="235" t="str">
        <f>Sheet2!A39</f>
        <v>IPE 300 R</v>
      </c>
    </row>
    <row r="248" spans="44:44" ht="15" customHeight="1">
      <c r="AR248" s="234" t="str">
        <f>Sheet2!A40</f>
        <v>IPE 330 A</v>
      </c>
    </row>
    <row r="249" spans="44:44" ht="15" customHeight="1">
      <c r="AR249" s="235" t="str">
        <f>Sheet2!A41</f>
        <v>IPE 330</v>
      </c>
    </row>
    <row r="250" spans="44:44" ht="15" customHeight="1">
      <c r="AR250" s="234" t="str">
        <f>Sheet2!A42</f>
        <v>IPE 330 O</v>
      </c>
    </row>
    <row r="251" spans="44:44" ht="15" customHeight="1">
      <c r="AR251" s="235" t="str">
        <f>Sheet2!A43</f>
        <v>IPE 330 R</v>
      </c>
    </row>
    <row r="252" spans="44:44" ht="15" customHeight="1">
      <c r="AR252" s="234" t="str">
        <f>Sheet2!A44</f>
        <v>IPE 360 A</v>
      </c>
    </row>
    <row r="253" spans="44:44" ht="15" customHeight="1">
      <c r="AR253" s="235" t="str">
        <f>Sheet2!A45</f>
        <v>IPE 360</v>
      </c>
    </row>
    <row r="254" spans="44:44" ht="15" customHeight="1">
      <c r="AR254" s="234" t="str">
        <f>Sheet2!A46</f>
        <v>IPE 360 O</v>
      </c>
    </row>
    <row r="255" spans="44:44" ht="15" customHeight="1">
      <c r="AR255" s="235" t="str">
        <f>Sheet2!A47</f>
        <v>IPE 360 R</v>
      </c>
    </row>
    <row r="256" spans="44:44" ht="15" customHeight="1">
      <c r="AR256" s="234" t="str">
        <f>Sheet2!A48</f>
        <v>IPE 400 A</v>
      </c>
    </row>
    <row r="257" spans="44:44" ht="15" customHeight="1">
      <c r="AR257" s="235" t="str">
        <f>Sheet2!A49</f>
        <v>IPE 400</v>
      </c>
    </row>
    <row r="258" spans="44:44" ht="15" customHeight="1">
      <c r="AR258" s="234" t="str">
        <f>Sheet2!A50</f>
        <v>IPE 400 O</v>
      </c>
    </row>
    <row r="259" spans="44:44" ht="15" customHeight="1">
      <c r="AR259" s="235" t="str">
        <f>Sheet2!A51</f>
        <v>IPE 400 R</v>
      </c>
    </row>
    <row r="260" spans="44:44" ht="15" customHeight="1">
      <c r="AR260" s="234" t="str">
        <f>Sheet2!A52</f>
        <v>IPE 400 V</v>
      </c>
    </row>
    <row r="261" spans="44:44" ht="15" customHeight="1">
      <c r="AR261" s="235" t="str">
        <f>Sheet2!A53</f>
        <v>IPE 450 A</v>
      </c>
    </row>
    <row r="262" spans="44:44" ht="15" customHeight="1">
      <c r="AR262" s="234" t="str">
        <f>Sheet2!A54</f>
        <v>IPE 450</v>
      </c>
    </row>
    <row r="263" spans="44:44" ht="15" customHeight="1">
      <c r="AR263" s="235" t="str">
        <f>Sheet2!A55</f>
        <v>IPE 450 O</v>
      </c>
    </row>
    <row r="264" spans="44:44" ht="15" customHeight="1">
      <c r="AR264" s="234" t="str">
        <f>Sheet2!A56</f>
        <v>IPE 450 R</v>
      </c>
    </row>
    <row r="265" spans="44:44" ht="15" customHeight="1">
      <c r="AR265" s="235" t="str">
        <f>Sheet2!A57</f>
        <v>IPE 450 V</v>
      </c>
    </row>
    <row r="266" spans="44:44" ht="15" customHeight="1">
      <c r="AR266" s="234" t="str">
        <f>Sheet2!A58</f>
        <v>IPE 500 A</v>
      </c>
    </row>
    <row r="267" spans="44:44" ht="15" customHeight="1">
      <c r="AR267" s="235" t="str">
        <f>Sheet2!A59</f>
        <v>IPE 500</v>
      </c>
    </row>
    <row r="268" spans="44:44" ht="15" customHeight="1">
      <c r="AR268" s="234" t="str">
        <f>Sheet2!A60</f>
        <v>IPE 500 O</v>
      </c>
    </row>
    <row r="269" spans="44:44" ht="15" customHeight="1">
      <c r="AR269" s="235" t="str">
        <f>Sheet2!A61</f>
        <v>IPE 500 R</v>
      </c>
    </row>
    <row r="270" spans="44:44" ht="15" customHeight="1">
      <c r="AR270" s="234" t="str">
        <f>Sheet2!A62</f>
        <v>IPE 500 V</v>
      </c>
    </row>
    <row r="271" spans="44:44" ht="15" customHeight="1">
      <c r="AR271" s="235" t="str">
        <f>Sheet2!A63</f>
        <v>IPE 550 A</v>
      </c>
    </row>
    <row r="272" spans="44:44" ht="15" customHeight="1">
      <c r="AR272" s="234" t="str">
        <f>Sheet2!A64</f>
        <v>IPE 550</v>
      </c>
    </row>
    <row r="273" spans="44:44" ht="15" customHeight="1">
      <c r="AR273" s="235" t="str">
        <f>Sheet2!A65</f>
        <v>IPE 550 O</v>
      </c>
    </row>
    <row r="274" spans="44:44" ht="15" customHeight="1">
      <c r="AR274" s="234" t="str">
        <f>Sheet2!A66</f>
        <v>IPE 550 R</v>
      </c>
    </row>
    <row r="275" spans="44:44" ht="15" customHeight="1">
      <c r="AR275" s="235" t="str">
        <f>Sheet2!A67</f>
        <v>IPE 550 V</v>
      </c>
    </row>
    <row r="276" spans="44:44" ht="15" customHeight="1">
      <c r="AR276" s="234" t="str">
        <f>Sheet2!A68</f>
        <v>IPE 600 A</v>
      </c>
    </row>
    <row r="277" spans="44:44" ht="15" customHeight="1">
      <c r="AR277" s="235" t="str">
        <f>Sheet2!A69</f>
        <v>IPE 600</v>
      </c>
    </row>
    <row r="278" spans="44:44" ht="15" customHeight="1">
      <c r="AR278" s="234" t="str">
        <f>Sheet2!A70</f>
        <v>IPE 600 O</v>
      </c>
    </row>
    <row r="279" spans="44:44" ht="15" customHeight="1">
      <c r="AR279" s="235" t="str">
        <f>Sheet2!A71</f>
        <v>IPE 600 R</v>
      </c>
    </row>
    <row r="280" spans="44:44" ht="15" customHeight="1">
      <c r="AR280" s="234" t="str">
        <f>Sheet2!A72</f>
        <v>IPE 600 V</v>
      </c>
    </row>
    <row r="281" spans="44:44" ht="15" customHeight="1">
      <c r="AR281" s="235" t="str">
        <f>Sheet2!A73</f>
        <v>IPE 750 x 137</v>
      </c>
    </row>
    <row r="282" spans="44:44" ht="15" customHeight="1">
      <c r="AR282" s="234" t="str">
        <f>Sheet2!A74</f>
        <v>IPE 750 x 147</v>
      </c>
    </row>
    <row r="283" spans="44:44" ht="15" customHeight="1">
      <c r="AR283" s="235" t="str">
        <f>Sheet2!A75</f>
        <v>IPE 750 x 161</v>
      </c>
    </row>
    <row r="284" spans="44:44" ht="15" customHeight="1">
      <c r="AR284" s="234" t="str">
        <f>Sheet2!A76</f>
        <v>IPE 750 x 174</v>
      </c>
    </row>
    <row r="285" spans="44:44" ht="15" customHeight="1">
      <c r="AR285" s="235" t="str">
        <f>Sheet2!A77</f>
        <v>IPE 750 x185</v>
      </c>
    </row>
    <row r="286" spans="44:44" ht="15" customHeight="1">
      <c r="AR286" s="234" t="str">
        <f>Sheet2!A78</f>
        <v>IPE 750 x 197</v>
      </c>
    </row>
    <row r="287" spans="44:44" ht="15" customHeight="1">
      <c r="AR287" s="235" t="str">
        <f>Sheet2!A79</f>
        <v>IPE 750 x 210</v>
      </c>
    </row>
    <row r="288" spans="44:44" ht="15" customHeight="1">
      <c r="AR288" s="234" t="str">
        <f>Sheet2!A80</f>
        <v>IPE 750 x 223</v>
      </c>
    </row>
    <row r="289" spans="44:44" ht="15" customHeight="1">
      <c r="AR289" s="235" t="str">
        <f>Sheet2!A81</f>
        <v>HE 100 AA</v>
      </c>
    </row>
    <row r="290" spans="44:44" ht="15" customHeight="1">
      <c r="AR290" s="234" t="str">
        <f>Sheet2!A82</f>
        <v>HE 100 A</v>
      </c>
    </row>
    <row r="291" spans="44:44" ht="15" customHeight="1">
      <c r="AR291" s="235" t="str">
        <f>Sheet2!A83</f>
        <v>HE 100 B</v>
      </c>
    </row>
    <row r="292" spans="44:44" ht="15" customHeight="1">
      <c r="AR292" s="234" t="str">
        <f>Sheet2!A84</f>
        <v>HE 120 AA</v>
      </c>
    </row>
    <row r="293" spans="44:44" ht="15" customHeight="1">
      <c r="AR293" s="235" t="str">
        <f>Sheet2!A85</f>
        <v>HE 120 A</v>
      </c>
    </row>
    <row r="294" spans="44:44" ht="15" customHeight="1">
      <c r="AR294" s="234" t="str">
        <f>Sheet2!A86</f>
        <v>HE 120 B</v>
      </c>
    </row>
    <row r="295" spans="44:44" ht="15" customHeight="1">
      <c r="AR295" s="235" t="str">
        <f>Sheet2!A87</f>
        <v>HE 140 AA</v>
      </c>
    </row>
    <row r="296" spans="44:44" ht="15" customHeight="1">
      <c r="AR296" s="234" t="str">
        <f>Sheet2!A88</f>
        <v>HE 140 A</v>
      </c>
    </row>
    <row r="297" spans="44:44" ht="15" customHeight="1">
      <c r="AR297" s="235" t="str">
        <f>Sheet2!A89</f>
        <v>HE 140 B</v>
      </c>
    </row>
    <row r="298" spans="44:44" ht="15" customHeight="1">
      <c r="AR298" s="234" t="str">
        <f>Sheet2!A90</f>
        <v>HE 160 AA</v>
      </c>
    </row>
    <row r="299" spans="44:44" ht="15" customHeight="1">
      <c r="AR299" s="235" t="str">
        <f>Sheet2!A91</f>
        <v>HE 160 A</v>
      </c>
    </row>
    <row r="300" spans="44:44" ht="15" customHeight="1">
      <c r="AR300" s="234" t="str">
        <f>Sheet2!A92</f>
        <v>HE 160 B</v>
      </c>
    </row>
    <row r="301" spans="44:44" ht="15" customHeight="1">
      <c r="AR301" s="235" t="str">
        <f>Sheet2!A93</f>
        <v>HE 160 M</v>
      </c>
    </row>
    <row r="302" spans="44:44" ht="15" customHeight="1">
      <c r="AR302" s="234" t="str">
        <f>Sheet2!A94</f>
        <v>HE 180 AA</v>
      </c>
    </row>
    <row r="303" spans="44:44" ht="15" customHeight="1">
      <c r="AR303" s="235" t="str">
        <f>Sheet2!A95</f>
        <v>HE 180 A</v>
      </c>
    </row>
    <row r="304" spans="44:44" ht="15" customHeight="1">
      <c r="AR304" s="234" t="str">
        <f>Sheet2!A96</f>
        <v>HE 180 B</v>
      </c>
    </row>
    <row r="305" spans="44:44" ht="15" customHeight="1">
      <c r="AR305" s="235" t="str">
        <f>Sheet2!A97</f>
        <v>HE 180 M</v>
      </c>
    </row>
    <row r="306" spans="44:44" ht="15" customHeight="1">
      <c r="AR306" s="234" t="str">
        <f>Sheet2!A98</f>
        <v>HE 200 AA</v>
      </c>
    </row>
    <row r="307" spans="44:44" ht="15" customHeight="1">
      <c r="AR307" s="235" t="str">
        <f>Sheet2!A99</f>
        <v>HE 200 A</v>
      </c>
    </row>
    <row r="308" spans="44:44" ht="15" customHeight="1">
      <c r="AR308" s="234" t="str">
        <f>Sheet2!A100</f>
        <v>HE 200 B</v>
      </c>
    </row>
    <row r="309" spans="44:44" ht="15" customHeight="1">
      <c r="AR309" s="235" t="str">
        <f>Sheet2!A101</f>
        <v>HE 200 M</v>
      </c>
    </row>
    <row r="310" spans="44:44" ht="15" customHeight="1">
      <c r="AR310" s="234" t="str">
        <f>Sheet2!A102</f>
        <v>HE 220 AA</v>
      </c>
    </row>
    <row r="311" spans="44:44" ht="15" customHeight="1">
      <c r="AR311" s="235" t="str">
        <f>Sheet2!A103</f>
        <v>HE 220 A</v>
      </c>
    </row>
    <row r="312" spans="44:44" ht="15" customHeight="1">
      <c r="AR312" s="234" t="str">
        <f>Sheet2!A104</f>
        <v>HE 220 B</v>
      </c>
    </row>
    <row r="313" spans="44:44" ht="15" customHeight="1">
      <c r="AR313" s="235" t="str">
        <f>Sheet2!A105</f>
        <v>HE 220 M</v>
      </c>
    </row>
    <row r="314" spans="44:44" ht="15" customHeight="1">
      <c r="AR314" s="234" t="str">
        <f>Sheet2!A106</f>
        <v>HE 240 AA</v>
      </c>
    </row>
    <row r="315" spans="44:44" ht="15" customHeight="1">
      <c r="AR315" s="235" t="str">
        <f>Sheet2!A107</f>
        <v>HE 240 A</v>
      </c>
    </row>
    <row r="316" spans="44:44" ht="15" customHeight="1">
      <c r="AR316" s="234" t="str">
        <f>Sheet2!A108</f>
        <v>HE 240 B</v>
      </c>
    </row>
    <row r="317" spans="44:44" ht="15" customHeight="1">
      <c r="AR317" s="235" t="str">
        <f>Sheet2!A109</f>
        <v>HE 240 M</v>
      </c>
    </row>
    <row r="318" spans="44:44" ht="15" customHeight="1">
      <c r="AR318" s="234" t="str">
        <f>Sheet2!A110</f>
        <v>HE 260 AA</v>
      </c>
    </row>
    <row r="319" spans="44:44" ht="15" customHeight="1">
      <c r="AR319" s="235" t="str">
        <f>Sheet2!A111</f>
        <v>HE 260 A</v>
      </c>
    </row>
    <row r="320" spans="44:44" ht="15" customHeight="1">
      <c r="AR320" s="234" t="str">
        <f>Sheet2!A112</f>
        <v>HE 260 B</v>
      </c>
    </row>
    <row r="321" spans="44:44" ht="15" customHeight="1">
      <c r="AR321" s="235" t="str">
        <f>Sheet2!A113</f>
        <v>HE 260 M</v>
      </c>
    </row>
    <row r="322" spans="44:44" ht="15" customHeight="1">
      <c r="AR322" s="234" t="str">
        <f>Sheet2!A114</f>
        <v>HE 280 AA</v>
      </c>
    </row>
    <row r="323" spans="44:44" ht="15" customHeight="1">
      <c r="AR323" s="235" t="str">
        <f>Sheet2!A115</f>
        <v>HE 280 A</v>
      </c>
    </row>
    <row r="324" spans="44:44" ht="15" customHeight="1">
      <c r="AR324" s="234" t="str">
        <f>Sheet2!A116</f>
        <v>HE 280 B</v>
      </c>
    </row>
    <row r="325" spans="44:44" ht="15" customHeight="1">
      <c r="AR325" s="235" t="str">
        <f>Sheet2!A117</f>
        <v>HE 280 M</v>
      </c>
    </row>
    <row r="326" spans="44:44" ht="15" customHeight="1">
      <c r="AR326" s="234" t="str">
        <f>Sheet2!A118</f>
        <v>HE 300 AA</v>
      </c>
    </row>
    <row r="327" spans="44:44" ht="15" customHeight="1">
      <c r="AR327" s="235" t="str">
        <f>Sheet2!A119</f>
        <v>HE 300 A</v>
      </c>
    </row>
    <row r="328" spans="44:44" ht="15" customHeight="1">
      <c r="AR328" s="234" t="str">
        <f>Sheet2!A120</f>
        <v>HE 300 B</v>
      </c>
    </row>
    <row r="329" spans="44:44" ht="15" customHeight="1">
      <c r="AR329" s="235" t="str">
        <f>Sheet2!A121</f>
        <v>HE 300 C</v>
      </c>
    </row>
    <row r="330" spans="44:44" ht="15" customHeight="1">
      <c r="AR330" s="234" t="str">
        <f>Sheet2!A122</f>
        <v>HE 300 M</v>
      </c>
    </row>
    <row r="331" spans="44:44" ht="15" customHeight="1">
      <c r="AR331" s="235" t="str">
        <f>Sheet2!A123</f>
        <v>HE 320 AA</v>
      </c>
    </row>
    <row r="332" spans="44:44" ht="15" customHeight="1">
      <c r="AR332" s="234" t="str">
        <f>Sheet2!A124</f>
        <v>HE 320 A</v>
      </c>
    </row>
    <row r="333" spans="44:44" ht="12.6" customHeight="1">
      <c r="AR333" s="235" t="str">
        <f>Sheet2!A125</f>
        <v>HE 320 B</v>
      </c>
    </row>
    <row r="334" spans="44:44" ht="12.6" customHeight="1">
      <c r="AR334" s="234" t="str">
        <f>Sheet2!A126</f>
        <v>HE 320 M</v>
      </c>
    </row>
    <row r="335" spans="44:44" ht="12.6" customHeight="1">
      <c r="AR335" s="235" t="str">
        <f>Sheet2!A127</f>
        <v>HE 340 AA</v>
      </c>
    </row>
    <row r="336" spans="44:44" ht="12.6" customHeight="1">
      <c r="AR336" s="234" t="str">
        <f>Sheet2!A128</f>
        <v>HE 340 A</v>
      </c>
    </row>
    <row r="337" spans="44:44" ht="12.6" customHeight="1">
      <c r="AR337" s="235" t="str">
        <f>Sheet2!A129</f>
        <v>HE 340 B</v>
      </c>
    </row>
    <row r="338" spans="44:44" ht="12.6" customHeight="1">
      <c r="AR338" s="234" t="str">
        <f>Sheet2!A130</f>
        <v>HE 340 M</v>
      </c>
    </row>
    <row r="339" spans="44:44" ht="12.6" customHeight="1">
      <c r="AR339" s="235" t="str">
        <f>Sheet2!A131</f>
        <v>HE 360 AA</v>
      </c>
    </row>
    <row r="340" spans="44:44" ht="12.6" customHeight="1">
      <c r="AR340" s="234" t="str">
        <f>Sheet2!A132</f>
        <v>HE 360 A</v>
      </c>
    </row>
    <row r="341" spans="44:44" ht="12.6" customHeight="1">
      <c r="AR341" s="235" t="str">
        <f>Sheet2!A133</f>
        <v>HE 360 B</v>
      </c>
    </row>
    <row r="342" spans="44:44" ht="12.6" customHeight="1">
      <c r="AR342" s="234" t="str">
        <f>Sheet2!A134</f>
        <v>HE 360 M</v>
      </c>
    </row>
    <row r="343" spans="44:44" ht="12.6" customHeight="1">
      <c r="AR343" s="235" t="str">
        <f>Sheet2!A135</f>
        <v>HE 400 AA</v>
      </c>
    </row>
    <row r="344" spans="44:44" ht="12.6" customHeight="1">
      <c r="AR344" s="234" t="str">
        <f>Sheet2!A136</f>
        <v>HE 400 x 107</v>
      </c>
    </row>
    <row r="345" spans="44:44" ht="12.6" customHeight="1">
      <c r="AR345" s="235" t="str">
        <f>Sheet2!A137</f>
        <v>HE 400 A</v>
      </c>
    </row>
    <row r="346" spans="44:44" ht="12.6" customHeight="1">
      <c r="AR346" s="234" t="str">
        <f>Sheet2!A138</f>
        <v>HE 400 B</v>
      </c>
    </row>
    <row r="347" spans="44:44" ht="12.6" customHeight="1">
      <c r="AR347" s="235" t="str">
        <f>Sheet2!A139</f>
        <v>HE 400 M</v>
      </c>
    </row>
    <row r="348" spans="44:44" ht="12.6" customHeight="1">
      <c r="AR348" s="234" t="str">
        <f>Sheet2!A140</f>
        <v>HE450 AA</v>
      </c>
    </row>
    <row r="349" spans="44:44" ht="12.6" customHeight="1">
      <c r="AR349" s="235" t="str">
        <f>Sheet2!A141</f>
        <v>HE 450 x 124</v>
      </c>
    </row>
    <row r="350" spans="44:44" ht="12.6" customHeight="1">
      <c r="AR350" s="234" t="str">
        <f>Sheet2!A142</f>
        <v>HE 450 A</v>
      </c>
    </row>
    <row r="351" spans="44:44" ht="12.6" customHeight="1">
      <c r="AR351" s="235" t="str">
        <f>Sheet2!A143</f>
        <v>HE 450 B</v>
      </c>
    </row>
    <row r="352" spans="44:44" ht="12.6" customHeight="1">
      <c r="AR352" s="234" t="str">
        <f>Sheet2!A144</f>
        <v>HE 450 M</v>
      </c>
    </row>
    <row r="353" spans="44:44" ht="12.6" customHeight="1">
      <c r="AR353" s="235" t="str">
        <f>Sheet2!A145</f>
        <v>HE 500 AA</v>
      </c>
    </row>
    <row r="354" spans="44:44" ht="12.6" customHeight="1">
      <c r="AR354" s="234" t="str">
        <f>Sheet2!A146</f>
        <v>HE 500 A</v>
      </c>
    </row>
    <row r="355" spans="44:44" ht="12.6" customHeight="1">
      <c r="AR355" s="235" t="str">
        <f>Sheet2!A147</f>
        <v>HE 500 B</v>
      </c>
    </row>
    <row r="356" spans="44:44" ht="12.6" customHeight="1">
      <c r="AR356" s="234" t="str">
        <f>Sheet2!A148</f>
        <v>HE 500 M</v>
      </c>
    </row>
    <row r="357" spans="44:44" ht="12.6" customHeight="1">
      <c r="AR357" s="235" t="str">
        <f>Sheet2!A149</f>
        <v>HE 550 AA</v>
      </c>
    </row>
    <row r="358" spans="44:44" ht="12.6" customHeight="1">
      <c r="AR358" s="234" t="str">
        <f>Sheet2!A150</f>
        <v>HE 550 A</v>
      </c>
    </row>
    <row r="359" spans="44:44" ht="12.6" customHeight="1">
      <c r="AR359" s="235" t="str">
        <f>Sheet2!A151</f>
        <v>HE 550 B</v>
      </c>
    </row>
    <row r="360" spans="44:44" ht="12.6" customHeight="1">
      <c r="AR360" s="234" t="str">
        <f>Sheet2!A152</f>
        <v>HE 550 M</v>
      </c>
    </row>
    <row r="361" spans="44:44" ht="12.6" customHeight="1">
      <c r="AR361" s="235" t="str">
        <f>Sheet2!A153</f>
        <v>HE 600 AA</v>
      </c>
    </row>
    <row r="362" spans="44:44" ht="12.6" customHeight="1">
      <c r="AR362" s="234" t="str">
        <f>Sheet2!A154</f>
        <v>HE 600 x 137</v>
      </c>
    </row>
    <row r="363" spans="44:44" ht="12.6" customHeight="1">
      <c r="AR363" s="235" t="str">
        <f>Sheet2!A155</f>
        <v>HE 600 x 151</v>
      </c>
    </row>
    <row r="364" spans="44:44" ht="12.6" customHeight="1">
      <c r="AR364" s="234" t="str">
        <f>Sheet2!A156</f>
        <v>HE 600 x 175</v>
      </c>
    </row>
    <row r="365" spans="44:44" ht="12.6" customHeight="1">
      <c r="AR365" s="235" t="str">
        <f>Sheet2!A157</f>
        <v>HE 600 A</v>
      </c>
    </row>
    <row r="366" spans="44:44" ht="12.6" customHeight="1">
      <c r="AR366" s="234" t="str">
        <f>Sheet2!A158</f>
        <v>HE 600 B</v>
      </c>
    </row>
    <row r="367" spans="44:44" ht="12.6" customHeight="1">
      <c r="AR367" s="235" t="str">
        <f>Sheet2!A159</f>
        <v>HE 600 M</v>
      </c>
    </row>
    <row r="368" spans="44:44" ht="12.6" customHeight="1">
      <c r="AR368" s="234" t="str">
        <f>Sheet2!A160</f>
        <v>HE 650 AA</v>
      </c>
    </row>
    <row r="369" spans="44:44" ht="12.6" customHeight="1">
      <c r="AR369" s="235" t="str">
        <f>Sheet2!A161</f>
        <v>HE 650 A</v>
      </c>
    </row>
    <row r="370" spans="44:44" ht="12.6" customHeight="1">
      <c r="AR370" s="234" t="str">
        <f>Sheet2!A162</f>
        <v>HE 650 B</v>
      </c>
    </row>
    <row r="371" spans="44:44" ht="12.6" customHeight="1">
      <c r="AR371" s="235" t="str">
        <f>Sheet2!A163</f>
        <v>HE 650 M</v>
      </c>
    </row>
    <row r="372" spans="44:44" ht="12.6" customHeight="1">
      <c r="AR372" s="234" t="str">
        <f>Sheet2!A164</f>
        <v>HE 700 AA</v>
      </c>
    </row>
    <row r="373" spans="44:44" ht="12.6" customHeight="1">
      <c r="AR373" s="235" t="str">
        <f>Sheet2!A165</f>
        <v>HE 700 x 166</v>
      </c>
    </row>
    <row r="374" spans="44:44" ht="12.6" customHeight="1">
      <c r="AR374" s="234" t="str">
        <f>Sheet2!A166</f>
        <v>HE 700 A</v>
      </c>
    </row>
    <row r="375" spans="44:44" ht="12.6" customHeight="1">
      <c r="AR375" s="235" t="str">
        <f>Sheet2!A167</f>
        <v>HE 700 B</v>
      </c>
    </row>
    <row r="376" spans="44:44" ht="12.6" customHeight="1">
      <c r="AR376" s="234" t="str">
        <f>Sheet2!A168</f>
        <v>HE 700 M</v>
      </c>
    </row>
    <row r="377" spans="44:44" ht="12.6" customHeight="1">
      <c r="AR377" s="235" t="str">
        <f>Sheet2!A169</f>
        <v>HE 800 AA</v>
      </c>
    </row>
    <row r="378" spans="44:44" ht="12.6" customHeight="1">
      <c r="AR378" s="234" t="str">
        <f>Sheet2!A170</f>
        <v>HE 800 A</v>
      </c>
    </row>
    <row r="379" spans="44:44" ht="12.6" customHeight="1">
      <c r="AR379" s="235" t="str">
        <f>Sheet2!A171</f>
        <v>HE 800 B</v>
      </c>
    </row>
    <row r="380" spans="44:44" ht="12.6" customHeight="1">
      <c r="AR380" s="234" t="str">
        <f>Sheet2!A172</f>
        <v>HE 800 M</v>
      </c>
    </row>
    <row r="381" spans="44:44" ht="12.6" customHeight="1">
      <c r="AR381" s="235" t="str">
        <f>Sheet2!A173</f>
        <v>HE 900 AA</v>
      </c>
    </row>
    <row r="382" spans="44:44" ht="12.6" customHeight="1">
      <c r="AR382" s="234" t="str">
        <f>Sheet2!A174</f>
        <v>HE 900 A</v>
      </c>
    </row>
    <row r="383" spans="44:44" ht="12.6" customHeight="1">
      <c r="AR383" s="235" t="str">
        <f>Sheet2!A175</f>
        <v>HE 900 B</v>
      </c>
    </row>
    <row r="384" spans="44:44" ht="12.6" customHeight="1">
      <c r="AR384" s="234" t="str">
        <f>Sheet2!A176</f>
        <v>HE 900 M</v>
      </c>
    </row>
    <row r="385" spans="44:44" ht="12.6" customHeight="1">
      <c r="AR385" s="235" t="str">
        <f>Sheet2!A177</f>
        <v>HE 1000 AA</v>
      </c>
    </row>
    <row r="386" spans="44:44" ht="12.6" customHeight="1">
      <c r="AR386" s="234" t="str">
        <f>Sheet2!A178</f>
        <v>HE 1000 A</v>
      </c>
    </row>
    <row r="387" spans="44:44" ht="12.6" customHeight="1">
      <c r="AR387" s="235" t="str">
        <f>Sheet2!A179</f>
        <v>HE 1000 B</v>
      </c>
    </row>
    <row r="388" spans="44:44" ht="12.6" customHeight="1">
      <c r="AR388" s="234" t="str">
        <f>Sheet2!A180</f>
        <v>HE 1000 M</v>
      </c>
    </row>
    <row r="389" spans="44:44" ht="12.6" customHeight="1">
      <c r="AR389" s="235" t="str">
        <f>Sheet2!A181</f>
        <v>W40x12x359</v>
      </c>
    </row>
    <row r="390" spans="44:44" ht="12.6" customHeight="1">
      <c r="AR390" s="234" t="str">
        <f>Sheet2!A182</f>
        <v>W40x12x327</v>
      </c>
    </row>
    <row r="391" spans="44:44" ht="12.6" customHeight="1">
      <c r="AR391" s="235" t="str">
        <f>Sheet2!A183</f>
        <v>W40x12x294</v>
      </c>
    </row>
    <row r="392" spans="44:44" ht="12.6" customHeight="1">
      <c r="AR392" s="234" t="str">
        <f>Sheet2!A184</f>
        <v>W40x12x264</v>
      </c>
    </row>
    <row r="393" spans="44:44" ht="12.6" customHeight="1">
      <c r="AR393" s="235" t="str">
        <f>Sheet2!A185</f>
        <v>W40x12x235</v>
      </c>
    </row>
    <row r="394" spans="44:44" ht="12.6" customHeight="1">
      <c r="AR394" s="234" t="str">
        <f>Sheet2!A186</f>
        <v>W40x12x211</v>
      </c>
    </row>
    <row r="395" spans="44:44" ht="12.6" customHeight="1">
      <c r="AR395" s="235" t="str">
        <f>Sheet2!A187</f>
        <v>W40x12x183</v>
      </c>
    </row>
    <row r="396" spans="44:44" ht="12.6" customHeight="1">
      <c r="AR396" s="234" t="str">
        <f>Sheet2!A188</f>
        <v>W40x12x167</v>
      </c>
    </row>
    <row r="397" spans="44:44" ht="12.6" customHeight="1">
      <c r="AR397" s="235" t="str">
        <f>Sheet2!A189</f>
        <v>W40x12x149</v>
      </c>
    </row>
    <row r="398" spans="44:44" ht="12.6" customHeight="1">
      <c r="AR398" s="234" t="str">
        <f>Sheet2!A190</f>
        <v>W36x161/2x359</v>
      </c>
    </row>
    <row r="399" spans="44:44" ht="12.6" customHeight="1">
      <c r="AR399" s="235" t="str">
        <f>Sheet2!A191</f>
        <v>W36x161/2x328</v>
      </c>
    </row>
    <row r="400" spans="44:44" ht="12.6" customHeight="1">
      <c r="AR400" s="234" t="str">
        <f>Sheet2!A192</f>
        <v>W36x161/2x300</v>
      </c>
    </row>
    <row r="401" spans="44:44" ht="12.6" customHeight="1">
      <c r="AR401" s="235" t="str">
        <f>Sheet2!A193</f>
        <v>W36x161/2x280</v>
      </c>
    </row>
    <row r="402" spans="44:44" ht="12.6" customHeight="1">
      <c r="AR402" s="234" t="str">
        <f>Sheet2!A194</f>
        <v>W36x161/2x260</v>
      </c>
    </row>
    <row r="403" spans="44:44" ht="12.6" customHeight="1">
      <c r="AR403" s="235" t="str">
        <f>Sheet2!A195</f>
        <v>W36x161/2x245</v>
      </c>
    </row>
    <row r="404" spans="44:44" ht="12.6" customHeight="1">
      <c r="AR404" s="234" t="str">
        <f>Sheet2!A196</f>
        <v>W36x161/2x230</v>
      </c>
    </row>
    <row r="405" spans="44:44" ht="12.6" customHeight="1">
      <c r="AR405" s="235" t="str">
        <f>Sheet2!A197</f>
        <v>W36x12x387</v>
      </c>
    </row>
    <row r="406" spans="44:44" ht="12.6" customHeight="1">
      <c r="AR406" s="234" t="str">
        <f>Sheet2!A198</f>
        <v>W36x12x350</v>
      </c>
    </row>
    <row r="407" spans="44:44" ht="12.6" customHeight="1">
      <c r="AR407" s="235" t="str">
        <f>Sheet2!A199</f>
        <v>W36x12x318</v>
      </c>
    </row>
    <row r="408" spans="44:44" ht="12.6" customHeight="1">
      <c r="AR408" s="234" t="str">
        <f>Sheet2!A200</f>
        <v>W36x12x286</v>
      </c>
    </row>
    <row r="409" spans="44:44" ht="12.6" customHeight="1">
      <c r="AR409" s="235" t="str">
        <f>Sheet2!A201</f>
        <v>W36x12x256</v>
      </c>
    </row>
    <row r="410" spans="44:44" ht="12.6" customHeight="1">
      <c r="AR410" s="234" t="str">
        <f>Sheet2!A202</f>
        <v>W36x12x232</v>
      </c>
    </row>
    <row r="411" spans="44:44" ht="12.6" customHeight="1">
      <c r="AR411" s="235" t="str">
        <f>Sheet2!A203</f>
        <v>W36x12x210</v>
      </c>
    </row>
    <row r="412" spans="44:44" ht="12.6" customHeight="1">
      <c r="AR412" s="234" t="str">
        <f>Sheet2!A204</f>
        <v>W36x12x194</v>
      </c>
    </row>
    <row r="413" spans="44:44" ht="12.6" customHeight="1">
      <c r="AR413" s="235" t="str">
        <f>Sheet2!A205</f>
        <v>W36x12x182</v>
      </c>
    </row>
    <row r="414" spans="44:44" ht="12.6" customHeight="1">
      <c r="AR414" s="234" t="str">
        <f>Sheet2!A206</f>
        <v>W36x12x170</v>
      </c>
    </row>
    <row r="415" spans="44:44" ht="12.6" customHeight="1">
      <c r="AR415" s="235" t="str">
        <f>Sheet2!A207</f>
        <v>W36x12x160</v>
      </c>
    </row>
    <row r="416" spans="44:44" ht="12.6" customHeight="1">
      <c r="AR416" s="234" t="str">
        <f>Sheet2!A208</f>
        <v>W36x12x150</v>
      </c>
    </row>
    <row r="417" spans="44:44" ht="12.6" customHeight="1">
      <c r="AR417" s="235" t="str">
        <f>Sheet2!A209</f>
        <v>W36x12x135</v>
      </c>
    </row>
    <row r="418" spans="44:44" ht="12.6" customHeight="1">
      <c r="AR418" s="234" t="str">
        <f>Sheet2!A210</f>
        <v>W33x153/4x468</v>
      </c>
    </row>
    <row r="419" spans="44:44" ht="12.6" customHeight="1">
      <c r="AR419" s="235" t="str">
        <f>Sheet2!A211</f>
        <v>W33x153/4x424</v>
      </c>
    </row>
    <row r="420" spans="44:44" ht="12.6" customHeight="1">
      <c r="AR420" s="234" t="str">
        <f>Sheet2!A212</f>
        <v>W33x153/4x387</v>
      </c>
    </row>
    <row r="421" spans="44:44" ht="12.6" customHeight="1">
      <c r="AR421" s="235" t="str">
        <f>Sheet2!A213</f>
        <v>W33x153/4x354</v>
      </c>
    </row>
    <row r="422" spans="44:44" ht="12.6" customHeight="1">
      <c r="AR422" s="234" t="str">
        <f>Sheet2!A214</f>
        <v>W33x153/4x318</v>
      </c>
    </row>
    <row r="423" spans="44:44" ht="12.6" customHeight="1">
      <c r="AR423" s="235" t="str">
        <f>Sheet2!A215</f>
        <v>W33x153/4x291</v>
      </c>
    </row>
    <row r="424" spans="44:44" ht="12.6" customHeight="1">
      <c r="AR424" s="234" t="str">
        <f>Sheet2!A216</f>
        <v>W33x153/4x263</v>
      </c>
    </row>
    <row r="425" spans="44:44" ht="12.6" customHeight="1">
      <c r="AR425" s="235" t="str">
        <f>Sheet2!A217</f>
        <v>W33x153/4x241</v>
      </c>
    </row>
    <row r="426" spans="44:44" ht="12.6" customHeight="1">
      <c r="AR426" s="234" t="str">
        <f>Sheet2!A218</f>
        <v>W33x153/4x221</v>
      </c>
    </row>
    <row r="427" spans="44:44" ht="12.6" customHeight="1">
      <c r="AR427" s="235" t="str">
        <f>Sheet2!A219</f>
        <v>W33x153/4x201</v>
      </c>
    </row>
    <row r="428" spans="44:44" ht="12.6" customHeight="1">
      <c r="AR428" s="234" t="str">
        <f>Sheet2!A220</f>
        <v>W33x111/2x361</v>
      </c>
    </row>
    <row r="429" spans="44:44" ht="12.6" customHeight="1">
      <c r="AR429" s="235" t="str">
        <f>Sheet2!A221</f>
        <v>W33x111/2x332</v>
      </c>
    </row>
    <row r="430" spans="44:44" ht="12.6" customHeight="1">
      <c r="AR430" s="234" t="str">
        <f>Sheet2!A222</f>
        <v>W33x111/2x301</v>
      </c>
    </row>
    <row r="431" spans="44:44" ht="12.6" customHeight="1">
      <c r="AR431" s="235" t="str">
        <f>Sheet2!A223</f>
        <v>W33x111/2x271</v>
      </c>
    </row>
    <row r="432" spans="44:44" ht="12.6" customHeight="1">
      <c r="AR432" s="234" t="str">
        <f>Sheet2!A224</f>
        <v>W33x111/2x243</v>
      </c>
    </row>
    <row r="433" spans="44:44" ht="12.6" customHeight="1">
      <c r="AR433" s="235" t="str">
        <f>Sheet2!A225</f>
        <v>W33x111/2x219</v>
      </c>
    </row>
    <row r="434" spans="44:44" ht="12.6" customHeight="1">
      <c r="AR434" s="234" t="str">
        <f>Sheet2!A226</f>
        <v>W33x111/2x204</v>
      </c>
    </row>
    <row r="435" spans="44:44" ht="12.6" customHeight="1">
      <c r="AR435" s="235" t="str">
        <f>Sheet2!A227</f>
        <v>W33x111/2x187</v>
      </c>
    </row>
    <row r="436" spans="44:44" ht="12.6" customHeight="1">
      <c r="AR436" s="234" t="str">
        <f>Sheet2!A228</f>
        <v>W33x111/2x169</v>
      </c>
    </row>
    <row r="437" spans="44:44" ht="12.6" customHeight="1">
      <c r="AR437" s="235" t="str">
        <f>Sheet2!A229</f>
        <v>W33x111/2x152</v>
      </c>
    </row>
    <row r="438" spans="44:44" ht="12.6" customHeight="1">
      <c r="AR438" s="234" t="str">
        <f>Sheet2!A230</f>
        <v>W33x111/2x141</v>
      </c>
    </row>
    <row r="439" spans="44:44" ht="12.6" customHeight="1">
      <c r="AR439" s="235" t="str">
        <f>Sheet2!A231</f>
        <v>W33x111/2x130</v>
      </c>
    </row>
    <row r="440" spans="44:44" ht="12.6" customHeight="1">
      <c r="AR440" s="234" t="str">
        <f>Sheet2!A232</f>
        <v>W33x111/2x118</v>
      </c>
    </row>
    <row r="441" spans="44:44" ht="12.6" customHeight="1">
      <c r="AR441" s="235" t="str">
        <f>Sheet2!A233</f>
        <v>W30x15x357</v>
      </c>
    </row>
    <row r="442" spans="44:44" ht="12.6" customHeight="1">
      <c r="AR442" s="234" t="str">
        <f>Sheet2!A234</f>
        <v>W30x15x326</v>
      </c>
    </row>
    <row r="443" spans="44:44" ht="12.6" customHeight="1">
      <c r="AR443" s="235" t="str">
        <f>Sheet2!A235</f>
        <v>W30x15x292</v>
      </c>
    </row>
    <row r="444" spans="44:44" ht="12.6" customHeight="1">
      <c r="AR444" s="234" t="str">
        <f>Sheet2!A236</f>
        <v>W30x15x261</v>
      </c>
    </row>
    <row r="445" spans="44:44" ht="12.6" customHeight="1">
      <c r="AR445" s="235" t="str">
        <f>Sheet2!A237</f>
        <v>W30x15x235</v>
      </c>
    </row>
    <row r="446" spans="44:44" ht="12.6" customHeight="1">
      <c r="AR446" s="234" t="str">
        <f>Sheet2!A238</f>
        <v>W30x15x211</v>
      </c>
    </row>
    <row r="447" spans="44:44" ht="12.6" customHeight="1">
      <c r="AR447" s="235" t="str">
        <f>Sheet2!A239</f>
        <v>W30x15x191</v>
      </c>
    </row>
    <row r="448" spans="44:44" ht="12.6" customHeight="1">
      <c r="AR448" s="234" t="str">
        <f>Sheet2!A240</f>
        <v>W30x15x173</v>
      </c>
    </row>
    <row r="449" spans="44:44" ht="12.6" customHeight="1">
      <c r="AR449" s="235" t="str">
        <f>Sheet2!A241</f>
        <v>W30x101/2x295</v>
      </c>
    </row>
    <row r="450" spans="44:44" ht="12.6" customHeight="1">
      <c r="AR450" s="234" t="str">
        <f>Sheet2!A242</f>
        <v>W30x101/2x269</v>
      </c>
    </row>
    <row r="451" spans="44:44" ht="12.6" customHeight="1">
      <c r="AR451" s="235" t="str">
        <f>Sheet2!A243</f>
        <v>W30x101/2x246</v>
      </c>
    </row>
    <row r="452" spans="44:44" ht="12.6" customHeight="1">
      <c r="AR452" s="234" t="str">
        <f>Sheet2!A244</f>
        <v>W30x101/2x226</v>
      </c>
    </row>
    <row r="453" spans="44:44" ht="12.6" customHeight="1">
      <c r="AR453" s="235" t="str">
        <f>Sheet2!A245</f>
        <v>W30x101/2x207</v>
      </c>
    </row>
    <row r="454" spans="44:44" ht="12.6" customHeight="1">
      <c r="AR454" s="234" t="str">
        <f>Sheet2!A246</f>
        <v>W30x101/2x185</v>
      </c>
    </row>
    <row r="455" spans="44:44" ht="12.6" customHeight="1">
      <c r="AR455" s="235" t="str">
        <f>Sheet2!A247</f>
        <v>W30x101/2x165</v>
      </c>
    </row>
    <row r="456" spans="44:44" ht="12.6" customHeight="1">
      <c r="AR456" s="234" t="str">
        <f>Sheet2!A248</f>
        <v>W30x101/2x148</v>
      </c>
    </row>
    <row r="457" spans="44:44" ht="12.6" customHeight="1">
      <c r="AR457" s="235" t="str">
        <f>Sheet2!A249</f>
        <v>W30x101/2x132</v>
      </c>
    </row>
    <row r="458" spans="44:44" ht="12.6" customHeight="1">
      <c r="AR458" s="234" t="str">
        <f>Sheet2!A250</f>
        <v>W30x101/2x124</v>
      </c>
    </row>
    <row r="459" spans="44:44" ht="12.6" customHeight="1">
      <c r="AR459" s="235" t="str">
        <f>Sheet2!A251</f>
        <v>W30x101/2x116</v>
      </c>
    </row>
    <row r="460" spans="44:44" ht="12.6" customHeight="1">
      <c r="AR460" s="234" t="str">
        <f>Sheet2!A252</f>
        <v>W30x101/2x108</v>
      </c>
    </row>
    <row r="461" spans="44:44" ht="12.6" customHeight="1">
      <c r="AR461" s="235" t="str">
        <f>Sheet2!A253</f>
        <v>W30x101/2x99</v>
      </c>
    </row>
    <row r="462" spans="44:44" ht="12.6" customHeight="1">
      <c r="AR462" s="234" t="str">
        <f>Sheet2!A254</f>
        <v>W30x101/2x90</v>
      </c>
    </row>
    <row r="463" spans="44:44" ht="12.6" customHeight="1">
      <c r="AR463" s="235" t="str">
        <f>Sheet2!A255</f>
        <v>W27x14x336</v>
      </c>
    </row>
    <row r="464" spans="44:44" ht="12.6" customHeight="1">
      <c r="AR464" s="234" t="str">
        <f>Sheet2!A256</f>
        <v>W27x14x307</v>
      </c>
    </row>
    <row r="465" spans="44:44" ht="12.6" customHeight="1">
      <c r="AR465" s="235" t="str">
        <f>Sheet2!A257</f>
        <v>W27x14x281</v>
      </c>
    </row>
    <row r="466" spans="44:44" ht="12.6" customHeight="1">
      <c r="AR466" s="234" t="str">
        <f>Sheet2!A258</f>
        <v>W27x14x258</v>
      </c>
    </row>
    <row r="467" spans="44:44" ht="12.6" customHeight="1">
      <c r="AR467" s="235" t="str">
        <f>Sheet2!A259</f>
        <v>W27x14x235</v>
      </c>
    </row>
    <row r="468" spans="44:44" ht="12.6" customHeight="1">
      <c r="AR468" s="234" t="str">
        <f>Sheet2!A260</f>
        <v>W27x14x217</v>
      </c>
    </row>
    <row r="469" spans="44:44" ht="12.6" customHeight="1">
      <c r="AR469" s="235" t="str">
        <f>Sheet2!A261</f>
        <v>W27x14x194</v>
      </c>
    </row>
    <row r="470" spans="44:44" ht="12.6" customHeight="1">
      <c r="AR470" s="234" t="str">
        <f>Sheet2!A262</f>
        <v>W27x14x178</v>
      </c>
    </row>
    <row r="471" spans="44:44" ht="12.6" customHeight="1">
      <c r="AR471" s="235" t="str">
        <f>Sheet2!A263</f>
        <v>W27x14x161</v>
      </c>
    </row>
    <row r="472" spans="44:44" ht="12.6" customHeight="1">
      <c r="AR472" s="234" t="str">
        <f>Sheet2!A264</f>
        <v>W27x14x146</v>
      </c>
    </row>
    <row r="473" spans="44:44" ht="12.6" customHeight="1">
      <c r="AR473" s="235" t="str">
        <f>Sheet2!A265</f>
        <v>W27x10x302</v>
      </c>
    </row>
    <row r="474" spans="44:44" ht="12.6" customHeight="1">
      <c r="AR474" s="234" t="str">
        <f>Sheet2!A266</f>
        <v>W27x10x271</v>
      </c>
    </row>
    <row r="475" spans="44:44" ht="12.6" customHeight="1">
      <c r="AR475" s="235" t="str">
        <f>Sheet2!A267</f>
        <v>W27x10x247</v>
      </c>
    </row>
    <row r="476" spans="44:44" ht="12.6" customHeight="1">
      <c r="AR476" s="234" t="str">
        <f>Sheet2!A268</f>
        <v>W27x10x221</v>
      </c>
    </row>
    <row r="477" spans="44:44" ht="12.6" customHeight="1">
      <c r="AR477" s="235" t="str">
        <f>Sheet2!A269</f>
        <v>W27x10x201</v>
      </c>
    </row>
    <row r="478" spans="44:44" ht="12.6" customHeight="1">
      <c r="AR478" s="234" t="str">
        <f>Sheet2!A270</f>
        <v>W27x10x182</v>
      </c>
    </row>
    <row r="479" spans="44:44" ht="12.6" customHeight="1">
      <c r="AR479" s="235" t="str">
        <f>Sheet2!A271</f>
        <v>W27x10x159</v>
      </c>
    </row>
    <row r="480" spans="44:44" ht="12.6" customHeight="1">
      <c r="AR480" s="234" t="str">
        <f>Sheet2!A272</f>
        <v>W27x10x143</v>
      </c>
    </row>
    <row r="481" spans="44:44" ht="12.6" customHeight="1">
      <c r="AR481" s="235" t="str">
        <f>Sheet2!A273</f>
        <v>W27x10x129</v>
      </c>
    </row>
    <row r="482" spans="44:44" ht="12.6" customHeight="1">
      <c r="AR482" s="234" t="str">
        <f>Sheet2!A274</f>
        <v>W27x10x114</v>
      </c>
    </row>
    <row r="483" spans="44:44" ht="12.6" customHeight="1">
      <c r="AR483" s="235" t="str">
        <f>Sheet2!A275</f>
        <v>W27x10x102</v>
      </c>
    </row>
    <row r="484" spans="44:44" ht="12.6" customHeight="1">
      <c r="AR484" s="234" t="str">
        <f>Sheet2!A276</f>
        <v>W27x10x94</v>
      </c>
    </row>
    <row r="485" spans="44:44" ht="12.6" customHeight="1">
      <c r="AR485" s="235" t="str">
        <f>Sheet2!A277</f>
        <v>W27x10x84</v>
      </c>
    </row>
    <row r="486" spans="44:44" ht="12.6" customHeight="1">
      <c r="AR486" s="234" t="str">
        <f>Sheet2!A278</f>
        <v>W24x123/4x306</v>
      </c>
    </row>
    <row r="487" spans="44:44" ht="12.6" customHeight="1">
      <c r="AR487" s="235" t="str">
        <f>Sheet2!A279</f>
        <v>W24x123/4x279</v>
      </c>
    </row>
    <row r="488" spans="44:44" ht="12.6" customHeight="1">
      <c r="AR488" s="234" t="str">
        <f>Sheet2!A280</f>
        <v>W24x123/4x250</v>
      </c>
    </row>
    <row r="489" spans="44:44" ht="12.6" customHeight="1">
      <c r="AR489" s="235" t="str">
        <f>Sheet2!A281</f>
        <v>W24x123/4x229</v>
      </c>
    </row>
    <row r="490" spans="44:44" ht="12.6" customHeight="1">
      <c r="AR490" s="234" t="str">
        <f>Sheet2!A282</f>
        <v>W24x123/4x207</v>
      </c>
    </row>
    <row r="491" spans="44:44" ht="12.6" customHeight="1">
      <c r="AR491" s="235" t="str">
        <f>Sheet2!A283</f>
        <v>W24x123/4x192</v>
      </c>
    </row>
    <row r="492" spans="44:44" ht="12.6" customHeight="1">
      <c r="AR492" s="234" t="str">
        <f>Sheet2!A284</f>
        <v>W24x123/4x176</v>
      </c>
    </row>
    <row r="493" spans="44:44" ht="12.6" customHeight="1">
      <c r="AR493" s="235" t="str">
        <f>Sheet2!A285</f>
        <v>W24x123/4x162</v>
      </c>
    </row>
    <row r="494" spans="44:44" ht="12.6" customHeight="1">
      <c r="AR494" s="234" t="str">
        <f>Sheet2!A286</f>
        <v>W24x123/4x146</v>
      </c>
    </row>
    <row r="495" spans="44:44" ht="12.6" customHeight="1">
      <c r="AR495" s="235" t="str">
        <f>Sheet2!A287</f>
        <v>W24x123/4x131</v>
      </c>
    </row>
    <row r="496" spans="44:44" ht="12.6" customHeight="1">
      <c r="AR496" s="234" t="str">
        <f>Sheet2!A288</f>
        <v>W24x123/4x117</v>
      </c>
    </row>
    <row r="497" spans="44:44" ht="12.6" customHeight="1">
      <c r="AR497" s="235" t="str">
        <f>Sheet2!A289</f>
        <v>W24x123/4x104</v>
      </c>
    </row>
    <row r="498" spans="44:44" ht="12.6" customHeight="1">
      <c r="AR498" s="234" t="str">
        <f>Sheet2!A290</f>
        <v>W24x9x239</v>
      </c>
    </row>
    <row r="499" spans="44:44" ht="12.6" customHeight="1">
      <c r="AR499" s="235" t="str">
        <f>Sheet2!A291</f>
        <v>W24x9x218</v>
      </c>
    </row>
    <row r="500" spans="44:44" ht="12.6" customHeight="1">
      <c r="AR500" s="234" t="str">
        <f>Sheet2!A292</f>
        <v>W24x9x198</v>
      </c>
    </row>
    <row r="501" spans="44:44" ht="12.6" customHeight="1">
      <c r="AR501" s="235" t="str">
        <f>Sheet2!A293</f>
        <v>W24x9x181</v>
      </c>
    </row>
    <row r="502" spans="44:44" ht="12.6" customHeight="1">
      <c r="AR502" s="234" t="str">
        <f>Sheet2!A294</f>
        <v>W24x9x163</v>
      </c>
    </row>
    <row r="503" spans="44:44" ht="12.6" customHeight="1">
      <c r="AR503" s="235" t="str">
        <f>Sheet2!A295</f>
        <v>W24x9x146</v>
      </c>
    </row>
    <row r="504" spans="44:44" ht="12.6" customHeight="1">
      <c r="AR504" s="234" t="str">
        <f>Sheet2!A296</f>
        <v>W24x9x128</v>
      </c>
    </row>
    <row r="505" spans="44:44" ht="12.6" customHeight="1">
      <c r="AR505" s="235" t="str">
        <f>Sheet2!A297</f>
        <v>W24x9x114</v>
      </c>
    </row>
    <row r="506" spans="44:44" ht="12.6" customHeight="1">
      <c r="AR506" s="234" t="str">
        <f>Sheet2!A298</f>
        <v>W24x9x103</v>
      </c>
    </row>
    <row r="507" spans="44:44" ht="12.6" customHeight="1">
      <c r="AR507" s="235" t="str">
        <f>Sheet2!A299</f>
        <v>W24x9x94</v>
      </c>
    </row>
    <row r="508" spans="44:44" ht="12.6" customHeight="1">
      <c r="AR508" s="234" t="str">
        <f>Sheet2!A300</f>
        <v>W24x9x84</v>
      </c>
    </row>
    <row r="509" spans="44:44" ht="12.6" customHeight="1">
      <c r="AR509" s="235" t="str">
        <f>Sheet2!A301</f>
        <v>W24x9x76</v>
      </c>
    </row>
    <row r="510" spans="44:44" ht="12.6" customHeight="1">
      <c r="AR510" s="234" t="str">
        <f>Sheet2!A302</f>
        <v>W24x9x68</v>
      </c>
    </row>
    <row r="511" spans="44:44" ht="12.6" customHeight="1">
      <c r="AR511" s="235" t="str">
        <f>Sheet2!A303</f>
        <v>W24x7x62</v>
      </c>
    </row>
    <row r="512" spans="44:44" ht="12.6" customHeight="1">
      <c r="AR512" s="234" t="str">
        <f>Sheet2!A304</f>
        <v>W24x7x55</v>
      </c>
    </row>
    <row r="513" spans="44:44" ht="12.6" customHeight="1">
      <c r="AR513" s="235" t="str">
        <f>Sheet2!A305</f>
        <v>W21x121/4x275</v>
      </c>
    </row>
    <row r="514" spans="44:44" ht="12.6" customHeight="1">
      <c r="AR514" s="234" t="str">
        <f>Sheet2!A306</f>
        <v>W21x121/4x248</v>
      </c>
    </row>
    <row r="515" spans="44:44" ht="12.6" customHeight="1">
      <c r="AR515" s="235" t="str">
        <f>Sheet2!A307</f>
        <v>W21x121/4x223</v>
      </c>
    </row>
    <row r="516" spans="44:44" ht="12.6" customHeight="1">
      <c r="AR516" s="234" t="str">
        <f>Sheet2!A308</f>
        <v>W21x121/4x201</v>
      </c>
    </row>
    <row r="517" spans="44:44" ht="12.6" customHeight="1">
      <c r="AR517" s="235" t="str">
        <f>Sheet2!A309</f>
        <v>W21x121/4x182</v>
      </c>
    </row>
    <row r="518" spans="44:44" ht="12.6" customHeight="1">
      <c r="AR518" s="234" t="str">
        <f>Sheet2!A310</f>
        <v>W21x121/4x166</v>
      </c>
    </row>
    <row r="519" spans="44:44" ht="12.6" customHeight="1">
      <c r="AR519" s="235" t="str">
        <f>Sheet2!A311</f>
        <v>W21x121/4x147</v>
      </c>
    </row>
    <row r="520" spans="44:44" ht="12.6" customHeight="1">
      <c r="AR520" s="234" t="str">
        <f>Sheet2!A312</f>
        <v>W21x121/4x132</v>
      </c>
    </row>
    <row r="521" spans="44:44" ht="12.6" customHeight="1">
      <c r="AR521" s="235" t="str">
        <f>Sheet2!A313</f>
        <v>W21x121/4x122</v>
      </c>
    </row>
    <row r="522" spans="44:44" ht="12.6" customHeight="1">
      <c r="AR522" s="234" t="str">
        <f>Sheet2!A314</f>
        <v>W21x121/4x111</v>
      </c>
    </row>
    <row r="523" spans="44:44" ht="12.6" customHeight="1">
      <c r="AR523" s="235" t="str">
        <f>Sheet2!A315</f>
        <v>W21x121/4x101</v>
      </c>
    </row>
    <row r="524" spans="44:44" ht="12.6" customHeight="1">
      <c r="AR524" s="234" t="str">
        <f>Sheet2!A316</f>
        <v>W21x81/4x93</v>
      </c>
    </row>
    <row r="525" spans="44:44" ht="12.6" customHeight="1">
      <c r="AR525" s="235" t="str">
        <f>Sheet2!A317</f>
        <v>W21x81/4x83</v>
      </c>
    </row>
    <row r="526" spans="44:44" ht="12.6" customHeight="1">
      <c r="AR526" s="234" t="str">
        <f>Sheet2!A318</f>
        <v>W21x81/4x73</v>
      </c>
    </row>
    <row r="527" spans="44:44" ht="12.6" customHeight="1">
      <c r="AR527" s="235" t="str">
        <f>Sheet2!A319</f>
        <v>W21x81/4x68</v>
      </c>
    </row>
    <row r="528" spans="44:44" ht="12.6" customHeight="1">
      <c r="AR528" s="234" t="str">
        <f>Sheet2!A320</f>
        <v>W21x81/4x2</v>
      </c>
    </row>
    <row r="529" spans="44:44" ht="12.6" customHeight="1">
      <c r="AR529" s="235" t="str">
        <f>Sheet2!A321</f>
        <v>W21x61/2x57</v>
      </c>
    </row>
    <row r="530" spans="44:44" ht="12.6" customHeight="1">
      <c r="AR530" s="234" t="str">
        <f>Sheet2!A322</f>
        <v>W21x61/2x50</v>
      </c>
    </row>
    <row r="531" spans="44:44" ht="12.6" customHeight="1">
      <c r="AR531" s="235" t="str">
        <f>Sheet2!A323</f>
        <v>W21x61/2x44</v>
      </c>
    </row>
    <row r="532" spans="44:44" ht="12.6" customHeight="1">
      <c r="AR532" s="234" t="str">
        <f>Sheet2!A324</f>
        <v>W18x71/2x71</v>
      </c>
    </row>
    <row r="533" spans="44:44" ht="12.6" customHeight="1">
      <c r="AR533" s="235" t="str">
        <f>Sheet2!A325</f>
        <v>W18x71/2x65</v>
      </c>
    </row>
    <row r="534" spans="44:44" ht="12.6" customHeight="1">
      <c r="AR534" s="234" t="str">
        <f>Sheet2!A326</f>
        <v>W18x71/2x60</v>
      </c>
    </row>
    <row r="535" spans="44:44" ht="12.6" customHeight="1">
      <c r="AR535" s="235" t="str">
        <f>Sheet2!A327</f>
        <v>W18x71/2x55</v>
      </c>
    </row>
    <row r="536" spans="44:44" ht="12.6" customHeight="1">
      <c r="AR536" s="234" t="str">
        <f>Sheet2!A328</f>
        <v>W18x71/2x50</v>
      </c>
    </row>
    <row r="537" spans="44:44">
      <c r="AR537" s="235" t="str">
        <f>Sheet2!A329</f>
        <v>W18x6x46</v>
      </c>
    </row>
    <row r="538" spans="44:44">
      <c r="AR538" s="234" t="str">
        <f>Sheet2!A330</f>
        <v>W18x6x40</v>
      </c>
    </row>
    <row r="539" spans="44:44">
      <c r="AR539" s="235" t="str">
        <f>Sheet2!A331</f>
        <v>W18x6x35</v>
      </c>
    </row>
    <row r="540" spans="44:44">
      <c r="AR540" s="234" t="str">
        <f>Sheet2!A332</f>
        <v>W16x7x57</v>
      </c>
    </row>
    <row r="541" spans="44:44">
      <c r="AR541" s="235" t="str">
        <f>Sheet2!A333</f>
        <v>W16x7x50</v>
      </c>
    </row>
    <row r="542" spans="44:44">
      <c r="AR542" s="234" t="str">
        <f>Sheet2!A334</f>
        <v>W16x7x45</v>
      </c>
    </row>
    <row r="543" spans="44:44">
      <c r="AR543" s="235" t="str">
        <f>Sheet2!A335</f>
        <v>W16x7x40</v>
      </c>
    </row>
    <row r="544" spans="44:44">
      <c r="AR544" s="234" t="str">
        <f>Sheet2!A336</f>
        <v>W16x7x36</v>
      </c>
    </row>
    <row r="545" spans="44:44">
      <c r="AR545" s="235" t="str">
        <f>Sheet2!A337</f>
        <v>W16x51/2x31</v>
      </c>
    </row>
    <row r="546" spans="44:44">
      <c r="AR546" s="234" t="str">
        <f>Sheet2!A338</f>
        <v>W16x51/2x26</v>
      </c>
    </row>
    <row r="547" spans="44:44">
      <c r="AR547" s="235" t="str">
        <f>Sheet2!A339</f>
        <v>W14x16x730</v>
      </c>
    </row>
    <row r="548" spans="44:44">
      <c r="AR548" s="234" t="str">
        <f>Sheet2!A340</f>
        <v>W14x16x665</v>
      </c>
    </row>
    <row r="549" spans="44:44">
      <c r="AR549" s="235" t="str">
        <f>Sheet2!A341</f>
        <v>W14x16x605</v>
      </c>
    </row>
    <row r="550" spans="44:44">
      <c r="AR550" s="234" t="str">
        <f>Sheet2!A342</f>
        <v>W14x16x550</v>
      </c>
    </row>
    <row r="551" spans="44:44">
      <c r="AR551" s="235" t="str">
        <f>Sheet2!A343</f>
        <v>W14x16x500</v>
      </c>
    </row>
    <row r="552" spans="44:44">
      <c r="AR552" s="234" t="str">
        <f>Sheet2!A344</f>
        <v>W14x16x455</v>
      </c>
    </row>
    <row r="553" spans="44:44">
      <c r="AR553" s="235" t="str">
        <f>Sheet2!A345</f>
        <v>W14x16x426</v>
      </c>
    </row>
    <row r="554" spans="44:44">
      <c r="AR554" s="234" t="str">
        <f>Sheet2!A346</f>
        <v>W14x16x398</v>
      </c>
    </row>
    <row r="555" spans="44:44">
      <c r="AR555" s="235" t="str">
        <f>Sheet2!A347</f>
        <v>W14x16x370</v>
      </c>
    </row>
    <row r="556" spans="44:44">
      <c r="AR556" s="234" t="str">
        <f>Sheet2!A348</f>
        <v>W14x16x342</v>
      </c>
    </row>
    <row r="557" spans="44:44">
      <c r="AR557" s="235" t="str">
        <f>Sheet2!A349</f>
        <v>W14x16x311</v>
      </c>
    </row>
    <row r="558" spans="44:44">
      <c r="AR558" s="234" t="str">
        <f>Sheet2!A350</f>
        <v>W14x16x283</v>
      </c>
    </row>
    <row r="559" spans="44:44">
      <c r="AR559" s="235" t="str">
        <f>Sheet2!A351</f>
        <v>W14x16x257</v>
      </c>
    </row>
    <row r="560" spans="44:44">
      <c r="AR560" s="234" t="str">
        <f>Sheet2!A352</f>
        <v>W14x16x233</v>
      </c>
    </row>
    <row r="561" spans="44:44">
      <c r="AR561" s="235" t="str">
        <f>Sheet2!A353</f>
        <v>W14x16x219</v>
      </c>
    </row>
    <row r="562" spans="44:44">
      <c r="AR562" s="234" t="str">
        <f>Sheet2!A354</f>
        <v>W14x16x211</v>
      </c>
    </row>
    <row r="563" spans="44:44">
      <c r="AR563" s="235" t="str">
        <f>Sheet2!A355</f>
        <v>W14x16x193</v>
      </c>
    </row>
    <row r="564" spans="44:44">
      <c r="AR564" s="234" t="str">
        <f>Sheet2!A356</f>
        <v>W14x16x176</v>
      </c>
    </row>
    <row r="565" spans="44:44">
      <c r="AR565" s="235" t="str">
        <f>Sheet2!A357</f>
        <v>W14x16x159</v>
      </c>
    </row>
    <row r="566" spans="44:44">
      <c r="AR566" s="234" t="str">
        <f>Sheet2!A358</f>
        <v>W14x16x145</v>
      </c>
    </row>
    <row r="567" spans="44:44">
      <c r="AR567" s="235" t="str">
        <f>Sheet2!A359</f>
        <v>W14x141/2x132</v>
      </c>
    </row>
    <row r="568" spans="44:44">
      <c r="AR568" s="234" t="str">
        <f>Sheet2!A360</f>
        <v>W14x141/2x120</v>
      </c>
    </row>
    <row r="569" spans="44:44">
      <c r="AR569" s="235" t="str">
        <f>Sheet2!A361</f>
        <v>W14x141/2x109</v>
      </c>
    </row>
    <row r="570" spans="44:44">
      <c r="AR570" s="234" t="str">
        <f>Sheet2!A362</f>
        <v>W14x141/2x99</v>
      </c>
    </row>
    <row r="571" spans="44:44">
      <c r="AR571" s="235" t="str">
        <f>Sheet2!A363</f>
        <v>W14x141/2x90</v>
      </c>
    </row>
    <row r="572" spans="44:44">
      <c r="AR572" s="234" t="str">
        <f>Sheet2!A364</f>
        <v>W14x63/4x38</v>
      </c>
    </row>
    <row r="573" spans="44:44">
      <c r="AR573" s="235" t="str">
        <f>Sheet2!A365</f>
        <v>W14x63/4x34</v>
      </c>
    </row>
    <row r="574" spans="44:44">
      <c r="AR574" s="234" t="str">
        <f>Sheet2!A366</f>
        <v>W14x63/4x30</v>
      </c>
    </row>
    <row r="575" spans="44:44">
      <c r="AR575" s="235" t="str">
        <f>Sheet2!A367</f>
        <v>W14x5x26</v>
      </c>
    </row>
    <row r="576" spans="44:44">
      <c r="AR576" s="234" t="str">
        <f>Sheet2!A368</f>
        <v>W14x5x22</v>
      </c>
    </row>
    <row r="577" spans="44:44">
      <c r="AR577" s="235" t="str">
        <f>Sheet2!A369</f>
        <v>W12x12x336</v>
      </c>
    </row>
    <row r="578" spans="44:44">
      <c r="AR578" s="234" t="str">
        <f>Sheet2!A370</f>
        <v>W12x12x305</v>
      </c>
    </row>
    <row r="579" spans="44:44">
      <c r="AR579" s="235" t="str">
        <f>Sheet2!A371</f>
        <v>W12x12x279</v>
      </c>
    </row>
    <row r="580" spans="44:44">
      <c r="AR580" s="234" t="str">
        <f>Sheet2!A372</f>
        <v>W12x12x252</v>
      </c>
    </row>
    <row r="581" spans="44:44">
      <c r="AR581" s="235" t="str">
        <f>Sheet2!A373</f>
        <v>W12x12x230</v>
      </c>
    </row>
    <row r="582" spans="44:44">
      <c r="AR582" s="234" t="str">
        <f>Sheet2!A374</f>
        <v>W12x12x210</v>
      </c>
    </row>
    <row r="583" spans="44:44">
      <c r="AR583" s="235" t="str">
        <f>Sheet2!A375</f>
        <v>W12x12x190</v>
      </c>
    </row>
    <row r="584" spans="44:44">
      <c r="AR584" s="234" t="str">
        <f>Sheet2!A376</f>
        <v>W12x12x170</v>
      </c>
    </row>
    <row r="585" spans="44:44">
      <c r="AR585" s="235" t="str">
        <f>Sheet2!A377</f>
        <v>W12x12x152</v>
      </c>
    </row>
    <row r="586" spans="44:44">
      <c r="AR586" s="234" t="str">
        <f>Sheet2!A378</f>
        <v>W12x12x136</v>
      </c>
    </row>
    <row r="587" spans="44:44">
      <c r="AR587" s="235" t="str">
        <f>Sheet2!A379</f>
        <v>W12x12x120</v>
      </c>
    </row>
    <row r="588" spans="44:44">
      <c r="AR588" s="234" t="str">
        <f>Sheet2!A380</f>
        <v>W12x12x106</v>
      </c>
    </row>
    <row r="589" spans="44:44">
      <c r="AR589" s="235" t="str">
        <f>Sheet2!A381</f>
        <v>W12x12x96</v>
      </c>
    </row>
    <row r="590" spans="44:44">
      <c r="AR590" s="234" t="str">
        <f>Sheet2!A382</f>
        <v>W12x12x87</v>
      </c>
    </row>
    <row r="591" spans="44:44">
      <c r="AR591" s="235" t="str">
        <f>Sheet2!A383</f>
        <v>W12x12x79</v>
      </c>
    </row>
    <row r="592" spans="44:44">
      <c r="AR592" s="234" t="str">
        <f>Sheet2!A384</f>
        <v>W12x12x72</v>
      </c>
    </row>
    <row r="593" spans="44:44">
      <c r="AR593" s="235" t="str">
        <f>Sheet2!A385</f>
        <v>W12x12x65</v>
      </c>
    </row>
    <row r="594" spans="44:44">
      <c r="AR594" s="234" t="str">
        <f>Sheet2!A386</f>
        <v>W12x4x22</v>
      </c>
    </row>
    <row r="595" spans="44:44">
      <c r="AR595" s="235" t="str">
        <f>Sheet2!A387</f>
        <v>W12x4x19</v>
      </c>
    </row>
    <row r="596" spans="44:44">
      <c r="AR596" s="234" t="str">
        <f>Sheet2!A388</f>
        <v>W12x4x16</v>
      </c>
    </row>
    <row r="597" spans="44:44">
      <c r="AR597" s="235" t="str">
        <f>Sheet2!A389</f>
        <v>W10x10x112</v>
      </c>
    </row>
    <row r="598" spans="44:44">
      <c r="AR598" s="234" t="str">
        <f>Sheet2!A390</f>
        <v>W10x10x100</v>
      </c>
    </row>
    <row r="599" spans="44:44">
      <c r="AR599" s="235" t="str">
        <f>Sheet2!A391</f>
        <v>W10x10x88</v>
      </c>
    </row>
    <row r="600" spans="44:44">
      <c r="AR600" s="234" t="str">
        <f>Sheet2!A392</f>
        <v>W10x10x77</v>
      </c>
    </row>
    <row r="601" spans="44:44">
      <c r="AR601" s="235" t="str">
        <f>Sheet2!A393</f>
        <v>W10x10x68</v>
      </c>
    </row>
    <row r="602" spans="44:44">
      <c r="AR602" s="234" t="str">
        <f>Sheet2!A394</f>
        <v>W10x10x60</v>
      </c>
    </row>
    <row r="603" spans="44:44">
      <c r="AR603" s="235" t="str">
        <f>Sheet2!A395</f>
        <v>W10x10x54</v>
      </c>
    </row>
    <row r="604" spans="44:44">
      <c r="AR604" s="234" t="str">
        <f>Sheet2!A396</f>
        <v>W10x10x49</v>
      </c>
    </row>
    <row r="605" spans="44:44">
      <c r="AR605" s="235" t="str">
        <f>Sheet2!A397</f>
        <v>W10x53/4x30</v>
      </c>
    </row>
    <row r="606" spans="44:44">
      <c r="AR606" s="234" t="str">
        <f>Sheet2!A398</f>
        <v>W10x53/4x26</v>
      </c>
    </row>
    <row r="607" spans="44:44">
      <c r="AR607" s="235" t="str">
        <f>Sheet2!A399</f>
        <v>W10x53/4x22</v>
      </c>
    </row>
    <row r="608" spans="44:44">
      <c r="AR608" s="234" t="str">
        <f>Sheet2!A400</f>
        <v>10x4x19</v>
      </c>
    </row>
    <row r="609" spans="44:44">
      <c r="AR609" s="235" t="str">
        <f>Sheet2!A401</f>
        <v>10x4x17</v>
      </c>
    </row>
    <row r="610" spans="44:44">
      <c r="AR610" s="234" t="str">
        <f>Sheet2!A402</f>
        <v>10x4x15</v>
      </c>
    </row>
    <row r="611" spans="44:44">
      <c r="AR611" s="235" t="str">
        <f>Sheet2!A403</f>
        <v>W8x8x67</v>
      </c>
    </row>
    <row r="612" spans="44:44">
      <c r="AR612" s="234" t="str">
        <f>Sheet2!A404</f>
        <v>W8x8x58</v>
      </c>
    </row>
    <row r="613" spans="44:44">
      <c r="AR613" s="235" t="str">
        <f>Sheet2!A405</f>
        <v>W8x8x48</v>
      </c>
    </row>
    <row r="614" spans="44:44">
      <c r="AR614" s="234" t="str">
        <f>Sheet2!A406</f>
        <v>W8x8x40</v>
      </c>
    </row>
    <row r="615" spans="44:44">
      <c r="AR615" s="235" t="str">
        <f>Sheet2!A407</f>
        <v>W8x8x35</v>
      </c>
    </row>
    <row r="616" spans="44:44">
      <c r="AR616" s="234" t="str">
        <f>Sheet2!A408</f>
        <v>W8x8x31</v>
      </c>
    </row>
    <row r="617" spans="44:44">
      <c r="AR617" s="235" t="str">
        <f>Sheet2!A409</f>
        <v>W8x51/4x21</v>
      </c>
    </row>
    <row r="618" spans="44:44">
      <c r="AR618" s="234" t="str">
        <f>Sheet2!A410</f>
        <v>W8x51/4x18</v>
      </c>
    </row>
    <row r="619" spans="44:44">
      <c r="AR619" s="235" t="str">
        <f>Sheet2!A411</f>
        <v>W6x6x25</v>
      </c>
    </row>
    <row r="620" spans="44:44">
      <c r="AR620" s="234" t="str">
        <f>Sheet2!A412</f>
        <v>W6x6x20</v>
      </c>
    </row>
    <row r="621" spans="44:44">
      <c r="AR621" s="235" t="str">
        <f>Sheet2!A413</f>
        <v>W21x55</v>
      </c>
    </row>
    <row r="622" spans="44:44">
      <c r="AR622" s="234" t="str">
        <f>Sheet2!A414</f>
        <v>W6x6x15</v>
      </c>
    </row>
    <row r="623" spans="44:44">
      <c r="AR623" s="235" t="str">
        <f>Sheet2!A415</f>
        <v>H1000X300/10X14</v>
      </c>
    </row>
    <row r="624" spans="44:44">
      <c r="AR624" s="234" t="str">
        <f>Sheet2!A416</f>
        <v>H1000X300/12X16</v>
      </c>
    </row>
    <row r="625" spans="44:44">
      <c r="AR625" s="235" t="str">
        <f>Sheet2!A417</f>
        <v>H1000X300/12X18</v>
      </c>
    </row>
    <row r="626" spans="44:44">
      <c r="AR626" s="234" t="str">
        <f>Sheet2!A418</f>
        <v>H1000X300/12X20</v>
      </c>
    </row>
    <row r="627" spans="44:44">
      <c r="AR627" s="235" t="str">
        <f>Sheet2!A419</f>
        <v>H1000X300/12X24</v>
      </c>
    </row>
    <row r="628" spans="44:44">
      <c r="AR628" s="234" t="str">
        <f>Sheet2!A420</f>
        <v>H1000X350/10X22</v>
      </c>
    </row>
    <row r="629" spans="44:44">
      <c r="AR629" s="235" t="str">
        <f>Sheet2!A421</f>
        <v>H1000X350/12X20</v>
      </c>
    </row>
    <row r="630" spans="44:44">
      <c r="AR630" s="234" t="str">
        <f>Sheet2!A422</f>
        <v>H1000X400/12X20</v>
      </c>
    </row>
    <row r="631" spans="44:44">
      <c r="AR631" s="235" t="str">
        <f>Sheet2!A423</f>
        <v>H1000X400/16X20</v>
      </c>
    </row>
    <row r="632" spans="44:44">
      <c r="AR632" s="234" t="str">
        <f>Sheet2!A424</f>
        <v>H1000X450/12X22</v>
      </c>
    </row>
    <row r="633" spans="44:44">
      <c r="AR633" s="235" t="str">
        <f>Sheet2!A425</f>
        <v>H1100X400/16X20</v>
      </c>
    </row>
    <row r="634" spans="44:44">
      <c r="AR634" s="234" t="str">
        <f>Sheet2!A426</f>
        <v>H1100X450/16X24</v>
      </c>
    </row>
    <row r="635" spans="44:44">
      <c r="AR635" s="235" t="str">
        <f>Sheet2!A427</f>
        <v>H1100X550/16X36</v>
      </c>
    </row>
    <row r="636" spans="44:44">
      <c r="AR636" s="234" t="str">
        <f>Sheet2!A428</f>
        <v>H1200X300/12X18</v>
      </c>
    </row>
    <row r="637" spans="44:44">
      <c r="AR637" s="235" t="str">
        <f>Sheet2!A429</f>
        <v>H1200X350/12X22</v>
      </c>
    </row>
    <row r="638" spans="44:44">
      <c r="AR638" s="234" t="str">
        <f>Sheet2!A430</f>
        <v>H1200X400/12X25</v>
      </c>
    </row>
    <row r="639" spans="44:44">
      <c r="AR639" s="235" t="str">
        <f>Sheet2!A431</f>
        <v>H1200X450/14X20</v>
      </c>
    </row>
    <row r="640" spans="44:44">
      <c r="AR640" s="234" t="str">
        <f>Sheet2!A432</f>
        <v>H1300X350/14X16</v>
      </c>
    </row>
    <row r="641" spans="44:44">
      <c r="AR641" s="235" t="str">
        <f>Sheet2!A433</f>
        <v>H1300X350/14X20</v>
      </c>
    </row>
    <row r="642" spans="44:44">
      <c r="AR642" s="234" t="str">
        <f>Sheet2!A434</f>
        <v>H1300X400/16X20</v>
      </c>
    </row>
    <row r="643" spans="44:44">
      <c r="AR643" s="235" t="str">
        <f>Sheet2!A435</f>
        <v>H1300X400/16X22</v>
      </c>
    </row>
    <row r="644" spans="44:44">
      <c r="AR644" s="234" t="str">
        <f>Sheet2!A436</f>
        <v>H1400X350/14X20</v>
      </c>
    </row>
    <row r="645" spans="44:44">
      <c r="AR645" s="235" t="str">
        <f>Sheet2!A437</f>
        <v>H1400X450/14X22</v>
      </c>
    </row>
    <row r="646" spans="44:44">
      <c r="AR646" s="234" t="str">
        <f>Sheet2!A438</f>
        <v>H1400X500/14X20</v>
      </c>
    </row>
    <row r="647" spans="44:44">
      <c r="AR647" s="235" t="str">
        <f>Sheet2!A439</f>
        <v>H1400X500/16X20</v>
      </c>
    </row>
    <row r="648" spans="44:44">
      <c r="AR648" s="234" t="str">
        <f>Sheet2!A440</f>
        <v>H1400X500/16X24</v>
      </c>
    </row>
    <row r="649" spans="44:44">
      <c r="AR649" s="235" t="str">
        <f>Sheet2!A441</f>
        <v>H250X100/5X10</v>
      </c>
    </row>
    <row r="650" spans="44:44">
      <c r="AR650" s="234" t="str">
        <f>Sheet2!A442</f>
        <v>H250X100/5X8</v>
      </c>
    </row>
    <row r="651" spans="44:44">
      <c r="AR651" s="235" t="str">
        <f>Sheet2!A443</f>
        <v>H250X200/5X8</v>
      </c>
    </row>
    <row r="652" spans="44:44">
      <c r="AR652" s="234" t="str">
        <f>Sheet2!A444</f>
        <v>H300X150/5X8</v>
      </c>
    </row>
    <row r="653" spans="44:44">
      <c r="AR653" s="235" t="str">
        <f>Sheet2!A445</f>
        <v>H300X200/5X10</v>
      </c>
    </row>
    <row r="654" spans="44:44">
      <c r="AR654" s="234" t="str">
        <f>Sheet2!A446</f>
        <v>H300X200/6X10</v>
      </c>
    </row>
    <row r="655" spans="44:44">
      <c r="AR655" s="235" t="str">
        <f>Sheet2!A447</f>
        <v>H300X300/10X15</v>
      </c>
    </row>
    <row r="656" spans="44:44">
      <c r="AR656" s="234" t="str">
        <f>Sheet2!A448</f>
        <v>H400X160/6X10</v>
      </c>
    </row>
    <row r="657" spans="44:44">
      <c r="AR657" s="235" t="str">
        <f>Sheet2!A449</f>
        <v>H400X180/6X10</v>
      </c>
    </row>
    <row r="658" spans="44:44">
      <c r="AR658" s="234" t="str">
        <f>Sheet2!A450</f>
        <v>H400X200/6X10</v>
      </c>
    </row>
    <row r="659" spans="44:44">
      <c r="AR659" s="235" t="str">
        <f>Sheet2!A451</f>
        <v>H400X250/8X12</v>
      </c>
    </row>
    <row r="660" spans="44:44">
      <c r="AR660" s="234" t="str">
        <f>Sheet2!A452</f>
        <v>H400X250/8X14</v>
      </c>
    </row>
    <row r="661" spans="44:44">
      <c r="AR661" s="235" t="str">
        <f>Sheet2!A453</f>
        <v>H500X200/6X10</v>
      </c>
    </row>
    <row r="662" spans="44:44">
      <c r="AR662" s="234" t="str">
        <f>Sheet2!A454</f>
        <v>H500X250/10X16</v>
      </c>
    </row>
    <row r="663" spans="44:44">
      <c r="AR663" s="235" t="str">
        <f>Sheet2!A455</f>
        <v>H500X250/8X12</v>
      </c>
    </row>
    <row r="664" spans="44:44">
      <c r="AR664" s="234" t="str">
        <f>Sheet2!A456</f>
        <v>H500X300/8X16</v>
      </c>
    </row>
    <row r="665" spans="44:44">
      <c r="AR665" s="235" t="str">
        <f>Sheet2!A457</f>
        <v>H500X350/12X16</v>
      </c>
    </row>
    <row r="666" spans="44:44">
      <c r="AR666" s="234" t="str">
        <f>Sheet2!A458</f>
        <v>H600X220/10X14</v>
      </c>
    </row>
    <row r="667" spans="44:44">
      <c r="AR667" s="235" t="str">
        <f>Sheet2!A459</f>
        <v>H600X250/10X12</v>
      </c>
    </row>
    <row r="668" spans="44:44">
      <c r="AR668" s="234" t="str">
        <f>Sheet2!A460</f>
        <v>H600X250/6X12</v>
      </c>
    </row>
    <row r="669" spans="44:44">
      <c r="AR669" s="235" t="str">
        <f>Sheet2!A461</f>
        <v>H600X250/8X12</v>
      </c>
    </row>
    <row r="670" spans="44:44">
      <c r="AR670" s="234" t="str">
        <f>Sheet2!A462</f>
        <v>H600X250/8X14</v>
      </c>
    </row>
    <row r="671" spans="44:44">
      <c r="AR671" s="235" t="str">
        <f>Sheet2!A463</f>
        <v>H600X250/8X16</v>
      </c>
    </row>
    <row r="672" spans="44:44">
      <c r="AR672" s="234" t="str">
        <f>Sheet2!A464</f>
        <v>H600X300/10X12</v>
      </c>
    </row>
    <row r="673" spans="44:44">
      <c r="AR673" s="235" t="str">
        <f>Sheet2!A465</f>
        <v>H600X300/10X14</v>
      </c>
    </row>
    <row r="674" spans="44:44">
      <c r="AR674" s="234" t="str">
        <f>Sheet2!A466</f>
        <v>H600X300/10X18</v>
      </c>
    </row>
    <row r="675" spans="44:44">
      <c r="AR675" s="235" t="str">
        <f>Sheet2!A467</f>
        <v>H600X300/10X22</v>
      </c>
    </row>
    <row r="676" spans="44:44">
      <c r="AR676" s="234" t="str">
        <f>Sheet2!A468</f>
        <v>H600X300/8X14</v>
      </c>
    </row>
    <row r="677" spans="44:44">
      <c r="AR677" s="235" t="str">
        <f>Sheet2!A469</f>
        <v>H600X300/8X15</v>
      </c>
    </row>
    <row r="678" spans="44:44">
      <c r="AR678" s="234" t="str">
        <f>Sheet2!A470</f>
        <v>H600X300/8X16</v>
      </c>
    </row>
    <row r="679" spans="44:44">
      <c r="AR679" s="235" t="str">
        <f>Sheet2!A471</f>
        <v>H600X350/12X24</v>
      </c>
    </row>
    <row r="680" spans="44:44">
      <c r="AR680" s="234" t="str">
        <f>Sheet2!A472</f>
        <v>H600X350/16X24</v>
      </c>
    </row>
    <row r="681" spans="44:44">
      <c r="AR681" s="235" t="str">
        <f>Sheet2!A473</f>
        <v>H600X350/8X14</v>
      </c>
    </row>
    <row r="682" spans="44:44">
      <c r="AR682" s="234" t="str">
        <f>Sheet2!A474</f>
        <v>H600X350/8X16</v>
      </c>
    </row>
    <row r="683" spans="44:44">
      <c r="AR683" s="235" t="str">
        <f>Sheet2!A475</f>
        <v>H600X400/10X18</v>
      </c>
    </row>
    <row r="684" spans="44:44">
      <c r="AR684" s="234" t="str">
        <f>Sheet2!A476</f>
        <v>H600X400/10X24</v>
      </c>
    </row>
    <row r="685" spans="44:44">
      <c r="AR685" s="235" t="str">
        <f>Sheet2!A477</f>
        <v>H600X500/12X30</v>
      </c>
    </row>
    <row r="686" spans="44:44">
      <c r="AR686" s="234" t="str">
        <f>Sheet2!A478</f>
        <v>H700X220/10X14</v>
      </c>
    </row>
    <row r="687" spans="44:44">
      <c r="AR687" s="235" t="str">
        <f>Sheet2!A479</f>
        <v>H700X250/10X14</v>
      </c>
    </row>
    <row r="688" spans="44:44">
      <c r="AR688" s="234" t="str">
        <f>Sheet2!A480</f>
        <v>H700X250/8X12</v>
      </c>
    </row>
    <row r="689" spans="44:44">
      <c r="AR689" s="235" t="str">
        <f>Sheet2!A481</f>
        <v>H700x250/8x14</v>
      </c>
    </row>
    <row r="690" spans="44:44">
      <c r="AR690" s="234" t="str">
        <f>Sheet2!A482</f>
        <v>H700X300/10X14</v>
      </c>
    </row>
    <row r="691" spans="44:44">
      <c r="AR691" s="235" t="str">
        <f>Sheet2!A483</f>
        <v>H700X300/10X20</v>
      </c>
    </row>
    <row r="692" spans="44:44">
      <c r="AR692" s="234" t="str">
        <f>Sheet2!A484</f>
        <v>H700X300/8X14</v>
      </c>
    </row>
    <row r="693" spans="44:44">
      <c r="AR693" s="235" t="str">
        <f>Sheet2!A485</f>
        <v>H700X300/8X16</v>
      </c>
    </row>
    <row r="694" spans="44:44">
      <c r="AR694" s="234" t="str">
        <f>Sheet2!A486</f>
        <v>H700X300/8X18</v>
      </c>
    </row>
    <row r="695" spans="44:44">
      <c r="AR695" s="235" t="str">
        <f>Sheet2!A487</f>
        <v>H700X350/10X16</v>
      </c>
    </row>
    <row r="696" spans="44:44">
      <c r="AR696" s="234" t="str">
        <f>Sheet2!A488</f>
        <v>H700X350/10X18</v>
      </c>
    </row>
    <row r="697" spans="44:44">
      <c r="AR697" s="235" t="str">
        <f>Sheet2!A489</f>
        <v>H700X350/10X20</v>
      </c>
    </row>
    <row r="698" spans="44:44">
      <c r="AR698" s="234" t="str">
        <f>Sheet2!A490</f>
        <v>H700X350/12X20</v>
      </c>
    </row>
    <row r="699" spans="44:44">
      <c r="AR699" s="235" t="str">
        <f>Sheet2!A491</f>
        <v>H700X400/10X20</v>
      </c>
    </row>
    <row r="700" spans="44:44">
      <c r="AR700" s="234" t="str">
        <f>Sheet2!A492</f>
        <v>H700X500/16X30</v>
      </c>
    </row>
    <row r="701" spans="44:44">
      <c r="AR701" s="235" t="str">
        <f>Sheet2!A493</f>
        <v>H800X250/8X12</v>
      </c>
    </row>
    <row r="702" spans="44:44">
      <c r="AR702" s="234" t="str">
        <f>Sheet2!A494</f>
        <v>H800X250/8X14</v>
      </c>
    </row>
    <row r="703" spans="44:44">
      <c r="AR703" s="235" t="str">
        <f>Sheet2!A495</f>
        <v>H800X300/10X14</v>
      </c>
    </row>
    <row r="704" spans="44:44">
      <c r="AR704" s="234" t="str">
        <f>Sheet2!A496</f>
        <v>H800X300/12X22</v>
      </c>
    </row>
    <row r="705" spans="44:44">
      <c r="AR705" s="235" t="str">
        <f>Sheet2!A497</f>
        <v>H800X300/12X26</v>
      </c>
    </row>
    <row r="706" spans="44:44">
      <c r="AR706" s="234" t="str">
        <f>Sheet2!A498</f>
        <v>H800X350/12X22</v>
      </c>
    </row>
    <row r="707" spans="44:44">
      <c r="AR707" s="235" t="str">
        <f>Sheet2!A499</f>
        <v>H800X400/16X25</v>
      </c>
    </row>
    <row r="708" spans="44:44">
      <c r="AR708" s="234" t="str">
        <f>Sheet2!A500</f>
        <v>H900X300/10X14</v>
      </c>
    </row>
    <row r="709" spans="44:44">
      <c r="AR709" s="235" t="str">
        <f>Sheet2!A501</f>
        <v>H900X300/10X16</v>
      </c>
    </row>
    <row r="710" spans="44:44">
      <c r="AR710" s="234" t="str">
        <f>Sheet2!A502</f>
        <v>H900X300/10X20</v>
      </c>
    </row>
    <row r="711" spans="44:44">
      <c r="AR711" s="235" t="str">
        <f>Sheet2!A503</f>
        <v>H900X300/12X14</v>
      </c>
    </row>
    <row r="712" spans="44:44">
      <c r="AR712" s="234" t="str">
        <f>Sheet2!A504</f>
        <v>H900X300/12X20</v>
      </c>
    </row>
    <row r="713" spans="44:44">
      <c r="AR713" s="235" t="str">
        <f>Sheet2!A505</f>
        <v>H900X300/12X22</v>
      </c>
    </row>
    <row r="714" spans="44:44">
      <c r="AR714" s="234" t="str">
        <f>Sheet2!A506</f>
        <v>H900X450/10X20</v>
      </c>
    </row>
    <row r="715" spans="44:44">
      <c r="AR715" s="235" t="str">
        <f>Sheet2!A507</f>
        <v>H900X350/10X20</v>
      </c>
    </row>
    <row r="716" spans="44:44">
      <c r="AR716" s="234" t="str">
        <f>Sheet2!A508</f>
        <v>H900X350/12X16</v>
      </c>
    </row>
    <row r="717" spans="44:44">
      <c r="AR717" s="235" t="str">
        <f>Sheet2!A509</f>
        <v>H900X350/12X20</v>
      </c>
    </row>
    <row r="718" spans="44:44">
      <c r="AR718" s="234" t="str">
        <f>Sheet2!A510</f>
        <v>H900X350/12X22</v>
      </c>
    </row>
    <row r="719" spans="44:44">
      <c r="AR719" s="235" t="str">
        <f>Sheet2!A511</f>
        <v>H900X400/10X20</v>
      </c>
    </row>
    <row r="720" spans="44:44">
      <c r="AR720" s="234" t="str">
        <f>Sheet2!A512</f>
        <v>H900X400/10X24</v>
      </c>
    </row>
    <row r="721" spans="44:44">
      <c r="AR721" s="235" t="str">
        <f>Sheet2!A513</f>
        <v>H900X400/12X22</v>
      </c>
    </row>
    <row r="722" spans="44:44">
      <c r="AR722" s="234" t="str">
        <f>Sheet2!A514</f>
        <v>H900X450/10X25</v>
      </c>
    </row>
    <row r="723" spans="44:44">
      <c r="AR723" s="235" t="str">
        <f>Sheet2!A515</f>
        <v>IPE160</v>
      </c>
    </row>
    <row r="724" spans="44:44">
      <c r="AR724" s="234" t="str">
        <f>Sheet2!A516</f>
        <v>IPE180</v>
      </c>
    </row>
    <row r="725" spans="44:44">
      <c r="AR725" s="235" t="str">
        <f>Sheet2!A517</f>
        <v>IPE200</v>
      </c>
    </row>
    <row r="726" spans="44:44">
      <c r="AR726" s="234" t="str">
        <f>Sheet2!A518</f>
        <v>IPE220</v>
      </c>
    </row>
    <row r="727" spans="44:44">
      <c r="AR727" s="235" t="str">
        <f>Sheet2!A519</f>
        <v>H330X150/5X6</v>
      </c>
    </row>
    <row r="728" spans="44:44">
      <c r="AR728" s="234" t="str">
        <f>Sheet2!A520</f>
        <v>H1250X300/15X25</v>
      </c>
    </row>
    <row r="729" spans="44:44">
      <c r="AR729" s="235">
        <f>Sheet2!A521</f>
        <v>0</v>
      </c>
    </row>
    <row r="730" spans="44:44">
      <c r="AR730" s="234">
        <f>Sheet2!A522</f>
        <v>0</v>
      </c>
    </row>
    <row r="731" spans="44:44">
      <c r="AR731" s="235">
        <f>Sheet2!A523</f>
        <v>0</v>
      </c>
    </row>
    <row r="732" spans="44:44">
      <c r="AR732" s="234">
        <f>Sheet2!A524</f>
        <v>0</v>
      </c>
    </row>
    <row r="733" spans="44:44">
      <c r="AR733" s="235">
        <f>Sheet2!A525</f>
        <v>0</v>
      </c>
    </row>
    <row r="734" spans="44:44">
      <c r="AR734" s="234">
        <f>Sheet2!A526</f>
        <v>0</v>
      </c>
    </row>
    <row r="735" spans="44:44">
      <c r="AR735" s="235">
        <f>Sheet2!A527</f>
        <v>0</v>
      </c>
    </row>
    <row r="736" spans="44:44">
      <c r="AR736" s="234">
        <f>Sheet2!A528</f>
        <v>0</v>
      </c>
    </row>
    <row r="737" spans="44:44">
      <c r="AR737" s="235">
        <f>Sheet2!A529</f>
        <v>0</v>
      </c>
    </row>
    <row r="738" spans="44:44">
      <c r="AR738" s="234">
        <f>Sheet2!A530</f>
        <v>0</v>
      </c>
    </row>
    <row r="739" spans="44:44">
      <c r="AR739" s="235">
        <f>Sheet2!A531</f>
        <v>0</v>
      </c>
    </row>
    <row r="740" spans="44:44">
      <c r="AR740" s="234">
        <f>Sheet2!A532</f>
        <v>0</v>
      </c>
    </row>
    <row r="741" spans="44:44">
      <c r="AR741" s="235">
        <f>Sheet2!A533</f>
        <v>0</v>
      </c>
    </row>
    <row r="742" spans="44:44">
      <c r="AR742" s="234">
        <f>Sheet2!A534</f>
        <v>0</v>
      </c>
    </row>
    <row r="743" spans="44:44">
      <c r="AR743" s="235">
        <f>Sheet2!A535</f>
        <v>0</v>
      </c>
    </row>
    <row r="744" spans="44:44">
      <c r="AR744" s="234">
        <f>Sheet2!A536</f>
        <v>0</v>
      </c>
    </row>
    <row r="745" spans="44:44">
      <c r="AR745" s="235">
        <f>Sheet2!A537</f>
        <v>0</v>
      </c>
    </row>
    <row r="746" spans="44:44">
      <c r="AR746" s="234">
        <f>Sheet2!A538</f>
        <v>0</v>
      </c>
    </row>
    <row r="747" spans="44:44">
      <c r="AR747" s="235">
        <f>Sheet2!A539</f>
        <v>0</v>
      </c>
    </row>
    <row r="748" spans="44:44">
      <c r="AR748" s="234">
        <f>Sheet2!A540</f>
        <v>0</v>
      </c>
    </row>
    <row r="749" spans="44:44">
      <c r="AR749" s="235">
        <f>Sheet2!A541</f>
        <v>0</v>
      </c>
    </row>
    <row r="750" spans="44:44">
      <c r="AR750" s="234">
        <f>Sheet2!A542</f>
        <v>0</v>
      </c>
    </row>
    <row r="751" spans="44:44">
      <c r="AR751" s="235">
        <f>Sheet2!A543</f>
        <v>0</v>
      </c>
    </row>
    <row r="752" spans="44:44">
      <c r="AR752" s="234">
        <f>Sheet2!A544</f>
        <v>0</v>
      </c>
    </row>
    <row r="753" spans="44:44">
      <c r="AR753" s="235">
        <f>Sheet2!A545</f>
        <v>0</v>
      </c>
    </row>
    <row r="754" spans="44:44">
      <c r="AR754" s="234">
        <f>Sheet2!A546</f>
        <v>0</v>
      </c>
    </row>
    <row r="755" spans="44:44">
      <c r="AR755" s="235">
        <f>Sheet2!A547</f>
        <v>0</v>
      </c>
    </row>
    <row r="756" spans="44:44">
      <c r="AR756" s="234">
        <f>Sheet2!A548</f>
        <v>0</v>
      </c>
    </row>
    <row r="757" spans="44:44">
      <c r="AR757" s="235">
        <f>Sheet2!A549</f>
        <v>0</v>
      </c>
    </row>
    <row r="758" spans="44:44">
      <c r="AR758" s="234">
        <f>Sheet2!A550</f>
        <v>0</v>
      </c>
    </row>
    <row r="759" spans="44:44">
      <c r="AR759" s="235">
        <f>Sheet2!A551</f>
        <v>0</v>
      </c>
    </row>
    <row r="760" spans="44:44">
      <c r="AR760" s="234">
        <f>Sheet2!A552</f>
        <v>0</v>
      </c>
    </row>
    <row r="761" spans="44:44">
      <c r="AR761" s="235">
        <f>Sheet2!A553</f>
        <v>0</v>
      </c>
    </row>
    <row r="762" spans="44:44">
      <c r="AR762" s="234">
        <f>Sheet2!A554</f>
        <v>0</v>
      </c>
    </row>
    <row r="763" spans="44:44">
      <c r="AR763" s="235">
        <f>Sheet2!A555</f>
        <v>0</v>
      </c>
    </row>
    <row r="764" spans="44:44">
      <c r="AR764" s="234">
        <f>Sheet2!A556</f>
        <v>0</v>
      </c>
    </row>
    <row r="765" spans="44:44">
      <c r="AR765" s="235">
        <f>Sheet2!A557</f>
        <v>0</v>
      </c>
    </row>
    <row r="766" spans="44:44">
      <c r="AR766" s="234">
        <f>Sheet2!A558</f>
        <v>0</v>
      </c>
    </row>
    <row r="767" spans="44:44">
      <c r="AR767" s="235">
        <f>Sheet2!A559</f>
        <v>0</v>
      </c>
    </row>
    <row r="768" spans="44:44">
      <c r="AR768" s="234">
        <f>Sheet2!A560</f>
        <v>0</v>
      </c>
    </row>
    <row r="769" spans="44:44">
      <c r="AR769" s="235">
        <f>Sheet2!A561</f>
        <v>0</v>
      </c>
    </row>
    <row r="770" spans="44:44">
      <c r="AR770" s="234">
        <f>Sheet2!A562</f>
        <v>0</v>
      </c>
    </row>
    <row r="771" spans="44:44">
      <c r="AR771" s="235">
        <f>Sheet2!A563</f>
        <v>0</v>
      </c>
    </row>
    <row r="772" spans="44:44">
      <c r="AR772" s="234">
        <f>Sheet2!A564</f>
        <v>0</v>
      </c>
    </row>
    <row r="773" spans="44:44">
      <c r="AR773" s="235">
        <f>Sheet2!A565</f>
        <v>0</v>
      </c>
    </row>
    <row r="774" spans="44:44">
      <c r="AR774" s="234">
        <f>Sheet2!A566</f>
        <v>0</v>
      </c>
    </row>
    <row r="775" spans="44:44">
      <c r="AR775" s="235">
        <f>Sheet2!A567</f>
        <v>0</v>
      </c>
    </row>
    <row r="776" spans="44:44">
      <c r="AR776" s="234">
        <f>Sheet2!A568</f>
        <v>0</v>
      </c>
    </row>
    <row r="777" spans="44:44">
      <c r="AR777" s="235">
        <f>Sheet2!A569</f>
        <v>0</v>
      </c>
    </row>
    <row r="778" spans="44:44">
      <c r="AR778" s="234">
        <f>Sheet2!A570</f>
        <v>0</v>
      </c>
    </row>
    <row r="779" spans="44:44">
      <c r="AR779" s="235">
        <f>Sheet2!A571</f>
        <v>0</v>
      </c>
    </row>
    <row r="780" spans="44:44">
      <c r="AR780" s="234">
        <f>Sheet2!A572</f>
        <v>0</v>
      </c>
    </row>
    <row r="781" spans="44:44">
      <c r="AR781" s="235">
        <f>Sheet2!A573</f>
        <v>0</v>
      </c>
    </row>
    <row r="782" spans="44:44">
      <c r="AR782" s="234">
        <f>Sheet2!A574</f>
        <v>0</v>
      </c>
    </row>
    <row r="783" spans="44:44">
      <c r="AR783" s="235">
        <f>Sheet2!A575</f>
        <v>0</v>
      </c>
    </row>
    <row r="784" spans="44:44">
      <c r="AR784" s="234">
        <f>Sheet2!A576</f>
        <v>0</v>
      </c>
    </row>
    <row r="785" spans="44:44">
      <c r="AR785" s="235">
        <f>Sheet2!A577</f>
        <v>0</v>
      </c>
    </row>
    <row r="786" spans="44:44">
      <c r="AR786" s="234">
        <f>Sheet2!A578</f>
        <v>0</v>
      </c>
    </row>
    <row r="787" spans="44:44">
      <c r="AR787" s="235">
        <f>Sheet2!A579</f>
        <v>0</v>
      </c>
    </row>
    <row r="788" spans="44:44">
      <c r="AR788" s="234">
        <f>Sheet2!A580</f>
        <v>0</v>
      </c>
    </row>
    <row r="789" spans="44:44">
      <c r="AR789" s="235">
        <f>Sheet2!A581</f>
        <v>0</v>
      </c>
    </row>
    <row r="790" spans="44:44">
      <c r="AR790" s="234">
        <f>Sheet2!A582</f>
        <v>0</v>
      </c>
    </row>
    <row r="791" spans="44:44">
      <c r="AR791" s="235">
        <f>Sheet2!A583</f>
        <v>0</v>
      </c>
    </row>
    <row r="792" spans="44:44">
      <c r="AR792" s="234">
        <f>Sheet2!A584</f>
        <v>0</v>
      </c>
    </row>
    <row r="793" spans="44:44">
      <c r="AR793" s="235">
        <f>Sheet2!A585</f>
        <v>0</v>
      </c>
    </row>
    <row r="794" spans="44:44">
      <c r="AR794" s="234">
        <f>Sheet2!A586</f>
        <v>0</v>
      </c>
    </row>
    <row r="795" spans="44:44">
      <c r="AR795" s="235">
        <f>Sheet2!A587</f>
        <v>0</v>
      </c>
    </row>
    <row r="796" spans="44:44">
      <c r="AR796" s="234">
        <f>Sheet2!A588</f>
        <v>0</v>
      </c>
    </row>
    <row r="797" spans="44:44">
      <c r="AR797" s="235">
        <f>Sheet2!A589</f>
        <v>0</v>
      </c>
    </row>
    <row r="798" spans="44:44">
      <c r="AR798" s="234">
        <f>Sheet2!A590</f>
        <v>0</v>
      </c>
    </row>
    <row r="799" spans="44:44">
      <c r="AR799" s="235">
        <f>Sheet2!A591</f>
        <v>0</v>
      </c>
    </row>
    <row r="800" spans="44:44">
      <c r="AR800" s="234">
        <f>Sheet2!A592</f>
        <v>0</v>
      </c>
    </row>
    <row r="801" spans="44:44">
      <c r="AR801" s="235">
        <f>Sheet2!A593</f>
        <v>0</v>
      </c>
    </row>
    <row r="802" spans="44:44">
      <c r="AR802" s="234">
        <f>Sheet2!A594</f>
        <v>0</v>
      </c>
    </row>
    <row r="803" spans="44:44">
      <c r="AR803" s="235">
        <f>Sheet2!A595</f>
        <v>0</v>
      </c>
    </row>
    <row r="804" spans="44:44">
      <c r="AR804" s="234">
        <f>Sheet2!A596</f>
        <v>0</v>
      </c>
    </row>
    <row r="805" spans="44:44">
      <c r="AR805" s="235">
        <f>Sheet2!A597</f>
        <v>0</v>
      </c>
    </row>
    <row r="806" spans="44:44">
      <c r="AR806" s="234">
        <f>Sheet2!A598</f>
        <v>0</v>
      </c>
    </row>
    <row r="807" spans="44:44">
      <c r="AR807" s="235">
        <f>Sheet2!A599</f>
        <v>0</v>
      </c>
    </row>
    <row r="808" spans="44:44">
      <c r="AR808" s="234">
        <f>Sheet2!A600</f>
        <v>0</v>
      </c>
    </row>
    <row r="809" spans="44:44">
      <c r="AR809" s="235">
        <f>Sheet2!A601</f>
        <v>0</v>
      </c>
    </row>
    <row r="810" spans="44:44">
      <c r="AR810" s="234">
        <f>Sheet2!A602</f>
        <v>0</v>
      </c>
    </row>
    <row r="811" spans="44:44">
      <c r="AR811" s="235">
        <f>Sheet2!A603</f>
        <v>0</v>
      </c>
    </row>
    <row r="812" spans="44:44">
      <c r="AR812" s="234">
        <f>Sheet2!A604</f>
        <v>0</v>
      </c>
    </row>
    <row r="813" spans="44:44">
      <c r="AR813" s="235">
        <f>Sheet2!A605</f>
        <v>0</v>
      </c>
    </row>
    <row r="814" spans="44:44">
      <c r="AR814" s="234">
        <f>Sheet2!A606</f>
        <v>0</v>
      </c>
    </row>
    <row r="815" spans="44:44">
      <c r="AR815" s="235">
        <f>Sheet2!A607</f>
        <v>0</v>
      </c>
    </row>
    <row r="816" spans="44:44">
      <c r="AR816" s="234">
        <f>Sheet2!A608</f>
        <v>0</v>
      </c>
    </row>
    <row r="817" spans="44:44">
      <c r="AR817" s="235">
        <f>Sheet2!A609</f>
        <v>0</v>
      </c>
    </row>
    <row r="818" spans="44:44">
      <c r="AR818" s="234">
        <f>Sheet2!A610</f>
        <v>0</v>
      </c>
    </row>
    <row r="819" spans="44:44">
      <c r="AR819" s="235">
        <f>Sheet2!A611</f>
        <v>0</v>
      </c>
    </row>
    <row r="820" spans="44:44">
      <c r="AR820" s="234">
        <f>Sheet2!A612</f>
        <v>0</v>
      </c>
    </row>
    <row r="821" spans="44:44">
      <c r="AR821" s="235">
        <f>Sheet2!A613</f>
        <v>0</v>
      </c>
    </row>
    <row r="822" spans="44:44">
      <c r="AR822" s="234">
        <f>Sheet2!A614</f>
        <v>0</v>
      </c>
    </row>
    <row r="823" spans="44:44">
      <c r="AR823" s="235">
        <f>Sheet2!A615</f>
        <v>0</v>
      </c>
    </row>
    <row r="824" spans="44:44">
      <c r="AR824" s="234">
        <f>Sheet2!A616</f>
        <v>0</v>
      </c>
    </row>
    <row r="825" spans="44:44">
      <c r="AR825" s="235">
        <f>Sheet2!A617</f>
        <v>0</v>
      </c>
    </row>
    <row r="826" spans="44:44">
      <c r="AR826" s="234">
        <f>Sheet2!A618</f>
        <v>0</v>
      </c>
    </row>
    <row r="827" spans="44:44">
      <c r="AR827" s="235">
        <f>Sheet2!A619</f>
        <v>0</v>
      </c>
    </row>
    <row r="828" spans="44:44">
      <c r="AR828" s="234">
        <f>Sheet2!A620</f>
        <v>0</v>
      </c>
    </row>
    <row r="829" spans="44:44">
      <c r="AR829" s="235">
        <f>Sheet2!A621</f>
        <v>0</v>
      </c>
    </row>
    <row r="830" spans="44:44">
      <c r="AR830" s="234">
        <f>Sheet2!A622</f>
        <v>0</v>
      </c>
    </row>
    <row r="831" spans="44:44">
      <c r="AR831" s="235">
        <f>Sheet2!A623</f>
        <v>0</v>
      </c>
    </row>
    <row r="832" spans="44:44">
      <c r="AR832" s="234">
        <f>Sheet2!A624</f>
        <v>0</v>
      </c>
    </row>
    <row r="833" spans="44:44">
      <c r="AR833" s="235">
        <f>Sheet2!A625</f>
        <v>0</v>
      </c>
    </row>
    <row r="834" spans="44:44">
      <c r="AR834" s="234">
        <f>Sheet2!A626</f>
        <v>0</v>
      </c>
    </row>
  </sheetData>
  <customSheetViews>
    <customSheetView guid="{B43D84F6-ECE1-4184-859D-4B803B980EF6}" scale="125" printArea="1" showRuler="0">
      <selection activeCell="E39" sqref="E39:J39"/>
      <pageMargins left="0.8" right="0.2" top="0.25" bottom="0.5" header="0.25" footer="0.4"/>
      <pageSetup paperSize="9" orientation="portrait" r:id="rId1"/>
      <headerFooter alignWithMargins="0">
        <oddFooter>&amp;L&amp;F</oddFooter>
      </headerFooter>
    </customSheetView>
    <customSheetView guid="{D127AEA6-C2DF-11D2-8A4B-444553540000}" scale="125" printArea="1" showRuler="0" topLeftCell="A22">
      <selection activeCell="F33" sqref="F33"/>
      <pageMargins left="0.82677165354330717" right="0.15748031496062992" top="0.55118110236220474" bottom="0.51181102362204722" header="0.51181102362204722" footer="0.51181102362204722"/>
      <pageSetup paperSize="9" orientation="portrait" r:id="rId2"/>
      <headerFooter alignWithMargins="0">
        <oddFooter>&amp;L&amp;F</oddFooter>
      </headerFooter>
    </customSheetView>
    <customSheetView guid="{A9EC0360-97A2-11D4-9FCE-0050DA3D4DED}" showPageBreaks="1" printArea="1" view="pageBreakPreview" showRuler="0">
      <selection activeCell="D10" sqref="D10"/>
      <pageMargins left="0.31496062992125984" right="0.27559055118110237" top="0.31496062992125984" bottom="0.62992125984251968" header="0" footer="0"/>
      <printOptions horizontalCentered="1"/>
      <pageSetup paperSize="9" orientation="portrait" r:id="rId3"/>
      <headerFooter alignWithMargins="0"/>
    </customSheetView>
    <customSheetView guid="{3B78D0E4-16CC-11D4-B7CE-0050DA395D67}" showPageBreaks="1" printArea="1" view="pageBreakPreview" showRuler="0">
      <selection activeCell="A5" sqref="A5:IV5"/>
      <pageMargins left="0.31496062992125984" right="0.27559055118110237" top="0.31496062992125984" bottom="0.62992125984251968" header="0" footer="0"/>
      <printOptions horizontalCentered="1"/>
      <pageSetup paperSize="9" orientation="portrait" r:id="rId4"/>
      <headerFooter alignWithMargins="0"/>
    </customSheetView>
    <customSheetView guid="{C2D7D384-8011-11D3-B45A-D0656AEFEC34}" showPageBreaks="1" printArea="1" view="pageBreakPreview" showRuler="0">
      <selection activeCell="B6" sqref="B6:J6"/>
      <pageMargins left="0.31496062992125984" right="0.27559055118110237" top="0.31496062992125984" bottom="0.62992125984251968" header="0" footer="0"/>
      <printOptions horizontalCentered="1"/>
      <pageSetup paperSize="9" orientation="portrait" r:id="rId5"/>
      <headerFooter alignWithMargins="0"/>
    </customSheetView>
    <customSheetView guid="{D9B23BE2-DE21-11D3-BB22-0050DA3D5129}" showPageBreaks="1" printArea="1" view="pageBreakPreview" showRuler="0" topLeftCell="A28">
      <selection activeCell="G34" sqref="G34"/>
      <pageMargins left="0.31496062992125984" right="0.27559055118110237" top="0.31496062992125984" bottom="0.62992125984251968" header="0" footer="0"/>
      <printOptions horizontalCentered="1"/>
      <pageSetup paperSize="9" orientation="portrait" r:id="rId6"/>
      <headerFooter alignWithMargins="0"/>
    </customSheetView>
    <customSheetView guid="{4C47D3AA-B81B-446B-A336-E8EB64E8766E}" scale="150" printArea="1" hiddenRows="1" view="pageBreakPreview" showRuler="0">
      <selection activeCell="W37" sqref="W37"/>
      <rowBreaks count="2" manualBreakCount="2">
        <brk id="45" min="1" max="28" man="1"/>
        <brk id="93" min="1" max="28" man="1"/>
      </rowBreaks>
      <pageMargins left="0.6" right="0.2" top="0.15" bottom="0.15" header="0.15" footer="0.15"/>
      <pageSetup paperSize="9" scale="98" fitToHeight="4" orientation="portrait" r:id="rId7"/>
      <headerFooter alignWithMargins="0"/>
    </customSheetView>
    <customSheetView guid="{4E0995C2-F4BF-4EBE-942E-FAA93D921566}" printArea="1" hiddenRows="1" view="pageBreakPreview">
      <selection activeCell="S46" sqref="S46"/>
      <rowBreaks count="2" manualBreakCount="2">
        <brk id="49" min="1" max="28" man="1"/>
        <brk id="104" min="1" max="28" man="1"/>
      </rowBreaks>
      <pageMargins left="0.6" right="0.2" top="0.15" bottom="0.15" header="0.15" footer="0.15"/>
      <pageSetup paperSize="9" scale="88" fitToHeight="4" orientation="portrait" r:id="rId8"/>
      <headerFooter scaleWithDoc="0" alignWithMargins="0"/>
    </customSheetView>
    <customSheetView guid="{7DA3F3CC-1588-489F-B8A9-3FAFF8097049}" scale="115" printArea="1" hiddenRows="1" view="pageBreakPreview" showRuler="0">
      <selection activeCell="O6" sqref="O6"/>
      <rowBreaks count="2" manualBreakCount="2">
        <brk id="50" min="1" max="29" man="1"/>
        <brk id="109" min="1" max="28" man="1"/>
      </rowBreaks>
      <pageMargins left="0.6" right="0.2" top="0.45" bottom="0.15" header="0.15" footer="0.15"/>
      <printOptions horizontalCentered="1"/>
      <pageSetup paperSize="9" scale="90" fitToHeight="2" orientation="portrait" r:id="rId9"/>
      <headerFooter alignWithMargins="0"/>
    </customSheetView>
    <customSheetView guid="{6034D056-81D7-49B7-9FD6-B49DF2C1DBFE}" scale="115" printArea="1" view="pageBreakPreview" showRuler="0">
      <selection activeCell="V14" sqref="V14"/>
      <rowBreaks count="2" manualBreakCount="2">
        <brk id="49" min="1" max="29" man="1"/>
        <brk id="93" min="1" max="28" man="1"/>
      </rowBreaks>
      <pageMargins left="0.6" right="0.2" top="0.45" bottom="0.15" header="0.15" footer="0.15"/>
      <printOptions horizontalCentered="1"/>
      <pageSetup paperSize="9" scale="90" fitToHeight="2" orientation="portrait" r:id="rId10"/>
      <headerFooter alignWithMargins="0"/>
    </customSheetView>
  </customSheetViews>
  <mergeCells count="88">
    <mergeCell ref="W64:X64"/>
    <mergeCell ref="H28:I28"/>
    <mergeCell ref="T52:V52"/>
    <mergeCell ref="T60:V60"/>
    <mergeCell ref="X28:Z28"/>
    <mergeCell ref="S41:U41"/>
    <mergeCell ref="S43:U43"/>
    <mergeCell ref="H37:J37"/>
    <mergeCell ref="L37:N37"/>
    <mergeCell ref="G52:N52"/>
    <mergeCell ref="I36:L36"/>
    <mergeCell ref="S38:U38"/>
    <mergeCell ref="S44:U44"/>
    <mergeCell ref="Y32:AA32"/>
    <mergeCell ref="O32:Q32"/>
    <mergeCell ref="X29:Z29"/>
    <mergeCell ref="W47:X47"/>
    <mergeCell ref="AA37:AD37"/>
    <mergeCell ref="AB39:AC39"/>
    <mergeCell ref="AB40:AC40"/>
    <mergeCell ref="AB41:AC41"/>
    <mergeCell ref="AB42:AC42"/>
    <mergeCell ref="R67:T67"/>
    <mergeCell ref="R69:T69"/>
    <mergeCell ref="S77:U77"/>
    <mergeCell ref="S86:U86"/>
    <mergeCell ref="R75:T75"/>
    <mergeCell ref="S81:U81"/>
    <mergeCell ref="S78:U78"/>
    <mergeCell ref="S79:U79"/>
    <mergeCell ref="S82:U82"/>
    <mergeCell ref="R68:T68"/>
    <mergeCell ref="R71:T71"/>
    <mergeCell ref="R72:T72"/>
    <mergeCell ref="R73:T73"/>
    <mergeCell ref="R74:T74"/>
    <mergeCell ref="S80:U80"/>
    <mergeCell ref="S113:U113"/>
    <mergeCell ref="S83:U83"/>
    <mergeCell ref="S90:U90"/>
    <mergeCell ref="S87:U87"/>
    <mergeCell ref="S88:U88"/>
    <mergeCell ref="S84:U84"/>
    <mergeCell ref="S91:U91"/>
    <mergeCell ref="S89:U89"/>
    <mergeCell ref="R63:T63"/>
    <mergeCell ref="S42:U42"/>
    <mergeCell ref="L66:M66"/>
    <mergeCell ref="R64:T64"/>
    <mergeCell ref="R65:T65"/>
    <mergeCell ref="R66:T66"/>
    <mergeCell ref="T56:V56"/>
    <mergeCell ref="G59:H59"/>
    <mergeCell ref="P59:Q59"/>
    <mergeCell ref="G53:N53"/>
    <mergeCell ref="T53:V53"/>
    <mergeCell ref="T57:V57"/>
    <mergeCell ref="S40:U40"/>
    <mergeCell ref="X14:Z14"/>
    <mergeCell ref="O19:Q19"/>
    <mergeCell ref="X15:Z15"/>
    <mergeCell ref="O24:Q24"/>
    <mergeCell ref="O36:S36"/>
    <mergeCell ref="O33:Q33"/>
    <mergeCell ref="Y19:AA19"/>
    <mergeCell ref="O17:Q17"/>
    <mergeCell ref="O18:Q18"/>
    <mergeCell ref="T25:AD25"/>
    <mergeCell ref="O20:Q20"/>
    <mergeCell ref="O21:Q21"/>
    <mergeCell ref="O25:Q25"/>
    <mergeCell ref="X37:Y37"/>
    <mergeCell ref="J58:L58"/>
    <mergeCell ref="T54:V54"/>
    <mergeCell ref="T55:V55"/>
    <mergeCell ref="C1:H1"/>
    <mergeCell ref="L11:N11"/>
    <mergeCell ref="L12:N12"/>
    <mergeCell ref="L13:N13"/>
    <mergeCell ref="B2:E2"/>
    <mergeCell ref="F2:AD2"/>
    <mergeCell ref="L9:N9"/>
    <mergeCell ref="L10:N10"/>
    <mergeCell ref="Y18:AA18"/>
    <mergeCell ref="C4:AB4"/>
    <mergeCell ref="F16:I16"/>
    <mergeCell ref="H14:K14"/>
    <mergeCell ref="S39:U39"/>
  </mergeCells>
  <phoneticPr fontId="0" type="noConversion"/>
  <conditionalFormatting sqref="A30:A44">
    <cfRule type="containsText" dxfId="2" priority="20" stopIfTrue="1" operator="containsText" text="fail">
      <formula>NOT(ISERROR(SEARCH("fail",A30)))</formula>
    </cfRule>
  </conditionalFormatting>
  <conditionalFormatting sqref="K40:K43">
    <cfRule type="containsText" dxfId="1" priority="3" stopIfTrue="1" operator="containsText" text="min">
      <formula>NOT(ISERROR(SEARCH("min",K40)))</formula>
    </cfRule>
  </conditionalFormatting>
  <conditionalFormatting sqref="Y52:Y91">
    <cfRule type="containsText" dxfId="0" priority="2" stopIfTrue="1" operator="containsText" text="fail">
      <formula>NOT(ISERROR(SEARCH("fail",Y52)))</formula>
    </cfRule>
  </conditionalFormatting>
  <dataValidations disablePrompts="1" count="7">
    <dataValidation type="list" showInputMessage="1" showErrorMessage="1" sqref="X37">
      <formula1>$AH$6:$AH$9</formula1>
    </dataValidation>
    <dataValidation showInputMessage="1" showErrorMessage="1" sqref="V37 F8:I8 F16:I16 Y37"/>
    <dataValidation type="list" allowBlank="1" showInputMessage="1" showErrorMessage="1" sqref="I36:K36">
      <formula1>$AF$45:$AF$46</formula1>
    </dataValidation>
    <dataValidation type="list" showInputMessage="1" showErrorMessage="1" sqref="H37:J37">
      <formula1>$AL$6:$AL$16</formula1>
    </dataValidation>
    <dataValidation type="list" showInputMessage="1" showErrorMessage="1" sqref="J28:L28 H14:K14 H28">
      <formula1>$AH$12:$AH$15</formula1>
    </dataValidation>
    <dataValidation type="list" allowBlank="1" showInputMessage="1" showErrorMessage="1" sqref="Y32:AA32">
      <formula1>"Case 1,Case 2"</formula1>
    </dataValidation>
    <dataValidation type="list" showInputMessage="1" showErrorMessage="1" sqref="AA37:AD37">
      <formula1>$AK$58:$AK$60</formula1>
    </dataValidation>
  </dataValidations>
  <printOptions horizontalCentered="1"/>
  <pageMargins left="0.6" right="0.2" top="0.45" bottom="0.15" header="0.15" footer="0.15"/>
  <pageSetup paperSize="9" scale="90" fitToHeight="2" orientation="portrait" r:id="rId11"/>
  <headerFooter alignWithMargins="0"/>
  <rowBreaks count="2" manualBreakCount="2">
    <brk id="49" min="1" max="29" man="1"/>
    <brk id="93" min="1" max="28" man="1"/>
  </rowBreaks>
  <drawing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D7:V38"/>
  <sheetViews>
    <sheetView workbookViewId="0">
      <selection activeCell="Q26" sqref="Q26"/>
    </sheetView>
  </sheetViews>
  <sheetFormatPr defaultRowHeight="15"/>
  <cols>
    <col min="1" max="3" width="9.140625" style="62"/>
    <col min="4" max="4" width="11.5703125" style="62" bestFit="1" customWidth="1"/>
    <col min="5" max="5" width="9.140625" style="62"/>
    <col min="6" max="6" width="14.7109375" style="62" bestFit="1" customWidth="1"/>
    <col min="7" max="16384" width="9.140625" style="62"/>
  </cols>
  <sheetData>
    <row r="7" spans="4:22">
      <c r="D7" s="62" t="s">
        <v>800</v>
      </c>
      <c r="F7" s="62" t="s">
        <v>801</v>
      </c>
    </row>
    <row r="8" spans="4:22">
      <c r="D8" s="62" t="s">
        <v>802</v>
      </c>
      <c r="E8" s="63">
        <f>shear!S43/10</f>
        <v>13</v>
      </c>
      <c r="F8" s="62" t="s">
        <v>803</v>
      </c>
      <c r="G8" s="63">
        <f>p/10</f>
        <v>13</v>
      </c>
    </row>
    <row r="9" spans="4:22">
      <c r="D9" s="62" t="s">
        <v>804</v>
      </c>
      <c r="E9" s="62">
        <f>n</f>
        <v>6</v>
      </c>
      <c r="F9" s="62" t="s">
        <v>805</v>
      </c>
      <c r="G9" s="62">
        <f>m</f>
        <v>1</v>
      </c>
    </row>
    <row r="10" spans="4:22"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2">
        <v>7</v>
      </c>
      <c r="L10" s="62">
        <v>8</v>
      </c>
      <c r="M10" s="62">
        <v>9</v>
      </c>
      <c r="N10" s="62">
        <v>10</v>
      </c>
      <c r="O10" s="62">
        <v>11</v>
      </c>
      <c r="P10" s="62">
        <v>12</v>
      </c>
      <c r="Q10" s="62">
        <v>13</v>
      </c>
      <c r="R10" s="62">
        <v>14</v>
      </c>
      <c r="S10" s="62">
        <v>15</v>
      </c>
      <c r="T10" s="62">
        <v>16</v>
      </c>
      <c r="U10" s="62">
        <v>17</v>
      </c>
      <c r="V10" s="62">
        <v>18</v>
      </c>
    </row>
    <row r="11" spans="4:22">
      <c r="D11" s="62">
        <v>1</v>
      </c>
      <c r="E11" s="62">
        <f t="shared" ref="E11:V18" si="0">IF(AND($D11&lt;=$G$9,E$10&lt;=$E$9*0.5),1,0)</f>
        <v>1</v>
      </c>
      <c r="F11" s="62">
        <f t="shared" si="0"/>
        <v>1</v>
      </c>
      <c r="G11" s="62">
        <f t="shared" si="0"/>
        <v>1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62">
        <f t="shared" si="0"/>
        <v>0</v>
      </c>
      <c r="Q11" s="62">
        <f t="shared" si="0"/>
        <v>0</v>
      </c>
      <c r="R11" s="62">
        <f t="shared" si="0"/>
        <v>0</v>
      </c>
      <c r="S11" s="62">
        <f t="shared" si="0"/>
        <v>0</v>
      </c>
      <c r="T11" s="62">
        <f t="shared" si="0"/>
        <v>0</v>
      </c>
      <c r="U11" s="62">
        <f t="shared" si="0"/>
        <v>0</v>
      </c>
      <c r="V11" s="62">
        <f t="shared" si="0"/>
        <v>0</v>
      </c>
    </row>
    <row r="12" spans="4:22">
      <c r="D12" s="62">
        <v>2</v>
      </c>
      <c r="E12" s="62">
        <f t="shared" si="0"/>
        <v>0</v>
      </c>
      <c r="F12" s="62">
        <f t="shared" si="0"/>
        <v>0</v>
      </c>
      <c r="G12" s="62">
        <f t="shared" si="0"/>
        <v>0</v>
      </c>
      <c r="H12" s="62">
        <f t="shared" si="0"/>
        <v>0</v>
      </c>
      <c r="I12" s="62">
        <f t="shared" si="0"/>
        <v>0</v>
      </c>
      <c r="J12" s="62">
        <f t="shared" si="0"/>
        <v>0</v>
      </c>
      <c r="K12" s="62">
        <f t="shared" si="0"/>
        <v>0</v>
      </c>
      <c r="L12" s="62">
        <f t="shared" si="0"/>
        <v>0</v>
      </c>
      <c r="M12" s="62">
        <f t="shared" si="0"/>
        <v>0</v>
      </c>
      <c r="N12" s="62">
        <f t="shared" si="0"/>
        <v>0</v>
      </c>
      <c r="O12" s="62">
        <f t="shared" si="0"/>
        <v>0</v>
      </c>
      <c r="P12" s="62">
        <f t="shared" si="0"/>
        <v>0</v>
      </c>
      <c r="Q12" s="62">
        <f t="shared" si="0"/>
        <v>0</v>
      </c>
      <c r="R12" s="62">
        <f t="shared" si="0"/>
        <v>0</v>
      </c>
      <c r="S12" s="62">
        <f t="shared" si="0"/>
        <v>0</v>
      </c>
      <c r="T12" s="62">
        <f t="shared" si="0"/>
        <v>0</v>
      </c>
      <c r="U12" s="62">
        <f t="shared" si="0"/>
        <v>0</v>
      </c>
      <c r="V12" s="62">
        <f t="shared" si="0"/>
        <v>0</v>
      </c>
    </row>
    <row r="13" spans="4:22">
      <c r="D13" s="62">
        <v>3</v>
      </c>
      <c r="E13" s="62">
        <f t="shared" si="0"/>
        <v>0</v>
      </c>
      <c r="F13" s="62">
        <f t="shared" si="0"/>
        <v>0</v>
      </c>
      <c r="G13" s="62">
        <f t="shared" si="0"/>
        <v>0</v>
      </c>
      <c r="H13" s="62">
        <f t="shared" si="0"/>
        <v>0</v>
      </c>
      <c r="I13" s="62">
        <f t="shared" si="0"/>
        <v>0</v>
      </c>
      <c r="J13" s="62">
        <f t="shared" si="0"/>
        <v>0</v>
      </c>
      <c r="K13" s="62">
        <f t="shared" si="0"/>
        <v>0</v>
      </c>
      <c r="L13" s="62">
        <f t="shared" si="0"/>
        <v>0</v>
      </c>
      <c r="M13" s="62">
        <f t="shared" si="0"/>
        <v>0</v>
      </c>
      <c r="N13" s="62">
        <f t="shared" si="0"/>
        <v>0</v>
      </c>
      <c r="O13" s="62">
        <f t="shared" si="0"/>
        <v>0</v>
      </c>
      <c r="P13" s="62">
        <f t="shared" si="0"/>
        <v>0</v>
      </c>
      <c r="Q13" s="62">
        <f t="shared" si="0"/>
        <v>0</v>
      </c>
      <c r="R13" s="62">
        <f t="shared" si="0"/>
        <v>0</v>
      </c>
      <c r="S13" s="62">
        <f t="shared" si="0"/>
        <v>0</v>
      </c>
      <c r="T13" s="62">
        <f t="shared" si="0"/>
        <v>0</v>
      </c>
      <c r="U13" s="62">
        <f t="shared" si="0"/>
        <v>0</v>
      </c>
      <c r="V13" s="62">
        <f t="shared" si="0"/>
        <v>0</v>
      </c>
    </row>
    <row r="14" spans="4:22">
      <c r="D14" s="62">
        <v>4</v>
      </c>
      <c r="E14" s="62">
        <f t="shared" si="0"/>
        <v>0</v>
      </c>
      <c r="F14" s="62">
        <f t="shared" si="0"/>
        <v>0</v>
      </c>
      <c r="G14" s="62">
        <f t="shared" si="0"/>
        <v>0</v>
      </c>
      <c r="H14" s="62">
        <f t="shared" si="0"/>
        <v>0</v>
      </c>
      <c r="I14" s="62">
        <f t="shared" si="0"/>
        <v>0</v>
      </c>
      <c r="J14" s="62">
        <f t="shared" si="0"/>
        <v>0</v>
      </c>
      <c r="K14" s="62">
        <f t="shared" si="0"/>
        <v>0</v>
      </c>
      <c r="L14" s="62">
        <f t="shared" si="0"/>
        <v>0</v>
      </c>
      <c r="M14" s="62">
        <f t="shared" si="0"/>
        <v>0</v>
      </c>
      <c r="N14" s="62">
        <f t="shared" si="0"/>
        <v>0</v>
      </c>
      <c r="O14" s="62">
        <f t="shared" si="0"/>
        <v>0</v>
      </c>
      <c r="P14" s="62">
        <f t="shared" si="0"/>
        <v>0</v>
      </c>
      <c r="Q14" s="62">
        <f t="shared" si="0"/>
        <v>0</v>
      </c>
      <c r="R14" s="62">
        <f t="shared" si="0"/>
        <v>0</v>
      </c>
      <c r="S14" s="62">
        <f t="shared" si="0"/>
        <v>0</v>
      </c>
      <c r="T14" s="62">
        <f t="shared" si="0"/>
        <v>0</v>
      </c>
      <c r="U14" s="62">
        <f t="shared" si="0"/>
        <v>0</v>
      </c>
      <c r="V14" s="62">
        <f t="shared" si="0"/>
        <v>0</v>
      </c>
    </row>
    <row r="15" spans="4:22">
      <c r="D15" s="62">
        <v>5</v>
      </c>
      <c r="E15" s="62">
        <f t="shared" si="0"/>
        <v>0</v>
      </c>
      <c r="F15" s="62">
        <f t="shared" si="0"/>
        <v>0</v>
      </c>
      <c r="G15" s="62">
        <f t="shared" si="0"/>
        <v>0</v>
      </c>
      <c r="H15" s="62">
        <f t="shared" si="0"/>
        <v>0</v>
      </c>
      <c r="I15" s="62">
        <f t="shared" si="0"/>
        <v>0</v>
      </c>
      <c r="J15" s="62">
        <f t="shared" si="0"/>
        <v>0</v>
      </c>
      <c r="K15" s="62">
        <f t="shared" si="0"/>
        <v>0</v>
      </c>
      <c r="L15" s="62">
        <f t="shared" si="0"/>
        <v>0</v>
      </c>
      <c r="M15" s="62">
        <f t="shared" si="0"/>
        <v>0</v>
      </c>
      <c r="N15" s="62">
        <f t="shared" si="0"/>
        <v>0</v>
      </c>
      <c r="O15" s="62">
        <f t="shared" si="0"/>
        <v>0</v>
      </c>
      <c r="P15" s="62">
        <f t="shared" si="0"/>
        <v>0</v>
      </c>
      <c r="Q15" s="62">
        <f t="shared" si="0"/>
        <v>0</v>
      </c>
      <c r="R15" s="62">
        <f t="shared" si="0"/>
        <v>0</v>
      </c>
      <c r="S15" s="62">
        <f t="shared" si="0"/>
        <v>0</v>
      </c>
      <c r="T15" s="62">
        <f t="shared" si="0"/>
        <v>0</v>
      </c>
      <c r="U15" s="62">
        <f>IF(AND($D15&lt;=$G$9,U$10&lt;=$E$9*0.5),1,0)</f>
        <v>0</v>
      </c>
      <c r="V15" s="62">
        <f t="shared" si="0"/>
        <v>0</v>
      </c>
    </row>
    <row r="16" spans="4:22">
      <c r="D16" s="62">
        <v>6</v>
      </c>
      <c r="E16" s="62">
        <f t="shared" si="0"/>
        <v>0</v>
      </c>
      <c r="F16" s="62">
        <f t="shared" si="0"/>
        <v>0</v>
      </c>
      <c r="G16" s="62">
        <f t="shared" si="0"/>
        <v>0</v>
      </c>
      <c r="H16" s="62">
        <f t="shared" si="0"/>
        <v>0</v>
      </c>
      <c r="I16" s="62">
        <f t="shared" si="0"/>
        <v>0</v>
      </c>
      <c r="J16" s="62">
        <f t="shared" si="0"/>
        <v>0</v>
      </c>
      <c r="K16" s="62">
        <f t="shared" si="0"/>
        <v>0</v>
      </c>
      <c r="L16" s="62">
        <f t="shared" si="0"/>
        <v>0</v>
      </c>
      <c r="M16" s="62">
        <f t="shared" si="0"/>
        <v>0</v>
      </c>
      <c r="N16" s="62">
        <f t="shared" si="0"/>
        <v>0</v>
      </c>
      <c r="O16" s="62">
        <f t="shared" si="0"/>
        <v>0</v>
      </c>
      <c r="P16" s="62">
        <f t="shared" si="0"/>
        <v>0</v>
      </c>
      <c r="Q16" s="62">
        <f t="shared" si="0"/>
        <v>0</v>
      </c>
      <c r="R16" s="62">
        <f t="shared" si="0"/>
        <v>0</v>
      </c>
      <c r="S16" s="62">
        <f t="shared" si="0"/>
        <v>0</v>
      </c>
      <c r="T16" s="62">
        <f t="shared" si="0"/>
        <v>0</v>
      </c>
      <c r="U16" s="62">
        <f t="shared" si="0"/>
        <v>0</v>
      </c>
      <c r="V16" s="62">
        <f t="shared" si="0"/>
        <v>0</v>
      </c>
    </row>
    <row r="17" spans="4:22">
      <c r="D17" s="62">
        <v>7</v>
      </c>
      <c r="E17" s="62">
        <f t="shared" si="0"/>
        <v>0</v>
      </c>
      <c r="F17" s="62">
        <f t="shared" si="0"/>
        <v>0</v>
      </c>
      <c r="G17" s="62">
        <f t="shared" si="0"/>
        <v>0</v>
      </c>
      <c r="H17" s="62">
        <f t="shared" si="0"/>
        <v>0</v>
      </c>
      <c r="I17" s="62">
        <f t="shared" si="0"/>
        <v>0</v>
      </c>
      <c r="J17" s="62">
        <f t="shared" si="0"/>
        <v>0</v>
      </c>
      <c r="K17" s="62">
        <f t="shared" si="0"/>
        <v>0</v>
      </c>
      <c r="L17" s="62">
        <f t="shared" si="0"/>
        <v>0</v>
      </c>
      <c r="M17" s="62">
        <f t="shared" si="0"/>
        <v>0</v>
      </c>
      <c r="N17" s="62">
        <f t="shared" si="0"/>
        <v>0</v>
      </c>
      <c r="O17" s="62">
        <f t="shared" si="0"/>
        <v>0</v>
      </c>
      <c r="P17" s="62">
        <f t="shared" si="0"/>
        <v>0</v>
      </c>
      <c r="Q17" s="62">
        <f t="shared" si="0"/>
        <v>0</v>
      </c>
      <c r="R17" s="62">
        <f t="shared" si="0"/>
        <v>0</v>
      </c>
      <c r="S17" s="62">
        <f t="shared" si="0"/>
        <v>0</v>
      </c>
      <c r="T17" s="62">
        <f t="shared" si="0"/>
        <v>0</v>
      </c>
      <c r="U17" s="62">
        <f t="shared" si="0"/>
        <v>0</v>
      </c>
      <c r="V17" s="62">
        <f t="shared" si="0"/>
        <v>0</v>
      </c>
    </row>
    <row r="18" spans="4:22">
      <c r="D18" s="62">
        <v>8</v>
      </c>
      <c r="E18" s="62">
        <f t="shared" si="0"/>
        <v>0</v>
      </c>
      <c r="F18" s="62">
        <f t="shared" si="0"/>
        <v>0</v>
      </c>
      <c r="G18" s="62">
        <f t="shared" si="0"/>
        <v>0</v>
      </c>
      <c r="H18" s="62">
        <f t="shared" si="0"/>
        <v>0</v>
      </c>
      <c r="I18" s="62">
        <f t="shared" si="0"/>
        <v>0</v>
      </c>
      <c r="J18" s="62">
        <f t="shared" si="0"/>
        <v>0</v>
      </c>
      <c r="K18" s="62">
        <f t="shared" si="0"/>
        <v>0</v>
      </c>
      <c r="L18" s="62">
        <f t="shared" si="0"/>
        <v>0</v>
      </c>
      <c r="M18" s="62">
        <f t="shared" si="0"/>
        <v>0</v>
      </c>
      <c r="N18" s="62">
        <f t="shared" si="0"/>
        <v>0</v>
      </c>
      <c r="O18" s="62">
        <f t="shared" si="0"/>
        <v>0</v>
      </c>
      <c r="P18" s="62">
        <f t="shared" si="0"/>
        <v>0</v>
      </c>
      <c r="Q18" s="62">
        <f t="shared" si="0"/>
        <v>0</v>
      </c>
      <c r="R18" s="62">
        <f t="shared" si="0"/>
        <v>0</v>
      </c>
      <c r="S18" s="62">
        <f t="shared" si="0"/>
        <v>0</v>
      </c>
      <c r="T18" s="62">
        <f t="shared" si="0"/>
        <v>0</v>
      </c>
      <c r="U18" s="62">
        <f t="shared" si="0"/>
        <v>0</v>
      </c>
      <c r="V18" s="62">
        <f t="shared" si="0"/>
        <v>0</v>
      </c>
    </row>
    <row r="20" spans="4:22">
      <c r="F20" s="62">
        <v>0</v>
      </c>
      <c r="G20" s="62">
        <v>1</v>
      </c>
      <c r="H20" s="62">
        <v>2</v>
      </c>
      <c r="I20" s="62">
        <v>3</v>
      </c>
      <c r="J20" s="62">
        <v>4</v>
      </c>
      <c r="K20" s="62">
        <v>5</v>
      </c>
      <c r="L20" s="62">
        <v>6</v>
      </c>
      <c r="M20" s="62">
        <v>7</v>
      </c>
      <c r="N20" s="62">
        <v>8</v>
      </c>
      <c r="O20" s="62">
        <v>9</v>
      </c>
      <c r="P20" s="64"/>
      <c r="Q20" s="64"/>
    </row>
    <row r="21" spans="4:22">
      <c r="P21" s="64"/>
      <c r="Q21" s="64"/>
    </row>
    <row r="22" spans="4:22">
      <c r="P22" s="64"/>
      <c r="Q22" s="64"/>
    </row>
    <row r="23" spans="4:22">
      <c r="D23" s="62" t="s">
        <v>809</v>
      </c>
      <c r="E23" s="65" t="s">
        <v>806</v>
      </c>
      <c r="F23" s="65">
        <f>((($E$9-1)*0.5)-F20)*$G$8*E11</f>
        <v>32.5</v>
      </c>
      <c r="G23" s="65">
        <f t="shared" ref="G23:O23" si="1">((($E$9-1)*0.5)-G20)*$G$8*F11</f>
        <v>19.5</v>
      </c>
      <c r="H23" s="65">
        <f t="shared" si="1"/>
        <v>6.5</v>
      </c>
      <c r="I23" s="65">
        <f t="shared" si="1"/>
        <v>0</v>
      </c>
      <c r="J23" s="65">
        <f t="shared" si="1"/>
        <v>0</v>
      </c>
      <c r="K23" s="65">
        <f t="shared" si="1"/>
        <v>0</v>
      </c>
      <c r="L23" s="65">
        <f t="shared" si="1"/>
        <v>0</v>
      </c>
      <c r="M23" s="65">
        <f t="shared" si="1"/>
        <v>0</v>
      </c>
      <c r="N23" s="65">
        <f t="shared" si="1"/>
        <v>0</v>
      </c>
      <c r="O23" s="65">
        <f t="shared" si="1"/>
        <v>0</v>
      </c>
      <c r="P23" s="64"/>
      <c r="Q23" s="62">
        <f>MAX(F23:O23)</f>
        <v>32.5</v>
      </c>
    </row>
    <row r="24" spans="4:22">
      <c r="E24" s="65" t="s">
        <v>807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6">
        <v>0</v>
      </c>
      <c r="P24" s="64"/>
    </row>
    <row r="25" spans="4:22">
      <c r="E25" s="65" t="s">
        <v>212</v>
      </c>
      <c r="F25" s="65">
        <f>2*$G$9</f>
        <v>2</v>
      </c>
      <c r="G25" s="65">
        <f t="shared" ref="G25:O25" si="2">2*$G$9</f>
        <v>2</v>
      </c>
      <c r="H25" s="65">
        <f t="shared" si="2"/>
        <v>2</v>
      </c>
      <c r="I25" s="65">
        <f t="shared" si="2"/>
        <v>2</v>
      </c>
      <c r="J25" s="65">
        <f t="shared" si="2"/>
        <v>2</v>
      </c>
      <c r="K25" s="65">
        <f t="shared" si="2"/>
        <v>2</v>
      </c>
      <c r="L25" s="65">
        <f t="shared" si="2"/>
        <v>2</v>
      </c>
      <c r="M25" s="65">
        <f t="shared" si="2"/>
        <v>2</v>
      </c>
      <c r="N25" s="65">
        <f t="shared" si="2"/>
        <v>2</v>
      </c>
      <c r="O25" s="65">
        <f t="shared" si="2"/>
        <v>2</v>
      </c>
      <c r="P25" s="64"/>
    </row>
    <row r="26" spans="4:22">
      <c r="E26" s="65" t="s">
        <v>808</v>
      </c>
      <c r="F26" s="65">
        <f t="shared" ref="F26:O26" si="3">F25*(F24^2+F23^2)</f>
        <v>2112.5</v>
      </c>
      <c r="G26" s="65">
        <f t="shared" si="3"/>
        <v>760.5</v>
      </c>
      <c r="H26" s="65">
        <f t="shared" si="3"/>
        <v>84.5</v>
      </c>
      <c r="I26" s="65">
        <f t="shared" si="3"/>
        <v>0</v>
      </c>
      <c r="J26" s="65">
        <f t="shared" si="3"/>
        <v>0</v>
      </c>
      <c r="K26" s="65">
        <f t="shared" si="3"/>
        <v>0</v>
      </c>
      <c r="L26" s="65">
        <f t="shared" si="3"/>
        <v>0</v>
      </c>
      <c r="M26" s="65">
        <f t="shared" si="3"/>
        <v>0</v>
      </c>
      <c r="N26" s="65">
        <f t="shared" si="3"/>
        <v>0</v>
      </c>
      <c r="O26" s="66">
        <f t="shared" si="3"/>
        <v>0</v>
      </c>
      <c r="P26" s="64"/>
      <c r="Q26" s="62">
        <f>SUM(F26:O26)</f>
        <v>2957.5</v>
      </c>
    </row>
    <row r="28" spans="4:22">
      <c r="N28" s="62" t="s">
        <v>810</v>
      </c>
      <c r="O28" s="62">
        <f>Q23</f>
        <v>32.5</v>
      </c>
    </row>
    <row r="30" spans="4:22">
      <c r="D30" s="67" t="s">
        <v>829</v>
      </c>
      <c r="E30" s="68" t="s">
        <v>807</v>
      </c>
      <c r="F30" s="65">
        <f>IF(($G$9-(D11))&lt;0,0,($E$8*(($G$9/2)-(0.5+F20))))</f>
        <v>0</v>
      </c>
      <c r="G30" s="65">
        <f>IF(($G$9-(D12))&lt;0,0,($E$8*(($G$9/2)-(0.5+G20))))</f>
        <v>0</v>
      </c>
      <c r="H30" s="65">
        <f>IF(($G$9-(D13))&lt;0,0,($E$8*(($G$9/2)-(0.5+H20))))</f>
        <v>0</v>
      </c>
      <c r="I30" s="65">
        <f>IF(($G$9-(D14))&lt;0,0,($E$8*(($G$9/2)-(0.5+I20))))</f>
        <v>0</v>
      </c>
      <c r="J30" s="65">
        <f>IF(($G$9-(D15))&lt;0,0,($E$8*(($G$9/2)-(0.5+J20))))</f>
        <v>0</v>
      </c>
      <c r="K30" s="65">
        <f>IF(($G$9-(D16))&lt;0,0,($E$8*(($G$9/2)-(0.5+K20))))</f>
        <v>0</v>
      </c>
      <c r="L30" s="65">
        <f>IF(($G$9-(D17))&lt;0,0,($E$8*(($G$9/2)-(0.5+L20))))</f>
        <v>0</v>
      </c>
      <c r="M30" s="65">
        <f>IF(($G$9-(D18))&lt;0,0,($E$8*(($G$9/2)-(0.5+M20))))</f>
        <v>0</v>
      </c>
      <c r="N30" s="65"/>
      <c r="O30" s="65"/>
      <c r="P30" s="64"/>
      <c r="Q30" s="62">
        <f>MAX(F30:O30)</f>
        <v>0</v>
      </c>
    </row>
    <row r="31" spans="4:22">
      <c r="E31" s="68" t="s">
        <v>806</v>
      </c>
      <c r="F31" s="65">
        <v>0</v>
      </c>
      <c r="G31" s="65">
        <v>0</v>
      </c>
      <c r="H31" s="65">
        <v>0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6">
        <v>0</v>
      </c>
      <c r="P31" s="64"/>
    </row>
    <row r="32" spans="4:22">
      <c r="E32" s="65" t="s">
        <v>212</v>
      </c>
      <c r="F32" s="65">
        <f>$E$9</f>
        <v>6</v>
      </c>
      <c r="G32" s="65">
        <f t="shared" ref="G32:O32" si="4">$E$9</f>
        <v>6</v>
      </c>
      <c r="H32" s="65">
        <f t="shared" si="4"/>
        <v>6</v>
      </c>
      <c r="I32" s="65">
        <f t="shared" si="4"/>
        <v>6</v>
      </c>
      <c r="J32" s="65">
        <f t="shared" si="4"/>
        <v>6</v>
      </c>
      <c r="K32" s="65">
        <f t="shared" si="4"/>
        <v>6</v>
      </c>
      <c r="L32" s="65">
        <f t="shared" si="4"/>
        <v>6</v>
      </c>
      <c r="M32" s="65">
        <f t="shared" si="4"/>
        <v>6</v>
      </c>
      <c r="N32" s="65">
        <f t="shared" si="4"/>
        <v>6</v>
      </c>
      <c r="O32" s="65">
        <f t="shared" si="4"/>
        <v>6</v>
      </c>
      <c r="P32" s="64"/>
    </row>
    <row r="33" spans="4:22">
      <c r="E33" s="65" t="s">
        <v>808</v>
      </c>
      <c r="F33" s="65">
        <f t="shared" ref="F33:O33" si="5">F32*(F31^2+F30^2)</f>
        <v>0</v>
      </c>
      <c r="G33" s="65">
        <f t="shared" si="5"/>
        <v>0</v>
      </c>
      <c r="H33" s="65">
        <f t="shared" si="5"/>
        <v>0</v>
      </c>
      <c r="I33" s="65">
        <f t="shared" si="5"/>
        <v>0</v>
      </c>
      <c r="J33" s="65">
        <f t="shared" si="5"/>
        <v>0</v>
      </c>
      <c r="K33" s="65">
        <f t="shared" si="5"/>
        <v>0</v>
      </c>
      <c r="L33" s="65">
        <f t="shared" si="5"/>
        <v>0</v>
      </c>
      <c r="M33" s="65">
        <f t="shared" si="5"/>
        <v>0</v>
      </c>
      <c r="N33" s="65">
        <f t="shared" si="5"/>
        <v>0</v>
      </c>
      <c r="O33" s="65">
        <f t="shared" si="5"/>
        <v>0</v>
      </c>
      <c r="P33" s="64"/>
      <c r="Q33" s="62">
        <f>SUM(F33:O33)</f>
        <v>0</v>
      </c>
    </row>
    <row r="35" spans="4:22">
      <c r="N35" s="62" t="s">
        <v>830</v>
      </c>
      <c r="O35" s="62">
        <f>Q30</f>
        <v>0</v>
      </c>
    </row>
    <row r="38" spans="4:22">
      <c r="D38" s="69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1">
        <f>Q26+Q33</f>
        <v>2957.5</v>
      </c>
      <c r="R38" s="70"/>
      <c r="S38" s="70"/>
      <c r="T38" s="70"/>
      <c r="U38" s="70"/>
      <c r="V38" s="70"/>
    </row>
  </sheetData>
  <customSheetViews>
    <customSheetView guid="{7DA3F3CC-1588-489F-B8A9-3FAFF8097049}">
      <selection activeCell="Q26" sqref="Q26"/>
      <pageMargins left="0.7" right="0.7" top="0.75" bottom="0.75" header="0.3" footer="0.3"/>
    </customSheetView>
    <customSheetView guid="{6034D056-81D7-49B7-9FD6-B49DF2C1DBFE}">
      <selection activeCell="Q26" sqref="Q26"/>
      <pageMargins left="0.7" right="0.7" top="0.75" bottom="0.75" header="0.3" footer="0.3"/>
    </customSheetView>
  </customSheetViews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K643"/>
  <sheetViews>
    <sheetView workbookViewId="0">
      <pane ySplit="5" topLeftCell="A27" activePane="bottomLeft" state="frozen"/>
      <selection pane="bottomLeft" activeCell="A37" sqref="A37"/>
    </sheetView>
  </sheetViews>
  <sheetFormatPr defaultRowHeight="12.75"/>
  <cols>
    <col min="1" max="1" width="18.28515625" customWidth="1"/>
    <col min="15" max="15" width="17.5703125" customWidth="1"/>
  </cols>
  <sheetData>
    <row r="1" spans="1:37">
      <c r="A1" s="1"/>
      <c r="B1" s="1" t="s">
        <v>1</v>
      </c>
      <c r="C1" s="1" t="s">
        <v>2</v>
      </c>
      <c r="D1" s="2" t="s">
        <v>3</v>
      </c>
      <c r="E1" s="3"/>
      <c r="F1" s="1" t="s">
        <v>4</v>
      </c>
      <c r="G1" s="1" t="s">
        <v>1</v>
      </c>
      <c r="H1" s="2" t="s">
        <v>5</v>
      </c>
      <c r="I1" s="3"/>
      <c r="J1" s="4" t="s">
        <v>7</v>
      </c>
      <c r="K1" s="3"/>
      <c r="L1" s="2" t="s">
        <v>8</v>
      </c>
      <c r="M1" s="3"/>
      <c r="N1" s="1" t="s">
        <v>230</v>
      </c>
      <c r="O1" s="1"/>
      <c r="P1" s="28" t="s">
        <v>232</v>
      </c>
      <c r="Q1" s="1" t="s">
        <v>1</v>
      </c>
      <c r="R1" s="1" t="s">
        <v>2</v>
      </c>
      <c r="S1" s="2" t="s">
        <v>3</v>
      </c>
      <c r="T1" s="3"/>
      <c r="U1" s="1" t="s">
        <v>4</v>
      </c>
      <c r="V1" s="1" t="s">
        <v>1</v>
      </c>
      <c r="W1" s="2" t="s">
        <v>233</v>
      </c>
      <c r="X1" s="3"/>
      <c r="Y1" s="2" t="s">
        <v>5</v>
      </c>
      <c r="Z1" s="3"/>
      <c r="AA1" s="4" t="s">
        <v>6</v>
      </c>
      <c r="AB1" s="3"/>
      <c r="AC1" s="4" t="s">
        <v>7</v>
      </c>
      <c r="AD1" s="3"/>
      <c r="AE1" s="2" t="s">
        <v>8</v>
      </c>
      <c r="AF1" s="3"/>
      <c r="AG1" s="1" t="s">
        <v>234</v>
      </c>
      <c r="AH1" s="1" t="s">
        <v>235</v>
      </c>
      <c r="AI1" s="29" t="s">
        <v>236</v>
      </c>
      <c r="AJ1" s="29" t="s">
        <v>235</v>
      </c>
      <c r="AK1" s="1" t="s">
        <v>230</v>
      </c>
    </row>
    <row r="2" spans="1:37">
      <c r="A2" s="5"/>
      <c r="B2" s="5" t="s">
        <v>9</v>
      </c>
      <c r="C2" s="7" t="s">
        <v>9</v>
      </c>
      <c r="D2" s="8" t="s">
        <v>10</v>
      </c>
      <c r="E2" s="9" t="s">
        <v>11</v>
      </c>
      <c r="F2" s="6" t="s">
        <v>6</v>
      </c>
      <c r="G2" s="5" t="s">
        <v>12</v>
      </c>
      <c r="H2" s="10" t="s">
        <v>13</v>
      </c>
      <c r="I2" s="11"/>
      <c r="J2" s="12" t="s">
        <v>14</v>
      </c>
      <c r="K2" s="11"/>
      <c r="L2" s="10" t="s">
        <v>14</v>
      </c>
      <c r="M2" s="13"/>
      <c r="N2" s="5" t="s">
        <v>9</v>
      </c>
      <c r="O2" s="5"/>
      <c r="P2" s="6" t="s">
        <v>237</v>
      </c>
      <c r="Q2" s="5" t="s">
        <v>9</v>
      </c>
      <c r="R2" s="7" t="s">
        <v>9</v>
      </c>
      <c r="S2" s="8" t="s">
        <v>10</v>
      </c>
      <c r="T2" s="9" t="s">
        <v>11</v>
      </c>
      <c r="U2" s="6" t="s">
        <v>6</v>
      </c>
      <c r="V2" s="5" t="s">
        <v>12</v>
      </c>
      <c r="W2" s="10" t="s">
        <v>238</v>
      </c>
      <c r="X2" s="11"/>
      <c r="Y2" s="10" t="s">
        <v>13</v>
      </c>
      <c r="Z2" s="11"/>
      <c r="AA2" s="12" t="s">
        <v>239</v>
      </c>
      <c r="AB2" s="11"/>
      <c r="AC2" s="12" t="s">
        <v>14</v>
      </c>
      <c r="AD2" s="11"/>
      <c r="AE2" s="10" t="s">
        <v>14</v>
      </c>
      <c r="AF2" s="13"/>
      <c r="AG2" s="5" t="s">
        <v>240</v>
      </c>
      <c r="AH2" s="5" t="s">
        <v>241</v>
      </c>
      <c r="AI2" s="14" t="s">
        <v>242</v>
      </c>
      <c r="AJ2" s="14" t="s">
        <v>242</v>
      </c>
      <c r="AK2" s="5" t="s">
        <v>9</v>
      </c>
    </row>
    <row r="3" spans="1:37">
      <c r="A3" s="5" t="s">
        <v>15</v>
      </c>
      <c r="B3" s="5" t="s">
        <v>16</v>
      </c>
      <c r="C3" s="7" t="s">
        <v>16</v>
      </c>
      <c r="D3" s="15"/>
      <c r="E3" s="14"/>
      <c r="F3" s="16"/>
      <c r="G3" s="5" t="s">
        <v>17</v>
      </c>
      <c r="H3" s="1" t="s">
        <v>18</v>
      </c>
      <c r="I3" s="1" t="s">
        <v>19</v>
      </c>
      <c r="J3" s="1" t="s">
        <v>18</v>
      </c>
      <c r="K3" s="1" t="s">
        <v>19</v>
      </c>
      <c r="L3" s="1" t="s">
        <v>18</v>
      </c>
      <c r="M3" s="1" t="s">
        <v>19</v>
      </c>
      <c r="N3" s="5" t="s">
        <v>16</v>
      </c>
      <c r="O3" s="5" t="s">
        <v>15</v>
      </c>
      <c r="P3" s="6" t="s">
        <v>243</v>
      </c>
      <c r="Q3" s="5" t="s">
        <v>16</v>
      </c>
      <c r="R3" s="7" t="s">
        <v>16</v>
      </c>
      <c r="S3" s="15"/>
      <c r="T3" s="14"/>
      <c r="U3" s="16"/>
      <c r="V3" s="5" t="s">
        <v>17</v>
      </c>
      <c r="W3" s="1" t="s">
        <v>11</v>
      </c>
      <c r="X3" s="1" t="s">
        <v>10</v>
      </c>
      <c r="Y3" s="1" t="s">
        <v>18</v>
      </c>
      <c r="Z3" s="1" t="s">
        <v>19</v>
      </c>
      <c r="AA3" s="1" t="s">
        <v>18</v>
      </c>
      <c r="AB3" s="1" t="s">
        <v>19</v>
      </c>
      <c r="AC3" s="1" t="s">
        <v>18</v>
      </c>
      <c r="AD3" s="1" t="s">
        <v>19</v>
      </c>
      <c r="AE3" s="1" t="s">
        <v>18</v>
      </c>
      <c r="AF3" s="1" t="s">
        <v>19</v>
      </c>
      <c r="AG3" s="17"/>
      <c r="AH3" s="17"/>
      <c r="AI3" s="30"/>
      <c r="AJ3" s="30"/>
      <c r="AK3" s="5" t="s">
        <v>16</v>
      </c>
    </row>
    <row r="4" spans="1:37" ht="15.75">
      <c r="A4" s="17"/>
      <c r="B4" s="5" t="s">
        <v>20</v>
      </c>
      <c r="C4" s="7" t="s">
        <v>21</v>
      </c>
      <c r="D4" s="7" t="s">
        <v>22</v>
      </c>
      <c r="E4" s="5" t="s">
        <v>23</v>
      </c>
      <c r="F4" s="6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29</v>
      </c>
      <c r="L4" s="5" t="s">
        <v>30</v>
      </c>
      <c r="M4" s="5" t="s">
        <v>31</v>
      </c>
      <c r="N4" s="5" t="s">
        <v>231</v>
      </c>
      <c r="O4" s="17"/>
      <c r="P4" s="6" t="s">
        <v>244</v>
      </c>
      <c r="Q4" s="5" t="s">
        <v>20</v>
      </c>
      <c r="R4" s="7" t="s">
        <v>21</v>
      </c>
      <c r="S4" s="7" t="s">
        <v>22</v>
      </c>
      <c r="T4" s="5" t="s">
        <v>23</v>
      </c>
      <c r="U4" s="6" t="s">
        <v>24</v>
      </c>
      <c r="V4" s="5" t="s">
        <v>25</v>
      </c>
      <c r="W4" s="5" t="s">
        <v>245</v>
      </c>
      <c r="X4" s="5" t="s">
        <v>246</v>
      </c>
      <c r="Y4" s="5" t="s">
        <v>26</v>
      </c>
      <c r="Z4" s="5" t="s">
        <v>27</v>
      </c>
      <c r="AA4" s="5" t="s">
        <v>247</v>
      </c>
      <c r="AB4" s="5" t="s">
        <v>248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249</v>
      </c>
      <c r="AH4" s="5" t="s">
        <v>250</v>
      </c>
      <c r="AI4" s="5" t="s">
        <v>251</v>
      </c>
      <c r="AJ4" s="5" t="s">
        <v>252</v>
      </c>
      <c r="AK4" s="5" t="s">
        <v>231</v>
      </c>
    </row>
    <row r="5" spans="1:37" ht="14.25">
      <c r="A5" s="18"/>
      <c r="B5" s="20" t="s">
        <v>32</v>
      </c>
      <c r="C5" s="21" t="s">
        <v>32</v>
      </c>
      <c r="D5" s="21" t="s">
        <v>32</v>
      </c>
      <c r="E5" s="20" t="s">
        <v>32</v>
      </c>
      <c r="F5" s="19" t="s">
        <v>32</v>
      </c>
      <c r="G5" s="20" t="s">
        <v>32</v>
      </c>
      <c r="H5" s="20" t="s">
        <v>33</v>
      </c>
      <c r="I5" s="20" t="s">
        <v>33</v>
      </c>
      <c r="J5" s="20" t="s">
        <v>34</v>
      </c>
      <c r="K5" s="20" t="s">
        <v>34</v>
      </c>
      <c r="L5" s="20" t="s">
        <v>34</v>
      </c>
      <c r="M5" s="20" t="s">
        <v>34</v>
      </c>
      <c r="N5" s="20" t="s">
        <v>256</v>
      </c>
      <c r="O5" s="18"/>
      <c r="P5" s="19" t="s">
        <v>253</v>
      </c>
      <c r="Q5" s="20" t="s">
        <v>32</v>
      </c>
      <c r="R5" s="21" t="s">
        <v>32</v>
      </c>
      <c r="S5" s="21" t="s">
        <v>32</v>
      </c>
      <c r="T5" s="20" t="s">
        <v>32</v>
      </c>
      <c r="U5" s="19" t="s">
        <v>32</v>
      </c>
      <c r="V5" s="20" t="s">
        <v>32</v>
      </c>
      <c r="W5" s="20" t="s">
        <v>244</v>
      </c>
      <c r="X5" s="20" t="s">
        <v>244</v>
      </c>
      <c r="Y5" s="20" t="s">
        <v>33</v>
      </c>
      <c r="Z5" s="20" t="s">
        <v>33</v>
      </c>
      <c r="AA5" s="20" t="s">
        <v>254</v>
      </c>
      <c r="AB5" s="20" t="s">
        <v>254</v>
      </c>
      <c r="AC5" s="20" t="s">
        <v>34</v>
      </c>
      <c r="AD5" s="20" t="s">
        <v>34</v>
      </c>
      <c r="AE5" s="20" t="s">
        <v>34</v>
      </c>
      <c r="AF5" s="20" t="s">
        <v>34</v>
      </c>
      <c r="AG5" s="20" t="s">
        <v>244</v>
      </c>
      <c r="AH5" s="20" t="s">
        <v>244</v>
      </c>
      <c r="AI5" s="20" t="s">
        <v>255</v>
      </c>
      <c r="AJ5" s="20" t="s">
        <v>33</v>
      </c>
      <c r="AK5" s="20" t="s">
        <v>256</v>
      </c>
    </row>
    <row r="6" spans="1:37">
      <c r="A6" s="22" t="s">
        <v>35</v>
      </c>
      <c r="B6" s="23">
        <v>98</v>
      </c>
      <c r="C6" s="23">
        <v>55</v>
      </c>
      <c r="D6" s="23">
        <v>3.6</v>
      </c>
      <c r="E6" s="23">
        <v>4.7</v>
      </c>
      <c r="F6" s="23">
        <v>7</v>
      </c>
      <c r="G6" s="23">
        <v>74.599999999999994</v>
      </c>
      <c r="H6" s="23">
        <v>141</v>
      </c>
      <c r="I6" s="23">
        <v>13.1</v>
      </c>
      <c r="J6" s="23">
        <v>28.8</v>
      </c>
      <c r="K6" s="23">
        <v>4.7699999999999996</v>
      </c>
      <c r="L6" s="23">
        <v>33</v>
      </c>
      <c r="M6" s="23">
        <v>7.54</v>
      </c>
      <c r="N6" s="31">
        <v>8.7799999999999994</v>
      </c>
      <c r="O6" s="22" t="s">
        <v>35</v>
      </c>
      <c r="P6" s="23">
        <v>6.9</v>
      </c>
      <c r="Q6" s="23">
        <v>98</v>
      </c>
      <c r="R6" s="23">
        <v>55</v>
      </c>
      <c r="S6" s="23">
        <v>3.6</v>
      </c>
      <c r="T6" s="23">
        <v>4.7</v>
      </c>
      <c r="U6" s="23">
        <v>7</v>
      </c>
      <c r="V6" s="23">
        <v>74.599999999999994</v>
      </c>
      <c r="W6" s="23">
        <v>5.85</v>
      </c>
      <c r="X6" s="23">
        <v>20.7</v>
      </c>
      <c r="Y6" s="23">
        <v>141</v>
      </c>
      <c r="Z6" s="23">
        <v>13.1</v>
      </c>
      <c r="AA6" s="23">
        <v>4.01</v>
      </c>
      <c r="AB6" s="23">
        <v>1.22</v>
      </c>
      <c r="AC6" s="23">
        <v>28.8</v>
      </c>
      <c r="AD6" s="23">
        <v>4.7699999999999996</v>
      </c>
      <c r="AE6" s="23">
        <v>33</v>
      </c>
      <c r="AF6" s="23">
        <v>7.54</v>
      </c>
      <c r="AG6" s="23">
        <v>0.876</v>
      </c>
      <c r="AH6" s="23">
        <v>18.399999999999999</v>
      </c>
      <c r="AI6" s="23">
        <v>0</v>
      </c>
      <c r="AJ6" s="23">
        <v>0.72699999999999998</v>
      </c>
      <c r="AK6" s="31">
        <v>8.7799999999999994</v>
      </c>
    </row>
    <row r="7" spans="1:37">
      <c r="A7" s="24" t="s">
        <v>36</v>
      </c>
      <c r="B7" s="25">
        <v>100</v>
      </c>
      <c r="C7" s="25">
        <v>55</v>
      </c>
      <c r="D7" s="25">
        <v>4.0999999999999996</v>
      </c>
      <c r="E7" s="25">
        <v>5.7</v>
      </c>
      <c r="F7" s="25">
        <v>7</v>
      </c>
      <c r="G7" s="25">
        <v>74.599999999999994</v>
      </c>
      <c r="H7" s="25">
        <v>171</v>
      </c>
      <c r="I7" s="25">
        <v>15.9</v>
      </c>
      <c r="J7" s="25">
        <v>34.200000000000003</v>
      </c>
      <c r="K7" s="25">
        <v>5.79</v>
      </c>
      <c r="L7" s="25">
        <v>39.4</v>
      </c>
      <c r="M7" s="25">
        <v>9.15</v>
      </c>
      <c r="N7" s="32">
        <v>10.3</v>
      </c>
      <c r="O7" s="24" t="s">
        <v>36</v>
      </c>
      <c r="P7" s="25">
        <v>8.1</v>
      </c>
      <c r="Q7" s="25">
        <v>100</v>
      </c>
      <c r="R7" s="25">
        <v>55</v>
      </c>
      <c r="S7" s="25">
        <v>4.0999999999999996</v>
      </c>
      <c r="T7" s="25">
        <v>5.7</v>
      </c>
      <c r="U7" s="25">
        <v>7</v>
      </c>
      <c r="V7" s="25">
        <v>74.599999999999994</v>
      </c>
      <c r="W7" s="25">
        <v>4.82</v>
      </c>
      <c r="X7" s="25">
        <v>18.2</v>
      </c>
      <c r="Y7" s="25">
        <v>171</v>
      </c>
      <c r="Z7" s="25">
        <v>15.9</v>
      </c>
      <c r="AA7" s="25">
        <v>4.07</v>
      </c>
      <c r="AB7" s="25">
        <v>1.24</v>
      </c>
      <c r="AC7" s="25">
        <v>34.200000000000003</v>
      </c>
      <c r="AD7" s="25">
        <v>5.79</v>
      </c>
      <c r="AE7" s="25">
        <v>39.4</v>
      </c>
      <c r="AF7" s="25">
        <v>9.15</v>
      </c>
      <c r="AG7" s="25">
        <v>0.878</v>
      </c>
      <c r="AH7" s="25">
        <v>15.9</v>
      </c>
      <c r="AI7" s="25">
        <v>0</v>
      </c>
      <c r="AJ7" s="25">
        <v>1.1599999999999999</v>
      </c>
      <c r="AK7" s="32">
        <v>10.3</v>
      </c>
    </row>
    <row r="8" spans="1:37">
      <c r="A8" s="26" t="s">
        <v>37</v>
      </c>
      <c r="B8" s="27">
        <v>117.6</v>
      </c>
      <c r="C8" s="27">
        <v>64</v>
      </c>
      <c r="D8" s="27">
        <v>3.8</v>
      </c>
      <c r="E8" s="27">
        <v>5.0999999999999996</v>
      </c>
      <c r="F8" s="27">
        <v>7</v>
      </c>
      <c r="G8" s="27">
        <v>93.4</v>
      </c>
      <c r="H8" s="27">
        <v>257</v>
      </c>
      <c r="I8" s="27">
        <v>22.4</v>
      </c>
      <c r="J8" s="27">
        <v>43.8</v>
      </c>
      <c r="K8" s="27">
        <v>7</v>
      </c>
      <c r="L8" s="27">
        <v>49.9</v>
      </c>
      <c r="M8" s="27">
        <v>11</v>
      </c>
      <c r="N8" s="33">
        <v>11</v>
      </c>
      <c r="O8" s="26" t="s">
        <v>37</v>
      </c>
      <c r="P8" s="27">
        <v>8.6999999999999993</v>
      </c>
      <c r="Q8" s="27">
        <v>117.6</v>
      </c>
      <c r="R8" s="27">
        <v>64</v>
      </c>
      <c r="S8" s="27">
        <v>3.8</v>
      </c>
      <c r="T8" s="27">
        <v>5.0999999999999996</v>
      </c>
      <c r="U8" s="27">
        <v>7</v>
      </c>
      <c r="V8" s="27">
        <v>93.4</v>
      </c>
      <c r="W8" s="27">
        <v>6.27</v>
      </c>
      <c r="X8" s="27">
        <v>24.6</v>
      </c>
      <c r="Y8" s="27">
        <v>257</v>
      </c>
      <c r="Z8" s="27">
        <v>22.4</v>
      </c>
      <c r="AA8" s="27">
        <v>4.83</v>
      </c>
      <c r="AB8" s="27">
        <v>1.42</v>
      </c>
      <c r="AC8" s="27">
        <v>43.8</v>
      </c>
      <c r="AD8" s="27">
        <v>7</v>
      </c>
      <c r="AE8" s="27">
        <v>49.9</v>
      </c>
      <c r="AF8" s="27">
        <v>11</v>
      </c>
      <c r="AG8" s="27">
        <v>0.876</v>
      </c>
      <c r="AH8" s="27">
        <v>21.2</v>
      </c>
      <c r="AI8" s="27">
        <v>1E-3</v>
      </c>
      <c r="AJ8" s="27">
        <v>0.996</v>
      </c>
      <c r="AK8" s="33">
        <v>11</v>
      </c>
    </row>
    <row r="9" spans="1:37">
      <c r="A9" s="24" t="s">
        <v>38</v>
      </c>
      <c r="B9" s="25">
        <v>120</v>
      </c>
      <c r="C9" s="25">
        <v>64</v>
      </c>
      <c r="D9" s="25">
        <v>4.4000000000000004</v>
      </c>
      <c r="E9" s="25">
        <v>6.3</v>
      </c>
      <c r="F9" s="25">
        <v>7</v>
      </c>
      <c r="G9" s="25">
        <v>93.4</v>
      </c>
      <c r="H9" s="25">
        <v>318</v>
      </c>
      <c r="I9" s="25">
        <v>27.7</v>
      </c>
      <c r="J9" s="25">
        <v>53</v>
      </c>
      <c r="K9" s="25">
        <v>8.65</v>
      </c>
      <c r="L9" s="25">
        <v>60.7</v>
      </c>
      <c r="M9" s="25">
        <v>13.6</v>
      </c>
      <c r="N9" s="32">
        <v>13.2</v>
      </c>
      <c r="O9" s="24" t="s">
        <v>38</v>
      </c>
      <c r="P9" s="25">
        <v>10.4</v>
      </c>
      <c r="Q9" s="25">
        <v>120</v>
      </c>
      <c r="R9" s="25">
        <v>64</v>
      </c>
      <c r="S9" s="25">
        <v>4.4000000000000004</v>
      </c>
      <c r="T9" s="25">
        <v>6.3</v>
      </c>
      <c r="U9" s="25">
        <v>7</v>
      </c>
      <c r="V9" s="25">
        <v>93.4</v>
      </c>
      <c r="W9" s="25">
        <v>5.08</v>
      </c>
      <c r="X9" s="25">
        <v>21.2</v>
      </c>
      <c r="Y9" s="25">
        <v>318</v>
      </c>
      <c r="Z9" s="25">
        <v>27.7</v>
      </c>
      <c r="AA9" s="25">
        <v>4.9000000000000004</v>
      </c>
      <c r="AB9" s="25">
        <v>1.45</v>
      </c>
      <c r="AC9" s="25">
        <v>53</v>
      </c>
      <c r="AD9" s="25">
        <v>8.65</v>
      </c>
      <c r="AE9" s="25">
        <v>60.7</v>
      </c>
      <c r="AF9" s="25">
        <v>13.6</v>
      </c>
      <c r="AG9" s="25">
        <v>0.879</v>
      </c>
      <c r="AH9" s="25">
        <v>18</v>
      </c>
      <c r="AI9" s="25">
        <v>1E-3</v>
      </c>
      <c r="AJ9" s="25">
        <v>1.69</v>
      </c>
      <c r="AK9" s="32">
        <v>13.2</v>
      </c>
    </row>
    <row r="10" spans="1:37">
      <c r="A10" s="26" t="s">
        <v>39</v>
      </c>
      <c r="B10" s="27">
        <v>137.4</v>
      </c>
      <c r="C10" s="27">
        <v>73</v>
      </c>
      <c r="D10" s="27">
        <v>3.8</v>
      </c>
      <c r="E10" s="27">
        <v>5.6</v>
      </c>
      <c r="F10" s="27">
        <v>7</v>
      </c>
      <c r="G10" s="27">
        <v>112.2</v>
      </c>
      <c r="H10" s="27">
        <v>435</v>
      </c>
      <c r="I10" s="27">
        <v>36.4</v>
      </c>
      <c r="J10" s="27">
        <v>63.3</v>
      </c>
      <c r="K10" s="27">
        <v>9.98</v>
      </c>
      <c r="L10" s="27">
        <v>71.599999999999994</v>
      </c>
      <c r="M10" s="27">
        <v>15.5</v>
      </c>
      <c r="N10" s="33">
        <v>13.4</v>
      </c>
      <c r="O10" s="26" t="s">
        <v>39</v>
      </c>
      <c r="P10" s="27">
        <v>10.5</v>
      </c>
      <c r="Q10" s="27">
        <v>137.4</v>
      </c>
      <c r="R10" s="27">
        <v>73</v>
      </c>
      <c r="S10" s="27">
        <v>3.8</v>
      </c>
      <c r="T10" s="27">
        <v>5.6</v>
      </c>
      <c r="U10" s="27">
        <v>7</v>
      </c>
      <c r="V10" s="27">
        <v>112.2</v>
      </c>
      <c r="W10" s="27">
        <v>6.52</v>
      </c>
      <c r="X10" s="27">
        <v>29.5</v>
      </c>
      <c r="Y10" s="27">
        <v>435</v>
      </c>
      <c r="Z10" s="27">
        <v>36.4</v>
      </c>
      <c r="AA10" s="27">
        <v>5.7</v>
      </c>
      <c r="AB10" s="27">
        <v>1.65</v>
      </c>
      <c r="AC10" s="27">
        <v>63.3</v>
      </c>
      <c r="AD10" s="27">
        <v>9.98</v>
      </c>
      <c r="AE10" s="27">
        <v>71.599999999999994</v>
      </c>
      <c r="AF10" s="27">
        <v>15.5</v>
      </c>
      <c r="AG10" s="27">
        <v>0.88100000000000001</v>
      </c>
      <c r="AH10" s="27">
        <v>23.6</v>
      </c>
      <c r="AI10" s="27">
        <v>2E-3</v>
      </c>
      <c r="AJ10" s="27">
        <v>1.34</v>
      </c>
      <c r="AK10" s="33">
        <v>13.4</v>
      </c>
    </row>
    <row r="11" spans="1:37">
      <c r="A11" s="26" t="s">
        <v>40</v>
      </c>
      <c r="B11" s="27">
        <v>140</v>
      </c>
      <c r="C11" s="27">
        <v>73</v>
      </c>
      <c r="D11" s="27">
        <v>4.7</v>
      </c>
      <c r="E11" s="27">
        <v>6.9</v>
      </c>
      <c r="F11" s="27">
        <v>7</v>
      </c>
      <c r="G11" s="27">
        <v>112.2</v>
      </c>
      <c r="H11" s="27">
        <v>541</v>
      </c>
      <c r="I11" s="27">
        <v>44.9</v>
      </c>
      <c r="J11" s="27">
        <v>77.3</v>
      </c>
      <c r="K11" s="27">
        <v>12.3</v>
      </c>
      <c r="L11" s="27">
        <v>88.3</v>
      </c>
      <c r="M11" s="27">
        <v>19.2</v>
      </c>
      <c r="N11" s="33">
        <v>16.399999999999999</v>
      </c>
      <c r="O11" s="26" t="s">
        <v>40</v>
      </c>
      <c r="P11" s="27">
        <v>12.9</v>
      </c>
      <c r="Q11" s="27">
        <v>140</v>
      </c>
      <c r="R11" s="27">
        <v>73</v>
      </c>
      <c r="S11" s="27">
        <v>4.7</v>
      </c>
      <c r="T11" s="27">
        <v>6.9</v>
      </c>
      <c r="U11" s="27">
        <v>7</v>
      </c>
      <c r="V11" s="27">
        <v>112.2</v>
      </c>
      <c r="W11" s="27">
        <v>5.29</v>
      </c>
      <c r="X11" s="27">
        <v>23.9</v>
      </c>
      <c r="Y11" s="27">
        <v>541</v>
      </c>
      <c r="Z11" s="27">
        <v>44.9</v>
      </c>
      <c r="AA11" s="27">
        <v>5.74</v>
      </c>
      <c r="AB11" s="27">
        <v>1.65</v>
      </c>
      <c r="AC11" s="27">
        <v>77.3</v>
      </c>
      <c r="AD11" s="27">
        <v>12.3</v>
      </c>
      <c r="AE11" s="27">
        <v>88.3</v>
      </c>
      <c r="AF11" s="27">
        <v>19.2</v>
      </c>
      <c r="AG11" s="27">
        <v>0.88</v>
      </c>
      <c r="AH11" s="27">
        <v>19.7</v>
      </c>
      <c r="AI11" s="27">
        <v>2E-3</v>
      </c>
      <c r="AJ11" s="27">
        <v>2.4</v>
      </c>
      <c r="AK11" s="33">
        <v>16.399999999999999</v>
      </c>
    </row>
    <row r="12" spans="1:37">
      <c r="A12" s="24" t="s">
        <v>41</v>
      </c>
      <c r="B12" s="25">
        <v>142</v>
      </c>
      <c r="C12" s="25">
        <v>72</v>
      </c>
      <c r="D12" s="25">
        <v>5.3</v>
      </c>
      <c r="E12" s="25">
        <v>7.8</v>
      </c>
      <c r="F12" s="25">
        <v>7</v>
      </c>
      <c r="G12" s="25">
        <v>112.4</v>
      </c>
      <c r="H12" s="25">
        <v>611</v>
      </c>
      <c r="I12" s="25">
        <v>48.8</v>
      </c>
      <c r="J12" s="25">
        <v>86.1</v>
      </c>
      <c r="K12" s="25">
        <v>13.5</v>
      </c>
      <c r="L12" s="25">
        <v>99.1</v>
      </c>
      <c r="M12" s="25">
        <v>21.3</v>
      </c>
      <c r="N12" s="32">
        <v>18.399999999999999</v>
      </c>
      <c r="O12" s="24" t="s">
        <v>41</v>
      </c>
      <c r="P12" s="25">
        <v>14.4</v>
      </c>
      <c r="Q12" s="25">
        <v>142</v>
      </c>
      <c r="R12" s="25">
        <v>72</v>
      </c>
      <c r="S12" s="25">
        <v>5.3</v>
      </c>
      <c r="T12" s="25">
        <v>7.8</v>
      </c>
      <c r="U12" s="25">
        <v>7</v>
      </c>
      <c r="V12" s="25">
        <v>112.4</v>
      </c>
      <c r="W12" s="25">
        <v>4.62</v>
      </c>
      <c r="X12" s="25">
        <v>21.2</v>
      </c>
      <c r="Y12" s="25">
        <v>611</v>
      </c>
      <c r="Z12" s="25">
        <v>48.8</v>
      </c>
      <c r="AA12" s="25">
        <v>5.77</v>
      </c>
      <c r="AB12" s="25">
        <v>1.63</v>
      </c>
      <c r="AC12" s="25">
        <v>86.1</v>
      </c>
      <c r="AD12" s="25">
        <v>13.5</v>
      </c>
      <c r="AE12" s="25">
        <v>99.1</v>
      </c>
      <c r="AF12" s="25">
        <v>21.3</v>
      </c>
      <c r="AG12" s="25">
        <v>0.879</v>
      </c>
      <c r="AH12" s="25">
        <v>17.8</v>
      </c>
      <c r="AI12" s="25">
        <v>2E-3</v>
      </c>
      <c r="AJ12" s="25">
        <v>3.36</v>
      </c>
      <c r="AK12" s="32">
        <v>18.399999999999999</v>
      </c>
    </row>
    <row r="13" spans="1:37">
      <c r="A13" s="26" t="s">
        <v>42</v>
      </c>
      <c r="B13" s="27">
        <v>157</v>
      </c>
      <c r="C13" s="27">
        <v>82</v>
      </c>
      <c r="D13" s="27">
        <v>4</v>
      </c>
      <c r="E13" s="27">
        <v>5.9</v>
      </c>
      <c r="F13" s="27">
        <v>9</v>
      </c>
      <c r="G13" s="27">
        <v>127.2</v>
      </c>
      <c r="H13" s="27">
        <v>689</v>
      </c>
      <c r="I13" s="27">
        <v>54.4</v>
      </c>
      <c r="J13" s="27">
        <v>87.8</v>
      </c>
      <c r="K13" s="27">
        <v>13.3</v>
      </c>
      <c r="L13" s="27">
        <v>99.1</v>
      </c>
      <c r="M13" s="27">
        <v>20.7</v>
      </c>
      <c r="N13" s="33">
        <v>16.2</v>
      </c>
      <c r="O13" s="26" t="s">
        <v>42</v>
      </c>
      <c r="P13" s="27">
        <v>12.7</v>
      </c>
      <c r="Q13" s="27">
        <v>157</v>
      </c>
      <c r="R13" s="27">
        <v>82</v>
      </c>
      <c r="S13" s="27">
        <v>4</v>
      </c>
      <c r="T13" s="27">
        <v>5.9</v>
      </c>
      <c r="U13" s="27">
        <v>9</v>
      </c>
      <c r="V13" s="27">
        <v>127.2</v>
      </c>
      <c r="W13" s="27">
        <v>6.95</v>
      </c>
      <c r="X13" s="27">
        <v>31.8</v>
      </c>
      <c r="Y13" s="27">
        <v>689</v>
      </c>
      <c r="Z13" s="27">
        <v>54.4</v>
      </c>
      <c r="AA13" s="27">
        <v>6.53</v>
      </c>
      <c r="AB13" s="27">
        <v>1.83</v>
      </c>
      <c r="AC13" s="27">
        <v>87.8</v>
      </c>
      <c r="AD13" s="27">
        <v>13.3</v>
      </c>
      <c r="AE13" s="27">
        <v>99.1</v>
      </c>
      <c r="AF13" s="27">
        <v>20.7</v>
      </c>
      <c r="AG13" s="27">
        <v>0.88200000000000001</v>
      </c>
      <c r="AH13" s="27">
        <v>24.7</v>
      </c>
      <c r="AI13" s="27">
        <v>3.0000000000000001E-3</v>
      </c>
      <c r="AJ13" s="27">
        <v>1.93</v>
      </c>
      <c r="AK13" s="33">
        <v>16.2</v>
      </c>
    </row>
    <row r="14" spans="1:37">
      <c r="A14" s="26" t="s">
        <v>43</v>
      </c>
      <c r="B14" s="27">
        <v>160</v>
      </c>
      <c r="C14" s="27">
        <v>82</v>
      </c>
      <c r="D14" s="27">
        <v>5</v>
      </c>
      <c r="E14" s="27">
        <v>7.4</v>
      </c>
      <c r="F14" s="27">
        <v>9</v>
      </c>
      <c r="G14" s="27">
        <v>127.2</v>
      </c>
      <c r="H14" s="27">
        <v>869</v>
      </c>
      <c r="I14" s="27">
        <v>68.3</v>
      </c>
      <c r="J14" s="27">
        <v>109</v>
      </c>
      <c r="K14" s="27">
        <v>16.7</v>
      </c>
      <c r="L14" s="27">
        <v>124</v>
      </c>
      <c r="M14" s="27">
        <v>26.1</v>
      </c>
      <c r="N14" s="33">
        <v>20.100000000000001</v>
      </c>
      <c r="O14" s="26" t="s">
        <v>43</v>
      </c>
      <c r="P14" s="27">
        <v>15.8</v>
      </c>
      <c r="Q14" s="27">
        <v>160</v>
      </c>
      <c r="R14" s="27">
        <v>82</v>
      </c>
      <c r="S14" s="27">
        <v>5</v>
      </c>
      <c r="T14" s="27">
        <v>7.4</v>
      </c>
      <c r="U14" s="27">
        <v>9</v>
      </c>
      <c r="V14" s="27">
        <v>127.2</v>
      </c>
      <c r="W14" s="27">
        <v>5.54</v>
      </c>
      <c r="X14" s="27">
        <v>25.4</v>
      </c>
      <c r="Y14" s="27">
        <v>869</v>
      </c>
      <c r="Z14" s="27">
        <v>68.3</v>
      </c>
      <c r="AA14" s="27">
        <v>6.58</v>
      </c>
      <c r="AB14" s="27">
        <v>1.84</v>
      </c>
      <c r="AC14" s="27">
        <v>109</v>
      </c>
      <c r="AD14" s="27">
        <v>16.7</v>
      </c>
      <c r="AE14" s="27">
        <v>124</v>
      </c>
      <c r="AF14" s="27">
        <v>26.1</v>
      </c>
      <c r="AG14" s="27">
        <v>0.88100000000000001</v>
      </c>
      <c r="AH14" s="27">
        <v>20.6</v>
      </c>
      <c r="AI14" s="27">
        <v>4.0000000000000001E-3</v>
      </c>
      <c r="AJ14" s="27">
        <v>3.54</v>
      </c>
      <c r="AK14" s="33">
        <v>20.100000000000001</v>
      </c>
    </row>
    <row r="15" spans="1:37">
      <c r="A15" s="24" t="s">
        <v>44</v>
      </c>
      <c r="B15" s="25">
        <v>162</v>
      </c>
      <c r="C15" s="25">
        <v>81</v>
      </c>
      <c r="D15" s="25">
        <v>5.6</v>
      </c>
      <c r="E15" s="25">
        <v>8.5</v>
      </c>
      <c r="F15" s="25">
        <v>9</v>
      </c>
      <c r="G15" s="25">
        <v>127</v>
      </c>
      <c r="H15" s="25">
        <v>989</v>
      </c>
      <c r="I15" s="25">
        <v>75.7</v>
      </c>
      <c r="J15" s="25">
        <v>122</v>
      </c>
      <c r="K15" s="25">
        <v>18.7</v>
      </c>
      <c r="L15" s="25">
        <v>140</v>
      </c>
      <c r="M15" s="25">
        <v>29.4</v>
      </c>
      <c r="N15" s="32">
        <v>22.6</v>
      </c>
      <c r="O15" s="24" t="s">
        <v>44</v>
      </c>
      <c r="P15" s="25">
        <v>17.7</v>
      </c>
      <c r="Q15" s="25">
        <v>162</v>
      </c>
      <c r="R15" s="25">
        <v>81</v>
      </c>
      <c r="S15" s="25">
        <v>5.6</v>
      </c>
      <c r="T15" s="25">
        <v>8.5</v>
      </c>
      <c r="U15" s="25">
        <v>9</v>
      </c>
      <c r="V15" s="25">
        <v>127</v>
      </c>
      <c r="W15" s="25">
        <v>4.76</v>
      </c>
      <c r="X15" s="25">
        <v>22.7</v>
      </c>
      <c r="Y15" s="25">
        <v>989</v>
      </c>
      <c r="Z15" s="25">
        <v>75.7</v>
      </c>
      <c r="AA15" s="25">
        <v>6.62</v>
      </c>
      <c r="AB15" s="25">
        <v>1.83</v>
      </c>
      <c r="AC15" s="25">
        <v>122</v>
      </c>
      <c r="AD15" s="25">
        <v>18.7</v>
      </c>
      <c r="AE15" s="25">
        <v>140</v>
      </c>
      <c r="AF15" s="25">
        <v>29.4</v>
      </c>
      <c r="AG15" s="25">
        <v>0.88100000000000001</v>
      </c>
      <c r="AH15" s="25">
        <v>18.399999999999999</v>
      </c>
      <c r="AI15" s="25">
        <v>4.0000000000000001E-3</v>
      </c>
      <c r="AJ15" s="25">
        <v>5.05</v>
      </c>
      <c r="AK15" s="32">
        <v>22.6</v>
      </c>
    </row>
    <row r="16" spans="1:37">
      <c r="A16" s="26" t="s">
        <v>45</v>
      </c>
      <c r="B16" s="27">
        <v>177</v>
      </c>
      <c r="C16" s="27">
        <v>91</v>
      </c>
      <c r="D16" s="27">
        <v>4.3</v>
      </c>
      <c r="E16" s="27">
        <v>6.5</v>
      </c>
      <c r="F16" s="27">
        <v>9</v>
      </c>
      <c r="G16" s="27">
        <v>146</v>
      </c>
      <c r="H16" s="27">
        <v>1063</v>
      </c>
      <c r="I16" s="27">
        <v>81.900000000000006</v>
      </c>
      <c r="J16" s="27">
        <v>120</v>
      </c>
      <c r="K16" s="27">
        <v>18</v>
      </c>
      <c r="L16" s="27">
        <v>135</v>
      </c>
      <c r="M16" s="27">
        <v>28</v>
      </c>
      <c r="N16" s="33">
        <v>19.600000000000001</v>
      </c>
      <c r="O16" s="26" t="s">
        <v>45</v>
      </c>
      <c r="P16" s="27">
        <v>15.4</v>
      </c>
      <c r="Q16" s="27">
        <v>177</v>
      </c>
      <c r="R16" s="27">
        <v>91</v>
      </c>
      <c r="S16" s="27">
        <v>4.3</v>
      </c>
      <c r="T16" s="27">
        <v>6.5</v>
      </c>
      <c r="U16" s="27">
        <v>9</v>
      </c>
      <c r="V16" s="27">
        <v>146</v>
      </c>
      <c r="W16" s="27">
        <v>7</v>
      </c>
      <c r="X16" s="27">
        <v>34</v>
      </c>
      <c r="Y16" s="27">
        <v>1063</v>
      </c>
      <c r="Z16" s="27">
        <v>81.900000000000006</v>
      </c>
      <c r="AA16" s="27">
        <v>7.37</v>
      </c>
      <c r="AB16" s="27">
        <v>2.0499999999999998</v>
      </c>
      <c r="AC16" s="27">
        <v>120</v>
      </c>
      <c r="AD16" s="27">
        <v>18</v>
      </c>
      <c r="AE16" s="27">
        <v>135</v>
      </c>
      <c r="AF16" s="27">
        <v>28</v>
      </c>
      <c r="AG16" s="27">
        <v>0.88300000000000001</v>
      </c>
      <c r="AH16" s="27">
        <v>26.1</v>
      </c>
      <c r="AI16" s="27">
        <v>6.0000000000000001E-3</v>
      </c>
      <c r="AJ16" s="27">
        <v>2.67</v>
      </c>
      <c r="AK16" s="33">
        <v>19.600000000000001</v>
      </c>
    </row>
    <row r="17" spans="1:37">
      <c r="A17" s="26" t="s">
        <v>46</v>
      </c>
      <c r="B17" s="27">
        <v>180</v>
      </c>
      <c r="C17" s="27">
        <v>91</v>
      </c>
      <c r="D17" s="27">
        <v>5.3</v>
      </c>
      <c r="E17" s="27">
        <v>8</v>
      </c>
      <c r="F17" s="27">
        <v>9</v>
      </c>
      <c r="G17" s="27">
        <v>146</v>
      </c>
      <c r="H17" s="27">
        <v>1317</v>
      </c>
      <c r="I17" s="27">
        <v>101</v>
      </c>
      <c r="J17" s="27">
        <v>146</v>
      </c>
      <c r="K17" s="27">
        <v>22.2</v>
      </c>
      <c r="L17" s="27">
        <v>166</v>
      </c>
      <c r="M17" s="27">
        <v>34.6</v>
      </c>
      <c r="N17" s="33">
        <v>23.9</v>
      </c>
      <c r="O17" s="26" t="s">
        <v>46</v>
      </c>
      <c r="P17" s="27">
        <v>18.8</v>
      </c>
      <c r="Q17" s="27">
        <v>180</v>
      </c>
      <c r="R17" s="27">
        <v>91</v>
      </c>
      <c r="S17" s="27">
        <v>5.3</v>
      </c>
      <c r="T17" s="27">
        <v>8</v>
      </c>
      <c r="U17" s="27">
        <v>9</v>
      </c>
      <c r="V17" s="27">
        <v>146</v>
      </c>
      <c r="W17" s="27">
        <v>5.69</v>
      </c>
      <c r="X17" s="27">
        <v>27.5</v>
      </c>
      <c r="Y17" s="27">
        <v>1317</v>
      </c>
      <c r="Z17" s="27">
        <v>101</v>
      </c>
      <c r="AA17" s="27">
        <v>7.42</v>
      </c>
      <c r="AB17" s="27">
        <v>2.0499999999999998</v>
      </c>
      <c r="AC17" s="27">
        <v>146</v>
      </c>
      <c r="AD17" s="27">
        <v>22.2</v>
      </c>
      <c r="AE17" s="27">
        <v>166</v>
      </c>
      <c r="AF17" s="27">
        <v>34.6</v>
      </c>
      <c r="AG17" s="27">
        <v>0.88100000000000001</v>
      </c>
      <c r="AH17" s="27">
        <v>21.9</v>
      </c>
      <c r="AI17" s="27">
        <v>7.0000000000000001E-3</v>
      </c>
      <c r="AJ17" s="27">
        <v>4.7300000000000004</v>
      </c>
      <c r="AK17" s="33">
        <v>23.9</v>
      </c>
    </row>
    <row r="18" spans="1:37">
      <c r="A18" s="26" t="s">
        <v>47</v>
      </c>
      <c r="B18" s="27">
        <v>182</v>
      </c>
      <c r="C18" s="27">
        <v>92</v>
      </c>
      <c r="D18" s="27">
        <v>6</v>
      </c>
      <c r="E18" s="27">
        <v>9</v>
      </c>
      <c r="F18" s="27">
        <v>9</v>
      </c>
      <c r="G18" s="27">
        <v>146</v>
      </c>
      <c r="H18" s="27">
        <v>1505</v>
      </c>
      <c r="I18" s="27">
        <v>117</v>
      </c>
      <c r="J18" s="27">
        <v>165</v>
      </c>
      <c r="K18" s="27">
        <v>25.5</v>
      </c>
      <c r="L18" s="27">
        <v>189</v>
      </c>
      <c r="M18" s="27">
        <v>39.9</v>
      </c>
      <c r="N18" s="33">
        <v>27.1</v>
      </c>
      <c r="O18" s="26" t="s">
        <v>47</v>
      </c>
      <c r="P18" s="27">
        <v>21.3</v>
      </c>
      <c r="Q18" s="27">
        <v>182</v>
      </c>
      <c r="R18" s="27">
        <v>92</v>
      </c>
      <c r="S18" s="27">
        <v>6</v>
      </c>
      <c r="T18" s="27">
        <v>9</v>
      </c>
      <c r="U18" s="27">
        <v>9</v>
      </c>
      <c r="V18" s="27">
        <v>146</v>
      </c>
      <c r="W18" s="27">
        <v>5.1100000000000003</v>
      </c>
      <c r="X18" s="27">
        <v>24.3</v>
      </c>
      <c r="Y18" s="27">
        <v>1505</v>
      </c>
      <c r="Z18" s="27">
        <v>117</v>
      </c>
      <c r="AA18" s="27">
        <v>7.45</v>
      </c>
      <c r="AB18" s="27">
        <v>2.08</v>
      </c>
      <c r="AC18" s="27">
        <v>165</v>
      </c>
      <c r="AD18" s="27">
        <v>25.5</v>
      </c>
      <c r="AE18" s="27">
        <v>189</v>
      </c>
      <c r="AF18" s="27">
        <v>39.9</v>
      </c>
      <c r="AG18" s="27">
        <v>0.88</v>
      </c>
      <c r="AH18" s="27">
        <v>19.8</v>
      </c>
      <c r="AI18" s="27">
        <v>8.9999999999999993E-3</v>
      </c>
      <c r="AJ18" s="27">
        <v>6.65</v>
      </c>
      <c r="AK18" s="33">
        <v>27.1</v>
      </c>
    </row>
    <row r="19" spans="1:37">
      <c r="A19" s="24" t="s">
        <v>48</v>
      </c>
      <c r="B19" s="25">
        <v>183</v>
      </c>
      <c r="C19" s="25">
        <v>89</v>
      </c>
      <c r="D19" s="25">
        <v>6.4</v>
      </c>
      <c r="E19" s="25">
        <v>9.5</v>
      </c>
      <c r="F19" s="25">
        <v>9</v>
      </c>
      <c r="G19" s="25">
        <v>146</v>
      </c>
      <c r="H19" s="25">
        <v>1554</v>
      </c>
      <c r="I19" s="25">
        <v>112</v>
      </c>
      <c r="J19" s="25">
        <v>170</v>
      </c>
      <c r="K19" s="25">
        <v>25.2</v>
      </c>
      <c r="L19" s="25">
        <v>195</v>
      </c>
      <c r="M19" s="25">
        <v>39.700000000000003</v>
      </c>
      <c r="N19" s="32">
        <v>28.1</v>
      </c>
      <c r="O19" s="24" t="s">
        <v>48</v>
      </c>
      <c r="P19" s="25">
        <v>22.1</v>
      </c>
      <c r="Q19" s="25">
        <v>183</v>
      </c>
      <c r="R19" s="25">
        <v>89</v>
      </c>
      <c r="S19" s="25">
        <v>6.4</v>
      </c>
      <c r="T19" s="25">
        <v>9.5</v>
      </c>
      <c r="U19" s="25">
        <v>9</v>
      </c>
      <c r="V19" s="25">
        <v>146</v>
      </c>
      <c r="W19" s="25">
        <v>4.68</v>
      </c>
      <c r="X19" s="25">
        <v>22.8</v>
      </c>
      <c r="Y19" s="25">
        <v>1554</v>
      </c>
      <c r="Z19" s="25">
        <v>112</v>
      </c>
      <c r="AA19" s="25">
        <v>7.44</v>
      </c>
      <c r="AB19" s="25">
        <v>2</v>
      </c>
      <c r="AC19" s="25">
        <v>170</v>
      </c>
      <c r="AD19" s="25">
        <v>25.2</v>
      </c>
      <c r="AE19" s="25">
        <v>195</v>
      </c>
      <c r="AF19" s="25">
        <v>39.700000000000003</v>
      </c>
      <c r="AG19" s="25">
        <v>0.878</v>
      </c>
      <c r="AH19" s="25">
        <v>18.8</v>
      </c>
      <c r="AI19" s="25">
        <v>8.0000000000000002E-3</v>
      </c>
      <c r="AJ19" s="25">
        <v>7.63</v>
      </c>
      <c r="AK19" s="32">
        <v>28.1</v>
      </c>
    </row>
    <row r="20" spans="1:37">
      <c r="A20" s="26" t="s">
        <v>49</v>
      </c>
      <c r="B20" s="27">
        <v>197</v>
      </c>
      <c r="C20" s="27">
        <v>100</v>
      </c>
      <c r="D20" s="27">
        <v>4.5</v>
      </c>
      <c r="E20" s="27">
        <v>7</v>
      </c>
      <c r="F20" s="27">
        <v>12</v>
      </c>
      <c r="G20" s="27">
        <v>159</v>
      </c>
      <c r="H20" s="27">
        <v>1591</v>
      </c>
      <c r="I20" s="27">
        <v>117</v>
      </c>
      <c r="J20" s="27">
        <v>162</v>
      </c>
      <c r="K20" s="27">
        <v>23.4</v>
      </c>
      <c r="L20" s="27">
        <v>182</v>
      </c>
      <c r="M20" s="27">
        <v>36.5</v>
      </c>
      <c r="N20" s="33">
        <v>23.5</v>
      </c>
      <c r="O20" s="26" t="s">
        <v>49</v>
      </c>
      <c r="P20" s="27">
        <v>18.399999999999999</v>
      </c>
      <c r="Q20" s="27">
        <v>197</v>
      </c>
      <c r="R20" s="27">
        <v>100</v>
      </c>
      <c r="S20" s="27">
        <v>4.5</v>
      </c>
      <c r="T20" s="27">
        <v>7</v>
      </c>
      <c r="U20" s="27">
        <v>12</v>
      </c>
      <c r="V20" s="27">
        <v>159</v>
      </c>
      <c r="W20" s="27">
        <v>7.14</v>
      </c>
      <c r="X20" s="27">
        <v>35.299999999999997</v>
      </c>
      <c r="Y20" s="27">
        <v>1591</v>
      </c>
      <c r="Z20" s="27">
        <v>117</v>
      </c>
      <c r="AA20" s="27">
        <v>8.23</v>
      </c>
      <c r="AB20" s="27">
        <v>2.23</v>
      </c>
      <c r="AC20" s="27">
        <v>162</v>
      </c>
      <c r="AD20" s="27">
        <v>23.4</v>
      </c>
      <c r="AE20" s="27">
        <v>182</v>
      </c>
      <c r="AF20" s="27">
        <v>36.5</v>
      </c>
      <c r="AG20" s="27">
        <v>0.88600000000000001</v>
      </c>
      <c r="AH20" s="27">
        <v>25.6</v>
      </c>
      <c r="AI20" s="27">
        <v>1.0999999999999999E-2</v>
      </c>
      <c r="AJ20" s="27">
        <v>4.1399999999999997</v>
      </c>
      <c r="AK20" s="33">
        <v>23.5</v>
      </c>
    </row>
    <row r="21" spans="1:37">
      <c r="A21" s="26" t="s">
        <v>50</v>
      </c>
      <c r="B21" s="27">
        <v>200</v>
      </c>
      <c r="C21" s="27">
        <v>100</v>
      </c>
      <c r="D21" s="27">
        <v>5.6</v>
      </c>
      <c r="E21" s="27">
        <v>8.5</v>
      </c>
      <c r="F21" s="27">
        <v>12</v>
      </c>
      <c r="G21" s="27">
        <v>159</v>
      </c>
      <c r="H21" s="27">
        <v>1943</v>
      </c>
      <c r="I21" s="27">
        <v>142</v>
      </c>
      <c r="J21" s="27">
        <v>194</v>
      </c>
      <c r="K21" s="27">
        <v>28.5</v>
      </c>
      <c r="L21" s="27">
        <v>221</v>
      </c>
      <c r="M21" s="27">
        <v>44.6</v>
      </c>
      <c r="N21" s="33">
        <v>28.5</v>
      </c>
      <c r="O21" s="26" t="s">
        <v>50</v>
      </c>
      <c r="P21" s="27">
        <v>22.4</v>
      </c>
      <c r="Q21" s="27">
        <v>200</v>
      </c>
      <c r="R21" s="27">
        <v>100</v>
      </c>
      <c r="S21" s="27">
        <v>5.6</v>
      </c>
      <c r="T21" s="27">
        <v>8.5</v>
      </c>
      <c r="U21" s="27">
        <v>12</v>
      </c>
      <c r="V21" s="27">
        <v>159</v>
      </c>
      <c r="W21" s="27">
        <v>5.88</v>
      </c>
      <c r="X21" s="27">
        <v>28.4</v>
      </c>
      <c r="Y21" s="27">
        <v>1943</v>
      </c>
      <c r="Z21" s="27">
        <v>142</v>
      </c>
      <c r="AA21" s="27">
        <v>8.26</v>
      </c>
      <c r="AB21" s="27">
        <v>2.2400000000000002</v>
      </c>
      <c r="AC21" s="27">
        <v>194</v>
      </c>
      <c r="AD21" s="27">
        <v>28.5</v>
      </c>
      <c r="AE21" s="27">
        <v>221</v>
      </c>
      <c r="AF21" s="27">
        <v>44.6</v>
      </c>
      <c r="AG21" s="27">
        <v>0.88200000000000001</v>
      </c>
      <c r="AH21" s="27">
        <v>22</v>
      </c>
      <c r="AI21" s="27">
        <v>1.2999999999999999E-2</v>
      </c>
      <c r="AJ21" s="27">
        <v>6.92</v>
      </c>
      <c r="AK21" s="33">
        <v>28.5</v>
      </c>
    </row>
    <row r="22" spans="1:37">
      <c r="A22" s="26" t="s">
        <v>51</v>
      </c>
      <c r="B22" s="27">
        <v>202</v>
      </c>
      <c r="C22" s="27">
        <v>102</v>
      </c>
      <c r="D22" s="27">
        <v>6.2</v>
      </c>
      <c r="E22" s="27">
        <v>9.5</v>
      </c>
      <c r="F22" s="27">
        <v>12</v>
      </c>
      <c r="G22" s="27">
        <v>159</v>
      </c>
      <c r="H22" s="27">
        <v>2211</v>
      </c>
      <c r="I22" s="27">
        <v>169</v>
      </c>
      <c r="J22" s="27">
        <v>219</v>
      </c>
      <c r="K22" s="27">
        <v>33.1</v>
      </c>
      <c r="L22" s="27">
        <v>249</v>
      </c>
      <c r="M22" s="27">
        <v>51.9</v>
      </c>
      <c r="N22" s="33">
        <v>32</v>
      </c>
      <c r="O22" s="26" t="s">
        <v>51</v>
      </c>
      <c r="P22" s="27">
        <v>25.1</v>
      </c>
      <c r="Q22" s="27">
        <v>202</v>
      </c>
      <c r="R22" s="27">
        <v>102</v>
      </c>
      <c r="S22" s="27">
        <v>6.2</v>
      </c>
      <c r="T22" s="27">
        <v>9.5</v>
      </c>
      <c r="U22" s="27">
        <v>12</v>
      </c>
      <c r="V22" s="27">
        <v>159</v>
      </c>
      <c r="W22" s="27">
        <v>5.37</v>
      </c>
      <c r="X22" s="27">
        <v>25.6</v>
      </c>
      <c r="Y22" s="27">
        <v>2211</v>
      </c>
      <c r="Z22" s="27">
        <v>169</v>
      </c>
      <c r="AA22" s="27">
        <v>8.32</v>
      </c>
      <c r="AB22" s="27">
        <v>2.2999999999999998</v>
      </c>
      <c r="AC22" s="27">
        <v>219</v>
      </c>
      <c r="AD22" s="27">
        <v>33.1</v>
      </c>
      <c r="AE22" s="27">
        <v>249</v>
      </c>
      <c r="AF22" s="27">
        <v>51.9</v>
      </c>
      <c r="AG22" s="27">
        <v>0.88300000000000001</v>
      </c>
      <c r="AH22" s="27">
        <v>20.100000000000001</v>
      </c>
      <c r="AI22" s="27">
        <v>1.6E-2</v>
      </c>
      <c r="AJ22" s="27">
        <v>9.36</v>
      </c>
      <c r="AK22" s="33">
        <v>32</v>
      </c>
    </row>
    <row r="23" spans="1:37">
      <c r="A23" s="24" t="s">
        <v>52</v>
      </c>
      <c r="B23" s="25">
        <v>204</v>
      </c>
      <c r="C23" s="25">
        <v>98</v>
      </c>
      <c r="D23" s="25">
        <v>6.6</v>
      </c>
      <c r="E23" s="25">
        <v>10.5</v>
      </c>
      <c r="F23" s="25">
        <v>12</v>
      </c>
      <c r="G23" s="25">
        <v>159</v>
      </c>
      <c r="H23" s="25">
        <v>2363</v>
      </c>
      <c r="I23" s="25">
        <v>166</v>
      </c>
      <c r="J23" s="25">
        <v>232</v>
      </c>
      <c r="K23" s="25">
        <v>33.799999999999997</v>
      </c>
      <c r="L23" s="25">
        <v>265</v>
      </c>
      <c r="M23" s="25">
        <v>53.2</v>
      </c>
      <c r="N23" s="32">
        <v>33.9</v>
      </c>
      <c r="O23" s="24" t="s">
        <v>52</v>
      </c>
      <c r="P23" s="25">
        <v>26.6</v>
      </c>
      <c r="Q23" s="25">
        <v>204</v>
      </c>
      <c r="R23" s="25">
        <v>98</v>
      </c>
      <c r="S23" s="25">
        <v>6.6</v>
      </c>
      <c r="T23" s="25">
        <v>10.5</v>
      </c>
      <c r="U23" s="25">
        <v>12</v>
      </c>
      <c r="V23" s="25">
        <v>159</v>
      </c>
      <c r="W23" s="25">
        <v>4.67</v>
      </c>
      <c r="X23" s="25">
        <v>24.1</v>
      </c>
      <c r="Y23" s="25">
        <v>2363</v>
      </c>
      <c r="Z23" s="25">
        <v>166</v>
      </c>
      <c r="AA23" s="25">
        <v>8.35</v>
      </c>
      <c r="AB23" s="25">
        <v>2.21</v>
      </c>
      <c r="AC23" s="25">
        <v>232</v>
      </c>
      <c r="AD23" s="25">
        <v>33.799999999999997</v>
      </c>
      <c r="AE23" s="25">
        <v>265</v>
      </c>
      <c r="AF23" s="25">
        <v>53.2</v>
      </c>
      <c r="AG23" s="25">
        <v>0.88300000000000001</v>
      </c>
      <c r="AH23" s="25">
        <v>18.7</v>
      </c>
      <c r="AI23" s="25">
        <v>1.6E-2</v>
      </c>
      <c r="AJ23" s="25">
        <v>11.7</v>
      </c>
      <c r="AK23" s="32">
        <v>33.9</v>
      </c>
    </row>
    <row r="24" spans="1:37">
      <c r="A24" s="26" t="s">
        <v>53</v>
      </c>
      <c r="B24" s="27">
        <v>217</v>
      </c>
      <c r="C24" s="27">
        <v>110</v>
      </c>
      <c r="D24" s="27">
        <v>5</v>
      </c>
      <c r="E24" s="27">
        <v>7.7</v>
      </c>
      <c r="F24" s="27">
        <v>12</v>
      </c>
      <c r="G24" s="27">
        <v>177.6</v>
      </c>
      <c r="H24" s="27">
        <v>2317</v>
      </c>
      <c r="I24" s="27">
        <v>171</v>
      </c>
      <c r="J24" s="27">
        <v>214</v>
      </c>
      <c r="K24" s="27">
        <v>31.2</v>
      </c>
      <c r="L24" s="27">
        <v>240</v>
      </c>
      <c r="M24" s="27">
        <v>48.5</v>
      </c>
      <c r="N24" s="33">
        <v>28.3</v>
      </c>
      <c r="O24" s="26" t="s">
        <v>53</v>
      </c>
      <c r="P24" s="27">
        <v>22.2</v>
      </c>
      <c r="Q24" s="27">
        <v>217</v>
      </c>
      <c r="R24" s="27">
        <v>110</v>
      </c>
      <c r="S24" s="27">
        <v>5</v>
      </c>
      <c r="T24" s="27">
        <v>7.7</v>
      </c>
      <c r="U24" s="27">
        <v>12</v>
      </c>
      <c r="V24" s="27">
        <v>177.6</v>
      </c>
      <c r="W24" s="27">
        <v>7.14</v>
      </c>
      <c r="X24" s="27">
        <v>35.5</v>
      </c>
      <c r="Y24" s="27">
        <v>2317</v>
      </c>
      <c r="Z24" s="27">
        <v>171</v>
      </c>
      <c r="AA24" s="27">
        <v>9.0500000000000007</v>
      </c>
      <c r="AB24" s="27">
        <v>2.46</v>
      </c>
      <c r="AC24" s="27">
        <v>214</v>
      </c>
      <c r="AD24" s="27">
        <v>31.2</v>
      </c>
      <c r="AE24" s="27">
        <v>240</v>
      </c>
      <c r="AF24" s="27">
        <v>48.5</v>
      </c>
      <c r="AG24" s="27">
        <v>0.88400000000000001</v>
      </c>
      <c r="AH24" s="27">
        <v>26.4</v>
      </c>
      <c r="AI24" s="27">
        <v>1.9E-2</v>
      </c>
      <c r="AJ24" s="27">
        <v>5.68</v>
      </c>
      <c r="AK24" s="33">
        <v>28.3</v>
      </c>
    </row>
    <row r="25" spans="1:37">
      <c r="A25" s="26" t="s">
        <v>54</v>
      </c>
      <c r="B25" s="27">
        <v>220</v>
      </c>
      <c r="C25" s="27">
        <v>110</v>
      </c>
      <c r="D25" s="27">
        <v>5.9</v>
      </c>
      <c r="E25" s="27">
        <v>9.1999999999999993</v>
      </c>
      <c r="F25" s="27">
        <v>12</v>
      </c>
      <c r="G25" s="27">
        <v>177.6</v>
      </c>
      <c r="H25" s="27">
        <v>2772</v>
      </c>
      <c r="I25" s="27">
        <v>205</v>
      </c>
      <c r="J25" s="27">
        <v>252</v>
      </c>
      <c r="K25" s="27">
        <v>37.299999999999997</v>
      </c>
      <c r="L25" s="27">
        <v>285</v>
      </c>
      <c r="M25" s="27">
        <v>58.1</v>
      </c>
      <c r="N25" s="33">
        <v>33.4</v>
      </c>
      <c r="O25" s="26" t="s">
        <v>54</v>
      </c>
      <c r="P25" s="27">
        <v>26.2</v>
      </c>
      <c r="Q25" s="27">
        <v>220</v>
      </c>
      <c r="R25" s="27">
        <v>110</v>
      </c>
      <c r="S25" s="27">
        <v>5.9</v>
      </c>
      <c r="T25" s="27">
        <v>9.1999999999999993</v>
      </c>
      <c r="U25" s="27">
        <v>12</v>
      </c>
      <c r="V25" s="27">
        <v>177.6</v>
      </c>
      <c r="W25" s="27">
        <v>5.98</v>
      </c>
      <c r="X25" s="27">
        <v>30.1</v>
      </c>
      <c r="Y25" s="27">
        <v>2772</v>
      </c>
      <c r="Z25" s="27">
        <v>205</v>
      </c>
      <c r="AA25" s="27">
        <v>9.11</v>
      </c>
      <c r="AB25" s="27">
        <v>2.48</v>
      </c>
      <c r="AC25" s="27">
        <v>252</v>
      </c>
      <c r="AD25" s="27">
        <v>37.299999999999997</v>
      </c>
      <c r="AE25" s="27">
        <v>285</v>
      </c>
      <c r="AF25" s="27">
        <v>58.1</v>
      </c>
      <c r="AG25" s="27">
        <v>0.88400000000000001</v>
      </c>
      <c r="AH25" s="27">
        <v>22.9</v>
      </c>
      <c r="AI25" s="27">
        <v>2.3E-2</v>
      </c>
      <c r="AJ25" s="27">
        <v>9.0299999999999994</v>
      </c>
      <c r="AK25" s="33">
        <v>33.4</v>
      </c>
    </row>
    <row r="26" spans="1:37">
      <c r="A26" s="26" t="s">
        <v>55</v>
      </c>
      <c r="B26" s="27">
        <v>222</v>
      </c>
      <c r="C26" s="27">
        <v>112</v>
      </c>
      <c r="D26" s="27">
        <v>6.6</v>
      </c>
      <c r="E26" s="27">
        <v>10.199999999999999</v>
      </c>
      <c r="F26" s="27">
        <v>12</v>
      </c>
      <c r="G26" s="27">
        <v>177.6</v>
      </c>
      <c r="H26" s="27">
        <v>3134</v>
      </c>
      <c r="I26" s="27">
        <v>240</v>
      </c>
      <c r="J26" s="27">
        <v>282</v>
      </c>
      <c r="K26" s="27">
        <v>42.8</v>
      </c>
      <c r="L26" s="27">
        <v>321</v>
      </c>
      <c r="M26" s="27">
        <v>66.900000000000006</v>
      </c>
      <c r="N26" s="33">
        <v>37.4</v>
      </c>
      <c r="O26" s="26" t="s">
        <v>55</v>
      </c>
      <c r="P26" s="27">
        <v>29.4</v>
      </c>
      <c r="Q26" s="27">
        <v>222</v>
      </c>
      <c r="R26" s="27">
        <v>112</v>
      </c>
      <c r="S26" s="27">
        <v>6.6</v>
      </c>
      <c r="T26" s="27">
        <v>10.199999999999999</v>
      </c>
      <c r="U26" s="27">
        <v>12</v>
      </c>
      <c r="V26" s="27">
        <v>177.6</v>
      </c>
      <c r="W26" s="27">
        <v>5.49</v>
      </c>
      <c r="X26" s="27">
        <v>26.9</v>
      </c>
      <c r="Y26" s="27">
        <v>3134</v>
      </c>
      <c r="Z26" s="27">
        <v>240</v>
      </c>
      <c r="AA26" s="27">
        <v>9.16</v>
      </c>
      <c r="AB26" s="27">
        <v>2.5299999999999998</v>
      </c>
      <c r="AC26" s="27">
        <v>282</v>
      </c>
      <c r="AD26" s="27">
        <v>42.8</v>
      </c>
      <c r="AE26" s="27">
        <v>321</v>
      </c>
      <c r="AF26" s="27">
        <v>66.900000000000006</v>
      </c>
      <c r="AG26" s="27">
        <v>0.88300000000000001</v>
      </c>
      <c r="AH26" s="27">
        <v>21</v>
      </c>
      <c r="AI26" s="27">
        <v>2.7E-2</v>
      </c>
      <c r="AJ26" s="27">
        <v>12.2</v>
      </c>
      <c r="AK26" s="33">
        <v>37.4</v>
      </c>
    </row>
    <row r="27" spans="1:37">
      <c r="A27" s="24" t="s">
        <v>56</v>
      </c>
      <c r="B27" s="25">
        <v>225</v>
      </c>
      <c r="C27" s="25">
        <v>108</v>
      </c>
      <c r="D27" s="25">
        <v>6.7</v>
      </c>
      <c r="E27" s="25">
        <v>11.8</v>
      </c>
      <c r="F27" s="25">
        <v>12</v>
      </c>
      <c r="G27" s="25">
        <v>177.4</v>
      </c>
      <c r="H27" s="25">
        <v>3474</v>
      </c>
      <c r="I27" s="25">
        <v>249</v>
      </c>
      <c r="J27" s="25">
        <v>309</v>
      </c>
      <c r="K27" s="25">
        <v>46.1</v>
      </c>
      <c r="L27" s="25">
        <v>352</v>
      </c>
      <c r="M27" s="25">
        <v>71.8</v>
      </c>
      <c r="N27" s="32">
        <v>40.200000000000003</v>
      </c>
      <c r="O27" s="24" t="s">
        <v>56</v>
      </c>
      <c r="P27" s="25">
        <v>31.6</v>
      </c>
      <c r="Q27" s="25">
        <v>225</v>
      </c>
      <c r="R27" s="25">
        <v>108</v>
      </c>
      <c r="S27" s="25">
        <v>6.7</v>
      </c>
      <c r="T27" s="25">
        <v>11.8</v>
      </c>
      <c r="U27" s="25">
        <v>12</v>
      </c>
      <c r="V27" s="25">
        <v>177.4</v>
      </c>
      <c r="W27" s="25">
        <v>4.58</v>
      </c>
      <c r="X27" s="25">
        <v>26.5</v>
      </c>
      <c r="Y27" s="25">
        <v>3474</v>
      </c>
      <c r="Z27" s="25">
        <v>249</v>
      </c>
      <c r="AA27" s="25">
        <v>9.2899999999999991</v>
      </c>
      <c r="AB27" s="25">
        <v>2.4900000000000002</v>
      </c>
      <c r="AC27" s="25">
        <v>309</v>
      </c>
      <c r="AD27" s="25">
        <v>46.1</v>
      </c>
      <c r="AE27" s="25">
        <v>352</v>
      </c>
      <c r="AF27" s="25">
        <v>71.8</v>
      </c>
      <c r="AG27" s="25">
        <v>0.88900000000000001</v>
      </c>
      <c r="AH27" s="25">
        <v>18.899999999999999</v>
      </c>
      <c r="AI27" s="25">
        <v>2.8000000000000001E-2</v>
      </c>
      <c r="AJ27" s="25">
        <v>16.399999999999999</v>
      </c>
      <c r="AK27" s="32">
        <v>40.200000000000003</v>
      </c>
    </row>
    <row r="28" spans="1:37">
      <c r="A28" s="26" t="s">
        <v>57</v>
      </c>
      <c r="B28" s="27">
        <v>237</v>
      </c>
      <c r="C28" s="27">
        <v>120</v>
      </c>
      <c r="D28" s="27">
        <v>5.2</v>
      </c>
      <c r="E28" s="27">
        <v>8.3000000000000007</v>
      </c>
      <c r="F28" s="27">
        <v>15</v>
      </c>
      <c r="G28" s="27">
        <v>190.4</v>
      </c>
      <c r="H28" s="27">
        <v>3290</v>
      </c>
      <c r="I28" s="27">
        <v>240</v>
      </c>
      <c r="J28" s="27">
        <v>278</v>
      </c>
      <c r="K28" s="27">
        <v>40</v>
      </c>
      <c r="L28" s="27">
        <v>312</v>
      </c>
      <c r="M28" s="27">
        <v>62.4</v>
      </c>
      <c r="N28" s="33">
        <v>33.299999999999997</v>
      </c>
      <c r="O28" s="26" t="s">
        <v>57</v>
      </c>
      <c r="P28" s="27">
        <v>26.2</v>
      </c>
      <c r="Q28" s="27">
        <v>237</v>
      </c>
      <c r="R28" s="27">
        <v>120</v>
      </c>
      <c r="S28" s="27">
        <v>5.2</v>
      </c>
      <c r="T28" s="27">
        <v>8.3000000000000007</v>
      </c>
      <c r="U28" s="27">
        <v>15</v>
      </c>
      <c r="V28" s="27">
        <v>190.4</v>
      </c>
      <c r="W28" s="27">
        <v>7.23</v>
      </c>
      <c r="X28" s="27">
        <v>36.6</v>
      </c>
      <c r="Y28" s="27">
        <v>3290</v>
      </c>
      <c r="Z28" s="27">
        <v>240</v>
      </c>
      <c r="AA28" s="27">
        <v>9.94</v>
      </c>
      <c r="AB28" s="27">
        <v>2.68</v>
      </c>
      <c r="AC28" s="27">
        <v>278</v>
      </c>
      <c r="AD28" s="27">
        <v>40</v>
      </c>
      <c r="AE28" s="27">
        <v>312</v>
      </c>
      <c r="AF28" s="27">
        <v>62.4</v>
      </c>
      <c r="AG28" s="27">
        <v>0.88700000000000001</v>
      </c>
      <c r="AH28" s="27">
        <v>25.6</v>
      </c>
      <c r="AI28" s="27">
        <v>3.1E-2</v>
      </c>
      <c r="AJ28" s="27">
        <v>8.5</v>
      </c>
      <c r="AK28" s="33">
        <v>33.299999999999997</v>
      </c>
    </row>
    <row r="29" spans="1:37">
      <c r="A29" s="26" t="s">
        <v>58</v>
      </c>
      <c r="B29" s="27">
        <v>240</v>
      </c>
      <c r="C29" s="27">
        <v>120</v>
      </c>
      <c r="D29" s="27">
        <v>6.2</v>
      </c>
      <c r="E29" s="27">
        <v>9.8000000000000007</v>
      </c>
      <c r="F29" s="27">
        <v>15</v>
      </c>
      <c r="G29" s="27">
        <v>190.4</v>
      </c>
      <c r="H29" s="27">
        <v>3892</v>
      </c>
      <c r="I29" s="27">
        <v>284</v>
      </c>
      <c r="J29" s="27">
        <v>324</v>
      </c>
      <c r="K29" s="27">
        <v>47.3</v>
      </c>
      <c r="L29" s="27">
        <v>367</v>
      </c>
      <c r="M29" s="27">
        <v>73.900000000000006</v>
      </c>
      <c r="N29" s="33">
        <v>39.1</v>
      </c>
      <c r="O29" s="26" t="s">
        <v>58</v>
      </c>
      <c r="P29" s="27">
        <v>30.7</v>
      </c>
      <c r="Q29" s="27">
        <v>240</v>
      </c>
      <c r="R29" s="27">
        <v>120</v>
      </c>
      <c r="S29" s="27">
        <v>6.2</v>
      </c>
      <c r="T29" s="27">
        <v>9.8000000000000007</v>
      </c>
      <c r="U29" s="27">
        <v>15</v>
      </c>
      <c r="V29" s="27">
        <v>190.4</v>
      </c>
      <c r="W29" s="27">
        <v>6.12</v>
      </c>
      <c r="X29" s="27">
        <v>30.7</v>
      </c>
      <c r="Y29" s="27">
        <v>3892</v>
      </c>
      <c r="Z29" s="27">
        <v>284</v>
      </c>
      <c r="AA29" s="27">
        <v>9.9700000000000006</v>
      </c>
      <c r="AB29" s="27">
        <v>2.69</v>
      </c>
      <c r="AC29" s="27">
        <v>324</v>
      </c>
      <c r="AD29" s="27">
        <v>47.3</v>
      </c>
      <c r="AE29" s="27">
        <v>367</v>
      </c>
      <c r="AF29" s="27">
        <v>73.900000000000006</v>
      </c>
      <c r="AG29" s="27">
        <v>0.88600000000000001</v>
      </c>
      <c r="AH29" s="27">
        <v>22.6</v>
      </c>
      <c r="AI29" s="27">
        <v>3.7999999999999999E-2</v>
      </c>
      <c r="AJ29" s="27">
        <v>13</v>
      </c>
      <c r="AK29" s="33">
        <v>39.1</v>
      </c>
    </row>
    <row r="30" spans="1:37">
      <c r="A30" s="26" t="s">
        <v>59</v>
      </c>
      <c r="B30" s="27">
        <v>242</v>
      </c>
      <c r="C30" s="27">
        <v>122</v>
      </c>
      <c r="D30" s="27">
        <v>7</v>
      </c>
      <c r="E30" s="27">
        <v>10.8</v>
      </c>
      <c r="F30" s="27">
        <v>15</v>
      </c>
      <c r="G30" s="27">
        <v>190.4</v>
      </c>
      <c r="H30" s="27">
        <v>4369</v>
      </c>
      <c r="I30" s="27">
        <v>329</v>
      </c>
      <c r="J30" s="27">
        <v>361</v>
      </c>
      <c r="K30" s="27">
        <v>53.9</v>
      </c>
      <c r="L30" s="27">
        <v>410</v>
      </c>
      <c r="M30" s="27">
        <v>84.4</v>
      </c>
      <c r="N30" s="33">
        <v>43.7</v>
      </c>
      <c r="O30" s="26" t="s">
        <v>59</v>
      </c>
      <c r="P30" s="27">
        <v>34.299999999999997</v>
      </c>
      <c r="Q30" s="27">
        <v>242</v>
      </c>
      <c r="R30" s="27">
        <v>122</v>
      </c>
      <c r="S30" s="27">
        <v>7</v>
      </c>
      <c r="T30" s="27">
        <v>10.8</v>
      </c>
      <c r="U30" s="27">
        <v>15</v>
      </c>
      <c r="V30" s="27">
        <v>190.4</v>
      </c>
      <c r="W30" s="27">
        <v>5.65</v>
      </c>
      <c r="X30" s="27">
        <v>27.2</v>
      </c>
      <c r="Y30" s="27">
        <v>4369</v>
      </c>
      <c r="Z30" s="27">
        <v>329</v>
      </c>
      <c r="AA30" s="27">
        <v>10</v>
      </c>
      <c r="AB30" s="27">
        <v>2.74</v>
      </c>
      <c r="AC30" s="27">
        <v>361</v>
      </c>
      <c r="AD30" s="27">
        <v>53.9</v>
      </c>
      <c r="AE30" s="27">
        <v>410</v>
      </c>
      <c r="AF30" s="27">
        <v>84.4</v>
      </c>
      <c r="AG30" s="27">
        <v>0.88400000000000001</v>
      </c>
      <c r="AH30" s="27">
        <v>20.9</v>
      </c>
      <c r="AI30" s="27">
        <v>4.3999999999999997E-2</v>
      </c>
      <c r="AJ30" s="27">
        <v>17.100000000000001</v>
      </c>
      <c r="AK30" s="33">
        <v>43.7</v>
      </c>
    </row>
    <row r="31" spans="1:37">
      <c r="A31" s="24" t="s">
        <v>60</v>
      </c>
      <c r="B31" s="25">
        <v>245</v>
      </c>
      <c r="C31" s="25">
        <v>118</v>
      </c>
      <c r="D31" s="25">
        <v>7.5</v>
      </c>
      <c r="E31" s="25">
        <v>12.3</v>
      </c>
      <c r="F31" s="25">
        <v>15</v>
      </c>
      <c r="G31" s="25">
        <v>190.4</v>
      </c>
      <c r="H31" s="25">
        <v>4823</v>
      </c>
      <c r="I31" s="25">
        <v>339</v>
      </c>
      <c r="J31" s="25">
        <v>394</v>
      </c>
      <c r="K31" s="25">
        <v>57.4</v>
      </c>
      <c r="L31" s="25">
        <v>449</v>
      </c>
      <c r="M31" s="25">
        <v>90.1</v>
      </c>
      <c r="N31" s="32">
        <v>47.5</v>
      </c>
      <c r="O31" s="24" t="s">
        <v>60</v>
      </c>
      <c r="P31" s="25">
        <v>37.299999999999997</v>
      </c>
      <c r="Q31" s="25">
        <v>245</v>
      </c>
      <c r="R31" s="25">
        <v>118</v>
      </c>
      <c r="S31" s="25">
        <v>7.5</v>
      </c>
      <c r="T31" s="25">
        <v>12.3</v>
      </c>
      <c r="U31" s="25">
        <v>15</v>
      </c>
      <c r="V31" s="25">
        <v>190.4</v>
      </c>
      <c r="W31" s="25">
        <v>4.8</v>
      </c>
      <c r="X31" s="25">
        <v>25.4</v>
      </c>
      <c r="Y31" s="25">
        <v>4823</v>
      </c>
      <c r="Z31" s="25">
        <v>339</v>
      </c>
      <c r="AA31" s="25">
        <v>10.1</v>
      </c>
      <c r="AB31" s="25">
        <v>2.67</v>
      </c>
      <c r="AC31" s="25">
        <v>394</v>
      </c>
      <c r="AD31" s="25">
        <v>57.4</v>
      </c>
      <c r="AE31" s="25">
        <v>449</v>
      </c>
      <c r="AF31" s="25">
        <v>90.1</v>
      </c>
      <c r="AG31" s="25">
        <v>0.88600000000000001</v>
      </c>
      <c r="AH31" s="25">
        <v>19</v>
      </c>
      <c r="AI31" s="25">
        <v>4.5999999999999999E-2</v>
      </c>
      <c r="AJ31" s="25">
        <v>22.8</v>
      </c>
      <c r="AK31" s="32">
        <v>47.5</v>
      </c>
    </row>
    <row r="32" spans="1:37">
      <c r="A32" s="26" t="s">
        <v>61</v>
      </c>
      <c r="B32" s="27">
        <v>267</v>
      </c>
      <c r="C32" s="27">
        <v>135</v>
      </c>
      <c r="D32" s="27">
        <v>5.5</v>
      </c>
      <c r="E32" s="27">
        <v>8.6999999999999993</v>
      </c>
      <c r="F32" s="27">
        <v>15</v>
      </c>
      <c r="G32" s="27">
        <v>219.6</v>
      </c>
      <c r="H32" s="27">
        <v>4917</v>
      </c>
      <c r="I32" s="27">
        <v>358</v>
      </c>
      <c r="J32" s="27">
        <v>368</v>
      </c>
      <c r="K32" s="27">
        <v>53</v>
      </c>
      <c r="L32" s="27">
        <v>412</v>
      </c>
      <c r="M32" s="27">
        <v>82.3</v>
      </c>
      <c r="N32" s="33">
        <v>39.1</v>
      </c>
      <c r="O32" s="26" t="s">
        <v>61</v>
      </c>
      <c r="P32" s="27">
        <v>30.7</v>
      </c>
      <c r="Q32" s="27">
        <v>267</v>
      </c>
      <c r="R32" s="27">
        <v>135</v>
      </c>
      <c r="S32" s="27">
        <v>5.5</v>
      </c>
      <c r="T32" s="27">
        <v>8.6999999999999993</v>
      </c>
      <c r="U32" s="27">
        <v>15</v>
      </c>
      <c r="V32" s="27">
        <v>219.6</v>
      </c>
      <c r="W32" s="27">
        <v>7.76</v>
      </c>
      <c r="X32" s="27">
        <v>39.9</v>
      </c>
      <c r="Y32" s="27">
        <v>4917</v>
      </c>
      <c r="Z32" s="27">
        <v>358</v>
      </c>
      <c r="AA32" s="27">
        <v>11.2</v>
      </c>
      <c r="AB32" s="27">
        <v>3.02</v>
      </c>
      <c r="AC32" s="27">
        <v>368</v>
      </c>
      <c r="AD32" s="27">
        <v>53</v>
      </c>
      <c r="AE32" s="27">
        <v>412</v>
      </c>
      <c r="AF32" s="27">
        <v>82.3</v>
      </c>
      <c r="AG32" s="27">
        <v>0.88600000000000001</v>
      </c>
      <c r="AH32" s="27">
        <v>28.3</v>
      </c>
      <c r="AI32" s="27">
        <v>0.06</v>
      </c>
      <c r="AJ32" s="27">
        <v>10.4</v>
      </c>
      <c r="AK32" s="33">
        <v>39.1</v>
      </c>
    </row>
    <row r="33" spans="1:37">
      <c r="A33" s="26" t="s">
        <v>62</v>
      </c>
      <c r="B33" s="27">
        <v>270</v>
      </c>
      <c r="C33" s="27">
        <v>135</v>
      </c>
      <c r="D33" s="27">
        <v>6.6</v>
      </c>
      <c r="E33" s="27">
        <v>10.199999999999999</v>
      </c>
      <c r="F33" s="27">
        <v>15</v>
      </c>
      <c r="G33" s="27">
        <v>219.6</v>
      </c>
      <c r="H33" s="27">
        <v>5790</v>
      </c>
      <c r="I33" s="27">
        <v>420</v>
      </c>
      <c r="J33" s="27">
        <v>429</v>
      </c>
      <c r="K33" s="27">
        <v>62.2</v>
      </c>
      <c r="L33" s="27">
        <v>484</v>
      </c>
      <c r="M33" s="27">
        <v>97</v>
      </c>
      <c r="N33" s="33">
        <v>45.9</v>
      </c>
      <c r="O33" s="26" t="s">
        <v>62</v>
      </c>
      <c r="P33" s="27">
        <v>36.1</v>
      </c>
      <c r="Q33" s="27">
        <v>270</v>
      </c>
      <c r="R33" s="27">
        <v>135</v>
      </c>
      <c r="S33" s="27">
        <v>6.6</v>
      </c>
      <c r="T33" s="27">
        <v>10.199999999999999</v>
      </c>
      <c r="U33" s="27">
        <v>15</v>
      </c>
      <c r="V33" s="27">
        <v>219.6</v>
      </c>
      <c r="W33" s="27">
        <v>6.62</v>
      </c>
      <c r="X33" s="27">
        <v>33.299999999999997</v>
      </c>
      <c r="Y33" s="27">
        <v>5790</v>
      </c>
      <c r="Z33" s="27">
        <v>420</v>
      </c>
      <c r="AA33" s="27">
        <v>11.2</v>
      </c>
      <c r="AB33" s="27">
        <v>3.02</v>
      </c>
      <c r="AC33" s="27">
        <v>429</v>
      </c>
      <c r="AD33" s="27">
        <v>62.2</v>
      </c>
      <c r="AE33" s="27">
        <v>484</v>
      </c>
      <c r="AF33" s="27">
        <v>97</v>
      </c>
      <c r="AG33" s="27">
        <v>0.88400000000000001</v>
      </c>
      <c r="AH33" s="27">
        <v>25</v>
      </c>
      <c r="AI33" s="27">
        <v>7.0999999999999994E-2</v>
      </c>
      <c r="AJ33" s="27">
        <v>15.9</v>
      </c>
      <c r="AK33" s="33">
        <v>45.9</v>
      </c>
    </row>
    <row r="34" spans="1:37">
      <c r="A34" s="26" t="s">
        <v>63</v>
      </c>
      <c r="B34" s="27">
        <v>274</v>
      </c>
      <c r="C34" s="27">
        <v>136</v>
      </c>
      <c r="D34" s="27">
        <v>7.5</v>
      </c>
      <c r="E34" s="27">
        <v>12.2</v>
      </c>
      <c r="F34" s="27">
        <v>15</v>
      </c>
      <c r="G34" s="27">
        <v>219.6</v>
      </c>
      <c r="H34" s="27">
        <v>6947</v>
      </c>
      <c r="I34" s="27">
        <v>513</v>
      </c>
      <c r="J34" s="27">
        <v>507</v>
      </c>
      <c r="K34" s="27">
        <v>75.5</v>
      </c>
      <c r="L34" s="27">
        <v>575</v>
      </c>
      <c r="M34" s="27">
        <v>118</v>
      </c>
      <c r="N34" s="33">
        <v>53.8</v>
      </c>
      <c r="O34" s="26" t="s">
        <v>63</v>
      </c>
      <c r="P34" s="27">
        <v>42.3</v>
      </c>
      <c r="Q34" s="27">
        <v>274</v>
      </c>
      <c r="R34" s="27">
        <v>136</v>
      </c>
      <c r="S34" s="27">
        <v>7.5</v>
      </c>
      <c r="T34" s="27">
        <v>12.2</v>
      </c>
      <c r="U34" s="27">
        <v>15</v>
      </c>
      <c r="V34" s="27">
        <v>219.6</v>
      </c>
      <c r="W34" s="27">
        <v>5.57</v>
      </c>
      <c r="X34" s="27">
        <v>29.3</v>
      </c>
      <c r="Y34" s="27">
        <v>6947</v>
      </c>
      <c r="Z34" s="27">
        <v>513</v>
      </c>
      <c r="AA34" s="27">
        <v>11.4</v>
      </c>
      <c r="AB34" s="27">
        <v>3.09</v>
      </c>
      <c r="AC34" s="27">
        <v>507</v>
      </c>
      <c r="AD34" s="27">
        <v>75.5</v>
      </c>
      <c r="AE34" s="27">
        <v>575</v>
      </c>
      <c r="AF34" s="27">
        <v>118</v>
      </c>
      <c r="AG34" s="27">
        <v>0.88600000000000001</v>
      </c>
      <c r="AH34" s="27">
        <v>21.7</v>
      </c>
      <c r="AI34" s="27">
        <v>8.7999999999999995E-2</v>
      </c>
      <c r="AJ34" s="27">
        <v>25</v>
      </c>
      <c r="AK34" s="33">
        <v>53.8</v>
      </c>
    </row>
    <row r="35" spans="1:37">
      <c r="A35" s="24" t="s">
        <v>64</v>
      </c>
      <c r="B35" s="25">
        <v>276</v>
      </c>
      <c r="C35" s="25">
        <v>133</v>
      </c>
      <c r="D35" s="25">
        <v>7.7</v>
      </c>
      <c r="E35" s="25">
        <v>13.1</v>
      </c>
      <c r="F35" s="25">
        <v>15</v>
      </c>
      <c r="G35" s="25">
        <v>219.8</v>
      </c>
      <c r="H35" s="25">
        <v>7312</v>
      </c>
      <c r="I35" s="25">
        <v>516</v>
      </c>
      <c r="J35" s="25">
        <v>530</v>
      </c>
      <c r="K35" s="25">
        <v>77.599999999999994</v>
      </c>
      <c r="L35" s="25">
        <v>602</v>
      </c>
      <c r="M35" s="25">
        <v>121</v>
      </c>
      <c r="N35" s="32">
        <v>56</v>
      </c>
      <c r="O35" s="24" t="s">
        <v>64</v>
      </c>
      <c r="P35" s="25">
        <v>44</v>
      </c>
      <c r="Q35" s="25">
        <v>276</v>
      </c>
      <c r="R35" s="25">
        <v>133</v>
      </c>
      <c r="S35" s="25">
        <v>7.7</v>
      </c>
      <c r="T35" s="25">
        <v>13.1</v>
      </c>
      <c r="U35" s="25">
        <v>15</v>
      </c>
      <c r="V35" s="25">
        <v>219.8</v>
      </c>
      <c r="W35" s="25">
        <v>5.08</v>
      </c>
      <c r="X35" s="25">
        <v>28.5</v>
      </c>
      <c r="Y35" s="25">
        <v>7312</v>
      </c>
      <c r="Z35" s="25">
        <v>516</v>
      </c>
      <c r="AA35" s="25">
        <v>11.4</v>
      </c>
      <c r="AB35" s="25">
        <v>3.03</v>
      </c>
      <c r="AC35" s="25">
        <v>530</v>
      </c>
      <c r="AD35" s="25">
        <v>77.599999999999994</v>
      </c>
      <c r="AE35" s="25">
        <v>602</v>
      </c>
      <c r="AF35" s="25">
        <v>121</v>
      </c>
      <c r="AG35" s="25">
        <v>0.88800000000000001</v>
      </c>
      <c r="AH35" s="25">
        <v>20.6</v>
      </c>
      <c r="AI35" s="25">
        <v>8.8999999999999996E-2</v>
      </c>
      <c r="AJ35" s="25">
        <v>29.1</v>
      </c>
      <c r="AK35" s="32">
        <v>56</v>
      </c>
    </row>
    <row r="36" spans="1:37">
      <c r="A36" s="26" t="s">
        <v>65</v>
      </c>
      <c r="B36" s="27">
        <v>297</v>
      </c>
      <c r="C36" s="27">
        <v>150</v>
      </c>
      <c r="D36" s="27">
        <v>6.1</v>
      </c>
      <c r="E36" s="27">
        <v>9.1999999999999993</v>
      </c>
      <c r="F36" s="27">
        <v>15</v>
      </c>
      <c r="G36" s="27">
        <v>248.6</v>
      </c>
      <c r="H36" s="27">
        <v>7173</v>
      </c>
      <c r="I36" s="27">
        <v>519</v>
      </c>
      <c r="J36" s="27">
        <v>483</v>
      </c>
      <c r="K36" s="27">
        <v>69.2</v>
      </c>
      <c r="L36" s="27">
        <v>542</v>
      </c>
      <c r="M36" s="27">
        <v>107</v>
      </c>
      <c r="N36" s="33">
        <v>46.5</v>
      </c>
      <c r="O36" s="26" t="s">
        <v>65</v>
      </c>
      <c r="P36" s="27">
        <v>36.5</v>
      </c>
      <c r="Q36" s="27">
        <v>297</v>
      </c>
      <c r="R36" s="27">
        <v>150</v>
      </c>
      <c r="S36" s="27">
        <v>6.1</v>
      </c>
      <c r="T36" s="27">
        <v>9.1999999999999993</v>
      </c>
      <c r="U36" s="27">
        <v>15</v>
      </c>
      <c r="V36" s="27">
        <v>248.6</v>
      </c>
      <c r="W36" s="27">
        <v>8.15</v>
      </c>
      <c r="X36" s="27">
        <v>40.799999999999997</v>
      </c>
      <c r="Y36" s="27">
        <v>7173</v>
      </c>
      <c r="Z36" s="27">
        <v>519</v>
      </c>
      <c r="AA36" s="27">
        <v>12.4</v>
      </c>
      <c r="AB36" s="27">
        <v>3.34</v>
      </c>
      <c r="AC36" s="27">
        <v>483</v>
      </c>
      <c r="AD36" s="27">
        <v>69.2</v>
      </c>
      <c r="AE36" s="27">
        <v>542</v>
      </c>
      <c r="AF36" s="27">
        <v>107</v>
      </c>
      <c r="AG36" s="27">
        <v>0.88300000000000001</v>
      </c>
      <c r="AH36" s="27">
        <v>30.4</v>
      </c>
      <c r="AI36" s="27">
        <v>0.107</v>
      </c>
      <c r="AJ36" s="27">
        <v>13.3</v>
      </c>
      <c r="AK36" s="33">
        <v>46.5</v>
      </c>
    </row>
    <row r="37" spans="1:37">
      <c r="A37" s="26" t="s">
        <v>66</v>
      </c>
      <c r="B37" s="27">
        <v>300</v>
      </c>
      <c r="C37" s="27">
        <v>150</v>
      </c>
      <c r="D37" s="27">
        <v>7.1</v>
      </c>
      <c r="E37" s="27">
        <v>10.7</v>
      </c>
      <c r="F37" s="27">
        <v>15</v>
      </c>
      <c r="G37" s="27">
        <v>248.6</v>
      </c>
      <c r="H37" s="27">
        <v>8356</v>
      </c>
      <c r="I37" s="27">
        <v>604</v>
      </c>
      <c r="J37" s="27">
        <v>557</v>
      </c>
      <c r="K37" s="27">
        <v>80.5</v>
      </c>
      <c r="L37" s="27">
        <v>628</v>
      </c>
      <c r="M37" s="27">
        <v>125</v>
      </c>
      <c r="N37" s="33">
        <v>53.8</v>
      </c>
      <c r="O37" s="26" t="s">
        <v>66</v>
      </c>
      <c r="P37" s="27">
        <v>42.2</v>
      </c>
      <c r="Q37" s="27">
        <v>300</v>
      </c>
      <c r="R37" s="27">
        <v>150</v>
      </c>
      <c r="S37" s="27">
        <v>7.1</v>
      </c>
      <c r="T37" s="27">
        <v>10.7</v>
      </c>
      <c r="U37" s="27">
        <v>15</v>
      </c>
      <c r="V37" s="27">
        <v>248.6</v>
      </c>
      <c r="W37" s="27">
        <v>7.01</v>
      </c>
      <c r="X37" s="27">
        <v>35</v>
      </c>
      <c r="Y37" s="27">
        <v>8356</v>
      </c>
      <c r="Z37" s="27">
        <v>604</v>
      </c>
      <c r="AA37" s="27">
        <v>12.5</v>
      </c>
      <c r="AB37" s="27">
        <v>3.35</v>
      </c>
      <c r="AC37" s="27">
        <v>557</v>
      </c>
      <c r="AD37" s="27">
        <v>80.5</v>
      </c>
      <c r="AE37" s="27">
        <v>628</v>
      </c>
      <c r="AF37" s="27">
        <v>125</v>
      </c>
      <c r="AG37" s="27">
        <v>0.88200000000000001</v>
      </c>
      <c r="AH37" s="27">
        <v>26.9</v>
      </c>
      <c r="AI37" s="27">
        <v>0.126</v>
      </c>
      <c r="AJ37" s="27">
        <v>19.899999999999999</v>
      </c>
      <c r="AK37" s="33">
        <v>53.8</v>
      </c>
    </row>
    <row r="38" spans="1:37">
      <c r="A38" s="26" t="s">
        <v>67</v>
      </c>
      <c r="B38" s="27">
        <v>304</v>
      </c>
      <c r="C38" s="27">
        <v>152</v>
      </c>
      <c r="D38" s="27">
        <v>8</v>
      </c>
      <c r="E38" s="27">
        <v>12.7</v>
      </c>
      <c r="F38" s="27">
        <v>15</v>
      </c>
      <c r="G38" s="27">
        <v>248.6</v>
      </c>
      <c r="H38" s="27">
        <v>9994</v>
      </c>
      <c r="I38" s="27">
        <v>746</v>
      </c>
      <c r="J38" s="27">
        <v>658</v>
      </c>
      <c r="K38" s="27">
        <v>98.1</v>
      </c>
      <c r="L38" s="27">
        <v>744</v>
      </c>
      <c r="M38" s="27">
        <v>153</v>
      </c>
      <c r="N38" s="33">
        <v>62.8</v>
      </c>
      <c r="O38" s="26" t="s">
        <v>67</v>
      </c>
      <c r="P38" s="27">
        <v>49.3</v>
      </c>
      <c r="Q38" s="27">
        <v>304</v>
      </c>
      <c r="R38" s="27">
        <v>152</v>
      </c>
      <c r="S38" s="27">
        <v>8</v>
      </c>
      <c r="T38" s="27">
        <v>12.7</v>
      </c>
      <c r="U38" s="27">
        <v>15</v>
      </c>
      <c r="V38" s="27">
        <v>248.6</v>
      </c>
      <c r="W38" s="27">
        <v>5.98</v>
      </c>
      <c r="X38" s="27">
        <v>31.1</v>
      </c>
      <c r="Y38" s="27">
        <v>9994</v>
      </c>
      <c r="Z38" s="27">
        <v>746</v>
      </c>
      <c r="AA38" s="27">
        <v>12.6</v>
      </c>
      <c r="AB38" s="27">
        <v>3.45</v>
      </c>
      <c r="AC38" s="27">
        <v>658</v>
      </c>
      <c r="AD38" s="27">
        <v>98.1</v>
      </c>
      <c r="AE38" s="27">
        <v>744</v>
      </c>
      <c r="AF38" s="27">
        <v>153</v>
      </c>
      <c r="AG38" s="27">
        <v>0.88400000000000001</v>
      </c>
      <c r="AH38" s="27">
        <v>23.5</v>
      </c>
      <c r="AI38" s="27">
        <v>0.158</v>
      </c>
      <c r="AJ38" s="27">
        <v>31</v>
      </c>
      <c r="AK38" s="33">
        <v>62.8</v>
      </c>
    </row>
    <row r="39" spans="1:37">
      <c r="A39" s="24" t="s">
        <v>68</v>
      </c>
      <c r="B39" s="25">
        <v>306</v>
      </c>
      <c r="C39" s="25">
        <v>147</v>
      </c>
      <c r="D39" s="25">
        <v>8.5</v>
      </c>
      <c r="E39" s="25">
        <v>13.7</v>
      </c>
      <c r="F39" s="25">
        <v>15</v>
      </c>
      <c r="G39" s="25">
        <v>248.6</v>
      </c>
      <c r="H39" s="25">
        <v>10500</v>
      </c>
      <c r="I39" s="25">
        <v>728</v>
      </c>
      <c r="J39" s="25">
        <v>686</v>
      </c>
      <c r="K39" s="25">
        <v>99</v>
      </c>
      <c r="L39" s="25">
        <v>780</v>
      </c>
      <c r="M39" s="25">
        <v>155</v>
      </c>
      <c r="N39" s="32">
        <v>65.900000000000006</v>
      </c>
      <c r="O39" s="24" t="s">
        <v>68</v>
      </c>
      <c r="P39" s="25">
        <v>51.7</v>
      </c>
      <c r="Q39" s="25">
        <v>306</v>
      </c>
      <c r="R39" s="25">
        <v>147</v>
      </c>
      <c r="S39" s="25">
        <v>8.5</v>
      </c>
      <c r="T39" s="25">
        <v>13.7</v>
      </c>
      <c r="U39" s="25">
        <v>15</v>
      </c>
      <c r="V39" s="25">
        <v>248.6</v>
      </c>
      <c r="W39" s="25">
        <v>5.36</v>
      </c>
      <c r="X39" s="25">
        <v>29.2</v>
      </c>
      <c r="Y39" s="25">
        <v>10500</v>
      </c>
      <c r="Z39" s="25">
        <v>728</v>
      </c>
      <c r="AA39" s="25">
        <v>12.6</v>
      </c>
      <c r="AB39" s="25">
        <v>3.32</v>
      </c>
      <c r="AC39" s="25">
        <v>686</v>
      </c>
      <c r="AD39" s="25">
        <v>99</v>
      </c>
      <c r="AE39" s="25">
        <v>780</v>
      </c>
      <c r="AF39" s="25">
        <v>155</v>
      </c>
      <c r="AG39" s="25">
        <v>0.88400000000000001</v>
      </c>
      <c r="AH39" s="25">
        <v>22.1</v>
      </c>
      <c r="AI39" s="25">
        <v>0.155</v>
      </c>
      <c r="AJ39" s="25">
        <v>37</v>
      </c>
      <c r="AK39" s="32">
        <v>65.900000000000006</v>
      </c>
    </row>
    <row r="40" spans="1:37">
      <c r="A40" s="26" t="s">
        <v>69</v>
      </c>
      <c r="B40" s="27">
        <v>327</v>
      </c>
      <c r="C40" s="27">
        <v>160</v>
      </c>
      <c r="D40" s="27">
        <v>6.5</v>
      </c>
      <c r="E40" s="27">
        <v>10</v>
      </c>
      <c r="F40" s="27">
        <v>18</v>
      </c>
      <c r="G40" s="27">
        <v>271</v>
      </c>
      <c r="H40" s="27">
        <v>10230</v>
      </c>
      <c r="I40" s="27">
        <v>685</v>
      </c>
      <c r="J40" s="27">
        <v>626</v>
      </c>
      <c r="K40" s="27">
        <v>85.6</v>
      </c>
      <c r="L40" s="27">
        <v>702</v>
      </c>
      <c r="M40" s="27">
        <v>133</v>
      </c>
      <c r="N40" s="33">
        <v>54.7</v>
      </c>
      <c r="O40" s="26" t="s">
        <v>69</v>
      </c>
      <c r="P40" s="27">
        <v>43</v>
      </c>
      <c r="Q40" s="27">
        <v>327</v>
      </c>
      <c r="R40" s="27">
        <v>160</v>
      </c>
      <c r="S40" s="27">
        <v>6.5</v>
      </c>
      <c r="T40" s="27">
        <v>10</v>
      </c>
      <c r="U40" s="27">
        <v>18</v>
      </c>
      <c r="V40" s="27">
        <v>271</v>
      </c>
      <c r="W40" s="27">
        <v>8</v>
      </c>
      <c r="X40" s="27">
        <v>41.7</v>
      </c>
      <c r="Y40" s="27">
        <v>10230</v>
      </c>
      <c r="Z40" s="27">
        <v>685</v>
      </c>
      <c r="AA40" s="27">
        <v>13.7</v>
      </c>
      <c r="AB40" s="27">
        <v>3.54</v>
      </c>
      <c r="AC40" s="27">
        <v>626</v>
      </c>
      <c r="AD40" s="27">
        <v>85.6</v>
      </c>
      <c r="AE40" s="27">
        <v>702</v>
      </c>
      <c r="AF40" s="27">
        <v>133</v>
      </c>
      <c r="AG40" s="27">
        <v>0.88400000000000001</v>
      </c>
      <c r="AH40" s="27">
        <v>30</v>
      </c>
      <c r="AI40" s="27">
        <v>0.17199999999999999</v>
      </c>
      <c r="AJ40" s="27">
        <v>19.600000000000001</v>
      </c>
      <c r="AK40" s="33">
        <v>54.7</v>
      </c>
    </row>
    <row r="41" spans="1:37">
      <c r="A41" s="26" t="s">
        <v>70</v>
      </c>
      <c r="B41" s="27">
        <v>330</v>
      </c>
      <c r="C41" s="27">
        <v>160</v>
      </c>
      <c r="D41" s="27">
        <v>7.5</v>
      </c>
      <c r="E41" s="27">
        <v>11.5</v>
      </c>
      <c r="F41" s="27">
        <v>18</v>
      </c>
      <c r="G41" s="27">
        <v>271</v>
      </c>
      <c r="H41" s="27">
        <v>11770</v>
      </c>
      <c r="I41" s="27">
        <v>788</v>
      </c>
      <c r="J41" s="27">
        <v>713</v>
      </c>
      <c r="K41" s="27">
        <v>98.5</v>
      </c>
      <c r="L41" s="27">
        <v>804</v>
      </c>
      <c r="M41" s="27">
        <v>154</v>
      </c>
      <c r="N41" s="33">
        <v>62.6</v>
      </c>
      <c r="O41" s="26" t="s">
        <v>70</v>
      </c>
      <c r="P41" s="27">
        <v>49.1</v>
      </c>
      <c r="Q41" s="27">
        <v>330</v>
      </c>
      <c r="R41" s="27">
        <v>160</v>
      </c>
      <c r="S41" s="27">
        <v>7.5</v>
      </c>
      <c r="T41" s="27">
        <v>11.5</v>
      </c>
      <c r="U41" s="27">
        <v>18</v>
      </c>
      <c r="V41" s="27">
        <v>271</v>
      </c>
      <c r="W41" s="27">
        <v>6.96</v>
      </c>
      <c r="X41" s="27">
        <v>36.1</v>
      </c>
      <c r="Y41" s="27">
        <v>11770</v>
      </c>
      <c r="Z41" s="27">
        <v>788</v>
      </c>
      <c r="AA41" s="27">
        <v>13.7</v>
      </c>
      <c r="AB41" s="27">
        <v>3.55</v>
      </c>
      <c r="AC41" s="27">
        <v>713</v>
      </c>
      <c r="AD41" s="27">
        <v>98.5</v>
      </c>
      <c r="AE41" s="27">
        <v>804</v>
      </c>
      <c r="AF41" s="27">
        <v>154</v>
      </c>
      <c r="AG41" s="27">
        <v>0.88300000000000001</v>
      </c>
      <c r="AH41" s="27">
        <v>26.9</v>
      </c>
      <c r="AI41" s="27">
        <v>0.2</v>
      </c>
      <c r="AJ41" s="27">
        <v>28.1</v>
      </c>
      <c r="AK41" s="33">
        <v>62.6</v>
      </c>
    </row>
    <row r="42" spans="1:37">
      <c r="A42" s="26" t="s">
        <v>71</v>
      </c>
      <c r="B42" s="27">
        <v>334</v>
      </c>
      <c r="C42" s="27">
        <v>162</v>
      </c>
      <c r="D42" s="27">
        <v>8.5</v>
      </c>
      <c r="E42" s="27">
        <v>13.5</v>
      </c>
      <c r="F42" s="27">
        <v>18</v>
      </c>
      <c r="G42" s="27">
        <v>271</v>
      </c>
      <c r="H42" s="27">
        <v>13910</v>
      </c>
      <c r="I42" s="27">
        <v>960</v>
      </c>
      <c r="J42" s="27">
        <v>833</v>
      </c>
      <c r="K42" s="27">
        <v>119</v>
      </c>
      <c r="L42" s="27">
        <v>943</v>
      </c>
      <c r="M42" s="27">
        <v>185</v>
      </c>
      <c r="N42" s="33">
        <v>72.599999999999994</v>
      </c>
      <c r="O42" s="26" t="s">
        <v>71</v>
      </c>
      <c r="P42" s="27">
        <v>57</v>
      </c>
      <c r="Q42" s="27">
        <v>334</v>
      </c>
      <c r="R42" s="27">
        <v>162</v>
      </c>
      <c r="S42" s="27">
        <v>8.5</v>
      </c>
      <c r="T42" s="27">
        <v>13.5</v>
      </c>
      <c r="U42" s="27">
        <v>18</v>
      </c>
      <c r="V42" s="27">
        <v>271</v>
      </c>
      <c r="W42" s="27">
        <v>6</v>
      </c>
      <c r="X42" s="27">
        <v>31.9</v>
      </c>
      <c r="Y42" s="27">
        <v>13910</v>
      </c>
      <c r="Z42" s="27">
        <v>960</v>
      </c>
      <c r="AA42" s="27">
        <v>13.8</v>
      </c>
      <c r="AB42" s="27">
        <v>3.64</v>
      </c>
      <c r="AC42" s="27">
        <v>833</v>
      </c>
      <c r="AD42" s="27">
        <v>119</v>
      </c>
      <c r="AE42" s="27">
        <v>943</v>
      </c>
      <c r="AF42" s="27">
        <v>185</v>
      </c>
      <c r="AG42" s="27">
        <v>0.88400000000000001</v>
      </c>
      <c r="AH42" s="27">
        <v>23.8</v>
      </c>
      <c r="AI42" s="27">
        <v>0.247</v>
      </c>
      <c r="AJ42" s="27">
        <v>42.2</v>
      </c>
      <c r="AK42" s="33">
        <v>72.599999999999994</v>
      </c>
    </row>
    <row r="43" spans="1:37">
      <c r="A43" s="24" t="s">
        <v>72</v>
      </c>
      <c r="B43" s="25">
        <v>336</v>
      </c>
      <c r="C43" s="25">
        <v>158</v>
      </c>
      <c r="D43" s="25">
        <v>9.1999999999999993</v>
      </c>
      <c r="E43" s="25">
        <v>14.5</v>
      </c>
      <c r="F43" s="25">
        <v>18</v>
      </c>
      <c r="G43" s="25">
        <v>271</v>
      </c>
      <c r="H43" s="25">
        <v>14690</v>
      </c>
      <c r="I43" s="25">
        <v>958</v>
      </c>
      <c r="J43" s="25">
        <v>874</v>
      </c>
      <c r="K43" s="25">
        <v>121</v>
      </c>
      <c r="L43" s="25">
        <v>995</v>
      </c>
      <c r="M43" s="25">
        <v>190</v>
      </c>
      <c r="N43" s="32">
        <v>76.8</v>
      </c>
      <c r="O43" s="24" t="s">
        <v>72</v>
      </c>
      <c r="P43" s="25">
        <v>60.3</v>
      </c>
      <c r="Q43" s="25">
        <v>336</v>
      </c>
      <c r="R43" s="25">
        <v>158</v>
      </c>
      <c r="S43" s="25">
        <v>9.1999999999999993</v>
      </c>
      <c r="T43" s="25">
        <v>14.5</v>
      </c>
      <c r="U43" s="25">
        <v>18</v>
      </c>
      <c r="V43" s="25">
        <v>271</v>
      </c>
      <c r="W43" s="25">
        <v>5.45</v>
      </c>
      <c r="X43" s="25">
        <v>29.5</v>
      </c>
      <c r="Y43" s="25">
        <v>14690</v>
      </c>
      <c r="Z43" s="25">
        <v>958</v>
      </c>
      <c r="AA43" s="25">
        <v>13.8</v>
      </c>
      <c r="AB43" s="25">
        <v>3.53</v>
      </c>
      <c r="AC43" s="25">
        <v>874</v>
      </c>
      <c r="AD43" s="25">
        <v>121</v>
      </c>
      <c r="AE43" s="25">
        <v>995</v>
      </c>
      <c r="AF43" s="25">
        <v>190</v>
      </c>
      <c r="AG43" s="25">
        <v>0.88200000000000001</v>
      </c>
      <c r="AH43" s="25">
        <v>22.4</v>
      </c>
      <c r="AI43" s="25">
        <v>0.247</v>
      </c>
      <c r="AJ43" s="25">
        <v>50.6</v>
      </c>
      <c r="AK43" s="32">
        <v>76.8</v>
      </c>
    </row>
    <row r="44" spans="1:37">
      <c r="A44" s="26" t="s">
        <v>73</v>
      </c>
      <c r="B44" s="27">
        <v>357.6</v>
      </c>
      <c r="C44" s="27">
        <v>170</v>
      </c>
      <c r="D44" s="27">
        <v>6.6</v>
      </c>
      <c r="E44" s="27">
        <v>11.5</v>
      </c>
      <c r="F44" s="27">
        <v>18</v>
      </c>
      <c r="G44" s="27">
        <v>298.60000000000002</v>
      </c>
      <c r="H44" s="27">
        <v>14520</v>
      </c>
      <c r="I44" s="27">
        <v>944</v>
      </c>
      <c r="J44" s="27">
        <v>812</v>
      </c>
      <c r="K44" s="27">
        <v>111</v>
      </c>
      <c r="L44" s="27">
        <v>907</v>
      </c>
      <c r="M44" s="27">
        <v>172</v>
      </c>
      <c r="N44" s="33">
        <v>64</v>
      </c>
      <c r="O44" s="26" t="s">
        <v>73</v>
      </c>
      <c r="P44" s="27">
        <v>50.2</v>
      </c>
      <c r="Q44" s="27">
        <v>357.6</v>
      </c>
      <c r="R44" s="27">
        <v>170</v>
      </c>
      <c r="S44" s="27">
        <v>6.6</v>
      </c>
      <c r="T44" s="27">
        <v>11.5</v>
      </c>
      <c r="U44" s="27">
        <v>18</v>
      </c>
      <c r="V44" s="27">
        <v>298.60000000000002</v>
      </c>
      <c r="W44" s="27">
        <v>7.39</v>
      </c>
      <c r="X44" s="27">
        <v>45.2</v>
      </c>
      <c r="Y44" s="27">
        <v>14520</v>
      </c>
      <c r="Z44" s="27">
        <v>944</v>
      </c>
      <c r="AA44" s="27">
        <v>15.1</v>
      </c>
      <c r="AB44" s="27">
        <v>3.84</v>
      </c>
      <c r="AC44" s="27">
        <v>812</v>
      </c>
      <c r="AD44" s="27">
        <v>111</v>
      </c>
      <c r="AE44" s="27">
        <v>907</v>
      </c>
      <c r="AF44" s="27">
        <v>172</v>
      </c>
      <c r="AG44" s="27">
        <v>0.89</v>
      </c>
      <c r="AH44" s="27">
        <v>29.9</v>
      </c>
      <c r="AI44" s="27">
        <v>0.28299999999999997</v>
      </c>
      <c r="AJ44" s="27">
        <v>27.4</v>
      </c>
      <c r="AK44" s="33">
        <v>64</v>
      </c>
    </row>
    <row r="45" spans="1:37">
      <c r="A45" s="26" t="s">
        <v>74</v>
      </c>
      <c r="B45" s="27">
        <v>360</v>
      </c>
      <c r="C45" s="27">
        <v>170</v>
      </c>
      <c r="D45" s="27">
        <v>8</v>
      </c>
      <c r="E45" s="27">
        <v>12.7</v>
      </c>
      <c r="F45" s="27">
        <v>18</v>
      </c>
      <c r="G45" s="27">
        <v>298.60000000000002</v>
      </c>
      <c r="H45" s="27">
        <v>16270</v>
      </c>
      <c r="I45" s="27">
        <v>1043</v>
      </c>
      <c r="J45" s="27">
        <v>904</v>
      </c>
      <c r="K45" s="27">
        <v>123</v>
      </c>
      <c r="L45" s="27">
        <v>1019</v>
      </c>
      <c r="M45" s="27">
        <v>191</v>
      </c>
      <c r="N45" s="33">
        <v>72.7</v>
      </c>
      <c r="O45" s="26" t="s">
        <v>74</v>
      </c>
      <c r="P45" s="27">
        <v>57.1</v>
      </c>
      <c r="Q45" s="27">
        <v>360</v>
      </c>
      <c r="R45" s="27">
        <v>170</v>
      </c>
      <c r="S45" s="27">
        <v>8</v>
      </c>
      <c r="T45" s="27">
        <v>12.7</v>
      </c>
      <c r="U45" s="27">
        <v>18</v>
      </c>
      <c r="V45" s="27">
        <v>298.60000000000002</v>
      </c>
      <c r="W45" s="27">
        <v>6.69</v>
      </c>
      <c r="X45" s="27">
        <v>37.299999999999997</v>
      </c>
      <c r="Y45" s="27">
        <v>16270</v>
      </c>
      <c r="Z45" s="27">
        <v>1043</v>
      </c>
      <c r="AA45" s="27">
        <v>15</v>
      </c>
      <c r="AB45" s="27">
        <v>3.79</v>
      </c>
      <c r="AC45" s="27">
        <v>904</v>
      </c>
      <c r="AD45" s="27">
        <v>123</v>
      </c>
      <c r="AE45" s="27">
        <v>1019</v>
      </c>
      <c r="AF45" s="27">
        <v>191</v>
      </c>
      <c r="AG45" s="27">
        <v>0.88400000000000001</v>
      </c>
      <c r="AH45" s="27">
        <v>27.4</v>
      </c>
      <c r="AI45" s="27">
        <v>0.315</v>
      </c>
      <c r="AJ45" s="27">
        <v>37.4</v>
      </c>
      <c r="AK45" s="33">
        <v>72.7</v>
      </c>
    </row>
    <row r="46" spans="1:37">
      <c r="A46" s="26" t="s">
        <v>75</v>
      </c>
      <c r="B46" s="27">
        <v>364</v>
      </c>
      <c r="C46" s="27">
        <v>172</v>
      </c>
      <c r="D46" s="27">
        <v>9.1999999999999993</v>
      </c>
      <c r="E46" s="27">
        <v>14.7</v>
      </c>
      <c r="F46" s="27">
        <v>18</v>
      </c>
      <c r="G46" s="27">
        <v>298.60000000000002</v>
      </c>
      <c r="H46" s="27">
        <v>19050</v>
      </c>
      <c r="I46" s="27">
        <v>1251</v>
      </c>
      <c r="J46" s="27">
        <v>1047</v>
      </c>
      <c r="K46" s="27">
        <v>145</v>
      </c>
      <c r="L46" s="27">
        <v>1186</v>
      </c>
      <c r="M46" s="27">
        <v>227</v>
      </c>
      <c r="N46" s="33">
        <v>84.1</v>
      </c>
      <c r="O46" s="26" t="s">
        <v>75</v>
      </c>
      <c r="P46" s="27">
        <v>66</v>
      </c>
      <c r="Q46" s="27">
        <v>364</v>
      </c>
      <c r="R46" s="27">
        <v>172</v>
      </c>
      <c r="S46" s="27">
        <v>9.1999999999999993</v>
      </c>
      <c r="T46" s="27">
        <v>14.7</v>
      </c>
      <c r="U46" s="27">
        <v>18</v>
      </c>
      <c r="V46" s="27">
        <v>298.60000000000002</v>
      </c>
      <c r="W46" s="27">
        <v>5.85</v>
      </c>
      <c r="X46" s="27">
        <v>32.5</v>
      </c>
      <c r="Y46" s="27">
        <v>19050</v>
      </c>
      <c r="Z46" s="27">
        <v>1251</v>
      </c>
      <c r="AA46" s="27">
        <v>15</v>
      </c>
      <c r="AB46" s="27">
        <v>3.86</v>
      </c>
      <c r="AC46" s="27">
        <v>1047</v>
      </c>
      <c r="AD46" s="27">
        <v>145</v>
      </c>
      <c r="AE46" s="27">
        <v>1186</v>
      </c>
      <c r="AF46" s="27">
        <v>227</v>
      </c>
      <c r="AG46" s="27">
        <v>0.88300000000000001</v>
      </c>
      <c r="AH46" s="27">
        <v>24.3</v>
      </c>
      <c r="AI46" s="27">
        <v>0.38200000000000001</v>
      </c>
      <c r="AJ46" s="27">
        <v>55.7</v>
      </c>
      <c r="AK46" s="33">
        <v>84.1</v>
      </c>
    </row>
    <row r="47" spans="1:37">
      <c r="A47" s="24" t="s">
        <v>76</v>
      </c>
      <c r="B47" s="25">
        <v>366</v>
      </c>
      <c r="C47" s="25">
        <v>168</v>
      </c>
      <c r="D47" s="25">
        <v>9.9</v>
      </c>
      <c r="E47" s="25">
        <v>16</v>
      </c>
      <c r="F47" s="25">
        <v>18</v>
      </c>
      <c r="G47" s="25">
        <v>298</v>
      </c>
      <c r="H47" s="25">
        <v>20290</v>
      </c>
      <c r="I47" s="25">
        <v>1270</v>
      </c>
      <c r="J47" s="25">
        <v>1109</v>
      </c>
      <c r="K47" s="25">
        <v>151</v>
      </c>
      <c r="L47" s="25">
        <v>1262</v>
      </c>
      <c r="M47" s="25">
        <v>236</v>
      </c>
      <c r="N47" s="32">
        <v>89.6</v>
      </c>
      <c r="O47" s="24" t="s">
        <v>76</v>
      </c>
      <c r="P47" s="25">
        <v>70.3</v>
      </c>
      <c r="Q47" s="25">
        <v>366</v>
      </c>
      <c r="R47" s="25">
        <v>168</v>
      </c>
      <c r="S47" s="25">
        <v>9.9</v>
      </c>
      <c r="T47" s="25">
        <v>16</v>
      </c>
      <c r="U47" s="25">
        <v>18</v>
      </c>
      <c r="V47" s="25">
        <v>298</v>
      </c>
      <c r="W47" s="25">
        <v>5.25</v>
      </c>
      <c r="X47" s="25">
        <v>30.1</v>
      </c>
      <c r="Y47" s="25">
        <v>20290</v>
      </c>
      <c r="Z47" s="25">
        <v>1270</v>
      </c>
      <c r="AA47" s="25">
        <v>15</v>
      </c>
      <c r="AB47" s="25">
        <v>3.76</v>
      </c>
      <c r="AC47" s="25">
        <v>1109</v>
      </c>
      <c r="AD47" s="25">
        <v>151</v>
      </c>
      <c r="AE47" s="25">
        <v>1262</v>
      </c>
      <c r="AF47" s="25">
        <v>236</v>
      </c>
      <c r="AG47" s="25">
        <v>0.88300000000000001</v>
      </c>
      <c r="AH47" s="25">
        <v>22.6</v>
      </c>
      <c r="AI47" s="25">
        <v>0.38900000000000001</v>
      </c>
      <c r="AJ47" s="25">
        <v>68.7</v>
      </c>
      <c r="AK47" s="32">
        <v>89.6</v>
      </c>
    </row>
    <row r="48" spans="1:37">
      <c r="A48" s="26" t="s">
        <v>77</v>
      </c>
      <c r="B48" s="27">
        <v>397</v>
      </c>
      <c r="C48" s="27">
        <v>180</v>
      </c>
      <c r="D48" s="27">
        <v>7</v>
      </c>
      <c r="E48" s="27">
        <v>12</v>
      </c>
      <c r="F48" s="27">
        <v>21</v>
      </c>
      <c r="G48" s="27">
        <v>331</v>
      </c>
      <c r="H48" s="27">
        <v>20290</v>
      </c>
      <c r="I48" s="27">
        <v>1171</v>
      </c>
      <c r="J48" s="27">
        <v>1022</v>
      </c>
      <c r="K48" s="27">
        <v>130</v>
      </c>
      <c r="L48" s="27">
        <v>1144</v>
      </c>
      <c r="M48" s="27">
        <v>202</v>
      </c>
      <c r="N48" s="33">
        <v>73.099999999999994</v>
      </c>
      <c r="O48" s="26" t="s">
        <v>77</v>
      </c>
      <c r="P48" s="27">
        <v>57.4</v>
      </c>
      <c r="Q48" s="27">
        <v>397</v>
      </c>
      <c r="R48" s="27">
        <v>180</v>
      </c>
      <c r="S48" s="27">
        <v>7</v>
      </c>
      <c r="T48" s="27">
        <v>12</v>
      </c>
      <c r="U48" s="27">
        <v>21</v>
      </c>
      <c r="V48" s="27">
        <v>331</v>
      </c>
      <c r="W48" s="27">
        <v>7.5</v>
      </c>
      <c r="X48" s="27">
        <v>47.3</v>
      </c>
      <c r="Y48" s="27">
        <v>20290</v>
      </c>
      <c r="Z48" s="27">
        <v>1171</v>
      </c>
      <c r="AA48" s="27">
        <v>16.7</v>
      </c>
      <c r="AB48" s="27">
        <v>4</v>
      </c>
      <c r="AC48" s="27">
        <v>1022</v>
      </c>
      <c r="AD48" s="27">
        <v>130</v>
      </c>
      <c r="AE48" s="27">
        <v>1144</v>
      </c>
      <c r="AF48" s="27">
        <v>202</v>
      </c>
      <c r="AG48" s="27">
        <v>0.88800000000000001</v>
      </c>
      <c r="AH48" s="27">
        <v>31</v>
      </c>
      <c r="AI48" s="27">
        <v>0.434</v>
      </c>
      <c r="AJ48" s="27">
        <v>36.200000000000003</v>
      </c>
      <c r="AK48" s="33">
        <v>73.099999999999994</v>
      </c>
    </row>
    <row r="49" spans="1:37">
      <c r="A49" s="26" t="s">
        <v>78</v>
      </c>
      <c r="B49" s="27">
        <v>400</v>
      </c>
      <c r="C49" s="27">
        <v>180</v>
      </c>
      <c r="D49" s="27">
        <v>8.6</v>
      </c>
      <c r="E49" s="27">
        <v>13.5</v>
      </c>
      <c r="F49" s="27">
        <v>21</v>
      </c>
      <c r="G49" s="27">
        <v>331</v>
      </c>
      <c r="H49" s="27">
        <v>23130</v>
      </c>
      <c r="I49" s="27">
        <v>1318</v>
      </c>
      <c r="J49" s="27">
        <v>1156</v>
      </c>
      <c r="K49" s="27">
        <v>146</v>
      </c>
      <c r="L49" s="27">
        <v>1307</v>
      </c>
      <c r="M49" s="27">
        <v>229</v>
      </c>
      <c r="N49" s="33">
        <v>84.5</v>
      </c>
      <c r="O49" s="26" t="s">
        <v>78</v>
      </c>
      <c r="P49" s="27">
        <v>66.3</v>
      </c>
      <c r="Q49" s="27">
        <v>400</v>
      </c>
      <c r="R49" s="27">
        <v>180</v>
      </c>
      <c r="S49" s="27">
        <v>8.6</v>
      </c>
      <c r="T49" s="27">
        <v>13.5</v>
      </c>
      <c r="U49" s="27">
        <v>21</v>
      </c>
      <c r="V49" s="27">
        <v>331</v>
      </c>
      <c r="W49" s="27">
        <v>6.67</v>
      </c>
      <c r="X49" s="27">
        <v>38.5</v>
      </c>
      <c r="Y49" s="27">
        <v>23130</v>
      </c>
      <c r="Z49" s="27">
        <v>1318</v>
      </c>
      <c r="AA49" s="27">
        <v>16.5</v>
      </c>
      <c r="AB49" s="27">
        <v>3.95</v>
      </c>
      <c r="AC49" s="27">
        <v>1156</v>
      </c>
      <c r="AD49" s="27">
        <v>146</v>
      </c>
      <c r="AE49" s="27">
        <v>1307</v>
      </c>
      <c r="AF49" s="27">
        <v>229</v>
      </c>
      <c r="AG49" s="27">
        <v>0.88200000000000001</v>
      </c>
      <c r="AH49" s="27">
        <v>28.1</v>
      </c>
      <c r="AI49" s="27">
        <v>0.49199999999999999</v>
      </c>
      <c r="AJ49" s="27">
        <v>51.3</v>
      </c>
      <c r="AK49" s="33">
        <v>84.5</v>
      </c>
    </row>
    <row r="50" spans="1:37">
      <c r="A50" s="26" t="s">
        <v>79</v>
      </c>
      <c r="B50" s="27">
        <v>404</v>
      </c>
      <c r="C50" s="27">
        <v>182</v>
      </c>
      <c r="D50" s="27">
        <v>9.6999999999999993</v>
      </c>
      <c r="E50" s="27">
        <v>15.5</v>
      </c>
      <c r="F50" s="27">
        <v>21</v>
      </c>
      <c r="G50" s="27">
        <v>331</v>
      </c>
      <c r="H50" s="27">
        <v>26750</v>
      </c>
      <c r="I50" s="27">
        <v>1564</v>
      </c>
      <c r="J50" s="27">
        <v>1324</v>
      </c>
      <c r="K50" s="27">
        <v>172</v>
      </c>
      <c r="L50" s="27">
        <v>1502</v>
      </c>
      <c r="M50" s="27">
        <v>269</v>
      </c>
      <c r="N50" s="33">
        <v>96.4</v>
      </c>
      <c r="O50" s="26" t="s">
        <v>79</v>
      </c>
      <c r="P50" s="27">
        <v>75.7</v>
      </c>
      <c r="Q50" s="27">
        <v>404</v>
      </c>
      <c r="R50" s="27">
        <v>182</v>
      </c>
      <c r="S50" s="27">
        <v>9.6999999999999993</v>
      </c>
      <c r="T50" s="27">
        <v>15.5</v>
      </c>
      <c r="U50" s="27">
        <v>21</v>
      </c>
      <c r="V50" s="27">
        <v>331</v>
      </c>
      <c r="W50" s="27">
        <v>5.87</v>
      </c>
      <c r="X50" s="27">
        <v>34.1</v>
      </c>
      <c r="Y50" s="27">
        <v>26750</v>
      </c>
      <c r="Z50" s="27">
        <v>1564</v>
      </c>
      <c r="AA50" s="27">
        <v>16.7</v>
      </c>
      <c r="AB50" s="27">
        <v>4.03</v>
      </c>
      <c r="AC50" s="27">
        <v>1324</v>
      </c>
      <c r="AD50" s="27">
        <v>172</v>
      </c>
      <c r="AE50" s="27">
        <v>1502</v>
      </c>
      <c r="AF50" s="27">
        <v>269</v>
      </c>
      <c r="AG50" s="27">
        <v>0.88200000000000001</v>
      </c>
      <c r="AH50" s="27">
        <v>25.2</v>
      </c>
      <c r="AI50" s="27">
        <v>0.59</v>
      </c>
      <c r="AJ50" s="27">
        <v>73.3</v>
      </c>
      <c r="AK50" s="33">
        <v>96.4</v>
      </c>
    </row>
    <row r="51" spans="1:37">
      <c r="A51" s="26" t="s">
        <v>80</v>
      </c>
      <c r="B51" s="27">
        <v>407</v>
      </c>
      <c r="C51" s="27">
        <v>178</v>
      </c>
      <c r="D51" s="27">
        <v>10.6</v>
      </c>
      <c r="E51" s="27">
        <v>17</v>
      </c>
      <c r="F51" s="27">
        <v>21</v>
      </c>
      <c r="G51" s="27">
        <v>331</v>
      </c>
      <c r="H51" s="27">
        <v>28860</v>
      </c>
      <c r="I51" s="27">
        <v>1606</v>
      </c>
      <c r="J51" s="27">
        <v>1418</v>
      </c>
      <c r="K51" s="27">
        <v>180</v>
      </c>
      <c r="L51" s="27">
        <v>1618</v>
      </c>
      <c r="M51" s="27">
        <v>284</v>
      </c>
      <c r="N51" s="33">
        <v>104</v>
      </c>
      <c r="O51" s="26" t="s">
        <v>80</v>
      </c>
      <c r="P51" s="27">
        <v>81.5</v>
      </c>
      <c r="Q51" s="27">
        <v>407</v>
      </c>
      <c r="R51" s="27">
        <v>178</v>
      </c>
      <c r="S51" s="27">
        <v>10.6</v>
      </c>
      <c r="T51" s="27">
        <v>17</v>
      </c>
      <c r="U51" s="27">
        <v>21</v>
      </c>
      <c r="V51" s="27">
        <v>331</v>
      </c>
      <c r="W51" s="27">
        <v>5.24</v>
      </c>
      <c r="X51" s="27">
        <v>31.2</v>
      </c>
      <c r="Y51" s="27">
        <v>28860</v>
      </c>
      <c r="Z51" s="27">
        <v>1606</v>
      </c>
      <c r="AA51" s="27">
        <v>16.7</v>
      </c>
      <c r="AB51" s="27">
        <v>3.93</v>
      </c>
      <c r="AC51" s="27">
        <v>1418</v>
      </c>
      <c r="AD51" s="27">
        <v>180</v>
      </c>
      <c r="AE51" s="27">
        <v>1618</v>
      </c>
      <c r="AF51" s="27">
        <v>284</v>
      </c>
      <c r="AG51" s="27">
        <v>0.88100000000000001</v>
      </c>
      <c r="AH51" s="27">
        <v>23.4</v>
      </c>
      <c r="AI51" s="27">
        <v>0.61099999999999999</v>
      </c>
      <c r="AJ51" s="27">
        <v>92.5</v>
      </c>
      <c r="AK51" s="33">
        <v>104</v>
      </c>
    </row>
    <row r="52" spans="1:37">
      <c r="A52" s="24" t="s">
        <v>81</v>
      </c>
      <c r="B52" s="25">
        <v>408</v>
      </c>
      <c r="C52" s="25">
        <v>182</v>
      </c>
      <c r="D52" s="25">
        <v>10.6</v>
      </c>
      <c r="E52" s="25">
        <v>17.5</v>
      </c>
      <c r="F52" s="25">
        <v>21</v>
      </c>
      <c r="G52" s="25">
        <v>331</v>
      </c>
      <c r="H52" s="25">
        <v>30140</v>
      </c>
      <c r="I52" s="25">
        <v>1766</v>
      </c>
      <c r="J52" s="25">
        <v>1477</v>
      </c>
      <c r="K52" s="25">
        <v>194</v>
      </c>
      <c r="L52" s="25">
        <v>1681</v>
      </c>
      <c r="M52" s="25">
        <v>304</v>
      </c>
      <c r="N52" s="32">
        <v>107</v>
      </c>
      <c r="O52" s="24" t="s">
        <v>81</v>
      </c>
      <c r="P52" s="25">
        <v>84</v>
      </c>
      <c r="Q52" s="25">
        <v>408</v>
      </c>
      <c r="R52" s="25">
        <v>182</v>
      </c>
      <c r="S52" s="25">
        <v>10.6</v>
      </c>
      <c r="T52" s="25">
        <v>17.5</v>
      </c>
      <c r="U52" s="25">
        <v>21</v>
      </c>
      <c r="V52" s="25">
        <v>331</v>
      </c>
      <c r="W52" s="25">
        <v>5.2</v>
      </c>
      <c r="X52" s="25">
        <v>31.2</v>
      </c>
      <c r="Y52" s="25">
        <v>30140</v>
      </c>
      <c r="Z52" s="25">
        <v>1766</v>
      </c>
      <c r="AA52" s="25">
        <v>16.8</v>
      </c>
      <c r="AB52" s="25">
        <v>4.0599999999999996</v>
      </c>
      <c r="AC52" s="25">
        <v>1477</v>
      </c>
      <c r="AD52" s="25">
        <v>194</v>
      </c>
      <c r="AE52" s="25">
        <v>1681</v>
      </c>
      <c r="AF52" s="25">
        <v>304</v>
      </c>
      <c r="AG52" s="25">
        <v>0.88400000000000001</v>
      </c>
      <c r="AH52" s="25">
        <v>22.9</v>
      </c>
      <c r="AI52" s="25">
        <v>0.67300000000000004</v>
      </c>
      <c r="AJ52" s="25">
        <v>99.6</v>
      </c>
      <c r="AK52" s="32">
        <v>107</v>
      </c>
    </row>
    <row r="53" spans="1:37">
      <c r="A53" s="26" t="s">
        <v>82</v>
      </c>
      <c r="B53" s="27">
        <v>447</v>
      </c>
      <c r="C53" s="27">
        <v>190</v>
      </c>
      <c r="D53" s="27">
        <v>7.6</v>
      </c>
      <c r="E53" s="27">
        <v>13.1</v>
      </c>
      <c r="F53" s="27">
        <v>21</v>
      </c>
      <c r="G53" s="27">
        <v>378.8</v>
      </c>
      <c r="H53" s="27">
        <v>29760</v>
      </c>
      <c r="I53" s="27">
        <v>1502</v>
      </c>
      <c r="J53" s="27">
        <v>1331</v>
      </c>
      <c r="K53" s="27">
        <v>158</v>
      </c>
      <c r="L53" s="27">
        <v>1494</v>
      </c>
      <c r="M53" s="27">
        <v>246</v>
      </c>
      <c r="N53" s="33">
        <v>85.5</v>
      </c>
      <c r="O53" s="26" t="s">
        <v>82</v>
      </c>
      <c r="P53" s="27">
        <v>67.2</v>
      </c>
      <c r="Q53" s="27">
        <v>447</v>
      </c>
      <c r="R53" s="27">
        <v>190</v>
      </c>
      <c r="S53" s="27">
        <v>7.6</v>
      </c>
      <c r="T53" s="27">
        <v>13.1</v>
      </c>
      <c r="U53" s="27">
        <v>21</v>
      </c>
      <c r="V53" s="27">
        <v>378.8</v>
      </c>
      <c r="W53" s="27">
        <v>7.25</v>
      </c>
      <c r="X53" s="27">
        <v>49.8</v>
      </c>
      <c r="Y53" s="27">
        <v>29760</v>
      </c>
      <c r="Z53" s="27">
        <v>1502</v>
      </c>
      <c r="AA53" s="27">
        <v>18.7</v>
      </c>
      <c r="AB53" s="27">
        <v>4.1900000000000004</v>
      </c>
      <c r="AC53" s="27">
        <v>1331</v>
      </c>
      <c r="AD53" s="27">
        <v>158</v>
      </c>
      <c r="AE53" s="27">
        <v>1494</v>
      </c>
      <c r="AF53" s="27">
        <v>246</v>
      </c>
      <c r="AG53" s="27">
        <v>0.88600000000000001</v>
      </c>
      <c r="AH53" s="27">
        <v>33.1</v>
      </c>
      <c r="AI53" s="27">
        <v>0.70699999999999996</v>
      </c>
      <c r="AJ53" s="27">
        <v>47.1</v>
      </c>
      <c r="AK53" s="33">
        <v>85.5</v>
      </c>
    </row>
    <row r="54" spans="1:37">
      <c r="A54" s="26" t="s">
        <v>83</v>
      </c>
      <c r="B54" s="27">
        <v>450</v>
      </c>
      <c r="C54" s="27">
        <v>190</v>
      </c>
      <c r="D54" s="27">
        <v>9.4</v>
      </c>
      <c r="E54" s="27">
        <v>14.6</v>
      </c>
      <c r="F54" s="27">
        <v>21</v>
      </c>
      <c r="G54" s="27">
        <v>378.8</v>
      </c>
      <c r="H54" s="27">
        <v>33740</v>
      </c>
      <c r="I54" s="27">
        <v>1676</v>
      </c>
      <c r="J54" s="27">
        <v>1500</v>
      </c>
      <c r="K54" s="27">
        <v>176</v>
      </c>
      <c r="L54" s="27">
        <v>1702</v>
      </c>
      <c r="M54" s="27">
        <v>276</v>
      </c>
      <c r="N54" s="33">
        <v>98.8</v>
      </c>
      <c r="O54" s="26" t="s">
        <v>83</v>
      </c>
      <c r="P54" s="27">
        <v>77.599999999999994</v>
      </c>
      <c r="Q54" s="27">
        <v>450</v>
      </c>
      <c r="R54" s="27">
        <v>190</v>
      </c>
      <c r="S54" s="27">
        <v>9.4</v>
      </c>
      <c r="T54" s="27">
        <v>14.6</v>
      </c>
      <c r="U54" s="27">
        <v>21</v>
      </c>
      <c r="V54" s="27">
        <v>378.8</v>
      </c>
      <c r="W54" s="27">
        <v>6.51</v>
      </c>
      <c r="X54" s="27">
        <v>40.299999999999997</v>
      </c>
      <c r="Y54" s="27">
        <v>33740</v>
      </c>
      <c r="Z54" s="27">
        <v>1676</v>
      </c>
      <c r="AA54" s="27">
        <v>18.5</v>
      </c>
      <c r="AB54" s="27">
        <v>4.12</v>
      </c>
      <c r="AC54" s="27">
        <v>1500</v>
      </c>
      <c r="AD54" s="27">
        <v>176</v>
      </c>
      <c r="AE54" s="27">
        <v>1702</v>
      </c>
      <c r="AF54" s="27">
        <v>276</v>
      </c>
      <c r="AG54" s="27">
        <v>0.878</v>
      </c>
      <c r="AH54" s="27">
        <v>30</v>
      </c>
      <c r="AI54" s="27">
        <v>0.79400000000000004</v>
      </c>
      <c r="AJ54" s="27">
        <v>66.7</v>
      </c>
      <c r="AK54" s="33">
        <v>98.8</v>
      </c>
    </row>
    <row r="55" spans="1:37">
      <c r="A55" s="26" t="s">
        <v>84</v>
      </c>
      <c r="B55" s="27">
        <v>456</v>
      </c>
      <c r="C55" s="27">
        <v>192</v>
      </c>
      <c r="D55" s="27">
        <v>11</v>
      </c>
      <c r="E55" s="27">
        <v>17.600000000000001</v>
      </c>
      <c r="F55" s="27">
        <v>21</v>
      </c>
      <c r="G55" s="27">
        <v>378.8</v>
      </c>
      <c r="H55" s="27">
        <v>40920</v>
      </c>
      <c r="I55" s="27">
        <v>2085</v>
      </c>
      <c r="J55" s="27">
        <v>1795</v>
      </c>
      <c r="K55" s="27">
        <v>217</v>
      </c>
      <c r="L55" s="27">
        <v>2046</v>
      </c>
      <c r="M55" s="27">
        <v>341</v>
      </c>
      <c r="N55" s="33">
        <v>118</v>
      </c>
      <c r="O55" s="26" t="s">
        <v>84</v>
      </c>
      <c r="P55" s="27">
        <v>92.4</v>
      </c>
      <c r="Q55" s="27">
        <v>456</v>
      </c>
      <c r="R55" s="27">
        <v>192</v>
      </c>
      <c r="S55" s="27">
        <v>11</v>
      </c>
      <c r="T55" s="27">
        <v>17.600000000000001</v>
      </c>
      <c r="U55" s="27">
        <v>21</v>
      </c>
      <c r="V55" s="27">
        <v>378.8</v>
      </c>
      <c r="W55" s="27">
        <v>5.45</v>
      </c>
      <c r="X55" s="27">
        <v>34.4</v>
      </c>
      <c r="Y55" s="27">
        <v>40920</v>
      </c>
      <c r="Z55" s="27">
        <v>2085</v>
      </c>
      <c r="AA55" s="27">
        <v>18.600000000000001</v>
      </c>
      <c r="AB55" s="27">
        <v>4.21</v>
      </c>
      <c r="AC55" s="27">
        <v>1795</v>
      </c>
      <c r="AD55" s="27">
        <v>217</v>
      </c>
      <c r="AE55" s="27">
        <v>2046</v>
      </c>
      <c r="AF55" s="27">
        <v>341</v>
      </c>
      <c r="AG55" s="27">
        <v>0.879</v>
      </c>
      <c r="AH55" s="27">
        <v>25.8</v>
      </c>
      <c r="AI55" s="27">
        <v>1</v>
      </c>
      <c r="AJ55" s="27">
        <v>109</v>
      </c>
      <c r="AK55" s="33">
        <v>118</v>
      </c>
    </row>
    <row r="56" spans="1:37">
      <c r="A56" s="26" t="s">
        <v>85</v>
      </c>
      <c r="B56" s="27">
        <v>458</v>
      </c>
      <c r="C56" s="27">
        <v>188</v>
      </c>
      <c r="D56" s="27">
        <v>11.3</v>
      </c>
      <c r="E56" s="27">
        <v>18.600000000000001</v>
      </c>
      <c r="F56" s="27">
        <v>21</v>
      </c>
      <c r="G56" s="27">
        <v>378.8</v>
      </c>
      <c r="H56" s="27">
        <v>42400</v>
      </c>
      <c r="I56" s="27">
        <v>2070</v>
      </c>
      <c r="J56" s="27">
        <v>1851</v>
      </c>
      <c r="K56" s="27">
        <v>220</v>
      </c>
      <c r="L56" s="27">
        <v>2115</v>
      </c>
      <c r="M56" s="27">
        <v>346</v>
      </c>
      <c r="N56" s="33">
        <v>121</v>
      </c>
      <c r="O56" s="26" t="s">
        <v>85</v>
      </c>
      <c r="P56" s="27">
        <v>95.2</v>
      </c>
      <c r="Q56" s="27">
        <v>458</v>
      </c>
      <c r="R56" s="27">
        <v>188</v>
      </c>
      <c r="S56" s="27">
        <v>11.3</v>
      </c>
      <c r="T56" s="27">
        <v>18.600000000000001</v>
      </c>
      <c r="U56" s="27">
        <v>21</v>
      </c>
      <c r="V56" s="27">
        <v>378.8</v>
      </c>
      <c r="W56" s="27">
        <v>5.05</v>
      </c>
      <c r="X56" s="27">
        <v>33.5</v>
      </c>
      <c r="Y56" s="27">
        <v>42400</v>
      </c>
      <c r="Z56" s="27">
        <v>2070</v>
      </c>
      <c r="AA56" s="27">
        <v>18.7</v>
      </c>
      <c r="AB56" s="27">
        <v>4.13</v>
      </c>
      <c r="AC56" s="27">
        <v>1851</v>
      </c>
      <c r="AD56" s="27">
        <v>220</v>
      </c>
      <c r="AE56" s="27">
        <v>2115</v>
      </c>
      <c r="AF56" s="27">
        <v>346</v>
      </c>
      <c r="AG56" s="27">
        <v>0.88</v>
      </c>
      <c r="AH56" s="27">
        <v>24.7</v>
      </c>
      <c r="AI56" s="27">
        <v>0.999</v>
      </c>
      <c r="AJ56" s="27">
        <v>123</v>
      </c>
      <c r="AK56" s="33">
        <v>121</v>
      </c>
    </row>
    <row r="57" spans="1:37">
      <c r="A57" s="24" t="s">
        <v>86</v>
      </c>
      <c r="B57" s="25">
        <v>460</v>
      </c>
      <c r="C57" s="25">
        <v>194</v>
      </c>
      <c r="D57" s="25">
        <v>12.4</v>
      </c>
      <c r="E57" s="25">
        <v>19.600000000000001</v>
      </c>
      <c r="F57" s="25">
        <v>21</v>
      </c>
      <c r="G57" s="25">
        <v>378.8</v>
      </c>
      <c r="H57" s="25">
        <v>46200</v>
      </c>
      <c r="I57" s="25">
        <v>2397</v>
      </c>
      <c r="J57" s="25">
        <v>2009</v>
      </c>
      <c r="K57" s="25">
        <v>247</v>
      </c>
      <c r="L57" s="25">
        <v>2301</v>
      </c>
      <c r="M57" s="25">
        <v>389</v>
      </c>
      <c r="N57" s="32">
        <v>132</v>
      </c>
      <c r="O57" s="24" t="s">
        <v>86</v>
      </c>
      <c r="P57" s="25">
        <v>103.6</v>
      </c>
      <c r="Q57" s="25">
        <v>460</v>
      </c>
      <c r="R57" s="25">
        <v>194</v>
      </c>
      <c r="S57" s="25">
        <v>12.4</v>
      </c>
      <c r="T57" s="25">
        <v>19.600000000000001</v>
      </c>
      <c r="U57" s="25">
        <v>21</v>
      </c>
      <c r="V57" s="25">
        <v>378.8</v>
      </c>
      <c r="W57" s="25">
        <v>4.95</v>
      </c>
      <c r="X57" s="25">
        <v>30.5</v>
      </c>
      <c r="Y57" s="25">
        <v>46200</v>
      </c>
      <c r="Z57" s="25">
        <v>2397</v>
      </c>
      <c r="AA57" s="25">
        <v>18.7</v>
      </c>
      <c r="AB57" s="25">
        <v>4.26</v>
      </c>
      <c r="AC57" s="25">
        <v>2009</v>
      </c>
      <c r="AD57" s="25">
        <v>247</v>
      </c>
      <c r="AE57" s="25">
        <v>2301</v>
      </c>
      <c r="AF57" s="25">
        <v>389</v>
      </c>
      <c r="AG57" s="25">
        <v>0.878</v>
      </c>
      <c r="AH57" s="25">
        <v>23.5</v>
      </c>
      <c r="AI57" s="25">
        <v>1.1599999999999999</v>
      </c>
      <c r="AJ57" s="25">
        <v>149</v>
      </c>
      <c r="AK57" s="32">
        <v>132</v>
      </c>
    </row>
    <row r="58" spans="1:37">
      <c r="A58" s="26" t="s">
        <v>87</v>
      </c>
      <c r="B58" s="27">
        <v>497</v>
      </c>
      <c r="C58" s="27">
        <v>200</v>
      </c>
      <c r="D58" s="27">
        <v>8.4</v>
      </c>
      <c r="E58" s="27">
        <v>14.5</v>
      </c>
      <c r="F58" s="27">
        <v>21</v>
      </c>
      <c r="G58" s="27">
        <v>426</v>
      </c>
      <c r="H58" s="27">
        <v>42930</v>
      </c>
      <c r="I58" s="27">
        <v>1939</v>
      </c>
      <c r="J58" s="27">
        <v>1728</v>
      </c>
      <c r="K58" s="27">
        <v>194</v>
      </c>
      <c r="L58" s="27">
        <v>1946</v>
      </c>
      <c r="M58" s="27">
        <v>302</v>
      </c>
      <c r="N58" s="33">
        <v>101</v>
      </c>
      <c r="O58" s="26" t="s">
        <v>87</v>
      </c>
      <c r="P58" s="27">
        <v>79.400000000000006</v>
      </c>
      <c r="Q58" s="27">
        <v>497</v>
      </c>
      <c r="R58" s="27">
        <v>200</v>
      </c>
      <c r="S58" s="27">
        <v>8.4</v>
      </c>
      <c r="T58" s="27">
        <v>14.5</v>
      </c>
      <c r="U58" s="27">
        <v>21</v>
      </c>
      <c r="V58" s="27">
        <v>426</v>
      </c>
      <c r="W58" s="27">
        <v>6.9</v>
      </c>
      <c r="X58" s="27">
        <v>50.7</v>
      </c>
      <c r="Y58" s="27">
        <v>42930</v>
      </c>
      <c r="Z58" s="27">
        <v>1939</v>
      </c>
      <c r="AA58" s="27">
        <v>20.6</v>
      </c>
      <c r="AB58" s="27">
        <v>4.38</v>
      </c>
      <c r="AC58" s="27">
        <v>1728</v>
      </c>
      <c r="AD58" s="27">
        <v>194</v>
      </c>
      <c r="AE58" s="27">
        <v>1946</v>
      </c>
      <c r="AF58" s="27">
        <v>302</v>
      </c>
      <c r="AG58" s="27">
        <v>0.88300000000000001</v>
      </c>
      <c r="AH58" s="27">
        <v>34.200000000000003</v>
      </c>
      <c r="AI58" s="27">
        <v>1.1299999999999999</v>
      </c>
      <c r="AJ58" s="27">
        <v>64.3</v>
      </c>
      <c r="AK58" s="33">
        <v>101</v>
      </c>
    </row>
    <row r="59" spans="1:37">
      <c r="A59" s="26" t="s">
        <v>88</v>
      </c>
      <c r="B59" s="27">
        <v>500</v>
      </c>
      <c r="C59" s="27">
        <v>200</v>
      </c>
      <c r="D59" s="27">
        <v>10.199999999999999</v>
      </c>
      <c r="E59" s="27">
        <v>16</v>
      </c>
      <c r="F59" s="27">
        <v>21</v>
      </c>
      <c r="G59" s="27">
        <v>426</v>
      </c>
      <c r="H59" s="27">
        <v>48200</v>
      </c>
      <c r="I59" s="27">
        <v>2142</v>
      </c>
      <c r="J59" s="27">
        <v>1928</v>
      </c>
      <c r="K59" s="27">
        <v>214</v>
      </c>
      <c r="L59" s="27">
        <v>2194</v>
      </c>
      <c r="M59" s="27">
        <v>336</v>
      </c>
      <c r="N59" s="33">
        <v>116</v>
      </c>
      <c r="O59" s="26" t="s">
        <v>88</v>
      </c>
      <c r="P59" s="27">
        <v>90.7</v>
      </c>
      <c r="Q59" s="27">
        <v>500</v>
      </c>
      <c r="R59" s="27">
        <v>200</v>
      </c>
      <c r="S59" s="27">
        <v>10.199999999999999</v>
      </c>
      <c r="T59" s="27">
        <v>16</v>
      </c>
      <c r="U59" s="27">
        <v>21</v>
      </c>
      <c r="V59" s="27">
        <v>426</v>
      </c>
      <c r="W59" s="27">
        <v>6.25</v>
      </c>
      <c r="X59" s="27">
        <v>41.8</v>
      </c>
      <c r="Y59" s="27">
        <v>48200</v>
      </c>
      <c r="Z59" s="27">
        <v>2142</v>
      </c>
      <c r="AA59" s="27">
        <v>20.399999999999999</v>
      </c>
      <c r="AB59" s="27">
        <v>4.3099999999999996</v>
      </c>
      <c r="AC59" s="27">
        <v>1928</v>
      </c>
      <c r="AD59" s="27">
        <v>214</v>
      </c>
      <c r="AE59" s="27">
        <v>2194</v>
      </c>
      <c r="AF59" s="27">
        <v>336</v>
      </c>
      <c r="AG59" s="27">
        <v>0.876</v>
      </c>
      <c r="AH59" s="27">
        <v>31.2</v>
      </c>
      <c r="AI59" s="27">
        <v>1.25</v>
      </c>
      <c r="AJ59" s="27">
        <v>89.1</v>
      </c>
      <c r="AK59" s="33">
        <v>116</v>
      </c>
    </row>
    <row r="60" spans="1:37">
      <c r="A60" s="26" t="s">
        <v>89</v>
      </c>
      <c r="B60" s="27">
        <v>506</v>
      </c>
      <c r="C60" s="27">
        <v>202</v>
      </c>
      <c r="D60" s="27">
        <v>12</v>
      </c>
      <c r="E60" s="27">
        <v>19</v>
      </c>
      <c r="F60" s="27">
        <v>21</v>
      </c>
      <c r="G60" s="27">
        <v>426</v>
      </c>
      <c r="H60" s="27">
        <v>57780</v>
      </c>
      <c r="I60" s="27">
        <v>2622</v>
      </c>
      <c r="J60" s="27">
        <v>2284</v>
      </c>
      <c r="K60" s="27">
        <v>260</v>
      </c>
      <c r="L60" s="27">
        <v>2613</v>
      </c>
      <c r="M60" s="27">
        <v>409</v>
      </c>
      <c r="N60" s="33">
        <v>137</v>
      </c>
      <c r="O60" s="26" t="s">
        <v>89</v>
      </c>
      <c r="P60" s="27">
        <v>107.3</v>
      </c>
      <c r="Q60" s="27">
        <v>506</v>
      </c>
      <c r="R60" s="27">
        <v>202</v>
      </c>
      <c r="S60" s="27">
        <v>12</v>
      </c>
      <c r="T60" s="27">
        <v>19</v>
      </c>
      <c r="U60" s="27">
        <v>21</v>
      </c>
      <c r="V60" s="27">
        <v>426</v>
      </c>
      <c r="W60" s="27">
        <v>5.32</v>
      </c>
      <c r="X60" s="27">
        <v>35.5</v>
      </c>
      <c r="Y60" s="27">
        <v>57780</v>
      </c>
      <c r="Z60" s="27">
        <v>2622</v>
      </c>
      <c r="AA60" s="27">
        <v>20.6</v>
      </c>
      <c r="AB60" s="27">
        <v>4.38</v>
      </c>
      <c r="AC60" s="27">
        <v>2284</v>
      </c>
      <c r="AD60" s="27">
        <v>260</v>
      </c>
      <c r="AE60" s="27">
        <v>2613</v>
      </c>
      <c r="AF60" s="27">
        <v>409</v>
      </c>
      <c r="AG60" s="27">
        <v>0.876</v>
      </c>
      <c r="AH60" s="27">
        <v>27</v>
      </c>
      <c r="AI60" s="27">
        <v>1.55</v>
      </c>
      <c r="AJ60" s="27">
        <v>143</v>
      </c>
      <c r="AK60" s="33">
        <v>137</v>
      </c>
    </row>
    <row r="61" spans="1:37">
      <c r="A61" s="26" t="s">
        <v>90</v>
      </c>
      <c r="B61" s="27">
        <v>508</v>
      </c>
      <c r="C61" s="27">
        <v>198</v>
      </c>
      <c r="D61" s="27">
        <v>12.6</v>
      </c>
      <c r="E61" s="27">
        <v>20</v>
      </c>
      <c r="F61" s="27">
        <v>21</v>
      </c>
      <c r="G61" s="27">
        <v>426</v>
      </c>
      <c r="H61" s="27">
        <v>59930</v>
      </c>
      <c r="I61" s="27">
        <v>2600</v>
      </c>
      <c r="J61" s="27">
        <v>2360</v>
      </c>
      <c r="K61" s="27">
        <v>263</v>
      </c>
      <c r="L61" s="27">
        <v>2709</v>
      </c>
      <c r="M61" s="27">
        <v>415</v>
      </c>
      <c r="N61" s="33">
        <v>142</v>
      </c>
      <c r="O61" s="26" t="s">
        <v>90</v>
      </c>
      <c r="P61" s="27">
        <v>111.4</v>
      </c>
      <c r="Q61" s="27">
        <v>508</v>
      </c>
      <c r="R61" s="27">
        <v>198</v>
      </c>
      <c r="S61" s="27">
        <v>12.6</v>
      </c>
      <c r="T61" s="27">
        <v>20</v>
      </c>
      <c r="U61" s="27">
        <v>21</v>
      </c>
      <c r="V61" s="27">
        <v>426</v>
      </c>
      <c r="W61" s="27">
        <v>4.95</v>
      </c>
      <c r="X61" s="27">
        <v>33.799999999999997</v>
      </c>
      <c r="Y61" s="27">
        <v>59930</v>
      </c>
      <c r="Z61" s="27">
        <v>2600</v>
      </c>
      <c r="AA61" s="27">
        <v>20.5</v>
      </c>
      <c r="AB61" s="27">
        <v>4.28</v>
      </c>
      <c r="AC61" s="27">
        <v>2360</v>
      </c>
      <c r="AD61" s="27">
        <v>263</v>
      </c>
      <c r="AE61" s="27">
        <v>2709</v>
      </c>
      <c r="AF61" s="27">
        <v>415</v>
      </c>
      <c r="AG61" s="27">
        <v>0.875</v>
      </c>
      <c r="AH61" s="27">
        <v>25.8</v>
      </c>
      <c r="AI61" s="27">
        <v>1.55</v>
      </c>
      <c r="AJ61" s="27">
        <v>162</v>
      </c>
      <c r="AK61" s="33">
        <v>142</v>
      </c>
    </row>
    <row r="62" spans="1:37">
      <c r="A62" s="24" t="s">
        <v>91</v>
      </c>
      <c r="B62" s="25">
        <v>514</v>
      </c>
      <c r="C62" s="25">
        <v>204</v>
      </c>
      <c r="D62" s="25">
        <v>14.2</v>
      </c>
      <c r="E62" s="25">
        <v>23</v>
      </c>
      <c r="F62" s="25">
        <v>21</v>
      </c>
      <c r="G62" s="25">
        <v>426</v>
      </c>
      <c r="H62" s="25">
        <v>70720</v>
      </c>
      <c r="I62" s="25">
        <v>3271</v>
      </c>
      <c r="J62" s="25">
        <v>2752</v>
      </c>
      <c r="K62" s="25">
        <v>321</v>
      </c>
      <c r="L62" s="25">
        <v>3168</v>
      </c>
      <c r="M62" s="25">
        <v>507</v>
      </c>
      <c r="N62" s="32">
        <v>164</v>
      </c>
      <c r="O62" s="24" t="s">
        <v>91</v>
      </c>
      <c r="P62" s="25">
        <v>128.80000000000001</v>
      </c>
      <c r="Q62" s="25">
        <v>514</v>
      </c>
      <c r="R62" s="25">
        <v>204</v>
      </c>
      <c r="S62" s="25">
        <v>14.2</v>
      </c>
      <c r="T62" s="25">
        <v>23</v>
      </c>
      <c r="U62" s="25">
        <v>21</v>
      </c>
      <c r="V62" s="25">
        <v>426</v>
      </c>
      <c r="W62" s="25">
        <v>4.43</v>
      </c>
      <c r="X62" s="25">
        <v>30</v>
      </c>
      <c r="Y62" s="25">
        <v>70720</v>
      </c>
      <c r="Z62" s="25">
        <v>3271</v>
      </c>
      <c r="AA62" s="25">
        <v>20.8</v>
      </c>
      <c r="AB62" s="25">
        <v>4.47</v>
      </c>
      <c r="AC62" s="25">
        <v>2752</v>
      </c>
      <c r="AD62" s="25">
        <v>321</v>
      </c>
      <c r="AE62" s="25">
        <v>3168</v>
      </c>
      <c r="AF62" s="25">
        <v>507</v>
      </c>
      <c r="AG62" s="25">
        <v>0.876</v>
      </c>
      <c r="AH62" s="25">
        <v>22.9</v>
      </c>
      <c r="AI62" s="25">
        <v>1.97</v>
      </c>
      <c r="AJ62" s="25">
        <v>242</v>
      </c>
      <c r="AK62" s="32">
        <v>164</v>
      </c>
    </row>
    <row r="63" spans="1:37">
      <c r="A63" s="26" t="s">
        <v>92</v>
      </c>
      <c r="B63" s="27">
        <v>547</v>
      </c>
      <c r="C63" s="27">
        <v>210</v>
      </c>
      <c r="D63" s="27">
        <v>9</v>
      </c>
      <c r="E63" s="27">
        <v>15.7</v>
      </c>
      <c r="F63" s="27">
        <v>24</v>
      </c>
      <c r="G63" s="27">
        <v>467.6</v>
      </c>
      <c r="H63" s="27">
        <v>59980</v>
      </c>
      <c r="I63" s="27">
        <v>2432</v>
      </c>
      <c r="J63" s="27">
        <v>2193</v>
      </c>
      <c r="K63" s="27">
        <v>232</v>
      </c>
      <c r="L63" s="27">
        <v>2475</v>
      </c>
      <c r="M63" s="27">
        <v>362</v>
      </c>
      <c r="N63" s="33">
        <v>117</v>
      </c>
      <c r="O63" s="26" t="s">
        <v>92</v>
      </c>
      <c r="P63" s="27">
        <v>92.1</v>
      </c>
      <c r="Q63" s="27">
        <v>547</v>
      </c>
      <c r="R63" s="27">
        <v>210</v>
      </c>
      <c r="S63" s="27">
        <v>9</v>
      </c>
      <c r="T63" s="27">
        <v>15.7</v>
      </c>
      <c r="U63" s="27">
        <v>24</v>
      </c>
      <c r="V63" s="27">
        <v>467.6</v>
      </c>
      <c r="W63" s="27">
        <v>6.69</v>
      </c>
      <c r="X63" s="27">
        <v>52</v>
      </c>
      <c r="Y63" s="27">
        <v>59980</v>
      </c>
      <c r="Z63" s="27">
        <v>2432</v>
      </c>
      <c r="AA63" s="27">
        <v>22.6</v>
      </c>
      <c r="AB63" s="27">
        <v>4.55</v>
      </c>
      <c r="AC63" s="27">
        <v>2193</v>
      </c>
      <c r="AD63" s="27">
        <v>232</v>
      </c>
      <c r="AE63" s="27">
        <v>2475</v>
      </c>
      <c r="AF63" s="27">
        <v>362</v>
      </c>
      <c r="AG63" s="27">
        <v>0.88200000000000001</v>
      </c>
      <c r="AH63" s="27">
        <v>34.5</v>
      </c>
      <c r="AI63" s="27">
        <v>1.72</v>
      </c>
      <c r="AJ63" s="27">
        <v>89.3</v>
      </c>
      <c r="AK63" s="33">
        <v>117</v>
      </c>
    </row>
    <row r="64" spans="1:37">
      <c r="A64" s="26" t="s">
        <v>93</v>
      </c>
      <c r="B64" s="27">
        <v>550</v>
      </c>
      <c r="C64" s="27">
        <v>210</v>
      </c>
      <c r="D64" s="27">
        <v>11.1</v>
      </c>
      <c r="E64" s="27">
        <v>17.2</v>
      </c>
      <c r="F64" s="27">
        <v>24</v>
      </c>
      <c r="G64" s="27">
        <v>467.6</v>
      </c>
      <c r="H64" s="27">
        <v>67120</v>
      </c>
      <c r="I64" s="27">
        <v>2668</v>
      </c>
      <c r="J64" s="27">
        <v>2441</v>
      </c>
      <c r="K64" s="27">
        <v>254</v>
      </c>
      <c r="L64" s="27">
        <v>2787</v>
      </c>
      <c r="M64" s="27">
        <v>401</v>
      </c>
      <c r="N64" s="33">
        <v>134</v>
      </c>
      <c r="O64" s="26" t="s">
        <v>93</v>
      </c>
      <c r="P64" s="27">
        <v>105.5</v>
      </c>
      <c r="Q64" s="27">
        <v>550</v>
      </c>
      <c r="R64" s="27">
        <v>210</v>
      </c>
      <c r="S64" s="27">
        <v>11.1</v>
      </c>
      <c r="T64" s="27">
        <v>17.2</v>
      </c>
      <c r="U64" s="27">
        <v>24</v>
      </c>
      <c r="V64" s="27">
        <v>467.6</v>
      </c>
      <c r="W64" s="27">
        <v>6.1</v>
      </c>
      <c r="X64" s="27">
        <v>42.1</v>
      </c>
      <c r="Y64" s="27">
        <v>67120</v>
      </c>
      <c r="Z64" s="27">
        <v>2668</v>
      </c>
      <c r="AA64" s="27">
        <v>22.3</v>
      </c>
      <c r="AB64" s="27">
        <v>4.45</v>
      </c>
      <c r="AC64" s="27">
        <v>2441</v>
      </c>
      <c r="AD64" s="27">
        <v>254</v>
      </c>
      <c r="AE64" s="27">
        <v>2787</v>
      </c>
      <c r="AF64" s="27">
        <v>401</v>
      </c>
      <c r="AG64" s="27">
        <v>0.873</v>
      </c>
      <c r="AH64" s="27">
        <v>31.5</v>
      </c>
      <c r="AI64" s="27">
        <v>1.89</v>
      </c>
      <c r="AJ64" s="27">
        <v>123</v>
      </c>
      <c r="AK64" s="33">
        <v>134</v>
      </c>
    </row>
    <row r="65" spans="1:37">
      <c r="A65" s="26" t="s">
        <v>94</v>
      </c>
      <c r="B65" s="27">
        <v>556</v>
      </c>
      <c r="C65" s="27">
        <v>212</v>
      </c>
      <c r="D65" s="27">
        <v>12.7</v>
      </c>
      <c r="E65" s="27">
        <v>20.2</v>
      </c>
      <c r="F65" s="27">
        <v>24</v>
      </c>
      <c r="G65" s="27">
        <v>467.6</v>
      </c>
      <c r="H65" s="27">
        <v>79160</v>
      </c>
      <c r="I65" s="27">
        <v>3224</v>
      </c>
      <c r="J65" s="27">
        <v>2847</v>
      </c>
      <c r="K65" s="27">
        <v>304</v>
      </c>
      <c r="L65" s="27">
        <v>3263</v>
      </c>
      <c r="M65" s="27">
        <v>481</v>
      </c>
      <c r="N65" s="33">
        <v>156</v>
      </c>
      <c r="O65" s="26" t="s">
        <v>94</v>
      </c>
      <c r="P65" s="27">
        <v>122.5</v>
      </c>
      <c r="Q65" s="27">
        <v>556</v>
      </c>
      <c r="R65" s="27">
        <v>212</v>
      </c>
      <c r="S65" s="27">
        <v>12.7</v>
      </c>
      <c r="T65" s="27">
        <v>20.2</v>
      </c>
      <c r="U65" s="27">
        <v>24</v>
      </c>
      <c r="V65" s="27">
        <v>467.6</v>
      </c>
      <c r="W65" s="27">
        <v>5.25</v>
      </c>
      <c r="X65" s="27">
        <v>36.799999999999997</v>
      </c>
      <c r="Y65" s="27">
        <v>79160</v>
      </c>
      <c r="Z65" s="27">
        <v>3224</v>
      </c>
      <c r="AA65" s="27">
        <v>22.5</v>
      </c>
      <c r="AB65" s="27">
        <v>4.55</v>
      </c>
      <c r="AC65" s="27">
        <v>2847</v>
      </c>
      <c r="AD65" s="27">
        <v>304</v>
      </c>
      <c r="AE65" s="27">
        <v>3263</v>
      </c>
      <c r="AF65" s="27">
        <v>481</v>
      </c>
      <c r="AG65" s="27">
        <v>0.874</v>
      </c>
      <c r="AH65" s="27">
        <v>27.7</v>
      </c>
      <c r="AI65" s="27">
        <v>2.31</v>
      </c>
      <c r="AJ65" s="27">
        <v>187</v>
      </c>
      <c r="AK65" s="33">
        <v>156</v>
      </c>
    </row>
    <row r="66" spans="1:37">
      <c r="A66" s="26" t="s">
        <v>95</v>
      </c>
      <c r="B66" s="27">
        <v>560</v>
      </c>
      <c r="C66" s="27">
        <v>210</v>
      </c>
      <c r="D66" s="27">
        <v>14</v>
      </c>
      <c r="E66" s="27">
        <v>22.2</v>
      </c>
      <c r="F66" s="27">
        <v>24</v>
      </c>
      <c r="G66" s="27">
        <v>467.6</v>
      </c>
      <c r="H66" s="27">
        <v>86600</v>
      </c>
      <c r="I66" s="27">
        <v>3447</v>
      </c>
      <c r="J66" s="27">
        <v>3093</v>
      </c>
      <c r="K66" s="27">
        <v>328</v>
      </c>
      <c r="L66" s="27">
        <v>3562</v>
      </c>
      <c r="M66" s="27">
        <v>521</v>
      </c>
      <c r="N66" s="33">
        <v>170</v>
      </c>
      <c r="O66" s="26" t="s">
        <v>95</v>
      </c>
      <c r="P66" s="27">
        <v>133.69999999999999</v>
      </c>
      <c r="Q66" s="27">
        <v>560</v>
      </c>
      <c r="R66" s="27">
        <v>210</v>
      </c>
      <c r="S66" s="27">
        <v>14</v>
      </c>
      <c r="T66" s="27">
        <v>22.2</v>
      </c>
      <c r="U66" s="27">
        <v>24</v>
      </c>
      <c r="V66" s="27">
        <v>467.6</v>
      </c>
      <c r="W66" s="27">
        <v>4.7300000000000004</v>
      </c>
      <c r="X66" s="27">
        <v>33.4</v>
      </c>
      <c r="Y66" s="27">
        <v>86600</v>
      </c>
      <c r="Z66" s="27">
        <v>3447</v>
      </c>
      <c r="AA66" s="27">
        <v>22.5</v>
      </c>
      <c r="AB66" s="27">
        <v>4.5</v>
      </c>
      <c r="AC66" s="27">
        <v>3093</v>
      </c>
      <c r="AD66" s="27">
        <v>328</v>
      </c>
      <c r="AE66" s="27">
        <v>3562</v>
      </c>
      <c r="AF66" s="27">
        <v>521</v>
      </c>
      <c r="AG66" s="27">
        <v>0.873</v>
      </c>
      <c r="AH66" s="27">
        <v>25.6</v>
      </c>
      <c r="AI66" s="27">
        <v>2.4900000000000002</v>
      </c>
      <c r="AJ66" s="27">
        <v>242</v>
      </c>
      <c r="AK66" s="33">
        <v>170</v>
      </c>
    </row>
    <row r="67" spans="1:37">
      <c r="A67" s="24" t="s">
        <v>96</v>
      </c>
      <c r="B67" s="25">
        <v>566</v>
      </c>
      <c r="C67" s="25">
        <v>216</v>
      </c>
      <c r="D67" s="25">
        <v>17.100000000000001</v>
      </c>
      <c r="E67" s="25">
        <v>25.2</v>
      </c>
      <c r="F67" s="25">
        <v>24</v>
      </c>
      <c r="G67" s="25">
        <v>467.6</v>
      </c>
      <c r="H67" s="25">
        <v>102300</v>
      </c>
      <c r="I67" s="25">
        <v>4265</v>
      </c>
      <c r="J67" s="25">
        <v>3616</v>
      </c>
      <c r="K67" s="25">
        <v>395</v>
      </c>
      <c r="L67" s="25">
        <v>4205</v>
      </c>
      <c r="M67" s="25">
        <v>632</v>
      </c>
      <c r="N67" s="32">
        <v>202</v>
      </c>
      <c r="O67" s="24" t="s">
        <v>96</v>
      </c>
      <c r="P67" s="25">
        <v>158.6</v>
      </c>
      <c r="Q67" s="25">
        <v>566</v>
      </c>
      <c r="R67" s="25">
        <v>216</v>
      </c>
      <c r="S67" s="25">
        <v>17.100000000000001</v>
      </c>
      <c r="T67" s="25">
        <v>25.2</v>
      </c>
      <c r="U67" s="25">
        <v>24</v>
      </c>
      <c r="V67" s="25">
        <v>467.6</v>
      </c>
      <c r="W67" s="25">
        <v>4.29</v>
      </c>
      <c r="X67" s="25">
        <v>27.3</v>
      </c>
      <c r="Y67" s="25">
        <v>102300</v>
      </c>
      <c r="Z67" s="25">
        <v>4265</v>
      </c>
      <c r="AA67" s="25">
        <v>22.5</v>
      </c>
      <c r="AB67" s="25">
        <v>4.5999999999999996</v>
      </c>
      <c r="AC67" s="25">
        <v>3616</v>
      </c>
      <c r="AD67" s="25">
        <v>395</v>
      </c>
      <c r="AE67" s="25">
        <v>4205</v>
      </c>
      <c r="AF67" s="25">
        <v>632</v>
      </c>
      <c r="AG67" s="25">
        <v>0.86799999999999999</v>
      </c>
      <c r="AH67" s="25">
        <v>22.5</v>
      </c>
      <c r="AI67" s="25">
        <v>3.12</v>
      </c>
      <c r="AJ67" s="25">
        <v>372</v>
      </c>
      <c r="AK67" s="32">
        <v>202</v>
      </c>
    </row>
    <row r="68" spans="1:37">
      <c r="A68" s="26" t="s">
        <v>97</v>
      </c>
      <c r="B68" s="27">
        <v>597</v>
      </c>
      <c r="C68" s="27">
        <v>220</v>
      </c>
      <c r="D68" s="27">
        <v>9.8000000000000007</v>
      </c>
      <c r="E68" s="27">
        <v>17.5</v>
      </c>
      <c r="F68" s="27">
        <v>24</v>
      </c>
      <c r="G68" s="27">
        <v>514</v>
      </c>
      <c r="H68" s="27">
        <v>82920</v>
      </c>
      <c r="I68" s="27">
        <v>3116</v>
      </c>
      <c r="J68" s="27">
        <v>2778</v>
      </c>
      <c r="K68" s="27">
        <v>283</v>
      </c>
      <c r="L68" s="27">
        <v>3141</v>
      </c>
      <c r="M68" s="27">
        <v>442</v>
      </c>
      <c r="N68" s="33">
        <v>137</v>
      </c>
      <c r="O68" s="26" t="s">
        <v>97</v>
      </c>
      <c r="P68" s="27">
        <v>107.6</v>
      </c>
      <c r="Q68" s="27">
        <v>597</v>
      </c>
      <c r="R68" s="27">
        <v>220</v>
      </c>
      <c r="S68" s="27">
        <v>9.8000000000000007</v>
      </c>
      <c r="T68" s="27">
        <v>17.5</v>
      </c>
      <c r="U68" s="27">
        <v>24</v>
      </c>
      <c r="V68" s="27">
        <v>514</v>
      </c>
      <c r="W68" s="27">
        <v>6.29</v>
      </c>
      <c r="X68" s="27">
        <v>52.4</v>
      </c>
      <c r="Y68" s="27">
        <v>82920</v>
      </c>
      <c r="Z68" s="27">
        <v>3116</v>
      </c>
      <c r="AA68" s="27">
        <v>24.6</v>
      </c>
      <c r="AB68" s="27">
        <v>4.7699999999999996</v>
      </c>
      <c r="AC68" s="27">
        <v>2778</v>
      </c>
      <c r="AD68" s="27">
        <v>283</v>
      </c>
      <c r="AE68" s="27">
        <v>3141</v>
      </c>
      <c r="AF68" s="27">
        <v>442</v>
      </c>
      <c r="AG68" s="27">
        <v>0.88100000000000001</v>
      </c>
      <c r="AH68" s="27">
        <v>34.700000000000003</v>
      </c>
      <c r="AI68" s="27">
        <v>2.62</v>
      </c>
      <c r="AJ68" s="27">
        <v>122</v>
      </c>
      <c r="AK68" s="33">
        <v>137</v>
      </c>
    </row>
    <row r="69" spans="1:37">
      <c r="A69" s="26" t="s">
        <v>98</v>
      </c>
      <c r="B69" s="27">
        <v>600</v>
      </c>
      <c r="C69" s="27">
        <v>220</v>
      </c>
      <c r="D69" s="27">
        <v>12</v>
      </c>
      <c r="E69" s="27">
        <v>19</v>
      </c>
      <c r="F69" s="27">
        <v>24</v>
      </c>
      <c r="G69" s="27">
        <v>514</v>
      </c>
      <c r="H69" s="27">
        <v>92080</v>
      </c>
      <c r="I69" s="27">
        <v>3387</v>
      </c>
      <c r="J69" s="27">
        <v>3069</v>
      </c>
      <c r="K69" s="27">
        <v>308</v>
      </c>
      <c r="L69" s="27">
        <v>3512</v>
      </c>
      <c r="M69" s="27">
        <v>486</v>
      </c>
      <c r="N69" s="33">
        <v>156</v>
      </c>
      <c r="O69" s="26" t="s">
        <v>98</v>
      </c>
      <c r="P69" s="27">
        <v>122.4</v>
      </c>
      <c r="Q69" s="27">
        <v>600</v>
      </c>
      <c r="R69" s="27">
        <v>220</v>
      </c>
      <c r="S69" s="27">
        <v>12</v>
      </c>
      <c r="T69" s="27">
        <v>19</v>
      </c>
      <c r="U69" s="27">
        <v>24</v>
      </c>
      <c r="V69" s="27">
        <v>514</v>
      </c>
      <c r="W69" s="27">
        <v>5.79</v>
      </c>
      <c r="X69" s="27">
        <v>42.8</v>
      </c>
      <c r="Y69" s="27">
        <v>92080</v>
      </c>
      <c r="Z69" s="27">
        <v>3387</v>
      </c>
      <c r="AA69" s="27">
        <v>24.3</v>
      </c>
      <c r="AB69" s="27">
        <v>4.66</v>
      </c>
      <c r="AC69" s="27">
        <v>3069</v>
      </c>
      <c r="AD69" s="27">
        <v>308</v>
      </c>
      <c r="AE69" s="27">
        <v>3512</v>
      </c>
      <c r="AF69" s="27">
        <v>486</v>
      </c>
      <c r="AG69" s="27">
        <v>0.872</v>
      </c>
      <c r="AH69" s="27">
        <v>32</v>
      </c>
      <c r="AI69" s="27">
        <v>2.86</v>
      </c>
      <c r="AJ69" s="27">
        <v>165</v>
      </c>
      <c r="AK69" s="33">
        <v>156</v>
      </c>
    </row>
    <row r="70" spans="1:37">
      <c r="A70" s="26" t="s">
        <v>99</v>
      </c>
      <c r="B70" s="27">
        <v>610</v>
      </c>
      <c r="C70" s="27">
        <v>224</v>
      </c>
      <c r="D70" s="27">
        <v>15</v>
      </c>
      <c r="E70" s="27">
        <v>24</v>
      </c>
      <c r="F70" s="27">
        <v>24</v>
      </c>
      <c r="G70" s="27">
        <v>514</v>
      </c>
      <c r="H70" s="27">
        <v>118300</v>
      </c>
      <c r="I70" s="27">
        <v>4521</v>
      </c>
      <c r="J70" s="27">
        <v>3879</v>
      </c>
      <c r="K70" s="27">
        <v>404</v>
      </c>
      <c r="L70" s="27">
        <v>4471</v>
      </c>
      <c r="M70" s="27">
        <v>640</v>
      </c>
      <c r="N70" s="33">
        <v>197</v>
      </c>
      <c r="O70" s="26" t="s">
        <v>99</v>
      </c>
      <c r="P70" s="27">
        <v>154.5</v>
      </c>
      <c r="Q70" s="27">
        <v>610</v>
      </c>
      <c r="R70" s="27">
        <v>224</v>
      </c>
      <c r="S70" s="27">
        <v>15</v>
      </c>
      <c r="T70" s="27">
        <v>24</v>
      </c>
      <c r="U70" s="27">
        <v>24</v>
      </c>
      <c r="V70" s="27">
        <v>514</v>
      </c>
      <c r="W70" s="27">
        <v>4.67</v>
      </c>
      <c r="X70" s="27">
        <v>34.299999999999997</v>
      </c>
      <c r="Y70" s="27">
        <v>118300</v>
      </c>
      <c r="Z70" s="27">
        <v>4521</v>
      </c>
      <c r="AA70" s="27">
        <v>24.5</v>
      </c>
      <c r="AB70" s="27">
        <v>4.79</v>
      </c>
      <c r="AC70" s="27">
        <v>3879</v>
      </c>
      <c r="AD70" s="27">
        <v>404</v>
      </c>
      <c r="AE70" s="27">
        <v>4471</v>
      </c>
      <c r="AF70" s="27">
        <v>640</v>
      </c>
      <c r="AG70" s="27">
        <v>0.872</v>
      </c>
      <c r="AH70" s="27">
        <v>26.2</v>
      </c>
      <c r="AI70" s="27">
        <v>3.88</v>
      </c>
      <c r="AJ70" s="27">
        <v>316</v>
      </c>
      <c r="AK70" s="33">
        <v>197</v>
      </c>
    </row>
    <row r="71" spans="1:37">
      <c r="A71" s="26" t="s">
        <v>100</v>
      </c>
      <c r="B71" s="27">
        <v>608</v>
      </c>
      <c r="C71" s="27">
        <v>218</v>
      </c>
      <c r="D71" s="27">
        <v>14</v>
      </c>
      <c r="E71" s="27">
        <v>23</v>
      </c>
      <c r="F71" s="27">
        <v>24</v>
      </c>
      <c r="G71" s="27">
        <v>514</v>
      </c>
      <c r="H71" s="27">
        <v>110300</v>
      </c>
      <c r="I71" s="27">
        <v>3993</v>
      </c>
      <c r="J71" s="27">
        <v>3629</v>
      </c>
      <c r="K71" s="27">
        <v>366</v>
      </c>
      <c r="L71" s="27">
        <v>4175</v>
      </c>
      <c r="M71" s="27">
        <v>580</v>
      </c>
      <c r="N71" s="33">
        <v>184</v>
      </c>
      <c r="O71" s="26" t="s">
        <v>100</v>
      </c>
      <c r="P71" s="27">
        <v>144.4</v>
      </c>
      <c r="Q71" s="27">
        <v>608</v>
      </c>
      <c r="R71" s="27">
        <v>218</v>
      </c>
      <c r="S71" s="27">
        <v>14</v>
      </c>
      <c r="T71" s="27">
        <v>23</v>
      </c>
      <c r="U71" s="27">
        <v>24</v>
      </c>
      <c r="V71" s="27">
        <v>514</v>
      </c>
      <c r="W71" s="27">
        <v>4.74</v>
      </c>
      <c r="X71" s="27">
        <v>36.700000000000003</v>
      </c>
      <c r="Y71" s="27">
        <v>110300</v>
      </c>
      <c r="Z71" s="27">
        <v>3993</v>
      </c>
      <c r="AA71" s="27">
        <v>24.5</v>
      </c>
      <c r="AB71" s="27">
        <v>4.66</v>
      </c>
      <c r="AC71" s="27">
        <v>3629</v>
      </c>
      <c r="AD71" s="27">
        <v>366</v>
      </c>
      <c r="AE71" s="27">
        <v>4175</v>
      </c>
      <c r="AF71" s="27">
        <v>580</v>
      </c>
      <c r="AG71" s="27">
        <v>0.873</v>
      </c>
      <c r="AH71" s="27">
        <v>27.3</v>
      </c>
      <c r="AI71" s="27">
        <v>3.42</v>
      </c>
      <c r="AJ71" s="27">
        <v>271</v>
      </c>
      <c r="AK71" s="33">
        <v>184</v>
      </c>
    </row>
    <row r="72" spans="1:37">
      <c r="A72" s="24" t="s">
        <v>101</v>
      </c>
      <c r="B72" s="25">
        <v>618</v>
      </c>
      <c r="C72" s="25">
        <v>228</v>
      </c>
      <c r="D72" s="25">
        <v>18</v>
      </c>
      <c r="E72" s="25">
        <v>28</v>
      </c>
      <c r="F72" s="25">
        <v>24</v>
      </c>
      <c r="G72" s="25">
        <v>514</v>
      </c>
      <c r="H72" s="25">
        <v>141600</v>
      </c>
      <c r="I72" s="25">
        <v>5570</v>
      </c>
      <c r="J72" s="25">
        <v>4582</v>
      </c>
      <c r="K72" s="25">
        <v>489</v>
      </c>
      <c r="L72" s="25">
        <v>5324</v>
      </c>
      <c r="M72" s="25">
        <v>780</v>
      </c>
      <c r="N72" s="32">
        <v>234</v>
      </c>
      <c r="O72" s="24" t="s">
        <v>101</v>
      </c>
      <c r="P72" s="25">
        <v>183.5</v>
      </c>
      <c r="Q72" s="25">
        <v>618</v>
      </c>
      <c r="R72" s="25">
        <v>228</v>
      </c>
      <c r="S72" s="25">
        <v>18</v>
      </c>
      <c r="T72" s="25">
        <v>28</v>
      </c>
      <c r="U72" s="25">
        <v>24</v>
      </c>
      <c r="V72" s="25">
        <v>514</v>
      </c>
      <c r="W72" s="25">
        <v>4.07</v>
      </c>
      <c r="X72" s="25">
        <v>28.6</v>
      </c>
      <c r="Y72" s="25">
        <v>141600</v>
      </c>
      <c r="Z72" s="25">
        <v>5570</v>
      </c>
      <c r="AA72" s="25">
        <v>24.6</v>
      </c>
      <c r="AB72" s="25">
        <v>4.88</v>
      </c>
      <c r="AC72" s="25">
        <v>4582</v>
      </c>
      <c r="AD72" s="25">
        <v>489</v>
      </c>
      <c r="AE72" s="25">
        <v>5324</v>
      </c>
      <c r="AF72" s="25">
        <v>780</v>
      </c>
      <c r="AG72" s="25">
        <v>0.87</v>
      </c>
      <c r="AH72" s="25">
        <v>22.7</v>
      </c>
      <c r="AI72" s="25">
        <v>4.8499999999999996</v>
      </c>
      <c r="AJ72" s="25">
        <v>506</v>
      </c>
      <c r="AK72" s="32">
        <v>234</v>
      </c>
    </row>
    <row r="73" spans="1:37">
      <c r="A73" s="26" t="s">
        <v>102</v>
      </c>
      <c r="B73" s="27">
        <v>753</v>
      </c>
      <c r="C73" s="27">
        <v>263</v>
      </c>
      <c r="D73" s="27">
        <v>11.5</v>
      </c>
      <c r="E73" s="27">
        <v>17</v>
      </c>
      <c r="F73" s="27">
        <v>17</v>
      </c>
      <c r="G73" s="27">
        <v>685</v>
      </c>
      <c r="H73" s="27">
        <v>159900</v>
      </c>
      <c r="I73" s="27">
        <v>5166</v>
      </c>
      <c r="J73" s="27">
        <v>4246</v>
      </c>
      <c r="K73" s="27">
        <v>393</v>
      </c>
      <c r="L73" s="27">
        <v>4865</v>
      </c>
      <c r="M73" s="27">
        <v>614</v>
      </c>
      <c r="N73" s="33">
        <v>175</v>
      </c>
      <c r="O73" s="26" t="s">
        <v>102</v>
      </c>
      <c r="P73" s="27">
        <v>137</v>
      </c>
      <c r="Q73" s="27">
        <v>753</v>
      </c>
      <c r="R73" s="27">
        <v>263</v>
      </c>
      <c r="S73" s="27">
        <v>11.5</v>
      </c>
      <c r="T73" s="27">
        <v>17</v>
      </c>
      <c r="U73" s="27">
        <v>17</v>
      </c>
      <c r="V73" s="27">
        <v>685</v>
      </c>
      <c r="W73" s="27">
        <v>7.74</v>
      </c>
      <c r="X73" s="27">
        <v>59.6</v>
      </c>
      <c r="Y73" s="27">
        <v>159900</v>
      </c>
      <c r="Z73" s="27">
        <v>5166</v>
      </c>
      <c r="AA73" s="27">
        <v>30.3</v>
      </c>
      <c r="AB73" s="27">
        <v>5.44</v>
      </c>
      <c r="AC73" s="27">
        <v>4246</v>
      </c>
      <c r="AD73" s="27">
        <v>393</v>
      </c>
      <c r="AE73" s="27">
        <v>4865</v>
      </c>
      <c r="AF73" s="27">
        <v>614</v>
      </c>
      <c r="AG73" s="27">
        <v>0.86299999999999999</v>
      </c>
      <c r="AH73" s="27">
        <v>47.3</v>
      </c>
      <c r="AI73" s="27">
        <v>7</v>
      </c>
      <c r="AJ73" s="27">
        <v>135</v>
      </c>
      <c r="AK73" s="33">
        <v>175</v>
      </c>
    </row>
    <row r="74" spans="1:37">
      <c r="A74" s="26" t="s">
        <v>103</v>
      </c>
      <c r="B74" s="27">
        <v>753</v>
      </c>
      <c r="C74" s="27">
        <v>265</v>
      </c>
      <c r="D74" s="27">
        <v>13.2</v>
      </c>
      <c r="E74" s="27">
        <v>17</v>
      </c>
      <c r="F74" s="27">
        <v>17</v>
      </c>
      <c r="G74" s="27">
        <v>685</v>
      </c>
      <c r="H74" s="27">
        <v>166100</v>
      </c>
      <c r="I74" s="27">
        <v>5289</v>
      </c>
      <c r="J74" s="27">
        <v>4411</v>
      </c>
      <c r="K74" s="27">
        <v>399</v>
      </c>
      <c r="L74" s="27">
        <v>5110</v>
      </c>
      <c r="M74" s="27">
        <v>631</v>
      </c>
      <c r="N74" s="33">
        <v>187</v>
      </c>
      <c r="O74" s="26" t="s">
        <v>103</v>
      </c>
      <c r="P74" s="27">
        <v>147.19999999999999</v>
      </c>
      <c r="Q74" s="27">
        <v>753</v>
      </c>
      <c r="R74" s="27">
        <v>265</v>
      </c>
      <c r="S74" s="27">
        <v>13.2</v>
      </c>
      <c r="T74" s="27">
        <v>17</v>
      </c>
      <c r="U74" s="27">
        <v>17</v>
      </c>
      <c r="V74" s="27">
        <v>685</v>
      </c>
      <c r="W74" s="27">
        <v>7.79</v>
      </c>
      <c r="X74" s="27">
        <v>51.9</v>
      </c>
      <c r="Y74" s="27">
        <v>166100</v>
      </c>
      <c r="Z74" s="27">
        <v>5289</v>
      </c>
      <c r="AA74" s="27">
        <v>29.8</v>
      </c>
      <c r="AB74" s="27">
        <v>5.31</v>
      </c>
      <c r="AC74" s="27">
        <v>4411</v>
      </c>
      <c r="AD74" s="27">
        <v>399</v>
      </c>
      <c r="AE74" s="27">
        <v>5110</v>
      </c>
      <c r="AF74" s="27">
        <v>631</v>
      </c>
      <c r="AG74" s="27">
        <v>0.85399999999999998</v>
      </c>
      <c r="AH74" s="27">
        <v>45.5</v>
      </c>
      <c r="AI74" s="27">
        <v>7.16</v>
      </c>
      <c r="AJ74" s="27">
        <v>157</v>
      </c>
      <c r="AK74" s="33">
        <v>187</v>
      </c>
    </row>
    <row r="75" spans="1:37">
      <c r="A75" s="26" t="s">
        <v>104</v>
      </c>
      <c r="B75" s="27">
        <v>758</v>
      </c>
      <c r="C75" s="27">
        <v>266</v>
      </c>
      <c r="D75" s="27">
        <v>13.8</v>
      </c>
      <c r="E75" s="27">
        <v>19.3</v>
      </c>
      <c r="F75" s="27">
        <v>17</v>
      </c>
      <c r="G75" s="27">
        <v>685.4</v>
      </c>
      <c r="H75" s="27">
        <v>186100</v>
      </c>
      <c r="I75" s="27">
        <v>6073</v>
      </c>
      <c r="J75" s="27">
        <v>4909</v>
      </c>
      <c r="K75" s="27">
        <v>457</v>
      </c>
      <c r="L75" s="27">
        <v>5666</v>
      </c>
      <c r="M75" s="27">
        <v>720</v>
      </c>
      <c r="N75" s="33">
        <v>204</v>
      </c>
      <c r="O75" s="26" t="s">
        <v>104</v>
      </c>
      <c r="P75" s="27">
        <v>160.5</v>
      </c>
      <c r="Q75" s="27">
        <v>758</v>
      </c>
      <c r="R75" s="27">
        <v>266</v>
      </c>
      <c r="S75" s="27">
        <v>13.8</v>
      </c>
      <c r="T75" s="27">
        <v>19.3</v>
      </c>
      <c r="U75" s="27">
        <v>17</v>
      </c>
      <c r="V75" s="27">
        <v>685.4</v>
      </c>
      <c r="W75" s="27">
        <v>6.89</v>
      </c>
      <c r="X75" s="27">
        <v>49.7</v>
      </c>
      <c r="Y75" s="27">
        <v>186100</v>
      </c>
      <c r="Z75" s="27">
        <v>6073</v>
      </c>
      <c r="AA75" s="27">
        <v>30.2</v>
      </c>
      <c r="AB75" s="27">
        <v>5.45</v>
      </c>
      <c r="AC75" s="27">
        <v>4909</v>
      </c>
      <c r="AD75" s="27">
        <v>457</v>
      </c>
      <c r="AE75" s="27">
        <v>5666</v>
      </c>
      <c r="AF75" s="27">
        <v>720</v>
      </c>
      <c r="AG75" s="27">
        <v>0.85899999999999999</v>
      </c>
      <c r="AH75" s="27">
        <v>41.5</v>
      </c>
      <c r="AI75" s="27">
        <v>8.2799999999999994</v>
      </c>
      <c r="AJ75" s="27">
        <v>208</v>
      </c>
      <c r="AK75" s="33">
        <v>204</v>
      </c>
    </row>
    <row r="76" spans="1:37">
      <c r="A76" s="26" t="s">
        <v>105</v>
      </c>
      <c r="B76" s="27">
        <v>762</v>
      </c>
      <c r="C76" s="27">
        <v>267</v>
      </c>
      <c r="D76" s="27">
        <v>14.4</v>
      </c>
      <c r="E76" s="27">
        <v>21.6</v>
      </c>
      <c r="F76" s="27">
        <v>17</v>
      </c>
      <c r="G76" s="27">
        <v>684.8</v>
      </c>
      <c r="H76" s="27">
        <v>205800</v>
      </c>
      <c r="I76" s="27">
        <v>6873</v>
      </c>
      <c r="J76" s="27">
        <v>5402</v>
      </c>
      <c r="K76" s="27">
        <v>515</v>
      </c>
      <c r="L76" s="27">
        <v>6218</v>
      </c>
      <c r="M76" s="27">
        <v>810</v>
      </c>
      <c r="N76" s="33">
        <v>221</v>
      </c>
      <c r="O76" s="26" t="s">
        <v>105</v>
      </c>
      <c r="P76" s="27">
        <v>173.7</v>
      </c>
      <c r="Q76" s="27">
        <v>762</v>
      </c>
      <c r="R76" s="27">
        <v>267</v>
      </c>
      <c r="S76" s="27">
        <v>14.4</v>
      </c>
      <c r="T76" s="27">
        <v>21.6</v>
      </c>
      <c r="U76" s="27">
        <v>17</v>
      </c>
      <c r="V76" s="27">
        <v>684.8</v>
      </c>
      <c r="W76" s="27">
        <v>6.18</v>
      </c>
      <c r="X76" s="27">
        <v>47.6</v>
      </c>
      <c r="Y76" s="27">
        <v>205800</v>
      </c>
      <c r="Z76" s="27">
        <v>6873</v>
      </c>
      <c r="AA76" s="27">
        <v>30.5</v>
      </c>
      <c r="AB76" s="27">
        <v>5.57</v>
      </c>
      <c r="AC76" s="27">
        <v>5402</v>
      </c>
      <c r="AD76" s="27">
        <v>515</v>
      </c>
      <c r="AE76" s="27">
        <v>6218</v>
      </c>
      <c r="AF76" s="27">
        <v>810</v>
      </c>
      <c r="AG76" s="27">
        <v>0.86399999999999999</v>
      </c>
      <c r="AH76" s="27">
        <v>37.9</v>
      </c>
      <c r="AI76" s="27">
        <v>9.42</v>
      </c>
      <c r="AJ76" s="27">
        <v>270</v>
      </c>
      <c r="AK76" s="33">
        <v>221</v>
      </c>
    </row>
    <row r="77" spans="1:37">
      <c r="A77" s="26" t="s">
        <v>106</v>
      </c>
      <c r="B77" s="27">
        <v>766</v>
      </c>
      <c r="C77" s="27">
        <v>267</v>
      </c>
      <c r="D77" s="27">
        <v>14.9</v>
      </c>
      <c r="E77" s="27">
        <v>23.6</v>
      </c>
      <c r="F77" s="27">
        <v>17</v>
      </c>
      <c r="G77" s="27">
        <v>684.8</v>
      </c>
      <c r="H77" s="27">
        <v>223000</v>
      </c>
      <c r="I77" s="27">
        <v>7510</v>
      </c>
      <c r="J77" s="27">
        <v>5821</v>
      </c>
      <c r="K77" s="27">
        <v>563</v>
      </c>
      <c r="L77" s="27">
        <v>6691</v>
      </c>
      <c r="M77" s="27">
        <v>884</v>
      </c>
      <c r="N77" s="33">
        <v>236</v>
      </c>
      <c r="O77" s="26" t="s">
        <v>106</v>
      </c>
      <c r="P77" s="27">
        <v>185</v>
      </c>
      <c r="Q77" s="27">
        <v>766</v>
      </c>
      <c r="R77" s="27">
        <v>267</v>
      </c>
      <c r="S77" s="27">
        <v>14.9</v>
      </c>
      <c r="T77" s="27">
        <v>23.6</v>
      </c>
      <c r="U77" s="27">
        <v>17</v>
      </c>
      <c r="V77" s="27">
        <v>684.8</v>
      </c>
      <c r="W77" s="27">
        <v>5.66</v>
      </c>
      <c r="X77" s="27">
        <v>46</v>
      </c>
      <c r="Y77" s="27">
        <v>223000</v>
      </c>
      <c r="Z77" s="27">
        <v>7510</v>
      </c>
      <c r="AA77" s="27">
        <v>30.8</v>
      </c>
      <c r="AB77" s="27">
        <v>5.65</v>
      </c>
      <c r="AC77" s="27">
        <v>5821</v>
      </c>
      <c r="AD77" s="27">
        <v>563</v>
      </c>
      <c r="AE77" s="27">
        <v>6691</v>
      </c>
      <c r="AF77" s="27">
        <v>884</v>
      </c>
      <c r="AG77" s="27">
        <v>0.86699999999999999</v>
      </c>
      <c r="AH77" s="27">
        <v>35.299999999999997</v>
      </c>
      <c r="AI77" s="27">
        <v>10.3</v>
      </c>
      <c r="AJ77" s="27">
        <v>334</v>
      </c>
      <c r="AK77" s="33">
        <v>236</v>
      </c>
    </row>
    <row r="78" spans="1:37">
      <c r="A78" s="26" t="s">
        <v>107</v>
      </c>
      <c r="B78" s="27">
        <v>770</v>
      </c>
      <c r="C78" s="27">
        <v>268</v>
      </c>
      <c r="D78" s="27">
        <v>15.6</v>
      </c>
      <c r="E78" s="27">
        <v>25.4</v>
      </c>
      <c r="F78" s="27">
        <v>17</v>
      </c>
      <c r="G78" s="27">
        <v>685.2</v>
      </c>
      <c r="H78" s="27">
        <v>240300</v>
      </c>
      <c r="I78" s="27">
        <v>8175</v>
      </c>
      <c r="J78" s="27">
        <v>6241</v>
      </c>
      <c r="K78" s="27">
        <v>610</v>
      </c>
      <c r="L78" s="27">
        <v>7174</v>
      </c>
      <c r="M78" s="27">
        <v>959</v>
      </c>
      <c r="N78" s="33">
        <v>251</v>
      </c>
      <c r="O78" s="26" t="s">
        <v>107</v>
      </c>
      <c r="P78" s="27">
        <v>196.9</v>
      </c>
      <c r="Q78" s="27">
        <v>770</v>
      </c>
      <c r="R78" s="27">
        <v>268</v>
      </c>
      <c r="S78" s="27">
        <v>15.6</v>
      </c>
      <c r="T78" s="27">
        <v>25.4</v>
      </c>
      <c r="U78" s="27">
        <v>17</v>
      </c>
      <c r="V78" s="27">
        <v>685.2</v>
      </c>
      <c r="W78" s="27">
        <v>5.28</v>
      </c>
      <c r="X78" s="27">
        <v>43.9</v>
      </c>
      <c r="Y78" s="27">
        <v>240300</v>
      </c>
      <c r="Z78" s="27">
        <v>8175</v>
      </c>
      <c r="AA78" s="27">
        <v>31</v>
      </c>
      <c r="AB78" s="27">
        <v>5.71</v>
      </c>
      <c r="AC78" s="27">
        <v>6241</v>
      </c>
      <c r="AD78" s="27">
        <v>610</v>
      </c>
      <c r="AE78" s="27">
        <v>7174</v>
      </c>
      <c r="AF78" s="27">
        <v>959</v>
      </c>
      <c r="AG78" s="27">
        <v>0.86899999999999999</v>
      </c>
      <c r="AH78" s="27">
        <v>33.1</v>
      </c>
      <c r="AI78" s="27">
        <v>11.3</v>
      </c>
      <c r="AJ78" s="27">
        <v>406</v>
      </c>
      <c r="AK78" s="33">
        <v>251</v>
      </c>
    </row>
    <row r="79" spans="1:37">
      <c r="A79" s="26" t="s">
        <v>108</v>
      </c>
      <c r="B79" s="27">
        <v>775</v>
      </c>
      <c r="C79" s="27">
        <v>268</v>
      </c>
      <c r="D79" s="27">
        <v>16</v>
      </c>
      <c r="E79" s="27">
        <v>28</v>
      </c>
      <c r="F79" s="27">
        <v>17</v>
      </c>
      <c r="G79" s="27">
        <v>685</v>
      </c>
      <c r="H79" s="27">
        <v>262200</v>
      </c>
      <c r="I79" s="27">
        <v>9011</v>
      </c>
      <c r="J79" s="27">
        <v>6765</v>
      </c>
      <c r="K79" s="27">
        <v>672</v>
      </c>
      <c r="L79" s="27">
        <v>7762</v>
      </c>
      <c r="M79" s="27">
        <v>1054</v>
      </c>
      <c r="N79" s="33">
        <v>268</v>
      </c>
      <c r="O79" s="26" t="s">
        <v>108</v>
      </c>
      <c r="P79" s="27">
        <v>210.1</v>
      </c>
      <c r="Q79" s="27">
        <v>775</v>
      </c>
      <c r="R79" s="27">
        <v>268</v>
      </c>
      <c r="S79" s="27">
        <v>16</v>
      </c>
      <c r="T79" s="27">
        <v>28</v>
      </c>
      <c r="U79" s="27">
        <v>17</v>
      </c>
      <c r="V79" s="27">
        <v>685</v>
      </c>
      <c r="W79" s="27">
        <v>4.79</v>
      </c>
      <c r="X79" s="27">
        <v>42.8</v>
      </c>
      <c r="Y79" s="27">
        <v>262200</v>
      </c>
      <c r="Z79" s="27">
        <v>9011</v>
      </c>
      <c r="AA79" s="27">
        <v>31.3</v>
      </c>
      <c r="AB79" s="27">
        <v>5.8</v>
      </c>
      <c r="AC79" s="27">
        <v>6765</v>
      </c>
      <c r="AD79" s="27">
        <v>672</v>
      </c>
      <c r="AE79" s="27">
        <v>7762</v>
      </c>
      <c r="AF79" s="27">
        <v>1054</v>
      </c>
      <c r="AG79" s="27">
        <v>0.874</v>
      </c>
      <c r="AH79" s="27">
        <v>30.6</v>
      </c>
      <c r="AI79" s="27">
        <v>12.6</v>
      </c>
      <c r="AJ79" s="27">
        <v>512</v>
      </c>
      <c r="AK79" s="33">
        <v>268</v>
      </c>
    </row>
    <row r="80" spans="1:37">
      <c r="A80" s="24" t="s">
        <v>109</v>
      </c>
      <c r="B80" s="25">
        <v>778</v>
      </c>
      <c r="C80" s="25">
        <v>269</v>
      </c>
      <c r="D80" s="25">
        <v>17</v>
      </c>
      <c r="E80" s="25">
        <v>29.5</v>
      </c>
      <c r="F80" s="25">
        <v>17</v>
      </c>
      <c r="G80" s="25">
        <v>685</v>
      </c>
      <c r="H80" s="25">
        <v>278200</v>
      </c>
      <c r="I80" s="25">
        <v>9604</v>
      </c>
      <c r="J80" s="25">
        <v>7152</v>
      </c>
      <c r="K80" s="25">
        <v>714</v>
      </c>
      <c r="L80" s="25">
        <v>8225</v>
      </c>
      <c r="M80" s="25">
        <v>1122</v>
      </c>
      <c r="N80" s="32">
        <v>283</v>
      </c>
      <c r="O80" s="24" t="s">
        <v>109</v>
      </c>
      <c r="P80" s="25">
        <v>222.5</v>
      </c>
      <c r="Q80" s="25">
        <v>778</v>
      </c>
      <c r="R80" s="25">
        <v>269</v>
      </c>
      <c r="S80" s="25">
        <v>17</v>
      </c>
      <c r="T80" s="25">
        <v>29.5</v>
      </c>
      <c r="U80" s="25">
        <v>17</v>
      </c>
      <c r="V80" s="25">
        <v>685</v>
      </c>
      <c r="W80" s="25">
        <v>4.5599999999999996</v>
      </c>
      <c r="X80" s="25">
        <v>40.299999999999997</v>
      </c>
      <c r="Y80" s="25">
        <v>278200</v>
      </c>
      <c r="Z80" s="25">
        <v>9604</v>
      </c>
      <c r="AA80" s="25">
        <v>31.3</v>
      </c>
      <c r="AB80" s="25">
        <v>5.82</v>
      </c>
      <c r="AC80" s="25">
        <v>7152</v>
      </c>
      <c r="AD80" s="25">
        <v>714</v>
      </c>
      <c r="AE80" s="25">
        <v>8225</v>
      </c>
      <c r="AF80" s="25">
        <v>1122</v>
      </c>
      <c r="AG80" s="25">
        <v>0.873</v>
      </c>
      <c r="AH80" s="25">
        <v>29.1</v>
      </c>
      <c r="AI80" s="25">
        <v>13.5</v>
      </c>
      <c r="AJ80" s="25">
        <v>601</v>
      </c>
      <c r="AK80" s="32">
        <v>283</v>
      </c>
    </row>
    <row r="81" spans="1:37">
      <c r="A81" s="22" t="s">
        <v>110</v>
      </c>
      <c r="B81" s="23">
        <v>91</v>
      </c>
      <c r="C81" s="23">
        <v>100</v>
      </c>
      <c r="D81" s="23">
        <v>4.2</v>
      </c>
      <c r="E81" s="23">
        <v>5.5</v>
      </c>
      <c r="F81" s="23">
        <v>12</v>
      </c>
      <c r="G81" s="23">
        <v>56</v>
      </c>
      <c r="H81" s="23">
        <v>237</v>
      </c>
      <c r="I81" s="23">
        <v>92.1</v>
      </c>
      <c r="J81" s="23">
        <v>52</v>
      </c>
      <c r="K81" s="23">
        <v>18.399999999999999</v>
      </c>
      <c r="L81" s="23">
        <v>58.4</v>
      </c>
      <c r="M81" s="23">
        <v>28.4</v>
      </c>
      <c r="N81" s="31">
        <v>15.6</v>
      </c>
      <c r="O81" s="22" t="s">
        <v>110</v>
      </c>
      <c r="P81" s="23">
        <v>12.2</v>
      </c>
      <c r="Q81" s="23">
        <v>91</v>
      </c>
      <c r="R81" s="23">
        <v>100</v>
      </c>
      <c r="S81" s="23">
        <v>4.2</v>
      </c>
      <c r="T81" s="23">
        <v>5.5</v>
      </c>
      <c r="U81" s="23">
        <v>12</v>
      </c>
      <c r="V81" s="23">
        <v>56</v>
      </c>
      <c r="W81" s="23">
        <v>9.09</v>
      </c>
      <c r="X81" s="23">
        <v>13.3</v>
      </c>
      <c r="Y81" s="23">
        <v>237</v>
      </c>
      <c r="Z81" s="23">
        <v>92.1</v>
      </c>
      <c r="AA81" s="23">
        <v>3.89</v>
      </c>
      <c r="AB81" s="23">
        <v>2.4300000000000002</v>
      </c>
      <c r="AC81" s="23">
        <v>52</v>
      </c>
      <c r="AD81" s="23">
        <v>18.399999999999999</v>
      </c>
      <c r="AE81" s="23">
        <v>58.4</v>
      </c>
      <c r="AF81" s="23">
        <v>28.4</v>
      </c>
      <c r="AG81" s="23">
        <v>0.82699999999999996</v>
      </c>
      <c r="AH81" s="23">
        <v>12.5</v>
      </c>
      <c r="AI81" s="23">
        <v>2E-3</v>
      </c>
      <c r="AJ81" s="23">
        <v>2.33</v>
      </c>
      <c r="AK81" s="31">
        <v>15.6</v>
      </c>
    </row>
    <row r="82" spans="1:37">
      <c r="A82" s="26" t="s">
        <v>111</v>
      </c>
      <c r="B82" s="27">
        <v>96</v>
      </c>
      <c r="C82" s="27">
        <v>100</v>
      </c>
      <c r="D82" s="27">
        <v>5</v>
      </c>
      <c r="E82" s="27">
        <v>8</v>
      </c>
      <c r="F82" s="27">
        <v>12</v>
      </c>
      <c r="G82" s="27">
        <v>56</v>
      </c>
      <c r="H82" s="27">
        <v>349</v>
      </c>
      <c r="I82" s="27">
        <v>134</v>
      </c>
      <c r="J82" s="27">
        <v>72.8</v>
      </c>
      <c r="K82" s="27">
        <v>26.8</v>
      </c>
      <c r="L82" s="27">
        <v>83</v>
      </c>
      <c r="M82" s="27">
        <v>41.1</v>
      </c>
      <c r="N82" s="33">
        <v>21.2</v>
      </c>
      <c r="O82" s="26" t="s">
        <v>111</v>
      </c>
      <c r="P82" s="27">
        <v>16.7</v>
      </c>
      <c r="Q82" s="27">
        <v>96</v>
      </c>
      <c r="R82" s="27">
        <v>100</v>
      </c>
      <c r="S82" s="27">
        <v>5</v>
      </c>
      <c r="T82" s="27">
        <v>8</v>
      </c>
      <c r="U82" s="27">
        <v>12</v>
      </c>
      <c r="V82" s="27">
        <v>56</v>
      </c>
      <c r="W82" s="27">
        <v>6.25</v>
      </c>
      <c r="X82" s="27">
        <v>11.2</v>
      </c>
      <c r="Y82" s="27">
        <v>349</v>
      </c>
      <c r="Z82" s="27">
        <v>134</v>
      </c>
      <c r="AA82" s="27">
        <v>4.0599999999999996</v>
      </c>
      <c r="AB82" s="27">
        <v>2.5099999999999998</v>
      </c>
      <c r="AC82" s="27">
        <v>72.8</v>
      </c>
      <c r="AD82" s="27">
        <v>26.8</v>
      </c>
      <c r="AE82" s="27">
        <v>83</v>
      </c>
      <c r="AF82" s="27">
        <v>41.1</v>
      </c>
      <c r="AG82" s="27">
        <v>0.83499999999999996</v>
      </c>
      <c r="AH82" s="27">
        <v>9.99</v>
      </c>
      <c r="AI82" s="27">
        <v>3.0000000000000001E-3</v>
      </c>
      <c r="AJ82" s="27">
        <v>5.28</v>
      </c>
      <c r="AK82" s="33">
        <v>21.2</v>
      </c>
    </row>
    <row r="83" spans="1:37">
      <c r="A83" s="24" t="s">
        <v>112</v>
      </c>
      <c r="B83" s="25">
        <v>100</v>
      </c>
      <c r="C83" s="25">
        <v>100</v>
      </c>
      <c r="D83" s="25">
        <v>6</v>
      </c>
      <c r="E83" s="25">
        <v>10</v>
      </c>
      <c r="F83" s="25">
        <v>12</v>
      </c>
      <c r="G83" s="25">
        <v>56</v>
      </c>
      <c r="H83" s="25">
        <v>450</v>
      </c>
      <c r="I83" s="25">
        <v>167</v>
      </c>
      <c r="J83" s="25">
        <v>89.9</v>
      </c>
      <c r="K83" s="25">
        <v>33.5</v>
      </c>
      <c r="L83" s="25">
        <v>104</v>
      </c>
      <c r="M83" s="25">
        <v>51.4</v>
      </c>
      <c r="N83" s="32">
        <v>26</v>
      </c>
      <c r="O83" s="24" t="s">
        <v>112</v>
      </c>
      <c r="P83" s="25">
        <v>20.399999999999999</v>
      </c>
      <c r="Q83" s="25">
        <v>100</v>
      </c>
      <c r="R83" s="25">
        <v>100</v>
      </c>
      <c r="S83" s="25">
        <v>6</v>
      </c>
      <c r="T83" s="25">
        <v>10</v>
      </c>
      <c r="U83" s="25">
        <v>12</v>
      </c>
      <c r="V83" s="25">
        <v>56</v>
      </c>
      <c r="W83" s="25">
        <v>5</v>
      </c>
      <c r="X83" s="25">
        <v>9.33</v>
      </c>
      <c r="Y83" s="25">
        <v>450</v>
      </c>
      <c r="Z83" s="25">
        <v>167</v>
      </c>
      <c r="AA83" s="25">
        <v>4.16</v>
      </c>
      <c r="AB83" s="25">
        <v>2.5299999999999998</v>
      </c>
      <c r="AC83" s="25">
        <v>89.9</v>
      </c>
      <c r="AD83" s="25">
        <v>33.5</v>
      </c>
      <c r="AE83" s="25">
        <v>104</v>
      </c>
      <c r="AF83" s="25">
        <v>51.4</v>
      </c>
      <c r="AG83" s="25">
        <v>0.84</v>
      </c>
      <c r="AH83" s="25">
        <v>8.51</v>
      </c>
      <c r="AI83" s="25">
        <v>3.0000000000000001E-3</v>
      </c>
      <c r="AJ83" s="25">
        <v>9.33</v>
      </c>
      <c r="AK83" s="32">
        <v>26</v>
      </c>
    </row>
    <row r="84" spans="1:37">
      <c r="A84" s="26" t="s">
        <v>113</v>
      </c>
      <c r="B84" s="27">
        <v>109</v>
      </c>
      <c r="C84" s="27">
        <v>120</v>
      </c>
      <c r="D84" s="27">
        <v>4.2</v>
      </c>
      <c r="E84" s="27">
        <v>5.5</v>
      </c>
      <c r="F84" s="27">
        <v>12</v>
      </c>
      <c r="G84" s="27">
        <v>74</v>
      </c>
      <c r="H84" s="27">
        <v>413</v>
      </c>
      <c r="I84" s="27">
        <v>159</v>
      </c>
      <c r="J84" s="27">
        <v>75.8</v>
      </c>
      <c r="K84" s="27">
        <v>26.5</v>
      </c>
      <c r="L84" s="27">
        <v>84.1</v>
      </c>
      <c r="M84" s="27">
        <v>40.6</v>
      </c>
      <c r="N84" s="33">
        <v>18.600000000000001</v>
      </c>
      <c r="O84" s="26" t="s">
        <v>113</v>
      </c>
      <c r="P84" s="27">
        <v>14.6</v>
      </c>
      <c r="Q84" s="27">
        <v>109</v>
      </c>
      <c r="R84" s="27">
        <v>120</v>
      </c>
      <c r="S84" s="27">
        <v>4.2</v>
      </c>
      <c r="T84" s="27">
        <v>5.5</v>
      </c>
      <c r="U84" s="27">
        <v>12</v>
      </c>
      <c r="V84" s="27">
        <v>74</v>
      </c>
      <c r="W84" s="27">
        <v>10.9</v>
      </c>
      <c r="X84" s="27">
        <v>17.600000000000001</v>
      </c>
      <c r="Y84" s="27">
        <v>413</v>
      </c>
      <c r="Z84" s="27">
        <v>159</v>
      </c>
      <c r="AA84" s="27">
        <v>4.72</v>
      </c>
      <c r="AB84" s="27">
        <v>2.93</v>
      </c>
      <c r="AC84" s="27">
        <v>75.8</v>
      </c>
      <c r="AD84" s="27">
        <v>26.5</v>
      </c>
      <c r="AE84" s="27">
        <v>84.1</v>
      </c>
      <c r="AF84" s="27">
        <v>40.6</v>
      </c>
      <c r="AG84" s="27">
        <v>0.82899999999999996</v>
      </c>
      <c r="AH84" s="27">
        <v>15.7</v>
      </c>
      <c r="AI84" s="27">
        <v>4.0000000000000001E-3</v>
      </c>
      <c r="AJ84" s="27">
        <v>2.59</v>
      </c>
      <c r="AK84" s="33">
        <v>18.600000000000001</v>
      </c>
    </row>
    <row r="85" spans="1:37">
      <c r="A85" s="26" t="s">
        <v>114</v>
      </c>
      <c r="B85" s="27">
        <v>114</v>
      </c>
      <c r="C85" s="27">
        <v>120</v>
      </c>
      <c r="D85" s="27">
        <v>5</v>
      </c>
      <c r="E85" s="27">
        <v>8</v>
      </c>
      <c r="F85" s="27">
        <v>12</v>
      </c>
      <c r="G85" s="27">
        <v>74</v>
      </c>
      <c r="H85" s="27">
        <v>606</v>
      </c>
      <c r="I85" s="27">
        <v>231</v>
      </c>
      <c r="J85" s="27">
        <v>106</v>
      </c>
      <c r="K85" s="27">
        <v>38.5</v>
      </c>
      <c r="L85" s="27">
        <v>119</v>
      </c>
      <c r="M85" s="27">
        <v>58.9</v>
      </c>
      <c r="N85" s="33">
        <v>25.3</v>
      </c>
      <c r="O85" s="26" t="s">
        <v>114</v>
      </c>
      <c r="P85" s="27">
        <v>19.899999999999999</v>
      </c>
      <c r="Q85" s="27">
        <v>114</v>
      </c>
      <c r="R85" s="27">
        <v>120</v>
      </c>
      <c r="S85" s="27">
        <v>5</v>
      </c>
      <c r="T85" s="27">
        <v>8</v>
      </c>
      <c r="U85" s="27">
        <v>12</v>
      </c>
      <c r="V85" s="27">
        <v>74</v>
      </c>
      <c r="W85" s="27">
        <v>7.5</v>
      </c>
      <c r="X85" s="27">
        <v>14.8</v>
      </c>
      <c r="Y85" s="27">
        <v>606</v>
      </c>
      <c r="Z85" s="27">
        <v>231</v>
      </c>
      <c r="AA85" s="27">
        <v>4.8899999999999997</v>
      </c>
      <c r="AB85" s="27">
        <v>3.02</v>
      </c>
      <c r="AC85" s="27">
        <v>106</v>
      </c>
      <c r="AD85" s="27">
        <v>38.5</v>
      </c>
      <c r="AE85" s="27">
        <v>119</v>
      </c>
      <c r="AF85" s="27">
        <v>58.9</v>
      </c>
      <c r="AG85" s="27">
        <v>0.83699999999999997</v>
      </c>
      <c r="AH85" s="27">
        <v>12.3</v>
      </c>
      <c r="AI85" s="27">
        <v>6.0000000000000001E-3</v>
      </c>
      <c r="AJ85" s="27">
        <v>6.04</v>
      </c>
      <c r="AK85" s="33">
        <v>25.3</v>
      </c>
    </row>
    <row r="86" spans="1:37">
      <c r="A86" s="24" t="s">
        <v>115</v>
      </c>
      <c r="B86" s="25">
        <v>120</v>
      </c>
      <c r="C86" s="25">
        <v>120</v>
      </c>
      <c r="D86" s="25">
        <v>6.5</v>
      </c>
      <c r="E86" s="25">
        <v>11</v>
      </c>
      <c r="F86" s="25">
        <v>12</v>
      </c>
      <c r="G86" s="25">
        <v>74</v>
      </c>
      <c r="H86" s="25">
        <v>864</v>
      </c>
      <c r="I86" s="25">
        <v>318</v>
      </c>
      <c r="J86" s="25">
        <v>144</v>
      </c>
      <c r="K86" s="25">
        <v>52.9</v>
      </c>
      <c r="L86" s="25">
        <v>165</v>
      </c>
      <c r="M86" s="25">
        <v>81</v>
      </c>
      <c r="N86" s="32">
        <v>34</v>
      </c>
      <c r="O86" s="24" t="s">
        <v>115</v>
      </c>
      <c r="P86" s="25">
        <v>26.7</v>
      </c>
      <c r="Q86" s="25">
        <v>120</v>
      </c>
      <c r="R86" s="25">
        <v>120</v>
      </c>
      <c r="S86" s="25">
        <v>6.5</v>
      </c>
      <c r="T86" s="25">
        <v>11</v>
      </c>
      <c r="U86" s="25">
        <v>12</v>
      </c>
      <c r="V86" s="25">
        <v>74</v>
      </c>
      <c r="W86" s="25">
        <v>5.45</v>
      </c>
      <c r="X86" s="25">
        <v>11.4</v>
      </c>
      <c r="Y86" s="25">
        <v>864</v>
      </c>
      <c r="Z86" s="25">
        <v>318</v>
      </c>
      <c r="AA86" s="25">
        <v>5.04</v>
      </c>
      <c r="AB86" s="25">
        <v>3.06</v>
      </c>
      <c r="AC86" s="25">
        <v>144</v>
      </c>
      <c r="AD86" s="25">
        <v>52.9</v>
      </c>
      <c r="AE86" s="25">
        <v>165</v>
      </c>
      <c r="AF86" s="25">
        <v>81</v>
      </c>
      <c r="AG86" s="25">
        <v>0.84199999999999997</v>
      </c>
      <c r="AH86" s="25">
        <v>9.64</v>
      </c>
      <c r="AI86" s="25">
        <v>8.9999999999999993E-3</v>
      </c>
      <c r="AJ86" s="25">
        <v>13.9</v>
      </c>
      <c r="AK86" s="32">
        <v>34</v>
      </c>
    </row>
    <row r="87" spans="1:37">
      <c r="A87" s="26" t="s">
        <v>116</v>
      </c>
      <c r="B87" s="27">
        <v>128</v>
      </c>
      <c r="C87" s="27">
        <v>140</v>
      </c>
      <c r="D87" s="27">
        <v>4.3</v>
      </c>
      <c r="E87" s="27">
        <v>6</v>
      </c>
      <c r="F87" s="27">
        <v>12</v>
      </c>
      <c r="G87" s="27">
        <v>92</v>
      </c>
      <c r="H87" s="27">
        <v>719</v>
      </c>
      <c r="I87" s="27">
        <v>275</v>
      </c>
      <c r="J87" s="27">
        <v>112</v>
      </c>
      <c r="K87" s="27">
        <v>39.299999999999997</v>
      </c>
      <c r="L87" s="27">
        <v>124</v>
      </c>
      <c r="M87" s="27">
        <v>59.9</v>
      </c>
      <c r="N87" s="33">
        <v>23</v>
      </c>
      <c r="O87" s="26" t="s">
        <v>116</v>
      </c>
      <c r="P87" s="27">
        <v>18.100000000000001</v>
      </c>
      <c r="Q87" s="27">
        <v>128</v>
      </c>
      <c r="R87" s="27">
        <v>140</v>
      </c>
      <c r="S87" s="27">
        <v>4.3</v>
      </c>
      <c r="T87" s="27">
        <v>6</v>
      </c>
      <c r="U87" s="27">
        <v>12</v>
      </c>
      <c r="V87" s="27">
        <v>92</v>
      </c>
      <c r="W87" s="27">
        <v>11.7</v>
      </c>
      <c r="X87" s="27">
        <v>21.4</v>
      </c>
      <c r="Y87" s="27">
        <v>719</v>
      </c>
      <c r="Z87" s="27">
        <v>275</v>
      </c>
      <c r="AA87" s="27">
        <v>5.59</v>
      </c>
      <c r="AB87" s="27">
        <v>3.45</v>
      </c>
      <c r="AC87" s="27">
        <v>112</v>
      </c>
      <c r="AD87" s="27">
        <v>39.299999999999997</v>
      </c>
      <c r="AE87" s="27">
        <v>124</v>
      </c>
      <c r="AF87" s="27">
        <v>59.9</v>
      </c>
      <c r="AG87" s="27">
        <v>0.83199999999999996</v>
      </c>
      <c r="AH87" s="27">
        <v>17.899999999999999</v>
      </c>
      <c r="AI87" s="27">
        <v>0.01</v>
      </c>
      <c r="AJ87" s="27">
        <v>3.43</v>
      </c>
      <c r="AK87" s="33">
        <v>23</v>
      </c>
    </row>
    <row r="88" spans="1:37">
      <c r="A88" s="26" t="s">
        <v>117</v>
      </c>
      <c r="B88" s="27">
        <v>133</v>
      </c>
      <c r="C88" s="27">
        <v>140</v>
      </c>
      <c r="D88" s="27">
        <v>5.5</v>
      </c>
      <c r="E88" s="27">
        <v>8.5</v>
      </c>
      <c r="F88" s="27">
        <v>12</v>
      </c>
      <c r="G88" s="27">
        <v>92</v>
      </c>
      <c r="H88" s="27">
        <v>1033</v>
      </c>
      <c r="I88" s="27">
        <v>389</v>
      </c>
      <c r="J88" s="27">
        <v>155</v>
      </c>
      <c r="K88" s="27">
        <v>55.6</v>
      </c>
      <c r="L88" s="27">
        <v>173</v>
      </c>
      <c r="M88" s="27">
        <v>84.8</v>
      </c>
      <c r="N88" s="33">
        <v>31.4</v>
      </c>
      <c r="O88" s="26" t="s">
        <v>117</v>
      </c>
      <c r="P88" s="27">
        <v>24.7</v>
      </c>
      <c r="Q88" s="27">
        <v>133</v>
      </c>
      <c r="R88" s="27">
        <v>140</v>
      </c>
      <c r="S88" s="27">
        <v>5.5</v>
      </c>
      <c r="T88" s="27">
        <v>8.5</v>
      </c>
      <c r="U88" s="27">
        <v>12</v>
      </c>
      <c r="V88" s="27">
        <v>92</v>
      </c>
      <c r="W88" s="27">
        <v>8.24</v>
      </c>
      <c r="X88" s="27">
        <v>16.7</v>
      </c>
      <c r="Y88" s="27">
        <v>1033</v>
      </c>
      <c r="Z88" s="27">
        <v>389</v>
      </c>
      <c r="AA88" s="27">
        <v>5.73</v>
      </c>
      <c r="AB88" s="27">
        <v>3.52</v>
      </c>
      <c r="AC88" s="27">
        <v>155</v>
      </c>
      <c r="AD88" s="27">
        <v>55.6</v>
      </c>
      <c r="AE88" s="27">
        <v>173</v>
      </c>
      <c r="AF88" s="27">
        <v>84.8</v>
      </c>
      <c r="AG88" s="27">
        <v>0.83699999999999997</v>
      </c>
      <c r="AH88" s="27">
        <v>13.9</v>
      </c>
      <c r="AI88" s="27">
        <v>1.4999999999999999E-2</v>
      </c>
      <c r="AJ88" s="27">
        <v>8.1</v>
      </c>
      <c r="AK88" s="33">
        <v>31.4</v>
      </c>
    </row>
    <row r="89" spans="1:37">
      <c r="A89" s="24" t="s">
        <v>118</v>
      </c>
      <c r="B89" s="25">
        <v>140</v>
      </c>
      <c r="C89" s="25">
        <v>140</v>
      </c>
      <c r="D89" s="25">
        <v>7</v>
      </c>
      <c r="E89" s="25">
        <v>12</v>
      </c>
      <c r="F89" s="25">
        <v>12</v>
      </c>
      <c r="G89" s="25">
        <v>92</v>
      </c>
      <c r="H89" s="25">
        <v>1509</v>
      </c>
      <c r="I89" s="25">
        <v>550</v>
      </c>
      <c r="J89" s="25">
        <v>216</v>
      </c>
      <c r="K89" s="25">
        <v>78.5</v>
      </c>
      <c r="L89" s="25">
        <v>245</v>
      </c>
      <c r="M89" s="25">
        <v>120</v>
      </c>
      <c r="N89" s="32">
        <v>43</v>
      </c>
      <c r="O89" s="24" t="s">
        <v>118</v>
      </c>
      <c r="P89" s="25">
        <v>33.700000000000003</v>
      </c>
      <c r="Q89" s="25">
        <v>140</v>
      </c>
      <c r="R89" s="25">
        <v>140</v>
      </c>
      <c r="S89" s="25">
        <v>7</v>
      </c>
      <c r="T89" s="25">
        <v>12</v>
      </c>
      <c r="U89" s="25">
        <v>12</v>
      </c>
      <c r="V89" s="25">
        <v>92</v>
      </c>
      <c r="W89" s="25">
        <v>5.83</v>
      </c>
      <c r="X89" s="25">
        <v>13.1</v>
      </c>
      <c r="Y89" s="25">
        <v>1509</v>
      </c>
      <c r="Z89" s="25">
        <v>550</v>
      </c>
      <c r="AA89" s="25">
        <v>5.93</v>
      </c>
      <c r="AB89" s="25">
        <v>3.58</v>
      </c>
      <c r="AC89" s="25">
        <v>216</v>
      </c>
      <c r="AD89" s="25">
        <v>78.5</v>
      </c>
      <c r="AE89" s="25">
        <v>245</v>
      </c>
      <c r="AF89" s="25">
        <v>120</v>
      </c>
      <c r="AG89" s="25">
        <v>0.84399999999999997</v>
      </c>
      <c r="AH89" s="25">
        <v>10.6</v>
      </c>
      <c r="AI89" s="25">
        <v>2.3E-2</v>
      </c>
      <c r="AJ89" s="25">
        <v>20.2</v>
      </c>
      <c r="AK89" s="32">
        <v>43</v>
      </c>
    </row>
    <row r="90" spans="1:37">
      <c r="A90" s="26" t="s">
        <v>119</v>
      </c>
      <c r="B90" s="27">
        <v>148</v>
      </c>
      <c r="C90" s="27">
        <v>160</v>
      </c>
      <c r="D90" s="27">
        <v>4.5</v>
      </c>
      <c r="E90" s="27">
        <v>7</v>
      </c>
      <c r="F90" s="27">
        <v>15</v>
      </c>
      <c r="G90" s="27">
        <v>104</v>
      </c>
      <c r="H90" s="27">
        <v>1283</v>
      </c>
      <c r="I90" s="27">
        <v>479</v>
      </c>
      <c r="J90" s="27">
        <v>173</v>
      </c>
      <c r="K90" s="27">
        <v>59.8</v>
      </c>
      <c r="L90" s="27">
        <v>190</v>
      </c>
      <c r="M90" s="27">
        <v>91.4</v>
      </c>
      <c r="N90" s="33">
        <v>30.4</v>
      </c>
      <c r="O90" s="26" t="s">
        <v>119</v>
      </c>
      <c r="P90" s="27">
        <v>23.8</v>
      </c>
      <c r="Q90" s="27">
        <v>148</v>
      </c>
      <c r="R90" s="27">
        <v>160</v>
      </c>
      <c r="S90" s="27">
        <v>4.5</v>
      </c>
      <c r="T90" s="27">
        <v>7</v>
      </c>
      <c r="U90" s="27">
        <v>15</v>
      </c>
      <c r="V90" s="27">
        <v>104</v>
      </c>
      <c r="W90" s="27">
        <v>11.4</v>
      </c>
      <c r="X90" s="27">
        <v>23.1</v>
      </c>
      <c r="Y90" s="27">
        <v>1283</v>
      </c>
      <c r="Z90" s="27">
        <v>479</v>
      </c>
      <c r="AA90" s="27">
        <v>6.5</v>
      </c>
      <c r="AB90" s="27">
        <v>3.97</v>
      </c>
      <c r="AC90" s="27">
        <v>173</v>
      </c>
      <c r="AD90" s="27">
        <v>59.8</v>
      </c>
      <c r="AE90" s="27">
        <v>190</v>
      </c>
      <c r="AF90" s="27">
        <v>91.4</v>
      </c>
      <c r="AG90" s="27">
        <v>0.83899999999999997</v>
      </c>
      <c r="AH90" s="27">
        <v>17.3</v>
      </c>
      <c r="AI90" s="27">
        <v>2.4E-2</v>
      </c>
      <c r="AJ90" s="27">
        <v>6.43</v>
      </c>
      <c r="AK90" s="33">
        <v>30.4</v>
      </c>
    </row>
    <row r="91" spans="1:37">
      <c r="A91" s="26" t="s">
        <v>120</v>
      </c>
      <c r="B91" s="27">
        <v>152</v>
      </c>
      <c r="C91" s="27">
        <v>160</v>
      </c>
      <c r="D91" s="27">
        <v>6</v>
      </c>
      <c r="E91" s="27">
        <v>9</v>
      </c>
      <c r="F91" s="27">
        <v>15</v>
      </c>
      <c r="G91" s="27">
        <v>104</v>
      </c>
      <c r="H91" s="27">
        <v>1673</v>
      </c>
      <c r="I91" s="27">
        <v>616</v>
      </c>
      <c r="J91" s="27">
        <v>220</v>
      </c>
      <c r="K91" s="27">
        <v>76.900000000000006</v>
      </c>
      <c r="L91" s="27">
        <v>245</v>
      </c>
      <c r="M91" s="27">
        <v>118</v>
      </c>
      <c r="N91" s="33">
        <v>38.799999999999997</v>
      </c>
      <c r="O91" s="26" t="s">
        <v>120</v>
      </c>
      <c r="P91" s="27">
        <v>30.4</v>
      </c>
      <c r="Q91" s="27">
        <v>152</v>
      </c>
      <c r="R91" s="27">
        <v>160</v>
      </c>
      <c r="S91" s="27">
        <v>6</v>
      </c>
      <c r="T91" s="27">
        <v>9</v>
      </c>
      <c r="U91" s="27">
        <v>15</v>
      </c>
      <c r="V91" s="27">
        <v>104</v>
      </c>
      <c r="W91" s="27">
        <v>8.89</v>
      </c>
      <c r="X91" s="27">
        <v>17.3</v>
      </c>
      <c r="Y91" s="27">
        <v>1673</v>
      </c>
      <c r="Z91" s="27">
        <v>616</v>
      </c>
      <c r="AA91" s="27">
        <v>6.57</v>
      </c>
      <c r="AB91" s="27">
        <v>3.98</v>
      </c>
      <c r="AC91" s="27">
        <v>220</v>
      </c>
      <c r="AD91" s="27">
        <v>76.900000000000006</v>
      </c>
      <c r="AE91" s="27">
        <v>245</v>
      </c>
      <c r="AF91" s="27">
        <v>118</v>
      </c>
      <c r="AG91" s="27">
        <v>0.83799999999999997</v>
      </c>
      <c r="AH91" s="27">
        <v>14.5</v>
      </c>
      <c r="AI91" s="27">
        <v>3.1E-2</v>
      </c>
      <c r="AJ91" s="27">
        <v>12.1</v>
      </c>
      <c r="AK91" s="33">
        <v>38.799999999999997</v>
      </c>
    </row>
    <row r="92" spans="1:37">
      <c r="A92" s="26" t="s">
        <v>121</v>
      </c>
      <c r="B92" s="27">
        <v>160</v>
      </c>
      <c r="C92" s="27">
        <v>160</v>
      </c>
      <c r="D92" s="27">
        <v>8</v>
      </c>
      <c r="E92" s="27">
        <v>13</v>
      </c>
      <c r="F92" s="27">
        <v>15</v>
      </c>
      <c r="G92" s="27">
        <v>104</v>
      </c>
      <c r="H92" s="27">
        <v>2492</v>
      </c>
      <c r="I92" s="27">
        <v>889</v>
      </c>
      <c r="J92" s="27">
        <v>312</v>
      </c>
      <c r="K92" s="27">
        <v>111</v>
      </c>
      <c r="L92" s="27">
        <v>354</v>
      </c>
      <c r="M92" s="27">
        <v>170</v>
      </c>
      <c r="N92" s="33">
        <v>54.3</v>
      </c>
      <c r="O92" s="26" t="s">
        <v>121</v>
      </c>
      <c r="P92" s="27">
        <v>42.6</v>
      </c>
      <c r="Q92" s="27">
        <v>160</v>
      </c>
      <c r="R92" s="27">
        <v>160</v>
      </c>
      <c r="S92" s="27">
        <v>8</v>
      </c>
      <c r="T92" s="27">
        <v>13</v>
      </c>
      <c r="U92" s="27">
        <v>15</v>
      </c>
      <c r="V92" s="27">
        <v>104</v>
      </c>
      <c r="W92" s="27">
        <v>6.15</v>
      </c>
      <c r="X92" s="27">
        <v>13</v>
      </c>
      <c r="Y92" s="27">
        <v>2492</v>
      </c>
      <c r="Z92" s="27">
        <v>889</v>
      </c>
      <c r="AA92" s="27">
        <v>6.78</v>
      </c>
      <c r="AB92" s="27">
        <v>4.05</v>
      </c>
      <c r="AC92" s="27">
        <v>312</v>
      </c>
      <c r="AD92" s="27">
        <v>111</v>
      </c>
      <c r="AE92" s="27">
        <v>354</v>
      </c>
      <c r="AF92" s="27">
        <v>170</v>
      </c>
      <c r="AG92" s="27">
        <v>0.84399999999999997</v>
      </c>
      <c r="AH92" s="27">
        <v>11</v>
      </c>
      <c r="AI92" s="27">
        <v>4.8000000000000001E-2</v>
      </c>
      <c r="AJ92" s="27">
        <v>31.3</v>
      </c>
      <c r="AK92" s="33">
        <v>54.3</v>
      </c>
    </row>
    <row r="93" spans="1:37">
      <c r="A93" s="24" t="s">
        <v>122</v>
      </c>
      <c r="B93" s="25">
        <v>180</v>
      </c>
      <c r="C93" s="25">
        <v>166</v>
      </c>
      <c r="D93" s="25">
        <v>14</v>
      </c>
      <c r="E93" s="25">
        <v>23</v>
      </c>
      <c r="F93" s="25">
        <v>15</v>
      </c>
      <c r="G93" s="25">
        <v>104</v>
      </c>
      <c r="H93" s="25">
        <v>5098</v>
      </c>
      <c r="I93" s="25">
        <v>1759</v>
      </c>
      <c r="J93" s="25">
        <v>566</v>
      </c>
      <c r="K93" s="25">
        <v>212</v>
      </c>
      <c r="L93" s="25">
        <v>675</v>
      </c>
      <c r="M93" s="25">
        <v>325</v>
      </c>
      <c r="N93" s="32">
        <v>97.1</v>
      </c>
      <c r="O93" s="24" t="s">
        <v>122</v>
      </c>
      <c r="P93" s="25">
        <v>76.2</v>
      </c>
      <c r="Q93" s="25">
        <v>180</v>
      </c>
      <c r="R93" s="25">
        <v>166</v>
      </c>
      <c r="S93" s="25">
        <v>14</v>
      </c>
      <c r="T93" s="25">
        <v>23</v>
      </c>
      <c r="U93" s="25">
        <v>15</v>
      </c>
      <c r="V93" s="25">
        <v>104</v>
      </c>
      <c r="W93" s="25">
        <v>3.61</v>
      </c>
      <c r="X93" s="25">
        <v>7.43</v>
      </c>
      <c r="Y93" s="25">
        <v>5098</v>
      </c>
      <c r="Z93" s="25">
        <v>1759</v>
      </c>
      <c r="AA93" s="25">
        <v>7.25</v>
      </c>
      <c r="AB93" s="25">
        <v>4.26</v>
      </c>
      <c r="AC93" s="25">
        <v>566</v>
      </c>
      <c r="AD93" s="25">
        <v>212</v>
      </c>
      <c r="AE93" s="25">
        <v>675</v>
      </c>
      <c r="AF93" s="25">
        <v>325</v>
      </c>
      <c r="AG93" s="25">
        <v>0.84699999999999998</v>
      </c>
      <c r="AH93" s="25">
        <v>6.91</v>
      </c>
      <c r="AI93" s="25">
        <v>0.108</v>
      </c>
      <c r="AJ93" s="25">
        <v>161</v>
      </c>
      <c r="AK93" s="32">
        <v>97.1</v>
      </c>
    </row>
    <row r="94" spans="1:37">
      <c r="A94" s="26" t="s">
        <v>123</v>
      </c>
      <c r="B94" s="27">
        <v>167</v>
      </c>
      <c r="C94" s="27">
        <v>180</v>
      </c>
      <c r="D94" s="27">
        <v>5</v>
      </c>
      <c r="E94" s="27">
        <v>7.5</v>
      </c>
      <c r="F94" s="27">
        <v>15</v>
      </c>
      <c r="G94" s="27">
        <v>122</v>
      </c>
      <c r="H94" s="27">
        <v>1967</v>
      </c>
      <c r="I94" s="27">
        <v>730</v>
      </c>
      <c r="J94" s="27">
        <v>236</v>
      </c>
      <c r="K94" s="27">
        <v>81.099999999999994</v>
      </c>
      <c r="L94" s="27">
        <v>258</v>
      </c>
      <c r="M94" s="27">
        <v>124</v>
      </c>
      <c r="N94" s="33">
        <v>36.5</v>
      </c>
      <c r="O94" s="26" t="s">
        <v>123</v>
      </c>
      <c r="P94" s="27">
        <v>28.7</v>
      </c>
      <c r="Q94" s="27">
        <v>167</v>
      </c>
      <c r="R94" s="27">
        <v>180</v>
      </c>
      <c r="S94" s="27">
        <v>5</v>
      </c>
      <c r="T94" s="27">
        <v>7.5</v>
      </c>
      <c r="U94" s="27">
        <v>15</v>
      </c>
      <c r="V94" s="27">
        <v>122</v>
      </c>
      <c r="W94" s="27">
        <v>12</v>
      </c>
      <c r="X94" s="27">
        <v>24.4</v>
      </c>
      <c r="Y94" s="27">
        <v>1967</v>
      </c>
      <c r="Z94" s="27">
        <v>730</v>
      </c>
      <c r="AA94" s="27">
        <v>7.34</v>
      </c>
      <c r="AB94" s="27">
        <v>4.47</v>
      </c>
      <c r="AC94" s="27">
        <v>236</v>
      </c>
      <c r="AD94" s="27">
        <v>81.099999999999994</v>
      </c>
      <c r="AE94" s="27">
        <v>258</v>
      </c>
      <c r="AF94" s="27">
        <v>124</v>
      </c>
      <c r="AG94" s="27">
        <v>0.83799999999999997</v>
      </c>
      <c r="AH94" s="27">
        <v>18.899999999999999</v>
      </c>
      <c r="AI94" s="27">
        <v>4.5999999999999999E-2</v>
      </c>
      <c r="AJ94" s="27">
        <v>8.31</v>
      </c>
      <c r="AK94" s="33">
        <v>36.5</v>
      </c>
    </row>
    <row r="95" spans="1:37">
      <c r="A95" s="26" t="s">
        <v>124</v>
      </c>
      <c r="B95" s="27">
        <v>171</v>
      </c>
      <c r="C95" s="27">
        <v>180</v>
      </c>
      <c r="D95" s="27">
        <v>6</v>
      </c>
      <c r="E95" s="27">
        <v>9.5</v>
      </c>
      <c r="F95" s="27">
        <v>15</v>
      </c>
      <c r="G95" s="27">
        <v>122</v>
      </c>
      <c r="H95" s="27">
        <v>2510</v>
      </c>
      <c r="I95" s="27">
        <v>925</v>
      </c>
      <c r="J95" s="27">
        <v>294</v>
      </c>
      <c r="K95" s="27">
        <v>103</v>
      </c>
      <c r="L95" s="27">
        <v>325</v>
      </c>
      <c r="M95" s="27">
        <v>156</v>
      </c>
      <c r="N95" s="33">
        <v>45.3</v>
      </c>
      <c r="O95" s="26" t="s">
        <v>124</v>
      </c>
      <c r="P95" s="27">
        <v>35.5</v>
      </c>
      <c r="Q95" s="27">
        <v>171</v>
      </c>
      <c r="R95" s="27">
        <v>180</v>
      </c>
      <c r="S95" s="27">
        <v>6</v>
      </c>
      <c r="T95" s="27">
        <v>9.5</v>
      </c>
      <c r="U95" s="27">
        <v>15</v>
      </c>
      <c r="V95" s="27">
        <v>122</v>
      </c>
      <c r="W95" s="27">
        <v>9.4700000000000006</v>
      </c>
      <c r="X95" s="27">
        <v>20.3</v>
      </c>
      <c r="Y95" s="27">
        <v>2510</v>
      </c>
      <c r="Z95" s="27">
        <v>925</v>
      </c>
      <c r="AA95" s="27">
        <v>7.45</v>
      </c>
      <c r="AB95" s="27">
        <v>4.5199999999999996</v>
      </c>
      <c r="AC95" s="27">
        <v>294</v>
      </c>
      <c r="AD95" s="27">
        <v>103</v>
      </c>
      <c r="AE95" s="27">
        <v>325</v>
      </c>
      <c r="AF95" s="27">
        <v>156</v>
      </c>
      <c r="AG95" s="27">
        <v>0.84099999999999997</v>
      </c>
      <c r="AH95" s="27">
        <v>15.9</v>
      </c>
      <c r="AI95" s="27">
        <v>0.06</v>
      </c>
      <c r="AJ95" s="27">
        <v>14.9</v>
      </c>
      <c r="AK95" s="33">
        <v>45.3</v>
      </c>
    </row>
    <row r="96" spans="1:37">
      <c r="A96" s="26" t="s">
        <v>125</v>
      </c>
      <c r="B96" s="27">
        <v>180</v>
      </c>
      <c r="C96" s="27">
        <v>180</v>
      </c>
      <c r="D96" s="27">
        <v>8.5</v>
      </c>
      <c r="E96" s="27">
        <v>14</v>
      </c>
      <c r="F96" s="27">
        <v>15</v>
      </c>
      <c r="G96" s="27">
        <v>122</v>
      </c>
      <c r="H96" s="27">
        <v>3831</v>
      </c>
      <c r="I96" s="27">
        <v>1363</v>
      </c>
      <c r="J96" s="27">
        <v>426</v>
      </c>
      <c r="K96" s="27">
        <v>151</v>
      </c>
      <c r="L96" s="27">
        <v>481</v>
      </c>
      <c r="M96" s="27">
        <v>231</v>
      </c>
      <c r="N96" s="33">
        <v>65.3</v>
      </c>
      <c r="O96" s="26" t="s">
        <v>125</v>
      </c>
      <c r="P96" s="27">
        <v>51.2</v>
      </c>
      <c r="Q96" s="27">
        <v>180</v>
      </c>
      <c r="R96" s="27">
        <v>180</v>
      </c>
      <c r="S96" s="27">
        <v>8.5</v>
      </c>
      <c r="T96" s="27">
        <v>14</v>
      </c>
      <c r="U96" s="27">
        <v>15</v>
      </c>
      <c r="V96" s="27">
        <v>122</v>
      </c>
      <c r="W96" s="27">
        <v>6.43</v>
      </c>
      <c r="X96" s="27">
        <v>14.4</v>
      </c>
      <c r="Y96" s="27">
        <v>3831</v>
      </c>
      <c r="Z96" s="27">
        <v>1363</v>
      </c>
      <c r="AA96" s="27">
        <v>7.66</v>
      </c>
      <c r="AB96" s="27">
        <v>4.57</v>
      </c>
      <c r="AC96" s="27">
        <v>426</v>
      </c>
      <c r="AD96" s="27">
        <v>151</v>
      </c>
      <c r="AE96" s="27">
        <v>481</v>
      </c>
      <c r="AF96" s="27">
        <v>231</v>
      </c>
      <c r="AG96" s="27">
        <v>0.84499999999999997</v>
      </c>
      <c r="AH96" s="27">
        <v>11.7</v>
      </c>
      <c r="AI96" s="27">
        <v>9.4E-2</v>
      </c>
      <c r="AJ96" s="27">
        <v>42.2</v>
      </c>
      <c r="AK96" s="33">
        <v>65.3</v>
      </c>
    </row>
    <row r="97" spans="1:37">
      <c r="A97" s="24" t="s">
        <v>126</v>
      </c>
      <c r="B97" s="25">
        <v>200</v>
      </c>
      <c r="C97" s="25">
        <v>186</v>
      </c>
      <c r="D97" s="25">
        <v>14.5</v>
      </c>
      <c r="E97" s="25">
        <v>24</v>
      </c>
      <c r="F97" s="25">
        <v>15</v>
      </c>
      <c r="G97" s="25">
        <v>122</v>
      </c>
      <c r="H97" s="25">
        <v>7483</v>
      </c>
      <c r="I97" s="25">
        <v>2580</v>
      </c>
      <c r="J97" s="25">
        <v>748</v>
      </c>
      <c r="K97" s="25">
        <v>277</v>
      </c>
      <c r="L97" s="25">
        <v>883</v>
      </c>
      <c r="M97" s="25">
        <v>425</v>
      </c>
      <c r="N97" s="32">
        <v>113</v>
      </c>
      <c r="O97" s="24" t="s">
        <v>126</v>
      </c>
      <c r="P97" s="25">
        <v>88.9</v>
      </c>
      <c r="Q97" s="25">
        <v>200</v>
      </c>
      <c r="R97" s="25">
        <v>186</v>
      </c>
      <c r="S97" s="25">
        <v>14.5</v>
      </c>
      <c r="T97" s="25">
        <v>24</v>
      </c>
      <c r="U97" s="25">
        <v>15</v>
      </c>
      <c r="V97" s="25">
        <v>122</v>
      </c>
      <c r="W97" s="25">
        <v>3.88</v>
      </c>
      <c r="X97" s="25">
        <v>8.41</v>
      </c>
      <c r="Y97" s="25">
        <v>7483</v>
      </c>
      <c r="Z97" s="25">
        <v>2580</v>
      </c>
      <c r="AA97" s="25">
        <v>8.1300000000000008</v>
      </c>
      <c r="AB97" s="25">
        <v>4.7699999999999996</v>
      </c>
      <c r="AC97" s="25">
        <v>748</v>
      </c>
      <c r="AD97" s="25">
        <v>277</v>
      </c>
      <c r="AE97" s="25">
        <v>883</v>
      </c>
      <c r="AF97" s="25">
        <v>425</v>
      </c>
      <c r="AG97" s="25">
        <v>0.84699999999999998</v>
      </c>
      <c r="AH97" s="25">
        <v>7.47</v>
      </c>
      <c r="AI97" s="25">
        <v>0.2</v>
      </c>
      <c r="AJ97" s="25">
        <v>201</v>
      </c>
      <c r="AK97" s="32">
        <v>113</v>
      </c>
    </row>
    <row r="98" spans="1:37">
      <c r="A98" s="26" t="s">
        <v>127</v>
      </c>
      <c r="B98" s="27">
        <v>186</v>
      </c>
      <c r="C98" s="27">
        <v>200</v>
      </c>
      <c r="D98" s="27">
        <v>5.5</v>
      </c>
      <c r="E98" s="27">
        <v>8</v>
      </c>
      <c r="F98" s="27">
        <v>18</v>
      </c>
      <c r="G98" s="27">
        <v>134</v>
      </c>
      <c r="H98" s="27">
        <v>2944</v>
      </c>
      <c r="I98" s="27">
        <v>1068</v>
      </c>
      <c r="J98" s="27">
        <v>317</v>
      </c>
      <c r="K98" s="27">
        <v>107</v>
      </c>
      <c r="L98" s="27">
        <v>347</v>
      </c>
      <c r="M98" s="27">
        <v>163</v>
      </c>
      <c r="N98" s="33">
        <v>44.1</v>
      </c>
      <c r="O98" s="26" t="s">
        <v>127</v>
      </c>
      <c r="P98" s="27">
        <v>34.6</v>
      </c>
      <c r="Q98" s="27">
        <v>186</v>
      </c>
      <c r="R98" s="27">
        <v>200</v>
      </c>
      <c r="S98" s="27">
        <v>5.5</v>
      </c>
      <c r="T98" s="27">
        <v>8</v>
      </c>
      <c r="U98" s="27">
        <v>18</v>
      </c>
      <c r="V98" s="27">
        <v>134</v>
      </c>
      <c r="W98" s="27">
        <v>12.5</v>
      </c>
      <c r="X98" s="27">
        <v>24.4</v>
      </c>
      <c r="Y98" s="27">
        <v>2944</v>
      </c>
      <c r="Z98" s="27">
        <v>1068</v>
      </c>
      <c r="AA98" s="27">
        <v>8.17</v>
      </c>
      <c r="AB98" s="27">
        <v>4.92</v>
      </c>
      <c r="AC98" s="27">
        <v>317</v>
      </c>
      <c r="AD98" s="27">
        <v>107</v>
      </c>
      <c r="AE98" s="27">
        <v>347</v>
      </c>
      <c r="AF98" s="27">
        <v>163</v>
      </c>
      <c r="AG98" s="27">
        <v>0.84</v>
      </c>
      <c r="AH98" s="27">
        <v>18.899999999999999</v>
      </c>
      <c r="AI98" s="27">
        <v>8.5000000000000006E-2</v>
      </c>
      <c r="AJ98" s="27">
        <v>12.5</v>
      </c>
      <c r="AK98" s="33">
        <v>44.1</v>
      </c>
    </row>
    <row r="99" spans="1:37">
      <c r="A99" s="26" t="s">
        <v>128</v>
      </c>
      <c r="B99" s="27">
        <v>190</v>
      </c>
      <c r="C99" s="27">
        <v>200</v>
      </c>
      <c r="D99" s="27">
        <v>6.5</v>
      </c>
      <c r="E99" s="27">
        <v>10</v>
      </c>
      <c r="F99" s="27">
        <v>18</v>
      </c>
      <c r="G99" s="27">
        <v>134</v>
      </c>
      <c r="H99" s="27">
        <v>3692</v>
      </c>
      <c r="I99" s="27">
        <v>1336</v>
      </c>
      <c r="J99" s="27">
        <v>389</v>
      </c>
      <c r="K99" s="27">
        <v>134</v>
      </c>
      <c r="L99" s="27">
        <v>429</v>
      </c>
      <c r="M99" s="27">
        <v>204</v>
      </c>
      <c r="N99" s="33">
        <v>53.8</v>
      </c>
      <c r="O99" s="26" t="s">
        <v>128</v>
      </c>
      <c r="P99" s="27">
        <v>42.3</v>
      </c>
      <c r="Q99" s="27">
        <v>190</v>
      </c>
      <c r="R99" s="27">
        <v>200</v>
      </c>
      <c r="S99" s="27">
        <v>6.5</v>
      </c>
      <c r="T99" s="27">
        <v>10</v>
      </c>
      <c r="U99" s="27">
        <v>18</v>
      </c>
      <c r="V99" s="27">
        <v>134</v>
      </c>
      <c r="W99" s="27">
        <v>10</v>
      </c>
      <c r="X99" s="27">
        <v>20.6</v>
      </c>
      <c r="Y99" s="27">
        <v>3692</v>
      </c>
      <c r="Z99" s="27">
        <v>1336</v>
      </c>
      <c r="AA99" s="27">
        <v>8.2799999999999994</v>
      </c>
      <c r="AB99" s="27">
        <v>4.9800000000000004</v>
      </c>
      <c r="AC99" s="27">
        <v>389</v>
      </c>
      <c r="AD99" s="27">
        <v>134</v>
      </c>
      <c r="AE99" s="27">
        <v>429</v>
      </c>
      <c r="AF99" s="27">
        <v>204</v>
      </c>
      <c r="AG99" s="27">
        <v>0.84199999999999997</v>
      </c>
      <c r="AH99" s="27">
        <v>16.3</v>
      </c>
      <c r="AI99" s="27">
        <v>0.108</v>
      </c>
      <c r="AJ99" s="27">
        <v>21</v>
      </c>
      <c r="AK99" s="33">
        <v>53.8</v>
      </c>
    </row>
    <row r="100" spans="1:37">
      <c r="A100" s="26" t="s">
        <v>129</v>
      </c>
      <c r="B100" s="27">
        <v>200</v>
      </c>
      <c r="C100" s="27">
        <v>200</v>
      </c>
      <c r="D100" s="27">
        <v>9</v>
      </c>
      <c r="E100" s="27">
        <v>15</v>
      </c>
      <c r="F100" s="27">
        <v>18</v>
      </c>
      <c r="G100" s="27">
        <v>134</v>
      </c>
      <c r="H100" s="27">
        <v>5696</v>
      </c>
      <c r="I100" s="27">
        <v>2003</v>
      </c>
      <c r="J100" s="27">
        <v>570</v>
      </c>
      <c r="K100" s="27">
        <v>200</v>
      </c>
      <c r="L100" s="27">
        <v>643</v>
      </c>
      <c r="M100" s="27">
        <v>306</v>
      </c>
      <c r="N100" s="33">
        <v>78.099999999999994</v>
      </c>
      <c r="O100" s="26" t="s">
        <v>129</v>
      </c>
      <c r="P100" s="27">
        <v>61.3</v>
      </c>
      <c r="Q100" s="27">
        <v>200</v>
      </c>
      <c r="R100" s="27">
        <v>200</v>
      </c>
      <c r="S100" s="27">
        <v>9</v>
      </c>
      <c r="T100" s="27">
        <v>15</v>
      </c>
      <c r="U100" s="27">
        <v>18</v>
      </c>
      <c r="V100" s="27">
        <v>134</v>
      </c>
      <c r="W100" s="27">
        <v>6.67</v>
      </c>
      <c r="X100" s="27">
        <v>14.9</v>
      </c>
      <c r="Y100" s="27">
        <v>5696</v>
      </c>
      <c r="Z100" s="27">
        <v>2003</v>
      </c>
      <c r="AA100" s="27">
        <v>8.5399999999999991</v>
      </c>
      <c r="AB100" s="27">
        <v>5.07</v>
      </c>
      <c r="AC100" s="27">
        <v>570</v>
      </c>
      <c r="AD100" s="27">
        <v>200</v>
      </c>
      <c r="AE100" s="27">
        <v>643</v>
      </c>
      <c r="AF100" s="27">
        <v>306</v>
      </c>
      <c r="AG100" s="27">
        <v>0.84599999999999997</v>
      </c>
      <c r="AH100" s="27">
        <v>12</v>
      </c>
      <c r="AI100" s="27">
        <v>0.17100000000000001</v>
      </c>
      <c r="AJ100" s="27">
        <v>59.7</v>
      </c>
      <c r="AK100" s="33">
        <v>78.099999999999994</v>
      </c>
    </row>
    <row r="101" spans="1:37">
      <c r="A101" s="24" t="s">
        <v>130</v>
      </c>
      <c r="B101" s="25">
        <v>220</v>
      </c>
      <c r="C101" s="25">
        <v>206</v>
      </c>
      <c r="D101" s="25">
        <v>15</v>
      </c>
      <c r="E101" s="25">
        <v>25</v>
      </c>
      <c r="F101" s="25">
        <v>18</v>
      </c>
      <c r="G101" s="25">
        <v>134</v>
      </c>
      <c r="H101" s="25">
        <v>10640</v>
      </c>
      <c r="I101" s="25">
        <v>3651</v>
      </c>
      <c r="J101" s="25">
        <v>967</v>
      </c>
      <c r="K101" s="25">
        <v>354</v>
      </c>
      <c r="L101" s="25">
        <v>1135</v>
      </c>
      <c r="M101" s="25">
        <v>543</v>
      </c>
      <c r="N101" s="32">
        <v>131</v>
      </c>
      <c r="O101" s="24" t="s">
        <v>130</v>
      </c>
      <c r="P101" s="25">
        <v>103.1</v>
      </c>
      <c r="Q101" s="25">
        <v>220</v>
      </c>
      <c r="R101" s="25">
        <v>206</v>
      </c>
      <c r="S101" s="25">
        <v>15</v>
      </c>
      <c r="T101" s="25">
        <v>25</v>
      </c>
      <c r="U101" s="25">
        <v>18</v>
      </c>
      <c r="V101" s="25">
        <v>134</v>
      </c>
      <c r="W101" s="25">
        <v>4.12</v>
      </c>
      <c r="X101" s="25">
        <v>8.93</v>
      </c>
      <c r="Y101" s="25">
        <v>10640</v>
      </c>
      <c r="Z101" s="25">
        <v>3651</v>
      </c>
      <c r="AA101" s="25">
        <v>9</v>
      </c>
      <c r="AB101" s="25">
        <v>5.27</v>
      </c>
      <c r="AC101" s="25">
        <v>967</v>
      </c>
      <c r="AD101" s="25">
        <v>354</v>
      </c>
      <c r="AE101" s="25">
        <v>1135</v>
      </c>
      <c r="AF101" s="25">
        <v>543</v>
      </c>
      <c r="AG101" s="25">
        <v>0.84799999999999998</v>
      </c>
      <c r="AH101" s="25">
        <v>7.88</v>
      </c>
      <c r="AI101" s="25">
        <v>0.34699999999999998</v>
      </c>
      <c r="AJ101" s="25">
        <v>258</v>
      </c>
      <c r="AK101" s="32">
        <v>131</v>
      </c>
    </row>
    <row r="102" spans="1:37">
      <c r="A102" s="26" t="s">
        <v>131</v>
      </c>
      <c r="B102" s="27">
        <v>205</v>
      </c>
      <c r="C102" s="27">
        <v>220</v>
      </c>
      <c r="D102" s="27">
        <v>6</v>
      </c>
      <c r="E102" s="27">
        <v>8.5</v>
      </c>
      <c r="F102" s="27">
        <v>18</v>
      </c>
      <c r="G102" s="27">
        <v>152</v>
      </c>
      <c r="H102" s="27">
        <v>4170</v>
      </c>
      <c r="I102" s="27">
        <v>1510</v>
      </c>
      <c r="J102" s="27">
        <v>407</v>
      </c>
      <c r="K102" s="27">
        <v>137</v>
      </c>
      <c r="L102" s="27">
        <v>445</v>
      </c>
      <c r="M102" s="27">
        <v>209</v>
      </c>
      <c r="N102" s="33">
        <v>51.5</v>
      </c>
      <c r="O102" s="26" t="s">
        <v>131</v>
      </c>
      <c r="P102" s="27">
        <v>40.4</v>
      </c>
      <c r="Q102" s="27">
        <v>205</v>
      </c>
      <c r="R102" s="27">
        <v>220</v>
      </c>
      <c r="S102" s="27">
        <v>6</v>
      </c>
      <c r="T102" s="27">
        <v>8.5</v>
      </c>
      <c r="U102" s="27">
        <v>18</v>
      </c>
      <c r="V102" s="27">
        <v>152</v>
      </c>
      <c r="W102" s="27">
        <v>12.9</v>
      </c>
      <c r="X102" s="27">
        <v>25.3</v>
      </c>
      <c r="Y102" s="27">
        <v>4170</v>
      </c>
      <c r="Z102" s="27">
        <v>1510</v>
      </c>
      <c r="AA102" s="27">
        <v>9</v>
      </c>
      <c r="AB102" s="27">
        <v>5.42</v>
      </c>
      <c r="AC102" s="27">
        <v>407</v>
      </c>
      <c r="AD102" s="27">
        <v>137</v>
      </c>
      <c r="AE102" s="27">
        <v>445</v>
      </c>
      <c r="AF102" s="27">
        <v>209</v>
      </c>
      <c r="AG102" s="27">
        <v>0.83899999999999997</v>
      </c>
      <c r="AH102" s="27">
        <v>20.2</v>
      </c>
      <c r="AI102" s="27">
        <v>0.14599999999999999</v>
      </c>
      <c r="AJ102" s="27">
        <v>15.5</v>
      </c>
      <c r="AK102" s="33">
        <v>51.5</v>
      </c>
    </row>
    <row r="103" spans="1:37">
      <c r="A103" s="26" t="s">
        <v>132</v>
      </c>
      <c r="B103" s="27">
        <v>210</v>
      </c>
      <c r="C103" s="27">
        <v>220</v>
      </c>
      <c r="D103" s="27">
        <v>7</v>
      </c>
      <c r="E103" s="27">
        <v>11</v>
      </c>
      <c r="F103" s="27">
        <v>18</v>
      </c>
      <c r="G103" s="27">
        <v>152</v>
      </c>
      <c r="H103" s="27">
        <v>5410</v>
      </c>
      <c r="I103" s="27">
        <v>1955</v>
      </c>
      <c r="J103" s="27">
        <v>515</v>
      </c>
      <c r="K103" s="27">
        <v>178</v>
      </c>
      <c r="L103" s="27">
        <v>568</v>
      </c>
      <c r="M103" s="27">
        <v>271</v>
      </c>
      <c r="N103" s="33">
        <v>64.3</v>
      </c>
      <c r="O103" s="26" t="s">
        <v>132</v>
      </c>
      <c r="P103" s="27">
        <v>50.5</v>
      </c>
      <c r="Q103" s="27">
        <v>210</v>
      </c>
      <c r="R103" s="27">
        <v>220</v>
      </c>
      <c r="S103" s="27">
        <v>7</v>
      </c>
      <c r="T103" s="27">
        <v>11</v>
      </c>
      <c r="U103" s="27">
        <v>18</v>
      </c>
      <c r="V103" s="27">
        <v>152</v>
      </c>
      <c r="W103" s="27">
        <v>10</v>
      </c>
      <c r="X103" s="27">
        <v>21.7</v>
      </c>
      <c r="Y103" s="27">
        <v>5410</v>
      </c>
      <c r="Z103" s="27">
        <v>1955</v>
      </c>
      <c r="AA103" s="27">
        <v>9.17</v>
      </c>
      <c r="AB103" s="27">
        <v>5.51</v>
      </c>
      <c r="AC103" s="27">
        <v>515</v>
      </c>
      <c r="AD103" s="27">
        <v>178</v>
      </c>
      <c r="AE103" s="27">
        <v>568</v>
      </c>
      <c r="AF103" s="27">
        <v>271</v>
      </c>
      <c r="AG103" s="27">
        <v>0.84199999999999997</v>
      </c>
      <c r="AH103" s="27">
        <v>16.899999999999999</v>
      </c>
      <c r="AI103" s="27">
        <v>0.19400000000000001</v>
      </c>
      <c r="AJ103" s="27">
        <v>28.6</v>
      </c>
      <c r="AK103" s="33">
        <v>64.3</v>
      </c>
    </row>
    <row r="104" spans="1:37">
      <c r="A104" s="26" t="s">
        <v>133</v>
      </c>
      <c r="B104" s="27">
        <v>220</v>
      </c>
      <c r="C104" s="27">
        <v>220</v>
      </c>
      <c r="D104" s="27">
        <v>9.5</v>
      </c>
      <c r="E104" s="27">
        <v>16</v>
      </c>
      <c r="F104" s="27">
        <v>18</v>
      </c>
      <c r="G104" s="27">
        <v>152</v>
      </c>
      <c r="H104" s="27">
        <v>8091</v>
      </c>
      <c r="I104" s="27">
        <v>2843</v>
      </c>
      <c r="J104" s="27">
        <v>736</v>
      </c>
      <c r="K104" s="27">
        <v>258</v>
      </c>
      <c r="L104" s="27">
        <v>827</v>
      </c>
      <c r="M104" s="27">
        <v>394</v>
      </c>
      <c r="N104" s="33">
        <v>91</v>
      </c>
      <c r="O104" s="26" t="s">
        <v>133</v>
      </c>
      <c r="P104" s="27">
        <v>71.5</v>
      </c>
      <c r="Q104" s="27">
        <v>220</v>
      </c>
      <c r="R104" s="27">
        <v>220</v>
      </c>
      <c r="S104" s="27">
        <v>9.5</v>
      </c>
      <c r="T104" s="27">
        <v>16</v>
      </c>
      <c r="U104" s="27">
        <v>18</v>
      </c>
      <c r="V104" s="27">
        <v>152</v>
      </c>
      <c r="W104" s="27">
        <v>6.88</v>
      </c>
      <c r="X104" s="27">
        <v>16</v>
      </c>
      <c r="Y104" s="27">
        <v>8091</v>
      </c>
      <c r="Z104" s="27">
        <v>2843</v>
      </c>
      <c r="AA104" s="27">
        <v>9.43</v>
      </c>
      <c r="AB104" s="27">
        <v>5.59</v>
      </c>
      <c r="AC104" s="27">
        <v>736</v>
      </c>
      <c r="AD104" s="27">
        <v>258</v>
      </c>
      <c r="AE104" s="27">
        <v>827</v>
      </c>
      <c r="AF104" s="27">
        <v>394</v>
      </c>
      <c r="AG104" s="27">
        <v>0.84699999999999998</v>
      </c>
      <c r="AH104" s="27">
        <v>12.6</v>
      </c>
      <c r="AI104" s="27">
        <v>0.29599999999999999</v>
      </c>
      <c r="AJ104" s="27">
        <v>77</v>
      </c>
      <c r="AK104" s="33">
        <v>91</v>
      </c>
    </row>
    <row r="105" spans="1:37">
      <c r="A105" s="24" t="s">
        <v>134</v>
      </c>
      <c r="B105" s="25">
        <v>240</v>
      </c>
      <c r="C105" s="25">
        <v>226</v>
      </c>
      <c r="D105" s="25">
        <v>15.5</v>
      </c>
      <c r="E105" s="25">
        <v>26</v>
      </c>
      <c r="F105" s="25">
        <v>18</v>
      </c>
      <c r="G105" s="25">
        <v>152</v>
      </c>
      <c r="H105" s="25">
        <v>14600</v>
      </c>
      <c r="I105" s="25">
        <v>5012</v>
      </c>
      <c r="J105" s="25">
        <v>1217</v>
      </c>
      <c r="K105" s="25">
        <v>444</v>
      </c>
      <c r="L105" s="25">
        <v>1419</v>
      </c>
      <c r="M105" s="25">
        <v>679</v>
      </c>
      <c r="N105" s="32">
        <v>149</v>
      </c>
      <c r="O105" s="24" t="s">
        <v>134</v>
      </c>
      <c r="P105" s="25">
        <v>117.3</v>
      </c>
      <c r="Q105" s="25">
        <v>240</v>
      </c>
      <c r="R105" s="25">
        <v>226</v>
      </c>
      <c r="S105" s="25">
        <v>15.5</v>
      </c>
      <c r="T105" s="25">
        <v>26</v>
      </c>
      <c r="U105" s="25">
        <v>18</v>
      </c>
      <c r="V105" s="25">
        <v>152</v>
      </c>
      <c r="W105" s="25">
        <v>4.3499999999999996</v>
      </c>
      <c r="X105" s="25">
        <v>9.81</v>
      </c>
      <c r="Y105" s="25">
        <v>14600</v>
      </c>
      <c r="Z105" s="25">
        <v>5012</v>
      </c>
      <c r="AA105" s="25">
        <v>9.89</v>
      </c>
      <c r="AB105" s="25">
        <v>5.79</v>
      </c>
      <c r="AC105" s="25">
        <v>1217</v>
      </c>
      <c r="AD105" s="25">
        <v>444</v>
      </c>
      <c r="AE105" s="25">
        <v>1419</v>
      </c>
      <c r="AF105" s="25">
        <v>679</v>
      </c>
      <c r="AG105" s="25">
        <v>0.84799999999999998</v>
      </c>
      <c r="AH105" s="25">
        <v>8.3699999999999992</v>
      </c>
      <c r="AI105" s="25">
        <v>0.57399999999999995</v>
      </c>
      <c r="AJ105" s="25">
        <v>313</v>
      </c>
      <c r="AK105" s="32">
        <v>149</v>
      </c>
    </row>
    <row r="106" spans="1:37">
      <c r="A106" s="26" t="s">
        <v>135</v>
      </c>
      <c r="B106" s="27">
        <v>224</v>
      </c>
      <c r="C106" s="27">
        <v>240</v>
      </c>
      <c r="D106" s="27">
        <v>6.5</v>
      </c>
      <c r="E106" s="27">
        <v>9</v>
      </c>
      <c r="F106" s="27">
        <v>21</v>
      </c>
      <c r="G106" s="27">
        <v>164</v>
      </c>
      <c r="H106" s="27">
        <v>5835</v>
      </c>
      <c r="I106" s="27">
        <v>2077</v>
      </c>
      <c r="J106" s="27">
        <v>521</v>
      </c>
      <c r="K106" s="27">
        <v>173</v>
      </c>
      <c r="L106" s="27">
        <v>571</v>
      </c>
      <c r="M106" s="27">
        <v>264</v>
      </c>
      <c r="N106" s="33">
        <v>60.4</v>
      </c>
      <c r="O106" s="26" t="s">
        <v>135</v>
      </c>
      <c r="P106" s="27">
        <v>47.4</v>
      </c>
      <c r="Q106" s="27">
        <v>224</v>
      </c>
      <c r="R106" s="27">
        <v>240</v>
      </c>
      <c r="S106" s="27">
        <v>6.5</v>
      </c>
      <c r="T106" s="27">
        <v>9</v>
      </c>
      <c r="U106" s="27">
        <v>21</v>
      </c>
      <c r="V106" s="27">
        <v>164</v>
      </c>
      <c r="W106" s="27">
        <v>13.3</v>
      </c>
      <c r="X106" s="27">
        <v>25.2</v>
      </c>
      <c r="Y106" s="27">
        <v>5835</v>
      </c>
      <c r="Z106" s="27">
        <v>2077</v>
      </c>
      <c r="AA106" s="27">
        <v>9.83</v>
      </c>
      <c r="AB106" s="27">
        <v>5.87</v>
      </c>
      <c r="AC106" s="27">
        <v>521</v>
      </c>
      <c r="AD106" s="27">
        <v>173</v>
      </c>
      <c r="AE106" s="27">
        <v>571</v>
      </c>
      <c r="AF106" s="27">
        <v>264</v>
      </c>
      <c r="AG106" s="27">
        <v>0.84</v>
      </c>
      <c r="AH106" s="27">
        <v>20.100000000000001</v>
      </c>
      <c r="AI106" s="27">
        <v>0.24</v>
      </c>
      <c r="AJ106" s="27">
        <v>22.1</v>
      </c>
      <c r="AK106" s="33">
        <v>60.4</v>
      </c>
    </row>
    <row r="107" spans="1:37">
      <c r="A107" s="26" t="s">
        <v>136</v>
      </c>
      <c r="B107" s="27">
        <v>230</v>
      </c>
      <c r="C107" s="27">
        <v>240</v>
      </c>
      <c r="D107" s="27">
        <v>7.5</v>
      </c>
      <c r="E107" s="27">
        <v>12</v>
      </c>
      <c r="F107" s="27">
        <v>21</v>
      </c>
      <c r="G107" s="27">
        <v>164</v>
      </c>
      <c r="H107" s="27">
        <v>7763</v>
      </c>
      <c r="I107" s="27">
        <v>2769</v>
      </c>
      <c r="J107" s="27">
        <v>675</v>
      </c>
      <c r="K107" s="27">
        <v>231</v>
      </c>
      <c r="L107" s="27">
        <v>745</v>
      </c>
      <c r="M107" s="27">
        <v>352</v>
      </c>
      <c r="N107" s="33">
        <v>76.8</v>
      </c>
      <c r="O107" s="26" t="s">
        <v>136</v>
      </c>
      <c r="P107" s="27">
        <v>60.3</v>
      </c>
      <c r="Q107" s="27">
        <v>230</v>
      </c>
      <c r="R107" s="27">
        <v>240</v>
      </c>
      <c r="S107" s="27">
        <v>7.5</v>
      </c>
      <c r="T107" s="27">
        <v>12</v>
      </c>
      <c r="U107" s="27">
        <v>21</v>
      </c>
      <c r="V107" s="27">
        <v>164</v>
      </c>
      <c r="W107" s="27">
        <v>10</v>
      </c>
      <c r="X107" s="27">
        <v>21.9</v>
      </c>
      <c r="Y107" s="27">
        <v>7763</v>
      </c>
      <c r="Z107" s="27">
        <v>2769</v>
      </c>
      <c r="AA107" s="27">
        <v>10.1</v>
      </c>
      <c r="AB107" s="27">
        <v>6</v>
      </c>
      <c r="AC107" s="27">
        <v>675</v>
      </c>
      <c r="AD107" s="27">
        <v>231</v>
      </c>
      <c r="AE107" s="27">
        <v>745</v>
      </c>
      <c r="AF107" s="27">
        <v>352</v>
      </c>
      <c r="AG107" s="27">
        <v>0.84399999999999997</v>
      </c>
      <c r="AH107" s="27">
        <v>16.7</v>
      </c>
      <c r="AI107" s="27">
        <v>0.32900000000000001</v>
      </c>
      <c r="AJ107" s="27">
        <v>42.1</v>
      </c>
      <c r="AK107" s="33">
        <v>76.8</v>
      </c>
    </row>
    <row r="108" spans="1:37">
      <c r="A108" s="26" t="s">
        <v>137</v>
      </c>
      <c r="B108" s="27">
        <v>240</v>
      </c>
      <c r="C108" s="27">
        <v>240</v>
      </c>
      <c r="D108" s="27">
        <v>10</v>
      </c>
      <c r="E108" s="27">
        <v>17</v>
      </c>
      <c r="F108" s="27">
        <v>21</v>
      </c>
      <c r="G108" s="27">
        <v>164</v>
      </c>
      <c r="H108" s="27">
        <v>11260</v>
      </c>
      <c r="I108" s="27">
        <v>3923</v>
      </c>
      <c r="J108" s="27">
        <v>938</v>
      </c>
      <c r="K108" s="27">
        <v>327</v>
      </c>
      <c r="L108" s="27">
        <v>1053</v>
      </c>
      <c r="M108" s="27">
        <v>498</v>
      </c>
      <c r="N108" s="33">
        <v>106</v>
      </c>
      <c r="O108" s="26" t="s">
        <v>137</v>
      </c>
      <c r="P108" s="27">
        <v>83.2</v>
      </c>
      <c r="Q108" s="27">
        <v>240</v>
      </c>
      <c r="R108" s="27">
        <v>240</v>
      </c>
      <c r="S108" s="27">
        <v>10</v>
      </c>
      <c r="T108" s="27">
        <v>17</v>
      </c>
      <c r="U108" s="27">
        <v>21</v>
      </c>
      <c r="V108" s="27">
        <v>164</v>
      </c>
      <c r="W108" s="27">
        <v>7.06</v>
      </c>
      <c r="X108" s="27">
        <v>16.399999999999999</v>
      </c>
      <c r="Y108" s="27">
        <v>11260</v>
      </c>
      <c r="Z108" s="27">
        <v>3923</v>
      </c>
      <c r="AA108" s="27">
        <v>10.3</v>
      </c>
      <c r="AB108" s="27">
        <v>6.08</v>
      </c>
      <c r="AC108" s="27">
        <v>938</v>
      </c>
      <c r="AD108" s="27">
        <v>327</v>
      </c>
      <c r="AE108" s="27">
        <v>1053</v>
      </c>
      <c r="AF108" s="27">
        <v>498</v>
      </c>
      <c r="AG108" s="27">
        <v>0.84799999999999998</v>
      </c>
      <c r="AH108" s="27">
        <v>12.7</v>
      </c>
      <c r="AI108" s="27">
        <v>0.48799999999999999</v>
      </c>
      <c r="AJ108" s="27">
        <v>104</v>
      </c>
      <c r="AK108" s="33">
        <v>106</v>
      </c>
    </row>
    <row r="109" spans="1:37">
      <c r="A109" s="24" t="s">
        <v>138</v>
      </c>
      <c r="B109" s="25">
        <v>270</v>
      </c>
      <c r="C109" s="25">
        <v>248</v>
      </c>
      <c r="D109" s="25">
        <v>18</v>
      </c>
      <c r="E109" s="25">
        <v>32</v>
      </c>
      <c r="F109" s="25">
        <v>21</v>
      </c>
      <c r="G109" s="25">
        <v>164</v>
      </c>
      <c r="H109" s="25">
        <v>24290</v>
      </c>
      <c r="I109" s="25">
        <v>8153</v>
      </c>
      <c r="J109" s="25">
        <v>1799</v>
      </c>
      <c r="K109" s="25">
        <v>657</v>
      </c>
      <c r="L109" s="25">
        <v>2117</v>
      </c>
      <c r="M109" s="25">
        <v>1006</v>
      </c>
      <c r="N109" s="32">
        <v>200</v>
      </c>
      <c r="O109" s="24" t="s">
        <v>138</v>
      </c>
      <c r="P109" s="25">
        <v>156.69999999999999</v>
      </c>
      <c r="Q109" s="25">
        <v>270</v>
      </c>
      <c r="R109" s="25">
        <v>248</v>
      </c>
      <c r="S109" s="25">
        <v>18</v>
      </c>
      <c r="T109" s="25">
        <v>32</v>
      </c>
      <c r="U109" s="25">
        <v>21</v>
      </c>
      <c r="V109" s="25">
        <v>164</v>
      </c>
      <c r="W109" s="25">
        <v>3.88</v>
      </c>
      <c r="X109" s="25">
        <v>9.11</v>
      </c>
      <c r="Y109" s="25">
        <v>24290</v>
      </c>
      <c r="Z109" s="25">
        <v>8153</v>
      </c>
      <c r="AA109" s="25">
        <v>11</v>
      </c>
      <c r="AB109" s="25">
        <v>6.39</v>
      </c>
      <c r="AC109" s="25">
        <v>1799</v>
      </c>
      <c r="AD109" s="25">
        <v>657</v>
      </c>
      <c r="AE109" s="25">
        <v>2117</v>
      </c>
      <c r="AF109" s="25">
        <v>1006</v>
      </c>
      <c r="AG109" s="25">
        <v>0.85199999999999998</v>
      </c>
      <c r="AH109" s="25">
        <v>7.61</v>
      </c>
      <c r="AI109" s="25">
        <v>1.1499999999999999</v>
      </c>
      <c r="AJ109" s="25">
        <v>626</v>
      </c>
      <c r="AK109" s="32">
        <v>200</v>
      </c>
    </row>
    <row r="110" spans="1:37">
      <c r="A110" s="26" t="s">
        <v>139</v>
      </c>
      <c r="B110" s="27">
        <v>244</v>
      </c>
      <c r="C110" s="27">
        <v>260</v>
      </c>
      <c r="D110" s="27">
        <v>6.5</v>
      </c>
      <c r="E110" s="27">
        <v>9.5</v>
      </c>
      <c r="F110" s="27">
        <v>24</v>
      </c>
      <c r="G110" s="27">
        <v>177</v>
      </c>
      <c r="H110" s="27">
        <v>7981</v>
      </c>
      <c r="I110" s="27">
        <v>2788</v>
      </c>
      <c r="J110" s="27">
        <v>654</v>
      </c>
      <c r="K110" s="27">
        <v>214</v>
      </c>
      <c r="L110" s="27">
        <v>714</v>
      </c>
      <c r="M110" s="27">
        <v>328</v>
      </c>
      <c r="N110" s="33">
        <v>69</v>
      </c>
      <c r="O110" s="26" t="s">
        <v>139</v>
      </c>
      <c r="P110" s="27">
        <v>54.1</v>
      </c>
      <c r="Q110" s="27">
        <v>244</v>
      </c>
      <c r="R110" s="27">
        <v>260</v>
      </c>
      <c r="S110" s="27">
        <v>6.5</v>
      </c>
      <c r="T110" s="27">
        <v>9.5</v>
      </c>
      <c r="U110" s="27">
        <v>24</v>
      </c>
      <c r="V110" s="27">
        <v>177</v>
      </c>
      <c r="W110" s="27">
        <v>13.7</v>
      </c>
      <c r="X110" s="27">
        <v>27.2</v>
      </c>
      <c r="Y110" s="27">
        <v>7981</v>
      </c>
      <c r="Z110" s="27">
        <v>2788</v>
      </c>
      <c r="AA110" s="27">
        <v>10.8</v>
      </c>
      <c r="AB110" s="27">
        <v>6.36</v>
      </c>
      <c r="AC110" s="27">
        <v>654</v>
      </c>
      <c r="AD110" s="27">
        <v>214</v>
      </c>
      <c r="AE110" s="27">
        <v>714</v>
      </c>
      <c r="AF110" s="27">
        <v>328</v>
      </c>
      <c r="AG110" s="27">
        <v>0.84399999999999997</v>
      </c>
      <c r="AH110" s="27">
        <v>20.100000000000001</v>
      </c>
      <c r="AI110" s="27">
        <v>0.38300000000000001</v>
      </c>
      <c r="AJ110" s="27">
        <v>30.1</v>
      </c>
      <c r="AK110" s="33">
        <v>69</v>
      </c>
    </row>
    <row r="111" spans="1:37">
      <c r="A111" s="26" t="s">
        <v>140</v>
      </c>
      <c r="B111" s="27">
        <v>250</v>
      </c>
      <c r="C111" s="27">
        <v>260</v>
      </c>
      <c r="D111" s="27">
        <v>7.5</v>
      </c>
      <c r="E111" s="27">
        <v>12.5</v>
      </c>
      <c r="F111" s="27">
        <v>24</v>
      </c>
      <c r="G111" s="27">
        <v>177</v>
      </c>
      <c r="H111" s="27">
        <v>10450</v>
      </c>
      <c r="I111" s="27">
        <v>3668</v>
      </c>
      <c r="J111" s="27">
        <v>836</v>
      </c>
      <c r="K111" s="27">
        <v>282</v>
      </c>
      <c r="L111" s="27">
        <v>920</v>
      </c>
      <c r="M111" s="27">
        <v>430</v>
      </c>
      <c r="N111" s="33">
        <v>86.8</v>
      </c>
      <c r="O111" s="26" t="s">
        <v>140</v>
      </c>
      <c r="P111" s="27">
        <v>68.2</v>
      </c>
      <c r="Q111" s="27">
        <v>250</v>
      </c>
      <c r="R111" s="27">
        <v>260</v>
      </c>
      <c r="S111" s="27">
        <v>7.5</v>
      </c>
      <c r="T111" s="27">
        <v>12.5</v>
      </c>
      <c r="U111" s="27">
        <v>24</v>
      </c>
      <c r="V111" s="27">
        <v>177</v>
      </c>
      <c r="W111" s="27">
        <v>10.4</v>
      </c>
      <c r="X111" s="27">
        <v>23.6</v>
      </c>
      <c r="Y111" s="27">
        <v>10450</v>
      </c>
      <c r="Z111" s="27">
        <v>3668</v>
      </c>
      <c r="AA111" s="27">
        <v>11</v>
      </c>
      <c r="AB111" s="27">
        <v>6.5</v>
      </c>
      <c r="AC111" s="27">
        <v>836</v>
      </c>
      <c r="AD111" s="27">
        <v>282</v>
      </c>
      <c r="AE111" s="27">
        <v>920</v>
      </c>
      <c r="AF111" s="27">
        <v>430</v>
      </c>
      <c r="AG111" s="27">
        <v>0.84799999999999998</v>
      </c>
      <c r="AH111" s="27">
        <v>17</v>
      </c>
      <c r="AI111" s="27">
        <v>0.51700000000000002</v>
      </c>
      <c r="AJ111" s="27">
        <v>54.2</v>
      </c>
      <c r="AK111" s="33">
        <v>86.8</v>
      </c>
    </row>
    <row r="112" spans="1:37">
      <c r="A112" s="26" t="s">
        <v>141</v>
      </c>
      <c r="B112" s="27">
        <v>260</v>
      </c>
      <c r="C112" s="27">
        <v>260</v>
      </c>
      <c r="D112" s="27">
        <v>10</v>
      </c>
      <c r="E112" s="27">
        <v>17.5</v>
      </c>
      <c r="F112" s="27">
        <v>24</v>
      </c>
      <c r="G112" s="27">
        <v>177</v>
      </c>
      <c r="H112" s="27">
        <v>14920</v>
      </c>
      <c r="I112" s="27">
        <v>5135</v>
      </c>
      <c r="J112" s="27">
        <v>1148</v>
      </c>
      <c r="K112" s="27">
        <v>395</v>
      </c>
      <c r="L112" s="27">
        <v>1283</v>
      </c>
      <c r="M112" s="27">
        <v>602</v>
      </c>
      <c r="N112" s="33">
        <v>118</v>
      </c>
      <c r="O112" s="26" t="s">
        <v>141</v>
      </c>
      <c r="P112" s="27">
        <v>93</v>
      </c>
      <c r="Q112" s="27">
        <v>260</v>
      </c>
      <c r="R112" s="27">
        <v>260</v>
      </c>
      <c r="S112" s="27">
        <v>10</v>
      </c>
      <c r="T112" s="27">
        <v>17.5</v>
      </c>
      <c r="U112" s="27">
        <v>24</v>
      </c>
      <c r="V112" s="27">
        <v>177</v>
      </c>
      <c r="W112" s="27">
        <v>7.43</v>
      </c>
      <c r="X112" s="27">
        <v>17.7</v>
      </c>
      <c r="Y112" s="27">
        <v>14920</v>
      </c>
      <c r="Z112" s="27">
        <v>5135</v>
      </c>
      <c r="AA112" s="27">
        <v>11.2</v>
      </c>
      <c r="AB112" s="27">
        <v>6.58</v>
      </c>
      <c r="AC112" s="27">
        <v>1148</v>
      </c>
      <c r="AD112" s="27">
        <v>395</v>
      </c>
      <c r="AE112" s="27">
        <v>1283</v>
      </c>
      <c r="AF112" s="27">
        <v>602</v>
      </c>
      <c r="AG112" s="27">
        <v>0.85099999999999998</v>
      </c>
      <c r="AH112" s="27">
        <v>13.3</v>
      </c>
      <c r="AI112" s="27">
        <v>0.755</v>
      </c>
      <c r="AJ112" s="27">
        <v>127</v>
      </c>
      <c r="AK112" s="33">
        <v>118</v>
      </c>
    </row>
    <row r="113" spans="1:37">
      <c r="A113" s="24" t="s">
        <v>142</v>
      </c>
      <c r="B113" s="25">
        <v>290</v>
      </c>
      <c r="C113" s="25">
        <v>268</v>
      </c>
      <c r="D113" s="25">
        <v>18</v>
      </c>
      <c r="E113" s="25">
        <v>32.5</v>
      </c>
      <c r="F113" s="25">
        <v>24</v>
      </c>
      <c r="G113" s="25">
        <v>177</v>
      </c>
      <c r="H113" s="25">
        <v>31310</v>
      </c>
      <c r="I113" s="25">
        <v>10450</v>
      </c>
      <c r="J113" s="25">
        <v>2159</v>
      </c>
      <c r="K113" s="25">
        <v>780</v>
      </c>
      <c r="L113" s="25">
        <v>2524</v>
      </c>
      <c r="M113" s="25">
        <v>1192</v>
      </c>
      <c r="N113" s="32">
        <v>220</v>
      </c>
      <c r="O113" s="24" t="s">
        <v>142</v>
      </c>
      <c r="P113" s="25">
        <v>172.4</v>
      </c>
      <c r="Q113" s="25">
        <v>290</v>
      </c>
      <c r="R113" s="25">
        <v>268</v>
      </c>
      <c r="S113" s="25">
        <v>18</v>
      </c>
      <c r="T113" s="25">
        <v>32.5</v>
      </c>
      <c r="U113" s="25">
        <v>24</v>
      </c>
      <c r="V113" s="25">
        <v>177</v>
      </c>
      <c r="W113" s="25">
        <v>4.12</v>
      </c>
      <c r="X113" s="25">
        <v>9.83</v>
      </c>
      <c r="Y113" s="25">
        <v>31310</v>
      </c>
      <c r="Z113" s="25">
        <v>10450</v>
      </c>
      <c r="AA113" s="25">
        <v>11.9</v>
      </c>
      <c r="AB113" s="25">
        <v>6.9</v>
      </c>
      <c r="AC113" s="25">
        <v>2159</v>
      </c>
      <c r="AD113" s="25">
        <v>780</v>
      </c>
      <c r="AE113" s="25">
        <v>2524</v>
      </c>
      <c r="AF113" s="25">
        <v>1192</v>
      </c>
      <c r="AG113" s="25">
        <v>0.85299999999999998</v>
      </c>
      <c r="AH113" s="25">
        <v>8.0500000000000007</v>
      </c>
      <c r="AI113" s="25">
        <v>1.73</v>
      </c>
      <c r="AJ113" s="25">
        <v>720</v>
      </c>
      <c r="AK113" s="32">
        <v>220</v>
      </c>
    </row>
    <row r="114" spans="1:37">
      <c r="A114" s="26" t="s">
        <v>143</v>
      </c>
      <c r="B114" s="27">
        <v>264</v>
      </c>
      <c r="C114" s="27">
        <v>280</v>
      </c>
      <c r="D114" s="27">
        <v>7</v>
      </c>
      <c r="E114" s="27">
        <v>10</v>
      </c>
      <c r="F114" s="27">
        <v>24</v>
      </c>
      <c r="G114" s="27">
        <v>196</v>
      </c>
      <c r="H114" s="27">
        <v>10560</v>
      </c>
      <c r="I114" s="27">
        <v>3664</v>
      </c>
      <c r="J114" s="27">
        <v>800</v>
      </c>
      <c r="K114" s="27">
        <v>262</v>
      </c>
      <c r="L114" s="27">
        <v>873</v>
      </c>
      <c r="M114" s="27">
        <v>399</v>
      </c>
      <c r="N114" s="33">
        <v>78</v>
      </c>
      <c r="O114" s="26" t="s">
        <v>143</v>
      </c>
      <c r="P114" s="27">
        <v>61.2</v>
      </c>
      <c r="Q114" s="27">
        <v>264</v>
      </c>
      <c r="R114" s="27">
        <v>280</v>
      </c>
      <c r="S114" s="27">
        <v>7</v>
      </c>
      <c r="T114" s="27">
        <v>10</v>
      </c>
      <c r="U114" s="27">
        <v>24</v>
      </c>
      <c r="V114" s="27">
        <v>196</v>
      </c>
      <c r="W114" s="27">
        <v>14</v>
      </c>
      <c r="X114" s="27">
        <v>28</v>
      </c>
      <c r="Y114" s="27">
        <v>10560</v>
      </c>
      <c r="Z114" s="27">
        <v>3664</v>
      </c>
      <c r="AA114" s="27">
        <v>11.6</v>
      </c>
      <c r="AB114" s="27">
        <v>6.85</v>
      </c>
      <c r="AC114" s="27">
        <v>800</v>
      </c>
      <c r="AD114" s="27">
        <v>262</v>
      </c>
      <c r="AE114" s="27">
        <v>873</v>
      </c>
      <c r="AF114" s="27">
        <v>399</v>
      </c>
      <c r="AG114" s="27">
        <v>0.84399999999999997</v>
      </c>
      <c r="AH114" s="27">
        <v>21.3</v>
      </c>
      <c r="AI114" s="27">
        <v>0.59099999999999997</v>
      </c>
      <c r="AJ114" s="27">
        <v>35.5</v>
      </c>
      <c r="AK114" s="33">
        <v>78</v>
      </c>
    </row>
    <row r="115" spans="1:37">
      <c r="A115" s="26" t="s">
        <v>144</v>
      </c>
      <c r="B115" s="27">
        <v>270</v>
      </c>
      <c r="C115" s="27">
        <v>280</v>
      </c>
      <c r="D115" s="27">
        <v>8</v>
      </c>
      <c r="E115" s="27">
        <v>13</v>
      </c>
      <c r="F115" s="27">
        <v>24</v>
      </c>
      <c r="G115" s="27">
        <v>196</v>
      </c>
      <c r="H115" s="27">
        <v>13670</v>
      </c>
      <c r="I115" s="27">
        <v>4763</v>
      </c>
      <c r="J115" s="27">
        <v>1013</v>
      </c>
      <c r="K115" s="27">
        <v>340</v>
      </c>
      <c r="L115" s="27">
        <v>1112</v>
      </c>
      <c r="M115" s="27">
        <v>518</v>
      </c>
      <c r="N115" s="33">
        <v>97.3</v>
      </c>
      <c r="O115" s="26" t="s">
        <v>144</v>
      </c>
      <c r="P115" s="27">
        <v>76.400000000000006</v>
      </c>
      <c r="Q115" s="27">
        <v>270</v>
      </c>
      <c r="R115" s="27">
        <v>280</v>
      </c>
      <c r="S115" s="27">
        <v>8</v>
      </c>
      <c r="T115" s="27">
        <v>13</v>
      </c>
      <c r="U115" s="27">
        <v>24</v>
      </c>
      <c r="V115" s="27">
        <v>196</v>
      </c>
      <c r="W115" s="27">
        <v>10.8</v>
      </c>
      <c r="X115" s="27">
        <v>24.5</v>
      </c>
      <c r="Y115" s="27">
        <v>13670</v>
      </c>
      <c r="Z115" s="27">
        <v>4763</v>
      </c>
      <c r="AA115" s="27">
        <v>11.9</v>
      </c>
      <c r="AB115" s="27">
        <v>7</v>
      </c>
      <c r="AC115" s="27">
        <v>1013</v>
      </c>
      <c r="AD115" s="27">
        <v>340</v>
      </c>
      <c r="AE115" s="27">
        <v>1112</v>
      </c>
      <c r="AF115" s="27">
        <v>518</v>
      </c>
      <c r="AG115" s="27">
        <v>0.84799999999999998</v>
      </c>
      <c r="AH115" s="27">
        <v>18</v>
      </c>
      <c r="AI115" s="27">
        <v>0.78600000000000003</v>
      </c>
      <c r="AJ115" s="27">
        <v>63.5</v>
      </c>
      <c r="AK115" s="33">
        <v>97.3</v>
      </c>
    </row>
    <row r="116" spans="1:37">
      <c r="A116" s="26" t="s">
        <v>145</v>
      </c>
      <c r="B116" s="27">
        <v>280</v>
      </c>
      <c r="C116" s="27">
        <v>280</v>
      </c>
      <c r="D116" s="27">
        <v>10.5</v>
      </c>
      <c r="E116" s="27">
        <v>18</v>
      </c>
      <c r="F116" s="27">
        <v>24</v>
      </c>
      <c r="G116" s="27">
        <v>196</v>
      </c>
      <c r="H116" s="27">
        <v>19270</v>
      </c>
      <c r="I116" s="27">
        <v>6595</v>
      </c>
      <c r="J116" s="27">
        <v>1376</v>
      </c>
      <c r="K116" s="27">
        <v>471</v>
      </c>
      <c r="L116" s="27">
        <v>1534</v>
      </c>
      <c r="M116" s="27">
        <v>718</v>
      </c>
      <c r="N116" s="33">
        <v>131</v>
      </c>
      <c r="O116" s="26" t="s">
        <v>145</v>
      </c>
      <c r="P116" s="27">
        <v>103.1</v>
      </c>
      <c r="Q116" s="27">
        <v>280</v>
      </c>
      <c r="R116" s="27">
        <v>280</v>
      </c>
      <c r="S116" s="27">
        <v>10.5</v>
      </c>
      <c r="T116" s="27">
        <v>18</v>
      </c>
      <c r="U116" s="27">
        <v>24</v>
      </c>
      <c r="V116" s="27">
        <v>196</v>
      </c>
      <c r="W116" s="27">
        <v>7.78</v>
      </c>
      <c r="X116" s="27">
        <v>18.7</v>
      </c>
      <c r="Y116" s="27">
        <v>19270</v>
      </c>
      <c r="Z116" s="27">
        <v>6595</v>
      </c>
      <c r="AA116" s="27">
        <v>12.1</v>
      </c>
      <c r="AB116" s="27">
        <v>7.09</v>
      </c>
      <c r="AC116" s="27">
        <v>1376</v>
      </c>
      <c r="AD116" s="27">
        <v>471</v>
      </c>
      <c r="AE116" s="27">
        <v>1534</v>
      </c>
      <c r="AF116" s="27">
        <v>718</v>
      </c>
      <c r="AG116" s="27">
        <v>0.85</v>
      </c>
      <c r="AH116" s="27">
        <v>14.1</v>
      </c>
      <c r="AI116" s="27">
        <v>1.1299999999999999</v>
      </c>
      <c r="AJ116" s="27">
        <v>146</v>
      </c>
      <c r="AK116" s="33">
        <v>131</v>
      </c>
    </row>
    <row r="117" spans="1:37">
      <c r="A117" s="24" t="s">
        <v>146</v>
      </c>
      <c r="B117" s="25">
        <v>310</v>
      </c>
      <c r="C117" s="25">
        <v>288</v>
      </c>
      <c r="D117" s="25">
        <v>18.5</v>
      </c>
      <c r="E117" s="25">
        <v>33</v>
      </c>
      <c r="F117" s="25">
        <v>24</v>
      </c>
      <c r="G117" s="25">
        <v>196</v>
      </c>
      <c r="H117" s="25">
        <v>39550</v>
      </c>
      <c r="I117" s="25">
        <v>13160</v>
      </c>
      <c r="J117" s="25">
        <v>2551</v>
      </c>
      <c r="K117" s="25">
        <v>914</v>
      </c>
      <c r="L117" s="25">
        <v>2966</v>
      </c>
      <c r="M117" s="25">
        <v>1397</v>
      </c>
      <c r="N117" s="32">
        <v>240</v>
      </c>
      <c r="O117" s="24" t="s">
        <v>146</v>
      </c>
      <c r="P117" s="25">
        <v>188.5</v>
      </c>
      <c r="Q117" s="25">
        <v>310</v>
      </c>
      <c r="R117" s="25">
        <v>288</v>
      </c>
      <c r="S117" s="25">
        <v>18.5</v>
      </c>
      <c r="T117" s="25">
        <v>33</v>
      </c>
      <c r="U117" s="25">
        <v>24</v>
      </c>
      <c r="V117" s="25">
        <v>196</v>
      </c>
      <c r="W117" s="25">
        <v>4.3600000000000003</v>
      </c>
      <c r="X117" s="25">
        <v>10.6</v>
      </c>
      <c r="Y117" s="25">
        <v>39550</v>
      </c>
      <c r="Z117" s="25">
        <v>13160</v>
      </c>
      <c r="AA117" s="25">
        <v>12.8</v>
      </c>
      <c r="AB117" s="25">
        <v>7.4</v>
      </c>
      <c r="AC117" s="25">
        <v>2551</v>
      </c>
      <c r="AD117" s="25">
        <v>914</v>
      </c>
      <c r="AE117" s="25">
        <v>2966</v>
      </c>
      <c r="AF117" s="25">
        <v>1397</v>
      </c>
      <c r="AG117" s="25">
        <v>0.85299999999999998</v>
      </c>
      <c r="AH117" s="25">
        <v>8.5500000000000007</v>
      </c>
      <c r="AI117" s="25">
        <v>2.52</v>
      </c>
      <c r="AJ117" s="25">
        <v>807</v>
      </c>
      <c r="AK117" s="32">
        <v>240</v>
      </c>
    </row>
    <row r="118" spans="1:37">
      <c r="A118" s="26" t="s">
        <v>147</v>
      </c>
      <c r="B118" s="27">
        <v>283</v>
      </c>
      <c r="C118" s="27">
        <v>300</v>
      </c>
      <c r="D118" s="27">
        <v>7.5</v>
      </c>
      <c r="E118" s="27">
        <v>10.5</v>
      </c>
      <c r="F118" s="27">
        <v>27</v>
      </c>
      <c r="G118" s="27">
        <v>208</v>
      </c>
      <c r="H118" s="27">
        <v>13800</v>
      </c>
      <c r="I118" s="27">
        <v>4734</v>
      </c>
      <c r="J118" s="27">
        <v>976</v>
      </c>
      <c r="K118" s="27">
        <v>316</v>
      </c>
      <c r="L118" s="27">
        <v>1065</v>
      </c>
      <c r="M118" s="27">
        <v>482</v>
      </c>
      <c r="N118" s="33">
        <v>88.9</v>
      </c>
      <c r="O118" s="26" t="s">
        <v>147</v>
      </c>
      <c r="P118" s="27">
        <v>69.8</v>
      </c>
      <c r="Q118" s="27">
        <v>283</v>
      </c>
      <c r="R118" s="27">
        <v>300</v>
      </c>
      <c r="S118" s="27">
        <v>7.5</v>
      </c>
      <c r="T118" s="27">
        <v>10.5</v>
      </c>
      <c r="U118" s="27">
        <v>27</v>
      </c>
      <c r="V118" s="27">
        <v>208</v>
      </c>
      <c r="W118" s="27">
        <v>14.3</v>
      </c>
      <c r="X118" s="27">
        <v>27.7</v>
      </c>
      <c r="Y118" s="27">
        <v>13800</v>
      </c>
      <c r="Z118" s="27">
        <v>4734</v>
      </c>
      <c r="AA118" s="27">
        <v>12.5</v>
      </c>
      <c r="AB118" s="27">
        <v>7.3</v>
      </c>
      <c r="AC118" s="27">
        <v>976</v>
      </c>
      <c r="AD118" s="27">
        <v>316</v>
      </c>
      <c r="AE118" s="27">
        <v>1065</v>
      </c>
      <c r="AF118" s="27">
        <v>482</v>
      </c>
      <c r="AG118" s="27">
        <v>0.84399999999999997</v>
      </c>
      <c r="AH118" s="27">
        <v>21</v>
      </c>
      <c r="AI118" s="27">
        <v>0.879</v>
      </c>
      <c r="AJ118" s="27">
        <v>47.8</v>
      </c>
      <c r="AK118" s="33">
        <v>88.9</v>
      </c>
    </row>
    <row r="119" spans="1:37">
      <c r="A119" s="26" t="s">
        <v>148</v>
      </c>
      <c r="B119" s="27">
        <v>290</v>
      </c>
      <c r="C119" s="27">
        <v>300</v>
      </c>
      <c r="D119" s="27">
        <v>8.5</v>
      </c>
      <c r="E119" s="27">
        <v>14</v>
      </c>
      <c r="F119" s="27">
        <v>27</v>
      </c>
      <c r="G119" s="27">
        <v>208</v>
      </c>
      <c r="H119" s="27">
        <v>18260</v>
      </c>
      <c r="I119" s="27">
        <v>6310</v>
      </c>
      <c r="J119" s="27">
        <v>1260</v>
      </c>
      <c r="K119" s="27">
        <v>421</v>
      </c>
      <c r="L119" s="27">
        <v>1383</v>
      </c>
      <c r="M119" s="27">
        <v>641</v>
      </c>
      <c r="N119" s="33">
        <v>113</v>
      </c>
      <c r="O119" s="26" t="s">
        <v>148</v>
      </c>
      <c r="P119" s="27">
        <v>88.3</v>
      </c>
      <c r="Q119" s="27">
        <v>290</v>
      </c>
      <c r="R119" s="27">
        <v>300</v>
      </c>
      <c r="S119" s="27">
        <v>8.5</v>
      </c>
      <c r="T119" s="27">
        <v>14</v>
      </c>
      <c r="U119" s="27">
        <v>27</v>
      </c>
      <c r="V119" s="27">
        <v>208</v>
      </c>
      <c r="W119" s="27">
        <v>10.7</v>
      </c>
      <c r="X119" s="27">
        <v>24.5</v>
      </c>
      <c r="Y119" s="27">
        <v>18260</v>
      </c>
      <c r="Z119" s="27">
        <v>6310</v>
      </c>
      <c r="AA119" s="27">
        <v>12.7</v>
      </c>
      <c r="AB119" s="27">
        <v>7.49</v>
      </c>
      <c r="AC119" s="27">
        <v>1260</v>
      </c>
      <c r="AD119" s="27">
        <v>421</v>
      </c>
      <c r="AE119" s="27">
        <v>1383</v>
      </c>
      <c r="AF119" s="27">
        <v>641</v>
      </c>
      <c r="AG119" s="27">
        <v>0.84899999999999998</v>
      </c>
      <c r="AH119" s="27">
        <v>17.7</v>
      </c>
      <c r="AI119" s="27">
        <v>1.2</v>
      </c>
      <c r="AJ119" s="27">
        <v>87.8</v>
      </c>
      <c r="AK119" s="33">
        <v>113</v>
      </c>
    </row>
    <row r="120" spans="1:37">
      <c r="A120" s="26" t="s">
        <v>149</v>
      </c>
      <c r="B120" s="27">
        <v>300</v>
      </c>
      <c r="C120" s="27">
        <v>300</v>
      </c>
      <c r="D120" s="27">
        <v>11</v>
      </c>
      <c r="E120" s="27">
        <v>19</v>
      </c>
      <c r="F120" s="27">
        <v>27</v>
      </c>
      <c r="G120" s="27">
        <v>208</v>
      </c>
      <c r="H120" s="27">
        <v>25170</v>
      </c>
      <c r="I120" s="27">
        <v>8563</v>
      </c>
      <c r="J120" s="27">
        <v>1678</v>
      </c>
      <c r="K120" s="27">
        <v>571</v>
      </c>
      <c r="L120" s="27">
        <v>1869</v>
      </c>
      <c r="M120" s="27">
        <v>870</v>
      </c>
      <c r="N120" s="33">
        <v>149</v>
      </c>
      <c r="O120" s="26" t="s">
        <v>149</v>
      </c>
      <c r="P120" s="27">
        <v>117</v>
      </c>
      <c r="Q120" s="27">
        <v>300</v>
      </c>
      <c r="R120" s="27">
        <v>300</v>
      </c>
      <c r="S120" s="27">
        <v>11</v>
      </c>
      <c r="T120" s="27">
        <v>19</v>
      </c>
      <c r="U120" s="27">
        <v>27</v>
      </c>
      <c r="V120" s="27">
        <v>208</v>
      </c>
      <c r="W120" s="27">
        <v>7.89</v>
      </c>
      <c r="X120" s="27">
        <v>18.899999999999999</v>
      </c>
      <c r="Y120" s="27">
        <v>25170</v>
      </c>
      <c r="Z120" s="27">
        <v>8563</v>
      </c>
      <c r="AA120" s="27">
        <v>13</v>
      </c>
      <c r="AB120" s="27">
        <v>7.58</v>
      </c>
      <c r="AC120" s="27">
        <v>1678</v>
      </c>
      <c r="AD120" s="27">
        <v>571</v>
      </c>
      <c r="AE120" s="27">
        <v>1869</v>
      </c>
      <c r="AF120" s="27">
        <v>870</v>
      </c>
      <c r="AG120" s="27">
        <v>0.85099999999999998</v>
      </c>
      <c r="AH120" s="27">
        <v>14.1</v>
      </c>
      <c r="AI120" s="27">
        <v>1.69</v>
      </c>
      <c r="AJ120" s="27">
        <v>189</v>
      </c>
      <c r="AK120" s="33">
        <v>149</v>
      </c>
    </row>
    <row r="121" spans="1:37">
      <c r="A121" s="26" t="s">
        <v>150</v>
      </c>
      <c r="B121" s="27">
        <v>320</v>
      </c>
      <c r="C121" s="27">
        <v>305</v>
      </c>
      <c r="D121" s="27">
        <v>16</v>
      </c>
      <c r="E121" s="27">
        <v>29</v>
      </c>
      <c r="F121" s="27">
        <v>27</v>
      </c>
      <c r="G121" s="27">
        <v>208</v>
      </c>
      <c r="H121" s="27">
        <v>40950</v>
      </c>
      <c r="I121" s="27">
        <v>13740</v>
      </c>
      <c r="J121" s="27">
        <v>2559</v>
      </c>
      <c r="K121" s="27">
        <v>901</v>
      </c>
      <c r="L121" s="27">
        <v>2927</v>
      </c>
      <c r="M121" s="27">
        <v>1374</v>
      </c>
      <c r="N121" s="33">
        <v>225</v>
      </c>
      <c r="O121" s="26" t="s">
        <v>150</v>
      </c>
      <c r="P121" s="27">
        <v>176.7</v>
      </c>
      <c r="Q121" s="27">
        <v>320</v>
      </c>
      <c r="R121" s="27">
        <v>305</v>
      </c>
      <c r="S121" s="27">
        <v>16</v>
      </c>
      <c r="T121" s="27">
        <v>29</v>
      </c>
      <c r="U121" s="27">
        <v>27</v>
      </c>
      <c r="V121" s="27">
        <v>208</v>
      </c>
      <c r="W121" s="27">
        <v>5.26</v>
      </c>
      <c r="X121" s="27">
        <v>13</v>
      </c>
      <c r="Y121" s="27">
        <v>40950</v>
      </c>
      <c r="Z121" s="27">
        <v>13740</v>
      </c>
      <c r="AA121" s="27">
        <v>13.5</v>
      </c>
      <c r="AB121" s="27">
        <v>7.81</v>
      </c>
      <c r="AC121" s="27">
        <v>2559</v>
      </c>
      <c r="AD121" s="27">
        <v>901</v>
      </c>
      <c r="AE121" s="27">
        <v>2927</v>
      </c>
      <c r="AF121" s="27">
        <v>1374</v>
      </c>
      <c r="AG121" s="27">
        <v>0.85399999999999998</v>
      </c>
      <c r="AH121" s="27">
        <v>10.1</v>
      </c>
      <c r="AI121" s="27">
        <v>2.91</v>
      </c>
      <c r="AJ121" s="27">
        <v>604</v>
      </c>
      <c r="AK121" s="33">
        <v>225</v>
      </c>
    </row>
    <row r="122" spans="1:37">
      <c r="A122" s="24" t="s">
        <v>151</v>
      </c>
      <c r="B122" s="25">
        <v>340</v>
      </c>
      <c r="C122" s="25">
        <v>310</v>
      </c>
      <c r="D122" s="25">
        <v>21</v>
      </c>
      <c r="E122" s="25">
        <v>39</v>
      </c>
      <c r="F122" s="25">
        <v>27</v>
      </c>
      <c r="G122" s="25">
        <v>208</v>
      </c>
      <c r="H122" s="25">
        <v>59200</v>
      </c>
      <c r="I122" s="25">
        <v>19400</v>
      </c>
      <c r="J122" s="25">
        <v>3482</v>
      </c>
      <c r="K122" s="25">
        <v>1252</v>
      </c>
      <c r="L122" s="25">
        <v>4078</v>
      </c>
      <c r="M122" s="25">
        <v>1913</v>
      </c>
      <c r="N122" s="32">
        <v>303</v>
      </c>
      <c r="O122" s="24" t="s">
        <v>151</v>
      </c>
      <c r="P122" s="25">
        <v>237.9</v>
      </c>
      <c r="Q122" s="25">
        <v>340</v>
      </c>
      <c r="R122" s="25">
        <v>310</v>
      </c>
      <c r="S122" s="25">
        <v>21</v>
      </c>
      <c r="T122" s="25">
        <v>39</v>
      </c>
      <c r="U122" s="25">
        <v>27</v>
      </c>
      <c r="V122" s="25">
        <v>208</v>
      </c>
      <c r="W122" s="25">
        <v>3.97</v>
      </c>
      <c r="X122" s="25">
        <v>9.9</v>
      </c>
      <c r="Y122" s="25">
        <v>59200</v>
      </c>
      <c r="Z122" s="25">
        <v>19400</v>
      </c>
      <c r="AA122" s="25">
        <v>14</v>
      </c>
      <c r="AB122" s="25">
        <v>8</v>
      </c>
      <c r="AC122" s="25">
        <v>3482</v>
      </c>
      <c r="AD122" s="25">
        <v>1252</v>
      </c>
      <c r="AE122" s="25">
        <v>4078</v>
      </c>
      <c r="AF122" s="25">
        <v>1913</v>
      </c>
      <c r="AG122" s="25">
        <v>0.85599999999999998</v>
      </c>
      <c r="AH122" s="25">
        <v>7.9</v>
      </c>
      <c r="AI122" s="25">
        <v>4.3899999999999997</v>
      </c>
      <c r="AJ122" s="25">
        <v>1411</v>
      </c>
      <c r="AK122" s="32">
        <v>303</v>
      </c>
    </row>
    <row r="123" spans="1:37">
      <c r="A123" s="26" t="s">
        <v>152</v>
      </c>
      <c r="B123" s="27">
        <v>301</v>
      </c>
      <c r="C123" s="27">
        <v>300</v>
      </c>
      <c r="D123" s="27">
        <v>8</v>
      </c>
      <c r="E123" s="27">
        <v>11</v>
      </c>
      <c r="F123" s="27">
        <v>27</v>
      </c>
      <c r="G123" s="27">
        <v>225</v>
      </c>
      <c r="H123" s="27">
        <v>16450</v>
      </c>
      <c r="I123" s="27">
        <v>4959</v>
      </c>
      <c r="J123" s="27">
        <v>1093</v>
      </c>
      <c r="K123" s="27">
        <v>331</v>
      </c>
      <c r="L123" s="27">
        <v>1196</v>
      </c>
      <c r="M123" s="27">
        <v>506</v>
      </c>
      <c r="N123" s="33">
        <v>94.6</v>
      </c>
      <c r="O123" s="26" t="s">
        <v>152</v>
      </c>
      <c r="P123" s="27">
        <v>74.2</v>
      </c>
      <c r="Q123" s="27">
        <v>301</v>
      </c>
      <c r="R123" s="27">
        <v>300</v>
      </c>
      <c r="S123" s="27">
        <v>8</v>
      </c>
      <c r="T123" s="27">
        <v>11</v>
      </c>
      <c r="U123" s="27">
        <v>27</v>
      </c>
      <c r="V123" s="27">
        <v>225</v>
      </c>
      <c r="W123" s="27">
        <v>13.6</v>
      </c>
      <c r="X123" s="27">
        <v>28.1</v>
      </c>
      <c r="Y123" s="27">
        <v>16450</v>
      </c>
      <c r="Z123" s="27">
        <v>4959</v>
      </c>
      <c r="AA123" s="27">
        <v>13.2</v>
      </c>
      <c r="AB123" s="27">
        <v>7.24</v>
      </c>
      <c r="AC123" s="27">
        <v>1093</v>
      </c>
      <c r="AD123" s="27">
        <v>331</v>
      </c>
      <c r="AE123" s="27">
        <v>1196</v>
      </c>
      <c r="AF123" s="27">
        <v>506</v>
      </c>
      <c r="AG123" s="27">
        <v>0.85399999999999998</v>
      </c>
      <c r="AH123" s="27">
        <v>21.8</v>
      </c>
      <c r="AI123" s="27">
        <v>1.04</v>
      </c>
      <c r="AJ123" s="27">
        <v>53.6</v>
      </c>
      <c r="AK123" s="33">
        <v>94.6</v>
      </c>
    </row>
    <row r="124" spans="1:37">
      <c r="A124" s="26" t="s">
        <v>153</v>
      </c>
      <c r="B124" s="27">
        <v>310</v>
      </c>
      <c r="C124" s="27">
        <v>300</v>
      </c>
      <c r="D124" s="27">
        <v>9</v>
      </c>
      <c r="E124" s="27">
        <v>15.5</v>
      </c>
      <c r="F124" s="27">
        <v>27</v>
      </c>
      <c r="G124" s="27">
        <v>225</v>
      </c>
      <c r="H124" s="27">
        <v>22930</v>
      </c>
      <c r="I124" s="27">
        <v>6985</v>
      </c>
      <c r="J124" s="27">
        <v>1479</v>
      </c>
      <c r="K124" s="27">
        <v>466</v>
      </c>
      <c r="L124" s="27">
        <v>1628</v>
      </c>
      <c r="M124" s="27">
        <v>710</v>
      </c>
      <c r="N124" s="33">
        <v>124</v>
      </c>
      <c r="O124" s="26" t="s">
        <v>153</v>
      </c>
      <c r="P124" s="27">
        <v>97.6</v>
      </c>
      <c r="Q124" s="27">
        <v>310</v>
      </c>
      <c r="R124" s="27">
        <v>300</v>
      </c>
      <c r="S124" s="27">
        <v>9</v>
      </c>
      <c r="T124" s="27">
        <v>15.5</v>
      </c>
      <c r="U124" s="27">
        <v>27</v>
      </c>
      <c r="V124" s="27">
        <v>225</v>
      </c>
      <c r="W124" s="27">
        <v>9.68</v>
      </c>
      <c r="X124" s="27">
        <v>25</v>
      </c>
      <c r="Y124" s="27">
        <v>22930</v>
      </c>
      <c r="Z124" s="27">
        <v>6985</v>
      </c>
      <c r="AA124" s="27">
        <v>13.6</v>
      </c>
      <c r="AB124" s="27">
        <v>7.49</v>
      </c>
      <c r="AC124" s="27">
        <v>1479</v>
      </c>
      <c r="AD124" s="27">
        <v>466</v>
      </c>
      <c r="AE124" s="27">
        <v>1628</v>
      </c>
      <c r="AF124" s="27">
        <v>710</v>
      </c>
      <c r="AG124" s="27">
        <v>0.86099999999999999</v>
      </c>
      <c r="AH124" s="27">
        <v>17.600000000000001</v>
      </c>
      <c r="AI124" s="27">
        <v>1.51</v>
      </c>
      <c r="AJ124" s="27">
        <v>112</v>
      </c>
      <c r="AK124" s="33">
        <v>124</v>
      </c>
    </row>
    <row r="125" spans="1:37">
      <c r="A125" s="26" t="s">
        <v>154</v>
      </c>
      <c r="B125" s="27">
        <v>320</v>
      </c>
      <c r="C125" s="27">
        <v>300</v>
      </c>
      <c r="D125" s="27">
        <v>11.5</v>
      </c>
      <c r="E125" s="27">
        <v>20.5</v>
      </c>
      <c r="F125" s="27">
        <v>27</v>
      </c>
      <c r="G125" s="27">
        <v>225</v>
      </c>
      <c r="H125" s="27">
        <v>30820</v>
      </c>
      <c r="I125" s="27">
        <v>9239</v>
      </c>
      <c r="J125" s="27">
        <v>1926</v>
      </c>
      <c r="K125" s="27">
        <v>616</v>
      </c>
      <c r="L125" s="27">
        <v>2149</v>
      </c>
      <c r="M125" s="27">
        <v>939</v>
      </c>
      <c r="N125" s="33">
        <v>161</v>
      </c>
      <c r="O125" s="26" t="s">
        <v>154</v>
      </c>
      <c r="P125" s="27">
        <v>126.7</v>
      </c>
      <c r="Q125" s="27">
        <v>320</v>
      </c>
      <c r="R125" s="27">
        <v>300</v>
      </c>
      <c r="S125" s="27">
        <v>11.5</v>
      </c>
      <c r="T125" s="27">
        <v>20.5</v>
      </c>
      <c r="U125" s="27">
        <v>27</v>
      </c>
      <c r="V125" s="27">
        <v>225</v>
      </c>
      <c r="W125" s="27">
        <v>7.32</v>
      </c>
      <c r="X125" s="27">
        <v>19.600000000000001</v>
      </c>
      <c r="Y125" s="27">
        <v>30820</v>
      </c>
      <c r="Z125" s="27">
        <v>9239</v>
      </c>
      <c r="AA125" s="27">
        <v>13.8</v>
      </c>
      <c r="AB125" s="27">
        <v>7.57</v>
      </c>
      <c r="AC125" s="27">
        <v>1926</v>
      </c>
      <c r="AD125" s="27">
        <v>616</v>
      </c>
      <c r="AE125" s="27">
        <v>2149</v>
      </c>
      <c r="AF125" s="27">
        <v>939</v>
      </c>
      <c r="AG125" s="27">
        <v>0.86299999999999999</v>
      </c>
      <c r="AH125" s="27">
        <v>14.2</v>
      </c>
      <c r="AI125" s="27">
        <v>2.0699999999999998</v>
      </c>
      <c r="AJ125" s="27">
        <v>230</v>
      </c>
      <c r="AK125" s="33">
        <v>161</v>
      </c>
    </row>
    <row r="126" spans="1:37">
      <c r="A126" s="24" t="s">
        <v>155</v>
      </c>
      <c r="B126" s="25">
        <v>359</v>
      </c>
      <c r="C126" s="25">
        <v>309</v>
      </c>
      <c r="D126" s="25">
        <v>21</v>
      </c>
      <c r="E126" s="25">
        <v>40</v>
      </c>
      <c r="F126" s="25">
        <v>27</v>
      </c>
      <c r="G126" s="25">
        <v>225</v>
      </c>
      <c r="H126" s="25">
        <v>68130</v>
      </c>
      <c r="I126" s="25">
        <v>19710</v>
      </c>
      <c r="J126" s="25">
        <v>3796</v>
      </c>
      <c r="K126" s="25">
        <v>1276</v>
      </c>
      <c r="L126" s="25">
        <v>4435</v>
      </c>
      <c r="M126" s="25">
        <v>1951</v>
      </c>
      <c r="N126" s="32">
        <v>312</v>
      </c>
      <c r="O126" s="24" t="s">
        <v>155</v>
      </c>
      <c r="P126" s="25">
        <v>245</v>
      </c>
      <c r="Q126" s="25">
        <v>359</v>
      </c>
      <c r="R126" s="25">
        <v>309</v>
      </c>
      <c r="S126" s="25">
        <v>21</v>
      </c>
      <c r="T126" s="25">
        <v>40</v>
      </c>
      <c r="U126" s="25">
        <v>27</v>
      </c>
      <c r="V126" s="25">
        <v>225</v>
      </c>
      <c r="W126" s="25">
        <v>3.86</v>
      </c>
      <c r="X126" s="25">
        <v>10.7</v>
      </c>
      <c r="Y126" s="25">
        <v>68130</v>
      </c>
      <c r="Z126" s="25">
        <v>19710</v>
      </c>
      <c r="AA126" s="25">
        <v>14.8</v>
      </c>
      <c r="AB126" s="25">
        <v>7.95</v>
      </c>
      <c r="AC126" s="25">
        <v>3796</v>
      </c>
      <c r="AD126" s="25">
        <v>1276</v>
      </c>
      <c r="AE126" s="25">
        <v>4435</v>
      </c>
      <c r="AF126" s="25">
        <v>1951</v>
      </c>
      <c r="AG126" s="25">
        <v>0.86699999999999999</v>
      </c>
      <c r="AH126" s="25">
        <v>8.2200000000000006</v>
      </c>
      <c r="AI126" s="25">
        <v>5.01</v>
      </c>
      <c r="AJ126" s="25">
        <v>1506</v>
      </c>
      <c r="AK126" s="32">
        <v>312</v>
      </c>
    </row>
    <row r="127" spans="1:37">
      <c r="A127" s="26" t="s">
        <v>156</v>
      </c>
      <c r="B127" s="27">
        <v>320</v>
      </c>
      <c r="C127" s="27">
        <v>300</v>
      </c>
      <c r="D127" s="27">
        <v>8.5</v>
      </c>
      <c r="E127" s="27">
        <v>11.5</v>
      </c>
      <c r="F127" s="27">
        <v>27</v>
      </c>
      <c r="G127" s="27">
        <v>243</v>
      </c>
      <c r="H127" s="27">
        <v>19550</v>
      </c>
      <c r="I127" s="27">
        <v>5185</v>
      </c>
      <c r="J127" s="27">
        <v>1222</v>
      </c>
      <c r="K127" s="27">
        <v>346</v>
      </c>
      <c r="L127" s="27">
        <v>1341</v>
      </c>
      <c r="M127" s="27">
        <v>529</v>
      </c>
      <c r="N127" s="33">
        <v>101</v>
      </c>
      <c r="O127" s="26" t="s">
        <v>156</v>
      </c>
      <c r="P127" s="27">
        <v>78.900000000000006</v>
      </c>
      <c r="Q127" s="27">
        <v>320</v>
      </c>
      <c r="R127" s="27">
        <v>300</v>
      </c>
      <c r="S127" s="27">
        <v>8.5</v>
      </c>
      <c r="T127" s="27">
        <v>11.5</v>
      </c>
      <c r="U127" s="27">
        <v>27</v>
      </c>
      <c r="V127" s="27">
        <v>243</v>
      </c>
      <c r="W127" s="27">
        <v>13</v>
      </c>
      <c r="X127" s="27">
        <v>28.6</v>
      </c>
      <c r="Y127" s="27">
        <v>19550</v>
      </c>
      <c r="Z127" s="27">
        <v>5185</v>
      </c>
      <c r="AA127" s="27">
        <v>13.9</v>
      </c>
      <c r="AB127" s="27">
        <v>7.18</v>
      </c>
      <c r="AC127" s="27">
        <v>1222</v>
      </c>
      <c r="AD127" s="27">
        <v>346</v>
      </c>
      <c r="AE127" s="27">
        <v>1341</v>
      </c>
      <c r="AF127" s="27">
        <v>529</v>
      </c>
      <c r="AG127" s="27">
        <v>0.86099999999999999</v>
      </c>
      <c r="AH127" s="27">
        <v>22.6</v>
      </c>
      <c r="AI127" s="27">
        <v>1.23</v>
      </c>
      <c r="AJ127" s="27">
        <v>60</v>
      </c>
      <c r="AK127" s="33">
        <v>101</v>
      </c>
    </row>
    <row r="128" spans="1:37">
      <c r="A128" s="26" t="s">
        <v>157</v>
      </c>
      <c r="B128" s="27">
        <v>330</v>
      </c>
      <c r="C128" s="27">
        <v>300</v>
      </c>
      <c r="D128" s="27">
        <v>9.5</v>
      </c>
      <c r="E128" s="27">
        <v>16.5</v>
      </c>
      <c r="F128" s="27">
        <v>27</v>
      </c>
      <c r="G128" s="27">
        <v>243</v>
      </c>
      <c r="H128" s="27">
        <v>27690</v>
      </c>
      <c r="I128" s="27">
        <v>7436</v>
      </c>
      <c r="J128" s="27">
        <v>1678</v>
      </c>
      <c r="K128" s="27">
        <v>496</v>
      </c>
      <c r="L128" s="27">
        <v>1850</v>
      </c>
      <c r="M128" s="27">
        <v>756</v>
      </c>
      <c r="N128" s="33">
        <v>133</v>
      </c>
      <c r="O128" s="26" t="s">
        <v>157</v>
      </c>
      <c r="P128" s="27">
        <v>104.8</v>
      </c>
      <c r="Q128" s="27">
        <v>330</v>
      </c>
      <c r="R128" s="27">
        <v>300</v>
      </c>
      <c r="S128" s="27">
        <v>9.5</v>
      </c>
      <c r="T128" s="27">
        <v>16.5</v>
      </c>
      <c r="U128" s="27">
        <v>27</v>
      </c>
      <c r="V128" s="27">
        <v>243</v>
      </c>
      <c r="W128" s="27">
        <v>9.09</v>
      </c>
      <c r="X128" s="27">
        <v>25.6</v>
      </c>
      <c r="Y128" s="27">
        <v>27690</v>
      </c>
      <c r="Z128" s="27">
        <v>7436</v>
      </c>
      <c r="AA128" s="27">
        <v>14.4</v>
      </c>
      <c r="AB128" s="27">
        <v>7.46</v>
      </c>
      <c r="AC128" s="27">
        <v>1678</v>
      </c>
      <c r="AD128" s="27">
        <v>496</v>
      </c>
      <c r="AE128" s="27">
        <v>1850</v>
      </c>
      <c r="AF128" s="27">
        <v>756</v>
      </c>
      <c r="AG128" s="27">
        <v>0.87</v>
      </c>
      <c r="AH128" s="27">
        <v>17.899999999999999</v>
      </c>
      <c r="AI128" s="27">
        <v>1.83</v>
      </c>
      <c r="AJ128" s="27">
        <v>131</v>
      </c>
      <c r="AK128" s="33">
        <v>133</v>
      </c>
    </row>
    <row r="129" spans="1:37">
      <c r="A129" s="26" t="s">
        <v>158</v>
      </c>
      <c r="B129" s="27">
        <v>340</v>
      </c>
      <c r="C129" s="27">
        <v>300</v>
      </c>
      <c r="D129" s="27">
        <v>12</v>
      </c>
      <c r="E129" s="27">
        <v>21.5</v>
      </c>
      <c r="F129" s="27">
        <v>27</v>
      </c>
      <c r="G129" s="27">
        <v>243</v>
      </c>
      <c r="H129" s="27">
        <v>36660</v>
      </c>
      <c r="I129" s="27">
        <v>9690</v>
      </c>
      <c r="J129" s="27">
        <v>2156</v>
      </c>
      <c r="K129" s="27">
        <v>646</v>
      </c>
      <c r="L129" s="27">
        <v>2408</v>
      </c>
      <c r="M129" s="27">
        <v>986</v>
      </c>
      <c r="N129" s="33">
        <v>171</v>
      </c>
      <c r="O129" s="26" t="s">
        <v>158</v>
      </c>
      <c r="P129" s="27">
        <v>134.19999999999999</v>
      </c>
      <c r="Q129" s="27">
        <v>340</v>
      </c>
      <c r="R129" s="27">
        <v>300</v>
      </c>
      <c r="S129" s="27">
        <v>12</v>
      </c>
      <c r="T129" s="27">
        <v>21.5</v>
      </c>
      <c r="U129" s="27">
        <v>27</v>
      </c>
      <c r="V129" s="27">
        <v>243</v>
      </c>
      <c r="W129" s="27">
        <v>6.98</v>
      </c>
      <c r="X129" s="27">
        <v>20.3</v>
      </c>
      <c r="Y129" s="27">
        <v>36660</v>
      </c>
      <c r="Z129" s="27">
        <v>9690</v>
      </c>
      <c r="AA129" s="27">
        <v>14.6</v>
      </c>
      <c r="AB129" s="27">
        <v>7.53</v>
      </c>
      <c r="AC129" s="27">
        <v>2156</v>
      </c>
      <c r="AD129" s="27">
        <v>646</v>
      </c>
      <c r="AE129" s="27">
        <v>2408</v>
      </c>
      <c r="AF129" s="27">
        <v>986</v>
      </c>
      <c r="AG129" s="27">
        <v>0.871</v>
      </c>
      <c r="AH129" s="27">
        <v>14.5</v>
      </c>
      <c r="AI129" s="27">
        <v>2.46</v>
      </c>
      <c r="AJ129" s="27">
        <v>263</v>
      </c>
      <c r="AK129" s="33">
        <v>171</v>
      </c>
    </row>
    <row r="130" spans="1:37">
      <c r="A130" s="24" t="s">
        <v>159</v>
      </c>
      <c r="B130" s="25">
        <v>377</v>
      </c>
      <c r="C130" s="25">
        <v>309</v>
      </c>
      <c r="D130" s="25">
        <v>21</v>
      </c>
      <c r="E130" s="25">
        <v>40</v>
      </c>
      <c r="F130" s="25">
        <v>27</v>
      </c>
      <c r="G130" s="25">
        <v>243</v>
      </c>
      <c r="H130" s="25">
        <v>76370</v>
      </c>
      <c r="I130" s="25">
        <v>19710</v>
      </c>
      <c r="J130" s="25">
        <v>4052</v>
      </c>
      <c r="K130" s="25">
        <v>1276</v>
      </c>
      <c r="L130" s="25">
        <v>4718</v>
      </c>
      <c r="M130" s="25">
        <v>1953</v>
      </c>
      <c r="N130" s="32">
        <v>316</v>
      </c>
      <c r="O130" s="24" t="s">
        <v>159</v>
      </c>
      <c r="P130" s="25">
        <v>247.9</v>
      </c>
      <c r="Q130" s="25">
        <v>377</v>
      </c>
      <c r="R130" s="25">
        <v>309</v>
      </c>
      <c r="S130" s="25">
        <v>21</v>
      </c>
      <c r="T130" s="25">
        <v>40</v>
      </c>
      <c r="U130" s="25">
        <v>27</v>
      </c>
      <c r="V130" s="25">
        <v>243</v>
      </c>
      <c r="W130" s="25">
        <v>3.86</v>
      </c>
      <c r="X130" s="25">
        <v>11.6</v>
      </c>
      <c r="Y130" s="25">
        <v>76370</v>
      </c>
      <c r="Z130" s="25">
        <v>19710</v>
      </c>
      <c r="AA130" s="25">
        <v>15.6</v>
      </c>
      <c r="AB130" s="25">
        <v>7.9</v>
      </c>
      <c r="AC130" s="25">
        <v>4052</v>
      </c>
      <c r="AD130" s="25">
        <v>1276</v>
      </c>
      <c r="AE130" s="25">
        <v>4718</v>
      </c>
      <c r="AF130" s="25">
        <v>1953</v>
      </c>
      <c r="AG130" s="25">
        <v>0.874</v>
      </c>
      <c r="AH130" s="25">
        <v>8.7200000000000006</v>
      </c>
      <c r="AI130" s="25">
        <v>5.6</v>
      </c>
      <c r="AJ130" s="25">
        <v>1512</v>
      </c>
      <c r="AK130" s="32">
        <v>316</v>
      </c>
    </row>
    <row r="131" spans="1:37">
      <c r="A131" s="26" t="s">
        <v>160</v>
      </c>
      <c r="B131" s="27">
        <v>339</v>
      </c>
      <c r="C131" s="27">
        <v>300</v>
      </c>
      <c r="D131" s="27">
        <v>9</v>
      </c>
      <c r="E131" s="27">
        <v>12</v>
      </c>
      <c r="F131" s="27">
        <v>27</v>
      </c>
      <c r="G131" s="27">
        <v>261</v>
      </c>
      <c r="H131" s="27">
        <v>23040</v>
      </c>
      <c r="I131" s="27">
        <v>5410</v>
      </c>
      <c r="J131" s="27">
        <v>1359</v>
      </c>
      <c r="K131" s="27">
        <v>361</v>
      </c>
      <c r="L131" s="27">
        <v>1495</v>
      </c>
      <c r="M131" s="27">
        <v>553</v>
      </c>
      <c r="N131" s="33">
        <v>107</v>
      </c>
      <c r="O131" s="26" t="s">
        <v>160</v>
      </c>
      <c r="P131" s="27">
        <v>83.7</v>
      </c>
      <c r="Q131" s="27">
        <v>339</v>
      </c>
      <c r="R131" s="27">
        <v>300</v>
      </c>
      <c r="S131" s="27">
        <v>9</v>
      </c>
      <c r="T131" s="27">
        <v>12</v>
      </c>
      <c r="U131" s="27">
        <v>27</v>
      </c>
      <c r="V131" s="27">
        <v>261</v>
      </c>
      <c r="W131" s="27">
        <v>12.5</v>
      </c>
      <c r="X131" s="27">
        <v>29</v>
      </c>
      <c r="Y131" s="27">
        <v>23040</v>
      </c>
      <c r="Z131" s="27">
        <v>5410</v>
      </c>
      <c r="AA131" s="27">
        <v>14.7</v>
      </c>
      <c r="AB131" s="27">
        <v>7.12</v>
      </c>
      <c r="AC131" s="27">
        <v>1359</v>
      </c>
      <c r="AD131" s="27">
        <v>361</v>
      </c>
      <c r="AE131" s="27">
        <v>1495</v>
      </c>
      <c r="AF131" s="27">
        <v>553</v>
      </c>
      <c r="AG131" s="27">
        <v>0.86599999999999999</v>
      </c>
      <c r="AH131" s="27">
        <v>23.3</v>
      </c>
      <c r="AI131" s="27">
        <v>1.45</v>
      </c>
      <c r="AJ131" s="27">
        <v>67.099999999999994</v>
      </c>
      <c r="AK131" s="33">
        <v>107</v>
      </c>
    </row>
    <row r="132" spans="1:37">
      <c r="A132" s="26" t="s">
        <v>161</v>
      </c>
      <c r="B132" s="27">
        <v>350</v>
      </c>
      <c r="C132" s="27">
        <v>300</v>
      </c>
      <c r="D132" s="27">
        <v>10</v>
      </c>
      <c r="E132" s="27">
        <v>17.5</v>
      </c>
      <c r="F132" s="27">
        <v>27</v>
      </c>
      <c r="G132" s="27">
        <v>261</v>
      </c>
      <c r="H132" s="27">
        <v>33090</v>
      </c>
      <c r="I132" s="27">
        <v>7887</v>
      </c>
      <c r="J132" s="27">
        <v>1891</v>
      </c>
      <c r="K132" s="27">
        <v>526</v>
      </c>
      <c r="L132" s="27">
        <v>2088</v>
      </c>
      <c r="M132" s="27">
        <v>802</v>
      </c>
      <c r="N132" s="33">
        <v>143</v>
      </c>
      <c r="O132" s="26" t="s">
        <v>161</v>
      </c>
      <c r="P132" s="27">
        <v>112.1</v>
      </c>
      <c r="Q132" s="27">
        <v>350</v>
      </c>
      <c r="R132" s="27">
        <v>300</v>
      </c>
      <c r="S132" s="27">
        <v>10</v>
      </c>
      <c r="T132" s="27">
        <v>17.5</v>
      </c>
      <c r="U132" s="27">
        <v>27</v>
      </c>
      <c r="V132" s="27">
        <v>261</v>
      </c>
      <c r="W132" s="27">
        <v>8.57</v>
      </c>
      <c r="X132" s="27">
        <v>26.1</v>
      </c>
      <c r="Y132" s="27">
        <v>33090</v>
      </c>
      <c r="Z132" s="27">
        <v>7887</v>
      </c>
      <c r="AA132" s="27">
        <v>15.2</v>
      </c>
      <c r="AB132" s="27">
        <v>7.43</v>
      </c>
      <c r="AC132" s="27">
        <v>1891</v>
      </c>
      <c r="AD132" s="27">
        <v>526</v>
      </c>
      <c r="AE132" s="27">
        <v>2088</v>
      </c>
      <c r="AF132" s="27">
        <v>802</v>
      </c>
      <c r="AG132" s="27">
        <v>0.876</v>
      </c>
      <c r="AH132" s="27">
        <v>18.2</v>
      </c>
      <c r="AI132" s="27">
        <v>2.1800000000000002</v>
      </c>
      <c r="AJ132" s="27">
        <v>153</v>
      </c>
      <c r="AK132" s="33">
        <v>143</v>
      </c>
    </row>
    <row r="133" spans="1:37">
      <c r="A133" s="26" t="s">
        <v>162</v>
      </c>
      <c r="B133" s="27">
        <v>360</v>
      </c>
      <c r="C133" s="27">
        <v>300</v>
      </c>
      <c r="D133" s="27">
        <v>12.5</v>
      </c>
      <c r="E133" s="27">
        <v>22.5</v>
      </c>
      <c r="F133" s="27">
        <v>27</v>
      </c>
      <c r="G133" s="27">
        <v>261</v>
      </c>
      <c r="H133" s="27">
        <v>43190</v>
      </c>
      <c r="I133" s="27">
        <v>10140</v>
      </c>
      <c r="J133" s="27">
        <v>2400</v>
      </c>
      <c r="K133" s="27">
        <v>676</v>
      </c>
      <c r="L133" s="27">
        <v>2683</v>
      </c>
      <c r="M133" s="27">
        <v>1032</v>
      </c>
      <c r="N133" s="33">
        <v>181</v>
      </c>
      <c r="O133" s="26" t="s">
        <v>162</v>
      </c>
      <c r="P133" s="27">
        <v>141.80000000000001</v>
      </c>
      <c r="Q133" s="27">
        <v>360</v>
      </c>
      <c r="R133" s="27">
        <v>300</v>
      </c>
      <c r="S133" s="27">
        <v>12.5</v>
      </c>
      <c r="T133" s="27">
        <v>22.5</v>
      </c>
      <c r="U133" s="27">
        <v>27</v>
      </c>
      <c r="V133" s="27">
        <v>261</v>
      </c>
      <c r="W133" s="27">
        <v>6.67</v>
      </c>
      <c r="X133" s="27">
        <v>20.9</v>
      </c>
      <c r="Y133" s="27">
        <v>43190</v>
      </c>
      <c r="Z133" s="27">
        <v>10140</v>
      </c>
      <c r="AA133" s="27">
        <v>15.5</v>
      </c>
      <c r="AB133" s="27">
        <v>7.49</v>
      </c>
      <c r="AC133" s="27">
        <v>2400</v>
      </c>
      <c r="AD133" s="27">
        <v>676</v>
      </c>
      <c r="AE133" s="27">
        <v>2683</v>
      </c>
      <c r="AF133" s="27">
        <v>1032</v>
      </c>
      <c r="AG133" s="27">
        <v>0.877</v>
      </c>
      <c r="AH133" s="27">
        <v>14.9</v>
      </c>
      <c r="AI133" s="27">
        <v>2.89</v>
      </c>
      <c r="AJ133" s="27">
        <v>298</v>
      </c>
      <c r="AK133" s="33">
        <v>181</v>
      </c>
    </row>
    <row r="134" spans="1:37">
      <c r="A134" s="24" t="s">
        <v>163</v>
      </c>
      <c r="B134" s="25">
        <v>395</v>
      </c>
      <c r="C134" s="25">
        <v>308</v>
      </c>
      <c r="D134" s="25">
        <v>21</v>
      </c>
      <c r="E134" s="25">
        <v>40</v>
      </c>
      <c r="F134" s="25">
        <v>27</v>
      </c>
      <c r="G134" s="25">
        <v>261</v>
      </c>
      <c r="H134" s="25">
        <v>84870</v>
      </c>
      <c r="I134" s="25">
        <v>19520</v>
      </c>
      <c r="J134" s="25">
        <v>4297</v>
      </c>
      <c r="K134" s="25">
        <v>1268</v>
      </c>
      <c r="L134" s="25">
        <v>4989</v>
      </c>
      <c r="M134" s="25">
        <v>1942</v>
      </c>
      <c r="N134" s="32">
        <v>319</v>
      </c>
      <c r="O134" s="24" t="s">
        <v>163</v>
      </c>
      <c r="P134" s="25">
        <v>250.3</v>
      </c>
      <c r="Q134" s="25">
        <v>395</v>
      </c>
      <c r="R134" s="25">
        <v>308</v>
      </c>
      <c r="S134" s="25">
        <v>21</v>
      </c>
      <c r="T134" s="25">
        <v>40</v>
      </c>
      <c r="U134" s="25">
        <v>27</v>
      </c>
      <c r="V134" s="25">
        <v>261</v>
      </c>
      <c r="W134" s="25">
        <v>3.85</v>
      </c>
      <c r="X134" s="25">
        <v>12.4</v>
      </c>
      <c r="Y134" s="25">
        <v>84870</v>
      </c>
      <c r="Z134" s="25">
        <v>19520</v>
      </c>
      <c r="AA134" s="25">
        <v>16.3</v>
      </c>
      <c r="AB134" s="25">
        <v>7.83</v>
      </c>
      <c r="AC134" s="25">
        <v>4297</v>
      </c>
      <c r="AD134" s="25">
        <v>1268</v>
      </c>
      <c r="AE134" s="25">
        <v>4989</v>
      </c>
      <c r="AF134" s="25">
        <v>1942</v>
      </c>
      <c r="AG134" s="25">
        <v>0.88</v>
      </c>
      <c r="AH134" s="25">
        <v>9.2200000000000006</v>
      </c>
      <c r="AI134" s="25">
        <v>6.15</v>
      </c>
      <c r="AJ134" s="25">
        <v>1513</v>
      </c>
      <c r="AK134" s="32">
        <v>319</v>
      </c>
    </row>
    <row r="135" spans="1:37">
      <c r="A135" s="26" t="s">
        <v>164</v>
      </c>
      <c r="B135" s="27">
        <v>378</v>
      </c>
      <c r="C135" s="27">
        <v>300</v>
      </c>
      <c r="D135" s="27">
        <v>9.5</v>
      </c>
      <c r="E135" s="27">
        <v>13</v>
      </c>
      <c r="F135" s="27">
        <v>27</v>
      </c>
      <c r="G135" s="27">
        <v>298</v>
      </c>
      <c r="H135" s="27">
        <v>31250</v>
      </c>
      <c r="I135" s="27">
        <v>5861</v>
      </c>
      <c r="J135" s="27">
        <v>1654</v>
      </c>
      <c r="K135" s="27">
        <v>391</v>
      </c>
      <c r="L135" s="27">
        <v>1824</v>
      </c>
      <c r="M135" s="27">
        <v>600</v>
      </c>
      <c r="N135" s="33">
        <v>118</v>
      </c>
      <c r="O135" s="26" t="s">
        <v>164</v>
      </c>
      <c r="P135" s="27">
        <v>92.4</v>
      </c>
      <c r="Q135" s="27">
        <v>378</v>
      </c>
      <c r="R135" s="27">
        <v>300</v>
      </c>
      <c r="S135" s="27">
        <v>9.5</v>
      </c>
      <c r="T135" s="27">
        <v>13</v>
      </c>
      <c r="U135" s="27">
        <v>27</v>
      </c>
      <c r="V135" s="27">
        <v>298</v>
      </c>
      <c r="W135" s="27">
        <v>11.5</v>
      </c>
      <c r="X135" s="27">
        <v>31.4</v>
      </c>
      <c r="Y135" s="27">
        <v>31250</v>
      </c>
      <c r="Z135" s="27">
        <v>5861</v>
      </c>
      <c r="AA135" s="27">
        <v>16.3</v>
      </c>
      <c r="AB135" s="27">
        <v>7.06</v>
      </c>
      <c r="AC135" s="27">
        <v>1654</v>
      </c>
      <c r="AD135" s="27">
        <v>391</v>
      </c>
      <c r="AE135" s="27">
        <v>1824</v>
      </c>
      <c r="AF135" s="27">
        <v>600</v>
      </c>
      <c r="AG135" s="27">
        <v>0.875</v>
      </c>
      <c r="AH135" s="27">
        <v>24.9</v>
      </c>
      <c r="AI135" s="27">
        <v>1.95</v>
      </c>
      <c r="AJ135" s="27">
        <v>81.3</v>
      </c>
      <c r="AK135" s="33">
        <v>118</v>
      </c>
    </row>
    <row r="136" spans="1:37">
      <c r="A136" s="26" t="s">
        <v>165</v>
      </c>
      <c r="B136" s="27">
        <v>384</v>
      </c>
      <c r="C136" s="27">
        <v>297</v>
      </c>
      <c r="D136" s="27">
        <v>10</v>
      </c>
      <c r="E136" s="27">
        <v>16</v>
      </c>
      <c r="F136" s="27">
        <v>27</v>
      </c>
      <c r="G136" s="27">
        <v>298</v>
      </c>
      <c r="H136" s="27">
        <v>37640</v>
      </c>
      <c r="I136" s="27">
        <v>6998</v>
      </c>
      <c r="J136" s="27">
        <v>1960</v>
      </c>
      <c r="K136" s="27">
        <v>471</v>
      </c>
      <c r="L136" s="27">
        <v>2165</v>
      </c>
      <c r="M136" s="27">
        <v>721</v>
      </c>
      <c r="N136" s="33">
        <v>136</v>
      </c>
      <c r="O136" s="26" t="s">
        <v>165</v>
      </c>
      <c r="P136" s="27">
        <v>107.2</v>
      </c>
      <c r="Q136" s="27">
        <v>384</v>
      </c>
      <c r="R136" s="27">
        <v>297</v>
      </c>
      <c r="S136" s="27">
        <v>10</v>
      </c>
      <c r="T136" s="27">
        <v>16</v>
      </c>
      <c r="U136" s="27">
        <v>27</v>
      </c>
      <c r="V136" s="27">
        <v>298</v>
      </c>
      <c r="W136" s="27">
        <v>9.2799999999999994</v>
      </c>
      <c r="X136" s="27">
        <v>29.8</v>
      </c>
      <c r="Y136" s="27">
        <v>37640</v>
      </c>
      <c r="Z136" s="27">
        <v>6998</v>
      </c>
      <c r="AA136" s="27">
        <v>16.600000000000001</v>
      </c>
      <c r="AB136" s="27">
        <v>7.16</v>
      </c>
      <c r="AC136" s="27">
        <v>1960</v>
      </c>
      <c r="AD136" s="27">
        <v>471</v>
      </c>
      <c r="AE136" s="27">
        <v>2165</v>
      </c>
      <c r="AF136" s="27">
        <v>721</v>
      </c>
      <c r="AG136" s="27">
        <v>0.88200000000000001</v>
      </c>
      <c r="AH136" s="27">
        <v>21.7</v>
      </c>
      <c r="AI136" s="27">
        <v>2.37</v>
      </c>
      <c r="AJ136" s="27">
        <v>126</v>
      </c>
      <c r="AK136" s="33">
        <v>136</v>
      </c>
    </row>
    <row r="137" spans="1:37">
      <c r="A137" s="26" t="s">
        <v>166</v>
      </c>
      <c r="B137" s="27">
        <v>390</v>
      </c>
      <c r="C137" s="27">
        <v>300</v>
      </c>
      <c r="D137" s="27">
        <v>11</v>
      </c>
      <c r="E137" s="27">
        <v>19</v>
      </c>
      <c r="F137" s="27">
        <v>27</v>
      </c>
      <c r="G137" s="27">
        <v>298</v>
      </c>
      <c r="H137" s="27">
        <v>45070</v>
      </c>
      <c r="I137" s="27">
        <v>8564</v>
      </c>
      <c r="J137" s="27">
        <v>2311</v>
      </c>
      <c r="K137" s="27">
        <v>571</v>
      </c>
      <c r="L137" s="27">
        <v>2562</v>
      </c>
      <c r="M137" s="27">
        <v>873</v>
      </c>
      <c r="N137" s="33">
        <v>159</v>
      </c>
      <c r="O137" s="26" t="s">
        <v>166</v>
      </c>
      <c r="P137" s="27">
        <v>124.8</v>
      </c>
      <c r="Q137" s="27">
        <v>390</v>
      </c>
      <c r="R137" s="27">
        <v>300</v>
      </c>
      <c r="S137" s="27">
        <v>11</v>
      </c>
      <c r="T137" s="27">
        <v>19</v>
      </c>
      <c r="U137" s="27">
        <v>27</v>
      </c>
      <c r="V137" s="27">
        <v>298</v>
      </c>
      <c r="W137" s="27">
        <v>7.89</v>
      </c>
      <c r="X137" s="27">
        <v>27.1</v>
      </c>
      <c r="Y137" s="27">
        <v>45070</v>
      </c>
      <c r="Z137" s="27">
        <v>8564</v>
      </c>
      <c r="AA137" s="27">
        <v>16.8</v>
      </c>
      <c r="AB137" s="27">
        <v>7.34</v>
      </c>
      <c r="AC137" s="27">
        <v>2311</v>
      </c>
      <c r="AD137" s="27">
        <v>571</v>
      </c>
      <c r="AE137" s="27">
        <v>2562</v>
      </c>
      <c r="AF137" s="27">
        <v>873</v>
      </c>
      <c r="AG137" s="27">
        <v>0.88400000000000001</v>
      </c>
      <c r="AH137" s="27">
        <v>19</v>
      </c>
      <c r="AI137" s="27">
        <v>2.95</v>
      </c>
      <c r="AJ137" s="27">
        <v>193</v>
      </c>
      <c r="AK137" s="33">
        <v>159</v>
      </c>
    </row>
    <row r="138" spans="1:37">
      <c r="A138" s="26" t="s">
        <v>167</v>
      </c>
      <c r="B138" s="27">
        <v>400</v>
      </c>
      <c r="C138" s="27">
        <v>300</v>
      </c>
      <c r="D138" s="27">
        <v>13.5</v>
      </c>
      <c r="E138" s="27">
        <v>24</v>
      </c>
      <c r="F138" s="27">
        <v>27</v>
      </c>
      <c r="G138" s="27">
        <v>298</v>
      </c>
      <c r="H138" s="27">
        <v>57680</v>
      </c>
      <c r="I138" s="27">
        <v>10820</v>
      </c>
      <c r="J138" s="27">
        <v>2884</v>
      </c>
      <c r="K138" s="27">
        <v>721</v>
      </c>
      <c r="L138" s="27">
        <v>3232</v>
      </c>
      <c r="M138" s="27">
        <v>1104</v>
      </c>
      <c r="N138" s="33">
        <v>198</v>
      </c>
      <c r="O138" s="26" t="s">
        <v>167</v>
      </c>
      <c r="P138" s="27">
        <v>155.30000000000001</v>
      </c>
      <c r="Q138" s="27">
        <v>400</v>
      </c>
      <c r="R138" s="27">
        <v>300</v>
      </c>
      <c r="S138" s="27">
        <v>13.5</v>
      </c>
      <c r="T138" s="27">
        <v>24</v>
      </c>
      <c r="U138" s="27">
        <v>27</v>
      </c>
      <c r="V138" s="27">
        <v>298</v>
      </c>
      <c r="W138" s="27">
        <v>6.25</v>
      </c>
      <c r="X138" s="27">
        <v>22.1</v>
      </c>
      <c r="Y138" s="27">
        <v>57680</v>
      </c>
      <c r="Z138" s="27">
        <v>10820</v>
      </c>
      <c r="AA138" s="27">
        <v>17.100000000000001</v>
      </c>
      <c r="AB138" s="27">
        <v>7.4</v>
      </c>
      <c r="AC138" s="27">
        <v>2884</v>
      </c>
      <c r="AD138" s="27">
        <v>721</v>
      </c>
      <c r="AE138" s="27">
        <v>3232</v>
      </c>
      <c r="AF138" s="27">
        <v>1104</v>
      </c>
      <c r="AG138" s="27">
        <v>0.88500000000000001</v>
      </c>
      <c r="AH138" s="27">
        <v>15.8</v>
      </c>
      <c r="AI138" s="27">
        <v>3.82</v>
      </c>
      <c r="AJ138" s="27">
        <v>361</v>
      </c>
      <c r="AK138" s="33">
        <v>198</v>
      </c>
    </row>
    <row r="139" spans="1:37">
      <c r="A139" s="24" t="s">
        <v>168</v>
      </c>
      <c r="B139" s="25">
        <v>432</v>
      </c>
      <c r="C139" s="25">
        <v>307</v>
      </c>
      <c r="D139" s="25">
        <v>21</v>
      </c>
      <c r="E139" s="25">
        <v>40</v>
      </c>
      <c r="F139" s="25">
        <v>27</v>
      </c>
      <c r="G139" s="25">
        <v>298</v>
      </c>
      <c r="H139" s="25">
        <v>104100</v>
      </c>
      <c r="I139" s="25">
        <v>19340</v>
      </c>
      <c r="J139" s="25">
        <v>4820</v>
      </c>
      <c r="K139" s="25">
        <v>1260</v>
      </c>
      <c r="L139" s="25">
        <v>5571</v>
      </c>
      <c r="M139" s="25">
        <v>1934</v>
      </c>
      <c r="N139" s="32">
        <v>326</v>
      </c>
      <c r="O139" s="24" t="s">
        <v>168</v>
      </c>
      <c r="P139" s="25">
        <v>255.7</v>
      </c>
      <c r="Q139" s="25">
        <v>432</v>
      </c>
      <c r="R139" s="25">
        <v>307</v>
      </c>
      <c r="S139" s="25">
        <v>21</v>
      </c>
      <c r="T139" s="25">
        <v>40</v>
      </c>
      <c r="U139" s="25">
        <v>27</v>
      </c>
      <c r="V139" s="25">
        <v>298</v>
      </c>
      <c r="W139" s="25">
        <v>3.84</v>
      </c>
      <c r="X139" s="25">
        <v>14.2</v>
      </c>
      <c r="Y139" s="25">
        <v>104100</v>
      </c>
      <c r="Z139" s="25">
        <v>19340</v>
      </c>
      <c r="AA139" s="25">
        <v>17.899999999999999</v>
      </c>
      <c r="AB139" s="25">
        <v>7.7</v>
      </c>
      <c r="AC139" s="25">
        <v>4820</v>
      </c>
      <c r="AD139" s="25">
        <v>1260</v>
      </c>
      <c r="AE139" s="25">
        <v>5571</v>
      </c>
      <c r="AF139" s="25">
        <v>1934</v>
      </c>
      <c r="AG139" s="25">
        <v>0.88700000000000001</v>
      </c>
      <c r="AH139" s="25">
        <v>10.3</v>
      </c>
      <c r="AI139" s="25">
        <v>7.43</v>
      </c>
      <c r="AJ139" s="25">
        <v>1520</v>
      </c>
      <c r="AK139" s="32">
        <v>326</v>
      </c>
    </row>
    <row r="140" spans="1:37">
      <c r="A140" s="26" t="s">
        <v>169</v>
      </c>
      <c r="B140" s="27">
        <v>425</v>
      </c>
      <c r="C140" s="27">
        <v>300</v>
      </c>
      <c r="D140" s="27">
        <v>10</v>
      </c>
      <c r="E140" s="27">
        <v>13.5</v>
      </c>
      <c r="F140" s="27">
        <v>27</v>
      </c>
      <c r="G140" s="27">
        <v>344</v>
      </c>
      <c r="H140" s="27">
        <v>41890</v>
      </c>
      <c r="I140" s="27">
        <v>6088</v>
      </c>
      <c r="J140" s="27">
        <v>1971</v>
      </c>
      <c r="K140" s="27">
        <v>406</v>
      </c>
      <c r="L140" s="27">
        <v>2183</v>
      </c>
      <c r="M140" s="27">
        <v>624</v>
      </c>
      <c r="N140" s="33">
        <v>127</v>
      </c>
      <c r="O140" s="26" t="s">
        <v>169</v>
      </c>
      <c r="P140" s="27">
        <v>99.7</v>
      </c>
      <c r="Q140" s="27">
        <v>425</v>
      </c>
      <c r="R140" s="27">
        <v>300</v>
      </c>
      <c r="S140" s="27">
        <v>10</v>
      </c>
      <c r="T140" s="27">
        <v>13.5</v>
      </c>
      <c r="U140" s="27">
        <v>27</v>
      </c>
      <c r="V140" s="27">
        <v>344</v>
      </c>
      <c r="W140" s="27">
        <v>11.1</v>
      </c>
      <c r="X140" s="27">
        <v>34.4</v>
      </c>
      <c r="Y140" s="27">
        <v>41890</v>
      </c>
      <c r="Z140" s="27">
        <v>6088</v>
      </c>
      <c r="AA140" s="27">
        <v>18.2</v>
      </c>
      <c r="AB140" s="27">
        <v>6.92</v>
      </c>
      <c r="AC140" s="27">
        <v>1971</v>
      </c>
      <c r="AD140" s="27">
        <v>406</v>
      </c>
      <c r="AE140" s="27">
        <v>2183</v>
      </c>
      <c r="AF140" s="27">
        <v>624</v>
      </c>
      <c r="AG140" s="27">
        <v>0.879</v>
      </c>
      <c r="AH140" s="27">
        <v>27.5</v>
      </c>
      <c r="AI140" s="27">
        <v>2.58</v>
      </c>
      <c r="AJ140" s="27">
        <v>91.4</v>
      </c>
      <c r="AK140" s="33">
        <v>127</v>
      </c>
    </row>
    <row r="141" spans="1:37">
      <c r="A141" s="26" t="s">
        <v>170</v>
      </c>
      <c r="B141" s="27">
        <v>435</v>
      </c>
      <c r="C141" s="27">
        <v>300</v>
      </c>
      <c r="D141" s="27">
        <v>10.199999999999999</v>
      </c>
      <c r="E141" s="27">
        <v>18.5</v>
      </c>
      <c r="F141" s="27">
        <v>27</v>
      </c>
      <c r="G141" s="27">
        <v>344</v>
      </c>
      <c r="H141" s="27">
        <v>55860</v>
      </c>
      <c r="I141" s="27">
        <v>8338</v>
      </c>
      <c r="J141" s="27">
        <v>2568</v>
      </c>
      <c r="K141" s="27">
        <v>556</v>
      </c>
      <c r="L141" s="27">
        <v>2836</v>
      </c>
      <c r="M141" s="27">
        <v>850</v>
      </c>
      <c r="N141" s="33">
        <v>158</v>
      </c>
      <c r="O141" s="26" t="s">
        <v>170</v>
      </c>
      <c r="P141" s="27">
        <v>123.9</v>
      </c>
      <c r="Q141" s="27">
        <v>435</v>
      </c>
      <c r="R141" s="27">
        <v>300</v>
      </c>
      <c r="S141" s="27">
        <v>10.199999999999999</v>
      </c>
      <c r="T141" s="27">
        <v>18.5</v>
      </c>
      <c r="U141" s="27">
        <v>27</v>
      </c>
      <c r="V141" s="27">
        <v>344</v>
      </c>
      <c r="W141" s="27">
        <v>8.11</v>
      </c>
      <c r="X141" s="27">
        <v>33.700000000000003</v>
      </c>
      <c r="Y141" s="27">
        <v>55860</v>
      </c>
      <c r="Z141" s="27">
        <v>8338</v>
      </c>
      <c r="AA141" s="27">
        <v>18.8</v>
      </c>
      <c r="AB141" s="27">
        <v>7.27</v>
      </c>
      <c r="AC141" s="27">
        <v>2568</v>
      </c>
      <c r="AD141" s="27">
        <v>556</v>
      </c>
      <c r="AE141" s="27">
        <v>2836</v>
      </c>
      <c r="AF141" s="27">
        <v>850</v>
      </c>
      <c r="AG141" s="27">
        <v>0.89200000000000002</v>
      </c>
      <c r="AH141" s="27">
        <v>22.2</v>
      </c>
      <c r="AI141" s="27">
        <v>3.62</v>
      </c>
      <c r="AJ141" s="27">
        <v>178</v>
      </c>
      <c r="AK141" s="33">
        <v>158</v>
      </c>
    </row>
    <row r="142" spans="1:37">
      <c r="A142" s="26" t="s">
        <v>171</v>
      </c>
      <c r="B142" s="27">
        <v>440</v>
      </c>
      <c r="C142" s="27">
        <v>300</v>
      </c>
      <c r="D142" s="27">
        <v>11.5</v>
      </c>
      <c r="E142" s="27">
        <v>21</v>
      </c>
      <c r="F142" s="27">
        <v>27</v>
      </c>
      <c r="G142" s="27">
        <v>344</v>
      </c>
      <c r="H142" s="27">
        <v>63720</v>
      </c>
      <c r="I142" s="27">
        <v>9465</v>
      </c>
      <c r="J142" s="27">
        <v>2896</v>
      </c>
      <c r="K142" s="27">
        <v>631</v>
      </c>
      <c r="L142" s="27">
        <v>3216</v>
      </c>
      <c r="M142" s="27">
        <v>966</v>
      </c>
      <c r="N142" s="33">
        <v>178</v>
      </c>
      <c r="O142" s="26" t="s">
        <v>171</v>
      </c>
      <c r="P142" s="27">
        <v>139.80000000000001</v>
      </c>
      <c r="Q142" s="27">
        <v>440</v>
      </c>
      <c r="R142" s="27">
        <v>300</v>
      </c>
      <c r="S142" s="27">
        <v>11.5</v>
      </c>
      <c r="T142" s="27">
        <v>21</v>
      </c>
      <c r="U142" s="27">
        <v>27</v>
      </c>
      <c r="V142" s="27">
        <v>344</v>
      </c>
      <c r="W142" s="27">
        <v>7.14</v>
      </c>
      <c r="X142" s="27">
        <v>29.9</v>
      </c>
      <c r="Y142" s="27">
        <v>63720</v>
      </c>
      <c r="Z142" s="27">
        <v>9465</v>
      </c>
      <c r="AA142" s="27">
        <v>18.899999999999999</v>
      </c>
      <c r="AB142" s="27">
        <v>7.29</v>
      </c>
      <c r="AC142" s="27">
        <v>2896</v>
      </c>
      <c r="AD142" s="27">
        <v>631</v>
      </c>
      <c r="AE142" s="27">
        <v>3216</v>
      </c>
      <c r="AF142" s="27">
        <v>966</v>
      </c>
      <c r="AG142" s="27">
        <v>0.89200000000000002</v>
      </c>
      <c r="AH142" s="27">
        <v>20</v>
      </c>
      <c r="AI142" s="27">
        <v>4.1500000000000004</v>
      </c>
      <c r="AJ142" s="27">
        <v>250</v>
      </c>
      <c r="AK142" s="33">
        <v>178</v>
      </c>
    </row>
    <row r="143" spans="1:37">
      <c r="A143" s="26" t="s">
        <v>172</v>
      </c>
      <c r="B143" s="27">
        <v>450</v>
      </c>
      <c r="C143" s="27">
        <v>300</v>
      </c>
      <c r="D143" s="27">
        <v>14</v>
      </c>
      <c r="E143" s="27">
        <v>26</v>
      </c>
      <c r="F143" s="27">
        <v>27</v>
      </c>
      <c r="G143" s="27">
        <v>344</v>
      </c>
      <c r="H143" s="27">
        <v>79890</v>
      </c>
      <c r="I143" s="27">
        <v>11720</v>
      </c>
      <c r="J143" s="27">
        <v>3551</v>
      </c>
      <c r="K143" s="27">
        <v>781</v>
      </c>
      <c r="L143" s="27">
        <v>3982</v>
      </c>
      <c r="M143" s="27">
        <v>1198</v>
      </c>
      <c r="N143" s="33">
        <v>218</v>
      </c>
      <c r="O143" s="26" t="s">
        <v>172</v>
      </c>
      <c r="P143" s="27">
        <v>171.1</v>
      </c>
      <c r="Q143" s="27">
        <v>450</v>
      </c>
      <c r="R143" s="27">
        <v>300</v>
      </c>
      <c r="S143" s="27">
        <v>14</v>
      </c>
      <c r="T143" s="27">
        <v>26</v>
      </c>
      <c r="U143" s="27">
        <v>27</v>
      </c>
      <c r="V143" s="27">
        <v>344</v>
      </c>
      <c r="W143" s="27">
        <v>5.77</v>
      </c>
      <c r="X143" s="27">
        <v>24.6</v>
      </c>
      <c r="Y143" s="27">
        <v>79890</v>
      </c>
      <c r="Z143" s="27">
        <v>11720</v>
      </c>
      <c r="AA143" s="27">
        <v>19.100000000000001</v>
      </c>
      <c r="AB143" s="27">
        <v>7.33</v>
      </c>
      <c r="AC143" s="27">
        <v>3551</v>
      </c>
      <c r="AD143" s="27">
        <v>781</v>
      </c>
      <c r="AE143" s="27">
        <v>3982</v>
      </c>
      <c r="AF143" s="27">
        <v>1198</v>
      </c>
      <c r="AG143" s="27">
        <v>0.89200000000000002</v>
      </c>
      <c r="AH143" s="27">
        <v>16.7</v>
      </c>
      <c r="AI143" s="27">
        <v>5.27</v>
      </c>
      <c r="AJ143" s="27">
        <v>448</v>
      </c>
      <c r="AK143" s="33">
        <v>218</v>
      </c>
    </row>
    <row r="144" spans="1:37">
      <c r="A144" s="24" t="s">
        <v>173</v>
      </c>
      <c r="B144" s="25">
        <v>478</v>
      </c>
      <c r="C144" s="25">
        <v>307</v>
      </c>
      <c r="D144" s="25">
        <v>21</v>
      </c>
      <c r="E144" s="25">
        <v>40</v>
      </c>
      <c r="F144" s="25">
        <v>27</v>
      </c>
      <c r="G144" s="25">
        <v>344</v>
      </c>
      <c r="H144" s="25">
        <v>131500</v>
      </c>
      <c r="I144" s="25">
        <v>19340</v>
      </c>
      <c r="J144" s="25">
        <v>5501</v>
      </c>
      <c r="K144" s="25">
        <v>1260</v>
      </c>
      <c r="L144" s="25">
        <v>6331</v>
      </c>
      <c r="M144" s="25">
        <v>1939</v>
      </c>
      <c r="N144" s="32">
        <v>335</v>
      </c>
      <c r="O144" s="24" t="s">
        <v>173</v>
      </c>
      <c r="P144" s="25">
        <v>263.3</v>
      </c>
      <c r="Q144" s="25">
        <v>478</v>
      </c>
      <c r="R144" s="25">
        <v>307</v>
      </c>
      <c r="S144" s="25">
        <v>21</v>
      </c>
      <c r="T144" s="25">
        <v>40</v>
      </c>
      <c r="U144" s="25">
        <v>27</v>
      </c>
      <c r="V144" s="25">
        <v>344</v>
      </c>
      <c r="W144" s="25">
        <v>3.84</v>
      </c>
      <c r="X144" s="25">
        <v>16.399999999999999</v>
      </c>
      <c r="Y144" s="25">
        <v>131500</v>
      </c>
      <c r="Z144" s="25">
        <v>19340</v>
      </c>
      <c r="AA144" s="25">
        <v>19.8</v>
      </c>
      <c r="AB144" s="25">
        <v>7.59</v>
      </c>
      <c r="AC144" s="25">
        <v>5501</v>
      </c>
      <c r="AD144" s="25">
        <v>1260</v>
      </c>
      <c r="AE144" s="25">
        <v>6331</v>
      </c>
      <c r="AF144" s="25">
        <v>1939</v>
      </c>
      <c r="AG144" s="25">
        <v>0.89200000000000002</v>
      </c>
      <c r="AH144" s="25">
        <v>11.6</v>
      </c>
      <c r="AI144" s="25">
        <v>9.2799999999999994</v>
      </c>
      <c r="AJ144" s="25">
        <v>1534</v>
      </c>
      <c r="AK144" s="32">
        <v>335</v>
      </c>
    </row>
    <row r="145" spans="1:37">
      <c r="A145" s="26" t="s">
        <v>174</v>
      </c>
      <c r="B145" s="27">
        <v>472</v>
      </c>
      <c r="C145" s="27">
        <v>300</v>
      </c>
      <c r="D145" s="27">
        <v>10.5</v>
      </c>
      <c r="E145" s="27">
        <v>14</v>
      </c>
      <c r="F145" s="27">
        <v>27</v>
      </c>
      <c r="G145" s="27">
        <v>390</v>
      </c>
      <c r="H145" s="27">
        <v>54640</v>
      </c>
      <c r="I145" s="27">
        <v>6314</v>
      </c>
      <c r="J145" s="27">
        <v>2315</v>
      </c>
      <c r="K145" s="27">
        <v>421</v>
      </c>
      <c r="L145" s="27">
        <v>2576</v>
      </c>
      <c r="M145" s="27">
        <v>649</v>
      </c>
      <c r="N145" s="33">
        <v>137</v>
      </c>
      <c r="O145" s="26" t="s">
        <v>174</v>
      </c>
      <c r="P145" s="27">
        <v>107.4</v>
      </c>
      <c r="Q145" s="27">
        <v>472</v>
      </c>
      <c r="R145" s="27">
        <v>300</v>
      </c>
      <c r="S145" s="27">
        <v>10.5</v>
      </c>
      <c r="T145" s="27">
        <v>14</v>
      </c>
      <c r="U145" s="27">
        <v>27</v>
      </c>
      <c r="V145" s="27">
        <v>390</v>
      </c>
      <c r="W145" s="27">
        <v>10.7</v>
      </c>
      <c r="X145" s="27">
        <v>37.1</v>
      </c>
      <c r="Y145" s="27">
        <v>54640</v>
      </c>
      <c r="Z145" s="27">
        <v>6314</v>
      </c>
      <c r="AA145" s="27">
        <v>20</v>
      </c>
      <c r="AB145" s="27">
        <v>6.79</v>
      </c>
      <c r="AC145" s="27">
        <v>2315</v>
      </c>
      <c r="AD145" s="27">
        <v>421</v>
      </c>
      <c r="AE145" s="27">
        <v>2576</v>
      </c>
      <c r="AF145" s="27">
        <v>649</v>
      </c>
      <c r="AG145" s="27">
        <v>0.879</v>
      </c>
      <c r="AH145" s="27">
        <v>29.9</v>
      </c>
      <c r="AI145" s="27">
        <v>3.31</v>
      </c>
      <c r="AJ145" s="27">
        <v>103</v>
      </c>
      <c r="AK145" s="33">
        <v>137</v>
      </c>
    </row>
    <row r="146" spans="1:37">
      <c r="A146" s="26" t="s">
        <v>175</v>
      </c>
      <c r="B146" s="27">
        <v>490</v>
      </c>
      <c r="C146" s="27">
        <v>300</v>
      </c>
      <c r="D146" s="27">
        <v>12</v>
      </c>
      <c r="E146" s="27">
        <v>23</v>
      </c>
      <c r="F146" s="27">
        <v>27</v>
      </c>
      <c r="G146" s="27">
        <v>390</v>
      </c>
      <c r="H146" s="27">
        <v>86970</v>
      </c>
      <c r="I146" s="27">
        <v>10370</v>
      </c>
      <c r="J146" s="27">
        <v>3550</v>
      </c>
      <c r="K146" s="27">
        <v>691</v>
      </c>
      <c r="L146" s="27">
        <v>3949</v>
      </c>
      <c r="M146" s="27">
        <v>1059</v>
      </c>
      <c r="N146" s="33">
        <v>198</v>
      </c>
      <c r="O146" s="26" t="s">
        <v>175</v>
      </c>
      <c r="P146" s="27">
        <v>155.1</v>
      </c>
      <c r="Q146" s="27">
        <v>490</v>
      </c>
      <c r="R146" s="27">
        <v>300</v>
      </c>
      <c r="S146" s="27">
        <v>12</v>
      </c>
      <c r="T146" s="27">
        <v>23</v>
      </c>
      <c r="U146" s="27">
        <v>27</v>
      </c>
      <c r="V146" s="27">
        <v>390</v>
      </c>
      <c r="W146" s="27">
        <v>6.52</v>
      </c>
      <c r="X146" s="27">
        <v>32.5</v>
      </c>
      <c r="Y146" s="27">
        <v>86970</v>
      </c>
      <c r="Z146" s="27">
        <v>10370</v>
      </c>
      <c r="AA146" s="27">
        <v>21</v>
      </c>
      <c r="AB146" s="27">
        <v>7.24</v>
      </c>
      <c r="AC146" s="27">
        <v>3550</v>
      </c>
      <c r="AD146" s="27">
        <v>691</v>
      </c>
      <c r="AE146" s="27">
        <v>3949</v>
      </c>
      <c r="AF146" s="27">
        <v>1059</v>
      </c>
      <c r="AG146" s="27">
        <v>0.89600000000000002</v>
      </c>
      <c r="AH146" s="27">
        <v>20.8</v>
      </c>
      <c r="AI146" s="27">
        <v>5.65</v>
      </c>
      <c r="AJ146" s="27">
        <v>318</v>
      </c>
      <c r="AK146" s="33">
        <v>198</v>
      </c>
    </row>
    <row r="147" spans="1:37">
      <c r="A147" s="26" t="s">
        <v>176</v>
      </c>
      <c r="B147" s="27">
        <v>500</v>
      </c>
      <c r="C147" s="27">
        <v>300</v>
      </c>
      <c r="D147" s="27">
        <v>14.5</v>
      </c>
      <c r="E147" s="27">
        <v>28</v>
      </c>
      <c r="F147" s="27">
        <v>27</v>
      </c>
      <c r="G147" s="27">
        <v>390</v>
      </c>
      <c r="H147" s="27">
        <v>107200</v>
      </c>
      <c r="I147" s="27">
        <v>12620</v>
      </c>
      <c r="J147" s="27">
        <v>4287</v>
      </c>
      <c r="K147" s="27">
        <v>842</v>
      </c>
      <c r="L147" s="27">
        <v>4815</v>
      </c>
      <c r="M147" s="27">
        <v>1292</v>
      </c>
      <c r="N147" s="33">
        <v>239</v>
      </c>
      <c r="O147" s="26" t="s">
        <v>176</v>
      </c>
      <c r="P147" s="27">
        <v>187.3</v>
      </c>
      <c r="Q147" s="27">
        <v>500</v>
      </c>
      <c r="R147" s="27">
        <v>300</v>
      </c>
      <c r="S147" s="27">
        <v>14.5</v>
      </c>
      <c r="T147" s="27">
        <v>28</v>
      </c>
      <c r="U147" s="27">
        <v>27</v>
      </c>
      <c r="V147" s="27">
        <v>390</v>
      </c>
      <c r="W147" s="27">
        <v>5.36</v>
      </c>
      <c r="X147" s="27">
        <v>26.9</v>
      </c>
      <c r="Y147" s="27">
        <v>107200</v>
      </c>
      <c r="Z147" s="27">
        <v>12620</v>
      </c>
      <c r="AA147" s="27">
        <v>21.2</v>
      </c>
      <c r="AB147" s="27">
        <v>7.27</v>
      </c>
      <c r="AC147" s="27">
        <v>4287</v>
      </c>
      <c r="AD147" s="27">
        <v>842</v>
      </c>
      <c r="AE147" s="27">
        <v>4815</v>
      </c>
      <c r="AF147" s="27">
        <v>1292</v>
      </c>
      <c r="AG147" s="27">
        <v>0.89600000000000002</v>
      </c>
      <c r="AH147" s="27">
        <v>17.600000000000001</v>
      </c>
      <c r="AI147" s="27">
        <v>7.03</v>
      </c>
      <c r="AJ147" s="27">
        <v>548</v>
      </c>
      <c r="AK147" s="33">
        <v>239</v>
      </c>
    </row>
    <row r="148" spans="1:37">
      <c r="A148" s="24" t="s">
        <v>177</v>
      </c>
      <c r="B148" s="25">
        <v>524</v>
      </c>
      <c r="C148" s="25">
        <v>306</v>
      </c>
      <c r="D148" s="25">
        <v>21</v>
      </c>
      <c r="E148" s="25">
        <v>40</v>
      </c>
      <c r="F148" s="25">
        <v>27</v>
      </c>
      <c r="G148" s="25">
        <v>390</v>
      </c>
      <c r="H148" s="25">
        <v>161900</v>
      </c>
      <c r="I148" s="25">
        <v>19150</v>
      </c>
      <c r="J148" s="25">
        <v>6180</v>
      </c>
      <c r="K148" s="25">
        <v>1252</v>
      </c>
      <c r="L148" s="25">
        <v>7094</v>
      </c>
      <c r="M148" s="25">
        <v>1932</v>
      </c>
      <c r="N148" s="32">
        <v>344</v>
      </c>
      <c r="O148" s="24" t="s">
        <v>177</v>
      </c>
      <c r="P148" s="25">
        <v>270.3</v>
      </c>
      <c r="Q148" s="25">
        <v>524</v>
      </c>
      <c r="R148" s="25">
        <v>306</v>
      </c>
      <c r="S148" s="25">
        <v>21</v>
      </c>
      <c r="T148" s="25">
        <v>40</v>
      </c>
      <c r="U148" s="25">
        <v>27</v>
      </c>
      <c r="V148" s="25">
        <v>390</v>
      </c>
      <c r="W148" s="25">
        <v>3.83</v>
      </c>
      <c r="X148" s="25">
        <v>18.600000000000001</v>
      </c>
      <c r="Y148" s="25">
        <v>161900</v>
      </c>
      <c r="Z148" s="25">
        <v>19150</v>
      </c>
      <c r="AA148" s="25">
        <v>21.7</v>
      </c>
      <c r="AB148" s="25">
        <v>7.46</v>
      </c>
      <c r="AC148" s="25">
        <v>6180</v>
      </c>
      <c r="AD148" s="25">
        <v>1252</v>
      </c>
      <c r="AE148" s="25">
        <v>7094</v>
      </c>
      <c r="AF148" s="25">
        <v>1932</v>
      </c>
      <c r="AG148" s="25">
        <v>0.89400000000000002</v>
      </c>
      <c r="AH148" s="25">
        <v>12.9</v>
      </c>
      <c r="AI148" s="25">
        <v>11.2</v>
      </c>
      <c r="AJ148" s="25">
        <v>1544</v>
      </c>
      <c r="AK148" s="32">
        <v>344</v>
      </c>
    </row>
    <row r="149" spans="1:37">
      <c r="A149" s="26" t="s">
        <v>178</v>
      </c>
      <c r="B149" s="27">
        <v>522</v>
      </c>
      <c r="C149" s="27">
        <v>300</v>
      </c>
      <c r="D149" s="27">
        <v>11.5</v>
      </c>
      <c r="E149" s="27">
        <v>15</v>
      </c>
      <c r="F149" s="27">
        <v>27</v>
      </c>
      <c r="G149" s="27">
        <v>438</v>
      </c>
      <c r="H149" s="27">
        <v>72870</v>
      </c>
      <c r="I149" s="27">
        <v>6767</v>
      </c>
      <c r="J149" s="27">
        <v>2792</v>
      </c>
      <c r="K149" s="27">
        <v>451</v>
      </c>
      <c r="L149" s="27">
        <v>3128</v>
      </c>
      <c r="M149" s="27">
        <v>699</v>
      </c>
      <c r="N149" s="33">
        <v>153</v>
      </c>
      <c r="O149" s="26" t="s">
        <v>178</v>
      </c>
      <c r="P149" s="27">
        <v>120</v>
      </c>
      <c r="Q149" s="27">
        <v>522</v>
      </c>
      <c r="R149" s="27">
        <v>300</v>
      </c>
      <c r="S149" s="27">
        <v>11.5</v>
      </c>
      <c r="T149" s="27">
        <v>15</v>
      </c>
      <c r="U149" s="27">
        <v>27</v>
      </c>
      <c r="V149" s="27">
        <v>438</v>
      </c>
      <c r="W149" s="27">
        <v>10</v>
      </c>
      <c r="X149" s="27">
        <v>38.1</v>
      </c>
      <c r="Y149" s="27">
        <v>72870</v>
      </c>
      <c r="Z149" s="27">
        <v>6767</v>
      </c>
      <c r="AA149" s="27">
        <v>21.8</v>
      </c>
      <c r="AB149" s="27">
        <v>6.65</v>
      </c>
      <c r="AC149" s="27">
        <v>2792</v>
      </c>
      <c r="AD149" s="27">
        <v>451</v>
      </c>
      <c r="AE149" s="27">
        <v>3128</v>
      </c>
      <c r="AF149" s="27">
        <v>699</v>
      </c>
      <c r="AG149" s="27">
        <v>0.877</v>
      </c>
      <c r="AH149" s="27">
        <v>31.5</v>
      </c>
      <c r="AI149" s="27">
        <v>4.3499999999999996</v>
      </c>
      <c r="AJ149" s="27">
        <v>127</v>
      </c>
      <c r="AK149" s="33">
        <v>153</v>
      </c>
    </row>
    <row r="150" spans="1:37">
      <c r="A150" s="26" t="s">
        <v>179</v>
      </c>
      <c r="B150" s="27">
        <v>540</v>
      </c>
      <c r="C150" s="27">
        <v>300</v>
      </c>
      <c r="D150" s="27">
        <v>12.5</v>
      </c>
      <c r="E150" s="27">
        <v>24</v>
      </c>
      <c r="F150" s="27">
        <v>27</v>
      </c>
      <c r="G150" s="27">
        <v>438</v>
      </c>
      <c r="H150" s="27">
        <v>111900</v>
      </c>
      <c r="I150" s="27">
        <v>10820</v>
      </c>
      <c r="J150" s="27">
        <v>4146</v>
      </c>
      <c r="K150" s="27">
        <v>721</v>
      </c>
      <c r="L150" s="27">
        <v>4622</v>
      </c>
      <c r="M150" s="27">
        <v>1107</v>
      </c>
      <c r="N150" s="33">
        <v>212</v>
      </c>
      <c r="O150" s="26" t="s">
        <v>179</v>
      </c>
      <c r="P150" s="27">
        <v>166.2</v>
      </c>
      <c r="Q150" s="27">
        <v>540</v>
      </c>
      <c r="R150" s="27">
        <v>300</v>
      </c>
      <c r="S150" s="27">
        <v>12.5</v>
      </c>
      <c r="T150" s="27">
        <v>24</v>
      </c>
      <c r="U150" s="27">
        <v>27</v>
      </c>
      <c r="V150" s="27">
        <v>438</v>
      </c>
      <c r="W150" s="27">
        <v>6.25</v>
      </c>
      <c r="X150" s="27">
        <v>35</v>
      </c>
      <c r="Y150" s="27">
        <v>111900</v>
      </c>
      <c r="Z150" s="27">
        <v>10820</v>
      </c>
      <c r="AA150" s="27">
        <v>23</v>
      </c>
      <c r="AB150" s="27">
        <v>7.15</v>
      </c>
      <c r="AC150" s="27">
        <v>4146</v>
      </c>
      <c r="AD150" s="27">
        <v>721</v>
      </c>
      <c r="AE150" s="27">
        <v>4622</v>
      </c>
      <c r="AF150" s="27">
        <v>1107</v>
      </c>
      <c r="AG150" s="27">
        <v>0.89700000000000002</v>
      </c>
      <c r="AH150" s="27">
        <v>22.4</v>
      </c>
      <c r="AI150" s="27">
        <v>7.2</v>
      </c>
      <c r="AJ150" s="27">
        <v>360</v>
      </c>
      <c r="AK150" s="33">
        <v>212</v>
      </c>
    </row>
    <row r="151" spans="1:37">
      <c r="A151" s="26" t="s">
        <v>180</v>
      </c>
      <c r="B151" s="27">
        <v>550</v>
      </c>
      <c r="C151" s="27">
        <v>300</v>
      </c>
      <c r="D151" s="27">
        <v>15</v>
      </c>
      <c r="E151" s="27">
        <v>29</v>
      </c>
      <c r="F151" s="27">
        <v>27</v>
      </c>
      <c r="G151" s="27">
        <v>438</v>
      </c>
      <c r="H151" s="27">
        <v>136700</v>
      </c>
      <c r="I151" s="27">
        <v>13080</v>
      </c>
      <c r="J151" s="27">
        <v>4971</v>
      </c>
      <c r="K151" s="27">
        <v>872</v>
      </c>
      <c r="L151" s="27">
        <v>5591</v>
      </c>
      <c r="M151" s="27">
        <v>1341</v>
      </c>
      <c r="N151" s="33">
        <v>254</v>
      </c>
      <c r="O151" s="26" t="s">
        <v>180</v>
      </c>
      <c r="P151" s="27">
        <v>199.4</v>
      </c>
      <c r="Q151" s="27">
        <v>550</v>
      </c>
      <c r="R151" s="27">
        <v>300</v>
      </c>
      <c r="S151" s="27">
        <v>15</v>
      </c>
      <c r="T151" s="27">
        <v>29</v>
      </c>
      <c r="U151" s="27">
        <v>27</v>
      </c>
      <c r="V151" s="27">
        <v>438</v>
      </c>
      <c r="W151" s="27">
        <v>5.17</v>
      </c>
      <c r="X151" s="27">
        <v>29.2</v>
      </c>
      <c r="Y151" s="27">
        <v>136700</v>
      </c>
      <c r="Z151" s="27">
        <v>13080</v>
      </c>
      <c r="AA151" s="27">
        <v>23.2</v>
      </c>
      <c r="AB151" s="27">
        <v>7.17</v>
      </c>
      <c r="AC151" s="27">
        <v>4971</v>
      </c>
      <c r="AD151" s="27">
        <v>872</v>
      </c>
      <c r="AE151" s="27">
        <v>5591</v>
      </c>
      <c r="AF151" s="27">
        <v>1341</v>
      </c>
      <c r="AG151" s="27">
        <v>0.89600000000000002</v>
      </c>
      <c r="AH151" s="27">
        <v>19</v>
      </c>
      <c r="AI151" s="27">
        <v>8.8699999999999992</v>
      </c>
      <c r="AJ151" s="27">
        <v>610</v>
      </c>
      <c r="AK151" s="33">
        <v>254</v>
      </c>
    </row>
    <row r="152" spans="1:37">
      <c r="A152" s="24" t="s">
        <v>181</v>
      </c>
      <c r="B152" s="25">
        <v>572</v>
      </c>
      <c r="C152" s="25">
        <v>306</v>
      </c>
      <c r="D152" s="25">
        <v>21</v>
      </c>
      <c r="E152" s="25">
        <v>40</v>
      </c>
      <c r="F152" s="25">
        <v>27</v>
      </c>
      <c r="G152" s="25">
        <v>438</v>
      </c>
      <c r="H152" s="25">
        <v>198000</v>
      </c>
      <c r="I152" s="25">
        <v>19160</v>
      </c>
      <c r="J152" s="25">
        <v>6923</v>
      </c>
      <c r="K152" s="25">
        <v>1252</v>
      </c>
      <c r="L152" s="25">
        <v>7933</v>
      </c>
      <c r="M152" s="25">
        <v>1937</v>
      </c>
      <c r="N152" s="32">
        <v>354</v>
      </c>
      <c r="O152" s="24" t="s">
        <v>181</v>
      </c>
      <c r="P152" s="25">
        <v>278.2</v>
      </c>
      <c r="Q152" s="25">
        <v>572</v>
      </c>
      <c r="R152" s="25">
        <v>306</v>
      </c>
      <c r="S152" s="25">
        <v>21</v>
      </c>
      <c r="T152" s="25">
        <v>40</v>
      </c>
      <c r="U152" s="25">
        <v>27</v>
      </c>
      <c r="V152" s="25">
        <v>438</v>
      </c>
      <c r="W152" s="25">
        <v>3.83</v>
      </c>
      <c r="X152" s="25">
        <v>20.9</v>
      </c>
      <c r="Y152" s="25">
        <v>198000</v>
      </c>
      <c r="Z152" s="25">
        <v>19160</v>
      </c>
      <c r="AA152" s="25">
        <v>23.6</v>
      </c>
      <c r="AB152" s="25">
        <v>7.35</v>
      </c>
      <c r="AC152" s="25">
        <v>6923</v>
      </c>
      <c r="AD152" s="25">
        <v>1252</v>
      </c>
      <c r="AE152" s="25">
        <v>7933</v>
      </c>
      <c r="AF152" s="25">
        <v>1937</v>
      </c>
      <c r="AG152" s="25">
        <v>0.89400000000000002</v>
      </c>
      <c r="AH152" s="25">
        <v>14.4</v>
      </c>
      <c r="AI152" s="25">
        <v>13.6</v>
      </c>
      <c r="AJ152" s="25">
        <v>1559</v>
      </c>
      <c r="AK152" s="32">
        <v>354</v>
      </c>
    </row>
    <row r="153" spans="1:37">
      <c r="A153" s="26" t="s">
        <v>182</v>
      </c>
      <c r="B153" s="27">
        <v>571</v>
      </c>
      <c r="C153" s="27">
        <v>300</v>
      </c>
      <c r="D153" s="27">
        <v>12</v>
      </c>
      <c r="E153" s="27">
        <v>15.5</v>
      </c>
      <c r="F153" s="27">
        <v>27</v>
      </c>
      <c r="G153" s="27">
        <v>486</v>
      </c>
      <c r="H153" s="27">
        <v>91870</v>
      </c>
      <c r="I153" s="27">
        <v>6993</v>
      </c>
      <c r="J153" s="27">
        <v>3218</v>
      </c>
      <c r="K153" s="27">
        <v>466</v>
      </c>
      <c r="L153" s="27">
        <v>3623</v>
      </c>
      <c r="M153" s="27">
        <v>724</v>
      </c>
      <c r="N153" s="33">
        <v>164</v>
      </c>
      <c r="O153" s="26" t="s">
        <v>182</v>
      </c>
      <c r="P153" s="27">
        <v>128.80000000000001</v>
      </c>
      <c r="Q153" s="27">
        <v>571</v>
      </c>
      <c r="R153" s="27">
        <v>300</v>
      </c>
      <c r="S153" s="27">
        <v>12</v>
      </c>
      <c r="T153" s="27">
        <v>15.5</v>
      </c>
      <c r="U153" s="27">
        <v>27</v>
      </c>
      <c r="V153" s="27">
        <v>486</v>
      </c>
      <c r="W153" s="27">
        <v>9.68</v>
      </c>
      <c r="X153" s="27">
        <v>40.5</v>
      </c>
      <c r="Y153" s="27">
        <v>91870</v>
      </c>
      <c r="Z153" s="27">
        <v>6993</v>
      </c>
      <c r="AA153" s="27">
        <v>23.7</v>
      </c>
      <c r="AB153" s="27">
        <v>6.53</v>
      </c>
      <c r="AC153" s="27">
        <v>3218</v>
      </c>
      <c r="AD153" s="27">
        <v>466</v>
      </c>
      <c r="AE153" s="27">
        <v>3623</v>
      </c>
      <c r="AF153" s="27">
        <v>724</v>
      </c>
      <c r="AG153" s="27">
        <v>0.874</v>
      </c>
      <c r="AH153" s="27">
        <v>33.799999999999997</v>
      </c>
      <c r="AI153" s="27">
        <v>5.4</v>
      </c>
      <c r="AJ153" s="27">
        <v>142</v>
      </c>
      <c r="AK153" s="33">
        <v>164</v>
      </c>
    </row>
    <row r="154" spans="1:37">
      <c r="A154" s="26" t="s">
        <v>183</v>
      </c>
      <c r="B154" s="27">
        <v>575</v>
      </c>
      <c r="C154" s="27">
        <v>300</v>
      </c>
      <c r="D154" s="27">
        <v>11.8</v>
      </c>
      <c r="E154" s="27">
        <v>17.5</v>
      </c>
      <c r="F154" s="27">
        <v>27</v>
      </c>
      <c r="G154" s="27">
        <v>486</v>
      </c>
      <c r="H154" s="27">
        <v>101500</v>
      </c>
      <c r="I154" s="27">
        <v>7893</v>
      </c>
      <c r="J154" s="27">
        <v>3529</v>
      </c>
      <c r="K154" s="27">
        <v>526</v>
      </c>
      <c r="L154" s="27">
        <v>3952</v>
      </c>
      <c r="M154" s="27">
        <v>814</v>
      </c>
      <c r="N154" s="33">
        <v>175</v>
      </c>
      <c r="O154" s="26" t="s">
        <v>183</v>
      </c>
      <c r="P154" s="27">
        <v>137.4</v>
      </c>
      <c r="Q154" s="27">
        <v>575</v>
      </c>
      <c r="R154" s="27">
        <v>300</v>
      </c>
      <c r="S154" s="27">
        <v>11.8</v>
      </c>
      <c r="T154" s="27">
        <v>17.5</v>
      </c>
      <c r="U154" s="27">
        <v>27</v>
      </c>
      <c r="V154" s="27">
        <v>486</v>
      </c>
      <c r="W154" s="27">
        <v>8.57</v>
      </c>
      <c r="X154" s="27">
        <v>41.2</v>
      </c>
      <c r="Y154" s="27">
        <v>101500</v>
      </c>
      <c r="Z154" s="27">
        <v>7893</v>
      </c>
      <c r="AA154" s="27">
        <v>24.1</v>
      </c>
      <c r="AB154" s="27">
        <v>6.72</v>
      </c>
      <c r="AC154" s="27">
        <v>3529</v>
      </c>
      <c r="AD154" s="27">
        <v>526</v>
      </c>
      <c r="AE154" s="27">
        <v>3952</v>
      </c>
      <c r="AF154" s="27">
        <v>814</v>
      </c>
      <c r="AG154" s="27">
        <v>0.88200000000000001</v>
      </c>
      <c r="AH154" s="27">
        <v>31.4</v>
      </c>
      <c r="AI154" s="27">
        <v>6.13</v>
      </c>
      <c r="AJ154" s="27">
        <v>177</v>
      </c>
      <c r="AK154" s="33">
        <v>175</v>
      </c>
    </row>
    <row r="155" spans="1:37">
      <c r="A155" s="26" t="s">
        <v>184</v>
      </c>
      <c r="B155" s="27">
        <v>582</v>
      </c>
      <c r="C155" s="27">
        <v>300</v>
      </c>
      <c r="D155" s="27">
        <v>11.6</v>
      </c>
      <c r="E155" s="27">
        <v>20.6</v>
      </c>
      <c r="F155" s="27">
        <v>27</v>
      </c>
      <c r="G155" s="27">
        <v>486.8</v>
      </c>
      <c r="H155" s="27">
        <v>117100</v>
      </c>
      <c r="I155" s="27">
        <v>9287</v>
      </c>
      <c r="J155" s="27">
        <v>4024</v>
      </c>
      <c r="K155" s="27">
        <v>619</v>
      </c>
      <c r="L155" s="27">
        <v>4483</v>
      </c>
      <c r="M155" s="27">
        <v>953</v>
      </c>
      <c r="N155" s="33">
        <v>193</v>
      </c>
      <c r="O155" s="26" t="s">
        <v>184</v>
      </c>
      <c r="P155" s="27">
        <v>151.19999999999999</v>
      </c>
      <c r="Q155" s="27">
        <v>582</v>
      </c>
      <c r="R155" s="27">
        <v>300</v>
      </c>
      <c r="S155" s="27">
        <v>11.6</v>
      </c>
      <c r="T155" s="27">
        <v>20.6</v>
      </c>
      <c r="U155" s="27">
        <v>27</v>
      </c>
      <c r="V155" s="27">
        <v>486.8</v>
      </c>
      <c r="W155" s="27">
        <v>7.28</v>
      </c>
      <c r="X155" s="27">
        <v>42</v>
      </c>
      <c r="Y155" s="27">
        <v>117100</v>
      </c>
      <c r="Z155" s="27">
        <v>9287</v>
      </c>
      <c r="AA155" s="27">
        <v>24.7</v>
      </c>
      <c r="AB155" s="27">
        <v>6.94</v>
      </c>
      <c r="AC155" s="27">
        <v>4024</v>
      </c>
      <c r="AD155" s="27">
        <v>619</v>
      </c>
      <c r="AE155" s="27">
        <v>4483</v>
      </c>
      <c r="AF155" s="27">
        <v>953</v>
      </c>
      <c r="AG155" s="27">
        <v>0.89200000000000002</v>
      </c>
      <c r="AH155" s="27">
        <v>28</v>
      </c>
      <c r="AI155" s="27">
        <v>7.32</v>
      </c>
      <c r="AJ155" s="27">
        <v>247</v>
      </c>
      <c r="AK155" s="33">
        <v>193</v>
      </c>
    </row>
    <row r="156" spans="1:37">
      <c r="A156" s="26" t="s">
        <v>185</v>
      </c>
      <c r="B156" s="27">
        <v>588</v>
      </c>
      <c r="C156" s="27">
        <v>300</v>
      </c>
      <c r="D156" s="27">
        <v>13.6</v>
      </c>
      <c r="E156" s="27">
        <v>23.9</v>
      </c>
      <c r="F156" s="27">
        <v>27</v>
      </c>
      <c r="G156" s="27">
        <v>486.2</v>
      </c>
      <c r="H156" s="27">
        <v>136400</v>
      </c>
      <c r="I156" s="27">
        <v>10780</v>
      </c>
      <c r="J156" s="27">
        <v>4639</v>
      </c>
      <c r="K156" s="27">
        <v>719</v>
      </c>
      <c r="L156" s="27">
        <v>5202</v>
      </c>
      <c r="M156" s="27">
        <v>1109</v>
      </c>
      <c r="N156" s="33">
        <v>223</v>
      </c>
      <c r="O156" s="26" t="s">
        <v>185</v>
      </c>
      <c r="P156" s="27">
        <v>175.2</v>
      </c>
      <c r="Q156" s="27">
        <v>588</v>
      </c>
      <c r="R156" s="27">
        <v>300</v>
      </c>
      <c r="S156" s="27">
        <v>13.6</v>
      </c>
      <c r="T156" s="27">
        <v>23.9</v>
      </c>
      <c r="U156" s="27">
        <v>27</v>
      </c>
      <c r="V156" s="27">
        <v>486.2</v>
      </c>
      <c r="W156" s="27">
        <v>6.28</v>
      </c>
      <c r="X156" s="27">
        <v>35.799999999999997</v>
      </c>
      <c r="Y156" s="27">
        <v>136400</v>
      </c>
      <c r="Z156" s="27">
        <v>10780</v>
      </c>
      <c r="AA156" s="27">
        <v>24.7</v>
      </c>
      <c r="AB156" s="27">
        <v>6.95</v>
      </c>
      <c r="AC156" s="27">
        <v>4639</v>
      </c>
      <c r="AD156" s="27">
        <v>719</v>
      </c>
      <c r="AE156" s="27">
        <v>5202</v>
      </c>
      <c r="AF156" s="27">
        <v>1109</v>
      </c>
      <c r="AG156" s="27">
        <v>0.89100000000000001</v>
      </c>
      <c r="AH156" s="27">
        <v>24.7</v>
      </c>
      <c r="AI156" s="27">
        <v>8.57</v>
      </c>
      <c r="AJ156" s="27">
        <v>374</v>
      </c>
      <c r="AK156" s="33">
        <v>223</v>
      </c>
    </row>
    <row r="157" spans="1:37">
      <c r="A157" s="26" t="s">
        <v>186</v>
      </c>
      <c r="B157" s="27">
        <v>590</v>
      </c>
      <c r="C157" s="27">
        <v>300</v>
      </c>
      <c r="D157" s="27">
        <v>13</v>
      </c>
      <c r="E157" s="27">
        <v>25</v>
      </c>
      <c r="F157" s="27">
        <v>27</v>
      </c>
      <c r="G157" s="27">
        <v>486</v>
      </c>
      <c r="H157" s="27">
        <v>141200</v>
      </c>
      <c r="I157" s="27">
        <v>11270</v>
      </c>
      <c r="J157" s="27">
        <v>4787</v>
      </c>
      <c r="K157" s="27">
        <v>751</v>
      </c>
      <c r="L157" s="27">
        <v>5350</v>
      </c>
      <c r="M157" s="27">
        <v>1156</v>
      </c>
      <c r="N157" s="33">
        <v>226</v>
      </c>
      <c r="O157" s="26" t="s">
        <v>186</v>
      </c>
      <c r="P157" s="27">
        <v>177.8</v>
      </c>
      <c r="Q157" s="27">
        <v>590</v>
      </c>
      <c r="R157" s="27">
        <v>300</v>
      </c>
      <c r="S157" s="27">
        <v>13</v>
      </c>
      <c r="T157" s="27">
        <v>25</v>
      </c>
      <c r="U157" s="27">
        <v>27</v>
      </c>
      <c r="V157" s="27">
        <v>486</v>
      </c>
      <c r="W157" s="27">
        <v>6</v>
      </c>
      <c r="X157" s="27">
        <v>37.4</v>
      </c>
      <c r="Y157" s="27">
        <v>141200</v>
      </c>
      <c r="Z157" s="27">
        <v>11270</v>
      </c>
      <c r="AA157" s="27">
        <v>25</v>
      </c>
      <c r="AB157" s="27">
        <v>7.05</v>
      </c>
      <c r="AC157" s="27">
        <v>4787</v>
      </c>
      <c r="AD157" s="27">
        <v>751</v>
      </c>
      <c r="AE157" s="27">
        <v>5350</v>
      </c>
      <c r="AF157" s="27">
        <v>1156</v>
      </c>
      <c r="AG157" s="27">
        <v>0.89600000000000002</v>
      </c>
      <c r="AH157" s="27">
        <v>23.9</v>
      </c>
      <c r="AI157" s="27">
        <v>9</v>
      </c>
      <c r="AJ157" s="27">
        <v>407</v>
      </c>
      <c r="AK157" s="33">
        <v>226</v>
      </c>
    </row>
    <row r="158" spans="1:37">
      <c r="A158" s="26" t="s">
        <v>187</v>
      </c>
      <c r="B158" s="27">
        <v>600</v>
      </c>
      <c r="C158" s="27">
        <v>300</v>
      </c>
      <c r="D158" s="27">
        <v>15.5</v>
      </c>
      <c r="E158" s="27">
        <v>30</v>
      </c>
      <c r="F158" s="27">
        <v>27</v>
      </c>
      <c r="G158" s="27">
        <v>486</v>
      </c>
      <c r="H158" s="27">
        <v>171000</v>
      </c>
      <c r="I158" s="27">
        <v>13530</v>
      </c>
      <c r="J158" s="27">
        <v>5701</v>
      </c>
      <c r="K158" s="27">
        <v>902</v>
      </c>
      <c r="L158" s="27">
        <v>6425</v>
      </c>
      <c r="M158" s="27">
        <v>1391</v>
      </c>
      <c r="N158" s="33">
        <v>270</v>
      </c>
      <c r="O158" s="26" t="s">
        <v>187</v>
      </c>
      <c r="P158" s="27">
        <v>211.9</v>
      </c>
      <c r="Q158" s="27">
        <v>600</v>
      </c>
      <c r="R158" s="27">
        <v>300</v>
      </c>
      <c r="S158" s="27">
        <v>15.5</v>
      </c>
      <c r="T158" s="27">
        <v>30</v>
      </c>
      <c r="U158" s="27">
        <v>27</v>
      </c>
      <c r="V158" s="27">
        <v>486</v>
      </c>
      <c r="W158" s="27">
        <v>5</v>
      </c>
      <c r="X158" s="27">
        <v>31.4</v>
      </c>
      <c r="Y158" s="27">
        <v>171000</v>
      </c>
      <c r="Z158" s="27">
        <v>13530</v>
      </c>
      <c r="AA158" s="27">
        <v>25.2</v>
      </c>
      <c r="AB158" s="27">
        <v>7.08</v>
      </c>
      <c r="AC158" s="27">
        <v>5701</v>
      </c>
      <c r="AD158" s="27">
        <v>902</v>
      </c>
      <c r="AE158" s="27">
        <v>6425</v>
      </c>
      <c r="AF158" s="27">
        <v>1391</v>
      </c>
      <c r="AG158" s="27">
        <v>0.89500000000000002</v>
      </c>
      <c r="AH158" s="27">
        <v>20.399999999999999</v>
      </c>
      <c r="AI158" s="27">
        <v>11</v>
      </c>
      <c r="AJ158" s="27">
        <v>677</v>
      </c>
      <c r="AK158" s="33">
        <v>270</v>
      </c>
    </row>
    <row r="159" spans="1:37">
      <c r="A159" s="24" t="s">
        <v>188</v>
      </c>
      <c r="B159" s="25">
        <v>620</v>
      </c>
      <c r="C159" s="25">
        <v>305</v>
      </c>
      <c r="D159" s="25">
        <v>21</v>
      </c>
      <c r="E159" s="25">
        <v>40</v>
      </c>
      <c r="F159" s="25">
        <v>27</v>
      </c>
      <c r="G159" s="25">
        <v>486</v>
      </c>
      <c r="H159" s="25">
        <v>237400</v>
      </c>
      <c r="I159" s="25">
        <v>18980</v>
      </c>
      <c r="J159" s="25">
        <v>7660</v>
      </c>
      <c r="K159" s="25">
        <v>1244</v>
      </c>
      <c r="L159" s="25">
        <v>8772</v>
      </c>
      <c r="M159" s="25">
        <v>1930</v>
      </c>
      <c r="N159" s="32">
        <v>364</v>
      </c>
      <c r="O159" s="24" t="s">
        <v>188</v>
      </c>
      <c r="P159" s="25">
        <v>285.5</v>
      </c>
      <c r="Q159" s="25">
        <v>620</v>
      </c>
      <c r="R159" s="25">
        <v>305</v>
      </c>
      <c r="S159" s="25">
        <v>21</v>
      </c>
      <c r="T159" s="25">
        <v>40</v>
      </c>
      <c r="U159" s="25">
        <v>27</v>
      </c>
      <c r="V159" s="25">
        <v>486</v>
      </c>
      <c r="W159" s="25">
        <v>3.81</v>
      </c>
      <c r="X159" s="25">
        <v>23.1</v>
      </c>
      <c r="Y159" s="25">
        <v>237400</v>
      </c>
      <c r="Z159" s="25">
        <v>18980</v>
      </c>
      <c r="AA159" s="25">
        <v>25.6</v>
      </c>
      <c r="AB159" s="25">
        <v>7.22</v>
      </c>
      <c r="AC159" s="25">
        <v>7660</v>
      </c>
      <c r="AD159" s="25">
        <v>1244</v>
      </c>
      <c r="AE159" s="25">
        <v>8772</v>
      </c>
      <c r="AF159" s="25">
        <v>1930</v>
      </c>
      <c r="AG159" s="25">
        <v>0.89300000000000002</v>
      </c>
      <c r="AH159" s="25">
        <v>15.8</v>
      </c>
      <c r="AI159" s="25">
        <v>16</v>
      </c>
      <c r="AJ159" s="25">
        <v>1570</v>
      </c>
      <c r="AK159" s="32">
        <v>364</v>
      </c>
    </row>
    <row r="160" spans="1:37">
      <c r="A160" s="26" t="s">
        <v>189</v>
      </c>
      <c r="B160" s="27">
        <v>620</v>
      </c>
      <c r="C160" s="27">
        <v>300</v>
      </c>
      <c r="D160" s="27">
        <v>12.5</v>
      </c>
      <c r="E160" s="27">
        <v>16</v>
      </c>
      <c r="F160" s="27">
        <v>27</v>
      </c>
      <c r="G160" s="27">
        <v>534</v>
      </c>
      <c r="H160" s="27">
        <v>113900</v>
      </c>
      <c r="I160" s="27">
        <v>7221</v>
      </c>
      <c r="J160" s="27">
        <v>3676</v>
      </c>
      <c r="K160" s="27">
        <v>481</v>
      </c>
      <c r="L160" s="27">
        <v>4160</v>
      </c>
      <c r="M160" s="27">
        <v>751</v>
      </c>
      <c r="N160" s="33">
        <v>176</v>
      </c>
      <c r="O160" s="26" t="s">
        <v>189</v>
      </c>
      <c r="P160" s="27">
        <v>138</v>
      </c>
      <c r="Q160" s="27">
        <v>620</v>
      </c>
      <c r="R160" s="27">
        <v>300</v>
      </c>
      <c r="S160" s="27">
        <v>12.5</v>
      </c>
      <c r="T160" s="27">
        <v>16</v>
      </c>
      <c r="U160" s="27">
        <v>27</v>
      </c>
      <c r="V160" s="27">
        <v>534</v>
      </c>
      <c r="W160" s="27">
        <v>9.3800000000000008</v>
      </c>
      <c r="X160" s="27">
        <v>42.7</v>
      </c>
      <c r="Y160" s="27">
        <v>113900</v>
      </c>
      <c r="Z160" s="27">
        <v>7221</v>
      </c>
      <c r="AA160" s="27">
        <v>25.5</v>
      </c>
      <c r="AB160" s="27">
        <v>6.41</v>
      </c>
      <c r="AC160" s="27">
        <v>3676</v>
      </c>
      <c r="AD160" s="27">
        <v>481</v>
      </c>
      <c r="AE160" s="27">
        <v>4160</v>
      </c>
      <c r="AF160" s="27">
        <v>751</v>
      </c>
      <c r="AG160" s="27">
        <v>0.871</v>
      </c>
      <c r="AH160" s="27">
        <v>36</v>
      </c>
      <c r="AI160" s="27">
        <v>6.59</v>
      </c>
      <c r="AJ160" s="27">
        <v>158</v>
      </c>
      <c r="AK160" s="33">
        <v>176</v>
      </c>
    </row>
    <row r="161" spans="1:37">
      <c r="A161" s="26" t="s">
        <v>190</v>
      </c>
      <c r="B161" s="27">
        <v>640</v>
      </c>
      <c r="C161" s="27">
        <v>300</v>
      </c>
      <c r="D161" s="27">
        <v>13.5</v>
      </c>
      <c r="E161" s="27">
        <v>26</v>
      </c>
      <c r="F161" s="27">
        <v>27</v>
      </c>
      <c r="G161" s="27">
        <v>534</v>
      </c>
      <c r="H161" s="27">
        <v>175200</v>
      </c>
      <c r="I161" s="27">
        <v>11720</v>
      </c>
      <c r="J161" s="27">
        <v>5474</v>
      </c>
      <c r="K161" s="27">
        <v>782</v>
      </c>
      <c r="L161" s="27">
        <v>6136</v>
      </c>
      <c r="M161" s="27">
        <v>1205</v>
      </c>
      <c r="N161" s="33">
        <v>242</v>
      </c>
      <c r="O161" s="26" t="s">
        <v>190</v>
      </c>
      <c r="P161" s="27">
        <v>189.7</v>
      </c>
      <c r="Q161" s="27">
        <v>640</v>
      </c>
      <c r="R161" s="27">
        <v>300</v>
      </c>
      <c r="S161" s="27">
        <v>13.5</v>
      </c>
      <c r="T161" s="27">
        <v>26</v>
      </c>
      <c r="U161" s="27">
        <v>27</v>
      </c>
      <c r="V161" s="27">
        <v>534</v>
      </c>
      <c r="W161" s="27">
        <v>5.77</v>
      </c>
      <c r="X161" s="27">
        <v>39.6</v>
      </c>
      <c r="Y161" s="27">
        <v>175200</v>
      </c>
      <c r="Z161" s="27">
        <v>11720</v>
      </c>
      <c r="AA161" s="27">
        <v>26.9</v>
      </c>
      <c r="AB161" s="27">
        <v>6.97</v>
      </c>
      <c r="AC161" s="27">
        <v>5474</v>
      </c>
      <c r="AD161" s="27">
        <v>782</v>
      </c>
      <c r="AE161" s="27">
        <v>6136</v>
      </c>
      <c r="AF161" s="27">
        <v>1205</v>
      </c>
      <c r="AG161" s="27">
        <v>0.89400000000000002</v>
      </c>
      <c r="AH161" s="27">
        <v>25.3</v>
      </c>
      <c r="AI161" s="27">
        <v>11</v>
      </c>
      <c r="AJ161" s="27">
        <v>458</v>
      </c>
      <c r="AK161" s="33">
        <v>242</v>
      </c>
    </row>
    <row r="162" spans="1:37">
      <c r="A162" s="26" t="s">
        <v>191</v>
      </c>
      <c r="B162" s="27">
        <v>650</v>
      </c>
      <c r="C162" s="27">
        <v>300</v>
      </c>
      <c r="D162" s="27">
        <v>16</v>
      </c>
      <c r="E162" s="27">
        <v>31</v>
      </c>
      <c r="F162" s="27">
        <v>27</v>
      </c>
      <c r="G162" s="27">
        <v>534</v>
      </c>
      <c r="H162" s="27">
        <v>210600</v>
      </c>
      <c r="I162" s="27">
        <v>13980</v>
      </c>
      <c r="J162" s="27">
        <v>6480</v>
      </c>
      <c r="K162" s="27">
        <v>932</v>
      </c>
      <c r="L162" s="27">
        <v>7320</v>
      </c>
      <c r="M162" s="27">
        <v>1441</v>
      </c>
      <c r="N162" s="33">
        <v>286</v>
      </c>
      <c r="O162" s="26" t="s">
        <v>191</v>
      </c>
      <c r="P162" s="27">
        <v>224.8</v>
      </c>
      <c r="Q162" s="27">
        <v>650</v>
      </c>
      <c r="R162" s="27">
        <v>300</v>
      </c>
      <c r="S162" s="27">
        <v>16</v>
      </c>
      <c r="T162" s="27">
        <v>31</v>
      </c>
      <c r="U162" s="27">
        <v>27</v>
      </c>
      <c r="V162" s="27">
        <v>534</v>
      </c>
      <c r="W162" s="27">
        <v>4.84</v>
      </c>
      <c r="X162" s="27">
        <v>33.4</v>
      </c>
      <c r="Y162" s="27">
        <v>210600</v>
      </c>
      <c r="Z162" s="27">
        <v>13980</v>
      </c>
      <c r="AA162" s="27">
        <v>27.1</v>
      </c>
      <c r="AB162" s="27">
        <v>6.99</v>
      </c>
      <c r="AC162" s="27">
        <v>6480</v>
      </c>
      <c r="AD162" s="27">
        <v>932</v>
      </c>
      <c r="AE162" s="27">
        <v>7320</v>
      </c>
      <c r="AF162" s="27">
        <v>1441</v>
      </c>
      <c r="AG162" s="27">
        <v>0.89300000000000002</v>
      </c>
      <c r="AH162" s="27">
        <v>21.7</v>
      </c>
      <c r="AI162" s="27">
        <v>13.4</v>
      </c>
      <c r="AJ162" s="27">
        <v>749</v>
      </c>
      <c r="AK162" s="33">
        <v>286</v>
      </c>
    </row>
    <row r="163" spans="1:37">
      <c r="A163" s="24" t="s">
        <v>192</v>
      </c>
      <c r="B163" s="25">
        <v>668</v>
      </c>
      <c r="C163" s="25">
        <v>305</v>
      </c>
      <c r="D163" s="25">
        <v>21</v>
      </c>
      <c r="E163" s="25">
        <v>40</v>
      </c>
      <c r="F163" s="25">
        <v>27</v>
      </c>
      <c r="G163" s="25">
        <v>534</v>
      </c>
      <c r="H163" s="25">
        <v>281700</v>
      </c>
      <c r="I163" s="25">
        <v>18980</v>
      </c>
      <c r="J163" s="25">
        <v>8433</v>
      </c>
      <c r="K163" s="25">
        <v>1245</v>
      </c>
      <c r="L163" s="25">
        <v>9657</v>
      </c>
      <c r="M163" s="25">
        <v>1936</v>
      </c>
      <c r="N163" s="32">
        <v>374</v>
      </c>
      <c r="O163" s="24" t="s">
        <v>192</v>
      </c>
      <c r="P163" s="25">
        <v>293.39999999999998</v>
      </c>
      <c r="Q163" s="25">
        <v>668</v>
      </c>
      <c r="R163" s="25">
        <v>305</v>
      </c>
      <c r="S163" s="25">
        <v>21</v>
      </c>
      <c r="T163" s="25">
        <v>40</v>
      </c>
      <c r="U163" s="25">
        <v>27</v>
      </c>
      <c r="V163" s="25">
        <v>534</v>
      </c>
      <c r="W163" s="25">
        <v>3.81</v>
      </c>
      <c r="X163" s="25">
        <v>25.4</v>
      </c>
      <c r="Y163" s="25">
        <v>281700</v>
      </c>
      <c r="Z163" s="25">
        <v>18980</v>
      </c>
      <c r="AA163" s="25">
        <v>27.5</v>
      </c>
      <c r="AB163" s="25">
        <v>7.13</v>
      </c>
      <c r="AC163" s="25">
        <v>8433</v>
      </c>
      <c r="AD163" s="25">
        <v>1245</v>
      </c>
      <c r="AE163" s="25">
        <v>9657</v>
      </c>
      <c r="AF163" s="25">
        <v>1936</v>
      </c>
      <c r="AG163" s="25">
        <v>0.89100000000000001</v>
      </c>
      <c r="AH163" s="25">
        <v>17.3</v>
      </c>
      <c r="AI163" s="25">
        <v>18.7</v>
      </c>
      <c r="AJ163" s="25">
        <v>1584</v>
      </c>
      <c r="AK163" s="32">
        <v>374</v>
      </c>
    </row>
    <row r="164" spans="1:37">
      <c r="A164" s="26" t="s">
        <v>193</v>
      </c>
      <c r="B164" s="27">
        <v>670</v>
      </c>
      <c r="C164" s="27">
        <v>300</v>
      </c>
      <c r="D164" s="27">
        <v>13</v>
      </c>
      <c r="E164" s="27">
        <v>17</v>
      </c>
      <c r="F164" s="27">
        <v>27</v>
      </c>
      <c r="G164" s="27">
        <v>582</v>
      </c>
      <c r="H164" s="27">
        <v>142700</v>
      </c>
      <c r="I164" s="27">
        <v>7673</v>
      </c>
      <c r="J164" s="27">
        <v>4260</v>
      </c>
      <c r="K164" s="27">
        <v>512</v>
      </c>
      <c r="L164" s="27">
        <v>4840</v>
      </c>
      <c r="M164" s="27">
        <v>800</v>
      </c>
      <c r="N164" s="33">
        <v>191</v>
      </c>
      <c r="O164" s="26" t="s">
        <v>193</v>
      </c>
      <c r="P164" s="27">
        <v>149.9</v>
      </c>
      <c r="Q164" s="27">
        <v>670</v>
      </c>
      <c r="R164" s="27">
        <v>300</v>
      </c>
      <c r="S164" s="27">
        <v>13</v>
      </c>
      <c r="T164" s="27">
        <v>17</v>
      </c>
      <c r="U164" s="27">
        <v>27</v>
      </c>
      <c r="V164" s="27">
        <v>582</v>
      </c>
      <c r="W164" s="27">
        <v>8.82</v>
      </c>
      <c r="X164" s="27">
        <v>44.8</v>
      </c>
      <c r="Y164" s="27">
        <v>142700</v>
      </c>
      <c r="Z164" s="27">
        <v>7673</v>
      </c>
      <c r="AA164" s="27">
        <v>27.3</v>
      </c>
      <c r="AB164" s="27">
        <v>6.34</v>
      </c>
      <c r="AC164" s="27">
        <v>4260</v>
      </c>
      <c r="AD164" s="27">
        <v>512</v>
      </c>
      <c r="AE164" s="27">
        <v>4840</v>
      </c>
      <c r="AF164" s="27">
        <v>800</v>
      </c>
      <c r="AG164" s="27">
        <v>0.86899999999999999</v>
      </c>
      <c r="AH164" s="27">
        <v>37.4</v>
      </c>
      <c r="AI164" s="27">
        <v>8.18</v>
      </c>
      <c r="AJ164" s="27">
        <v>186</v>
      </c>
      <c r="AK164" s="33">
        <v>191</v>
      </c>
    </row>
    <row r="165" spans="1:37">
      <c r="A165" s="26" t="s">
        <v>194</v>
      </c>
      <c r="B165" s="27">
        <v>678</v>
      </c>
      <c r="C165" s="27">
        <v>300</v>
      </c>
      <c r="D165" s="27">
        <v>12.5</v>
      </c>
      <c r="E165" s="27">
        <v>21</v>
      </c>
      <c r="F165" s="27">
        <v>27</v>
      </c>
      <c r="G165" s="27">
        <v>582</v>
      </c>
      <c r="H165" s="27">
        <v>168900</v>
      </c>
      <c r="I165" s="27">
        <v>9471</v>
      </c>
      <c r="J165" s="27">
        <v>4982</v>
      </c>
      <c r="K165" s="27">
        <v>631</v>
      </c>
      <c r="L165" s="27">
        <v>5598</v>
      </c>
      <c r="M165" s="27">
        <v>978</v>
      </c>
      <c r="N165" s="33">
        <v>212</v>
      </c>
      <c r="O165" s="26" t="s">
        <v>194</v>
      </c>
      <c r="P165" s="27">
        <v>166.2</v>
      </c>
      <c r="Q165" s="27">
        <v>678</v>
      </c>
      <c r="R165" s="27">
        <v>300</v>
      </c>
      <c r="S165" s="27">
        <v>12.5</v>
      </c>
      <c r="T165" s="27">
        <v>21</v>
      </c>
      <c r="U165" s="27">
        <v>27</v>
      </c>
      <c r="V165" s="27">
        <v>582</v>
      </c>
      <c r="W165" s="27">
        <v>7.14</v>
      </c>
      <c r="X165" s="27">
        <v>46.6</v>
      </c>
      <c r="Y165" s="27">
        <v>168900</v>
      </c>
      <c r="Z165" s="27">
        <v>9471</v>
      </c>
      <c r="AA165" s="27">
        <v>28.2</v>
      </c>
      <c r="AB165" s="27">
        <v>6.69</v>
      </c>
      <c r="AC165" s="27">
        <v>4982</v>
      </c>
      <c r="AD165" s="27">
        <v>631</v>
      </c>
      <c r="AE165" s="27">
        <v>5598</v>
      </c>
      <c r="AF165" s="27">
        <v>978</v>
      </c>
      <c r="AG165" s="27">
        <v>0.88400000000000001</v>
      </c>
      <c r="AH165" s="27">
        <v>32.700000000000003</v>
      </c>
      <c r="AI165" s="27">
        <v>10.199999999999999</v>
      </c>
      <c r="AJ165" s="27">
        <v>274</v>
      </c>
      <c r="AK165" s="33">
        <v>212</v>
      </c>
    </row>
    <row r="166" spans="1:37">
      <c r="A166" s="26" t="s">
        <v>195</v>
      </c>
      <c r="B166" s="27">
        <v>690</v>
      </c>
      <c r="C166" s="27">
        <v>300</v>
      </c>
      <c r="D166" s="27">
        <v>14.5</v>
      </c>
      <c r="E166" s="27">
        <v>27</v>
      </c>
      <c r="F166" s="27">
        <v>27</v>
      </c>
      <c r="G166" s="27">
        <v>582</v>
      </c>
      <c r="H166" s="27">
        <v>215300</v>
      </c>
      <c r="I166" s="27">
        <v>12180</v>
      </c>
      <c r="J166" s="27">
        <v>6241</v>
      </c>
      <c r="K166" s="27">
        <v>812</v>
      </c>
      <c r="L166" s="27">
        <v>7032</v>
      </c>
      <c r="M166" s="27">
        <v>1257</v>
      </c>
      <c r="N166" s="33">
        <v>260</v>
      </c>
      <c r="O166" s="26" t="s">
        <v>195</v>
      </c>
      <c r="P166" s="27">
        <v>204.5</v>
      </c>
      <c r="Q166" s="27">
        <v>690</v>
      </c>
      <c r="R166" s="27">
        <v>300</v>
      </c>
      <c r="S166" s="27">
        <v>14.5</v>
      </c>
      <c r="T166" s="27">
        <v>27</v>
      </c>
      <c r="U166" s="27">
        <v>27</v>
      </c>
      <c r="V166" s="27">
        <v>582</v>
      </c>
      <c r="W166" s="27">
        <v>5.56</v>
      </c>
      <c r="X166" s="27">
        <v>40.1</v>
      </c>
      <c r="Y166" s="27">
        <v>215300</v>
      </c>
      <c r="Z166" s="27">
        <v>12180</v>
      </c>
      <c r="AA166" s="27">
        <v>28.8</v>
      </c>
      <c r="AB166" s="27">
        <v>6.84</v>
      </c>
      <c r="AC166" s="27">
        <v>6241</v>
      </c>
      <c r="AD166" s="27">
        <v>812</v>
      </c>
      <c r="AE166" s="27">
        <v>7032</v>
      </c>
      <c r="AF166" s="27">
        <v>1257</v>
      </c>
      <c r="AG166" s="27">
        <v>0.88900000000000001</v>
      </c>
      <c r="AH166" s="27">
        <v>26.5</v>
      </c>
      <c r="AI166" s="27">
        <v>13.4</v>
      </c>
      <c r="AJ166" s="27">
        <v>522</v>
      </c>
      <c r="AK166" s="33">
        <v>260</v>
      </c>
    </row>
    <row r="167" spans="1:37">
      <c r="A167" s="26" t="s">
        <v>196</v>
      </c>
      <c r="B167" s="27">
        <v>700</v>
      </c>
      <c r="C167" s="27">
        <v>300</v>
      </c>
      <c r="D167" s="27">
        <v>17</v>
      </c>
      <c r="E167" s="27">
        <v>32</v>
      </c>
      <c r="F167" s="27">
        <v>27</v>
      </c>
      <c r="G167" s="27">
        <v>582</v>
      </c>
      <c r="H167" s="27">
        <v>256900</v>
      </c>
      <c r="I167" s="27">
        <v>14440</v>
      </c>
      <c r="J167" s="27">
        <v>7340</v>
      </c>
      <c r="K167" s="27">
        <v>963</v>
      </c>
      <c r="L167" s="27">
        <v>8327</v>
      </c>
      <c r="M167" s="27">
        <v>1495</v>
      </c>
      <c r="N167" s="33">
        <v>306</v>
      </c>
      <c r="O167" s="26" t="s">
        <v>196</v>
      </c>
      <c r="P167" s="27">
        <v>240.5</v>
      </c>
      <c r="Q167" s="27">
        <v>700</v>
      </c>
      <c r="R167" s="27">
        <v>300</v>
      </c>
      <c r="S167" s="27">
        <v>17</v>
      </c>
      <c r="T167" s="27">
        <v>32</v>
      </c>
      <c r="U167" s="27">
        <v>27</v>
      </c>
      <c r="V167" s="27">
        <v>582</v>
      </c>
      <c r="W167" s="27">
        <v>4.6900000000000004</v>
      </c>
      <c r="X167" s="27">
        <v>34.200000000000003</v>
      </c>
      <c r="Y167" s="27">
        <v>256900</v>
      </c>
      <c r="Z167" s="27">
        <v>14440</v>
      </c>
      <c r="AA167" s="27">
        <v>29</v>
      </c>
      <c r="AB167" s="27">
        <v>6.87</v>
      </c>
      <c r="AC167" s="27">
        <v>7340</v>
      </c>
      <c r="AD167" s="27">
        <v>963</v>
      </c>
      <c r="AE167" s="27">
        <v>8327</v>
      </c>
      <c r="AF167" s="27">
        <v>1495</v>
      </c>
      <c r="AG167" s="27">
        <v>0.88900000000000001</v>
      </c>
      <c r="AH167" s="27">
        <v>22.8</v>
      </c>
      <c r="AI167" s="27">
        <v>16.100000000000001</v>
      </c>
      <c r="AJ167" s="27">
        <v>839</v>
      </c>
      <c r="AK167" s="33">
        <v>306</v>
      </c>
    </row>
    <row r="168" spans="1:37">
      <c r="A168" s="24" t="s">
        <v>197</v>
      </c>
      <c r="B168" s="25">
        <v>716</v>
      </c>
      <c r="C168" s="25">
        <v>304</v>
      </c>
      <c r="D168" s="25">
        <v>21</v>
      </c>
      <c r="E168" s="25">
        <v>40</v>
      </c>
      <c r="F168" s="25">
        <v>27</v>
      </c>
      <c r="G168" s="25">
        <v>582</v>
      </c>
      <c r="H168" s="25">
        <v>329300</v>
      </c>
      <c r="I168" s="25">
        <v>18800</v>
      </c>
      <c r="J168" s="25">
        <v>9198</v>
      </c>
      <c r="K168" s="25">
        <v>1237</v>
      </c>
      <c r="L168" s="25">
        <v>10540</v>
      </c>
      <c r="M168" s="25">
        <v>1929</v>
      </c>
      <c r="N168" s="32">
        <v>383</v>
      </c>
      <c r="O168" s="24" t="s">
        <v>197</v>
      </c>
      <c r="P168" s="25">
        <v>300.7</v>
      </c>
      <c r="Q168" s="25">
        <v>716</v>
      </c>
      <c r="R168" s="25">
        <v>304</v>
      </c>
      <c r="S168" s="25">
        <v>21</v>
      </c>
      <c r="T168" s="25">
        <v>40</v>
      </c>
      <c r="U168" s="25">
        <v>27</v>
      </c>
      <c r="V168" s="25">
        <v>582</v>
      </c>
      <c r="W168" s="25">
        <v>3.8</v>
      </c>
      <c r="X168" s="25">
        <v>27.7</v>
      </c>
      <c r="Y168" s="25">
        <v>329300</v>
      </c>
      <c r="Z168" s="25">
        <v>18800</v>
      </c>
      <c r="AA168" s="25">
        <v>29.3</v>
      </c>
      <c r="AB168" s="25">
        <v>7.01</v>
      </c>
      <c r="AC168" s="25">
        <v>9198</v>
      </c>
      <c r="AD168" s="25">
        <v>1237</v>
      </c>
      <c r="AE168" s="25">
        <v>10540</v>
      </c>
      <c r="AF168" s="25">
        <v>1929</v>
      </c>
      <c r="AG168" s="25">
        <v>0.88900000000000001</v>
      </c>
      <c r="AH168" s="25">
        <v>18.8</v>
      </c>
      <c r="AI168" s="25">
        <v>21.5</v>
      </c>
      <c r="AJ168" s="25">
        <v>1595</v>
      </c>
      <c r="AK168" s="32">
        <v>383</v>
      </c>
    </row>
    <row r="169" spans="1:37">
      <c r="A169" s="26" t="s">
        <v>198</v>
      </c>
      <c r="B169" s="27">
        <v>770</v>
      </c>
      <c r="C169" s="27">
        <v>300</v>
      </c>
      <c r="D169" s="27">
        <v>14</v>
      </c>
      <c r="E169" s="27">
        <v>18</v>
      </c>
      <c r="F169" s="27">
        <v>30</v>
      </c>
      <c r="G169" s="27">
        <v>674</v>
      </c>
      <c r="H169" s="27">
        <v>208900</v>
      </c>
      <c r="I169" s="27">
        <v>8134</v>
      </c>
      <c r="J169" s="27">
        <v>5426</v>
      </c>
      <c r="K169" s="27">
        <v>542</v>
      </c>
      <c r="L169" s="27">
        <v>6225</v>
      </c>
      <c r="M169" s="27">
        <v>857</v>
      </c>
      <c r="N169" s="33">
        <v>218</v>
      </c>
      <c r="O169" s="26" t="s">
        <v>198</v>
      </c>
      <c r="P169" s="27">
        <v>171.5</v>
      </c>
      <c r="Q169" s="27">
        <v>770</v>
      </c>
      <c r="R169" s="27">
        <v>300</v>
      </c>
      <c r="S169" s="27">
        <v>14</v>
      </c>
      <c r="T169" s="27">
        <v>18</v>
      </c>
      <c r="U169" s="27">
        <v>30</v>
      </c>
      <c r="V169" s="27">
        <v>674</v>
      </c>
      <c r="W169" s="27">
        <v>8.33</v>
      </c>
      <c r="X169" s="27">
        <v>48.1</v>
      </c>
      <c r="Y169" s="27">
        <v>208900</v>
      </c>
      <c r="Z169" s="27">
        <v>8134</v>
      </c>
      <c r="AA169" s="27">
        <v>30.9</v>
      </c>
      <c r="AB169" s="27">
        <v>6.1</v>
      </c>
      <c r="AC169" s="27">
        <v>5426</v>
      </c>
      <c r="AD169" s="27">
        <v>542</v>
      </c>
      <c r="AE169" s="27">
        <v>6225</v>
      </c>
      <c r="AF169" s="27">
        <v>857</v>
      </c>
      <c r="AG169" s="27">
        <v>0.86199999999999999</v>
      </c>
      <c r="AH169" s="27">
        <v>40.4</v>
      </c>
      <c r="AI169" s="27">
        <v>11.5</v>
      </c>
      <c r="AJ169" s="27">
        <v>243</v>
      </c>
      <c r="AK169" s="33">
        <v>218</v>
      </c>
    </row>
    <row r="170" spans="1:37">
      <c r="A170" s="26" t="s">
        <v>199</v>
      </c>
      <c r="B170" s="27">
        <v>790</v>
      </c>
      <c r="C170" s="27">
        <v>300</v>
      </c>
      <c r="D170" s="27">
        <v>15</v>
      </c>
      <c r="E170" s="27">
        <v>28</v>
      </c>
      <c r="F170" s="27">
        <v>30</v>
      </c>
      <c r="G170" s="27">
        <v>674</v>
      </c>
      <c r="H170" s="27">
        <v>303400</v>
      </c>
      <c r="I170" s="27">
        <v>12640</v>
      </c>
      <c r="J170" s="27">
        <v>7682</v>
      </c>
      <c r="K170" s="27">
        <v>843</v>
      </c>
      <c r="L170" s="27">
        <v>8699</v>
      </c>
      <c r="M170" s="27">
        <v>1312</v>
      </c>
      <c r="N170" s="33">
        <v>286</v>
      </c>
      <c r="O170" s="26" t="s">
        <v>199</v>
      </c>
      <c r="P170" s="27">
        <v>224.4</v>
      </c>
      <c r="Q170" s="27">
        <v>790</v>
      </c>
      <c r="R170" s="27">
        <v>300</v>
      </c>
      <c r="S170" s="27">
        <v>15</v>
      </c>
      <c r="T170" s="27">
        <v>28</v>
      </c>
      <c r="U170" s="27">
        <v>30</v>
      </c>
      <c r="V170" s="27">
        <v>674</v>
      </c>
      <c r="W170" s="27">
        <v>5.36</v>
      </c>
      <c r="X170" s="27">
        <v>44.9</v>
      </c>
      <c r="Y170" s="27">
        <v>303400</v>
      </c>
      <c r="Z170" s="27">
        <v>12640</v>
      </c>
      <c r="AA170" s="27">
        <v>32.6</v>
      </c>
      <c r="AB170" s="27">
        <v>6.65</v>
      </c>
      <c r="AC170" s="27">
        <v>7682</v>
      </c>
      <c r="AD170" s="27">
        <v>843</v>
      </c>
      <c r="AE170" s="27">
        <v>8699</v>
      </c>
      <c r="AF170" s="27">
        <v>1312</v>
      </c>
      <c r="AG170" s="27">
        <v>0.88400000000000001</v>
      </c>
      <c r="AH170" s="27">
        <v>29.6</v>
      </c>
      <c r="AI170" s="27">
        <v>18.3</v>
      </c>
      <c r="AJ170" s="27">
        <v>609</v>
      </c>
      <c r="AK170" s="33">
        <v>286</v>
      </c>
    </row>
    <row r="171" spans="1:37">
      <c r="A171" s="26" t="s">
        <v>200</v>
      </c>
      <c r="B171" s="27">
        <v>800</v>
      </c>
      <c r="C171" s="27">
        <v>300</v>
      </c>
      <c r="D171" s="27">
        <v>17.5</v>
      </c>
      <c r="E171" s="27">
        <v>33</v>
      </c>
      <c r="F171" s="27">
        <v>30</v>
      </c>
      <c r="G171" s="27">
        <v>674</v>
      </c>
      <c r="H171" s="27">
        <v>359100</v>
      </c>
      <c r="I171" s="27">
        <v>14900</v>
      </c>
      <c r="J171" s="27">
        <v>8977</v>
      </c>
      <c r="K171" s="27">
        <v>994</v>
      </c>
      <c r="L171" s="27">
        <v>10230</v>
      </c>
      <c r="M171" s="27">
        <v>1553</v>
      </c>
      <c r="N171" s="33">
        <v>334</v>
      </c>
      <c r="O171" s="26" t="s">
        <v>200</v>
      </c>
      <c r="P171" s="27">
        <v>262.3</v>
      </c>
      <c r="Q171" s="27">
        <v>800</v>
      </c>
      <c r="R171" s="27">
        <v>300</v>
      </c>
      <c r="S171" s="27">
        <v>17.5</v>
      </c>
      <c r="T171" s="27">
        <v>33</v>
      </c>
      <c r="U171" s="27">
        <v>30</v>
      </c>
      <c r="V171" s="27">
        <v>674</v>
      </c>
      <c r="W171" s="27">
        <v>4.55</v>
      </c>
      <c r="X171" s="27">
        <v>38.5</v>
      </c>
      <c r="Y171" s="27">
        <v>359100</v>
      </c>
      <c r="Z171" s="27">
        <v>14900</v>
      </c>
      <c r="AA171" s="27">
        <v>32.799999999999997</v>
      </c>
      <c r="AB171" s="27">
        <v>6.68</v>
      </c>
      <c r="AC171" s="27">
        <v>8977</v>
      </c>
      <c r="AD171" s="27">
        <v>994</v>
      </c>
      <c r="AE171" s="27">
        <v>10230</v>
      </c>
      <c r="AF171" s="27">
        <v>1553</v>
      </c>
      <c r="AG171" s="27">
        <v>0.88400000000000001</v>
      </c>
      <c r="AH171" s="27">
        <v>25.6</v>
      </c>
      <c r="AI171" s="27">
        <v>21.9</v>
      </c>
      <c r="AJ171" s="27">
        <v>959</v>
      </c>
      <c r="AK171" s="33">
        <v>334</v>
      </c>
    </row>
    <row r="172" spans="1:37">
      <c r="A172" s="24" t="s">
        <v>201</v>
      </c>
      <c r="B172" s="25">
        <v>814</v>
      </c>
      <c r="C172" s="25">
        <v>303</v>
      </c>
      <c r="D172" s="25">
        <v>21</v>
      </c>
      <c r="E172" s="25">
        <v>40</v>
      </c>
      <c r="F172" s="25">
        <v>30</v>
      </c>
      <c r="G172" s="25">
        <v>674</v>
      </c>
      <c r="H172" s="25">
        <v>442600</v>
      </c>
      <c r="I172" s="25">
        <v>18630</v>
      </c>
      <c r="J172" s="25">
        <v>10870</v>
      </c>
      <c r="K172" s="25">
        <v>1230</v>
      </c>
      <c r="L172" s="25">
        <v>12490</v>
      </c>
      <c r="M172" s="25">
        <v>1930</v>
      </c>
      <c r="N172" s="32">
        <v>404</v>
      </c>
      <c r="O172" s="24" t="s">
        <v>201</v>
      </c>
      <c r="P172" s="25">
        <v>317.3</v>
      </c>
      <c r="Q172" s="25">
        <v>814</v>
      </c>
      <c r="R172" s="25">
        <v>303</v>
      </c>
      <c r="S172" s="25">
        <v>21</v>
      </c>
      <c r="T172" s="25">
        <v>40</v>
      </c>
      <c r="U172" s="25">
        <v>30</v>
      </c>
      <c r="V172" s="25">
        <v>674</v>
      </c>
      <c r="W172" s="25">
        <v>3.79</v>
      </c>
      <c r="X172" s="25">
        <v>32.1</v>
      </c>
      <c r="Y172" s="25">
        <v>442600</v>
      </c>
      <c r="Z172" s="25">
        <v>18630</v>
      </c>
      <c r="AA172" s="25">
        <v>33.1</v>
      </c>
      <c r="AB172" s="25">
        <v>6.79</v>
      </c>
      <c r="AC172" s="25">
        <v>10870</v>
      </c>
      <c r="AD172" s="25">
        <v>1230</v>
      </c>
      <c r="AE172" s="25">
        <v>12490</v>
      </c>
      <c r="AF172" s="25">
        <v>1930</v>
      </c>
      <c r="AG172" s="25">
        <v>0.88400000000000001</v>
      </c>
      <c r="AH172" s="25">
        <v>21.6</v>
      </c>
      <c r="AI172" s="25">
        <v>27.9</v>
      </c>
      <c r="AJ172" s="25">
        <v>1657</v>
      </c>
      <c r="AK172" s="32">
        <v>404</v>
      </c>
    </row>
    <row r="173" spans="1:37">
      <c r="A173" s="26" t="s">
        <v>202</v>
      </c>
      <c r="B173" s="27">
        <v>870</v>
      </c>
      <c r="C173" s="27">
        <v>300</v>
      </c>
      <c r="D173" s="27">
        <v>15</v>
      </c>
      <c r="E173" s="27">
        <v>20</v>
      </c>
      <c r="F173" s="27">
        <v>30</v>
      </c>
      <c r="G173" s="27">
        <v>770</v>
      </c>
      <c r="H173" s="27">
        <v>301100</v>
      </c>
      <c r="I173" s="27">
        <v>9041</v>
      </c>
      <c r="J173" s="27">
        <v>6923</v>
      </c>
      <c r="K173" s="27">
        <v>603</v>
      </c>
      <c r="L173" s="27">
        <v>7999</v>
      </c>
      <c r="M173" s="27">
        <v>958</v>
      </c>
      <c r="N173" s="33">
        <v>252</v>
      </c>
      <c r="O173" s="26" t="s">
        <v>202</v>
      </c>
      <c r="P173" s="27">
        <v>198</v>
      </c>
      <c r="Q173" s="27">
        <v>870</v>
      </c>
      <c r="R173" s="27">
        <v>300</v>
      </c>
      <c r="S173" s="27">
        <v>15</v>
      </c>
      <c r="T173" s="27">
        <v>20</v>
      </c>
      <c r="U173" s="27">
        <v>30</v>
      </c>
      <c r="V173" s="27">
        <v>770</v>
      </c>
      <c r="W173" s="27">
        <v>7.5</v>
      </c>
      <c r="X173" s="27">
        <v>51.3</v>
      </c>
      <c r="Y173" s="27">
        <v>301100</v>
      </c>
      <c r="Z173" s="27">
        <v>9041</v>
      </c>
      <c r="AA173" s="27">
        <v>34.6</v>
      </c>
      <c r="AB173" s="27">
        <v>5.99</v>
      </c>
      <c r="AC173" s="27">
        <v>6923</v>
      </c>
      <c r="AD173" s="27">
        <v>603</v>
      </c>
      <c r="AE173" s="27">
        <v>7999</v>
      </c>
      <c r="AF173" s="27">
        <v>958</v>
      </c>
      <c r="AG173" s="27">
        <v>0.85699999999999998</v>
      </c>
      <c r="AH173" s="27">
        <v>42.6</v>
      </c>
      <c r="AI173" s="27">
        <v>16.3</v>
      </c>
      <c r="AJ173" s="27">
        <v>322</v>
      </c>
      <c r="AK173" s="33">
        <v>252</v>
      </c>
    </row>
    <row r="174" spans="1:37">
      <c r="A174" s="26" t="s">
        <v>203</v>
      </c>
      <c r="B174" s="27">
        <v>890</v>
      </c>
      <c r="C174" s="27">
        <v>300</v>
      </c>
      <c r="D174" s="27">
        <v>16</v>
      </c>
      <c r="E174" s="27">
        <v>30</v>
      </c>
      <c r="F174" s="27">
        <v>30</v>
      </c>
      <c r="G174" s="27">
        <v>770</v>
      </c>
      <c r="H174" s="27">
        <v>422100</v>
      </c>
      <c r="I174" s="27">
        <v>13550</v>
      </c>
      <c r="J174" s="27">
        <v>9485</v>
      </c>
      <c r="K174" s="27">
        <v>903</v>
      </c>
      <c r="L174" s="27">
        <v>10810</v>
      </c>
      <c r="M174" s="27">
        <v>1414</v>
      </c>
      <c r="N174" s="33">
        <v>321</v>
      </c>
      <c r="O174" s="26" t="s">
        <v>203</v>
      </c>
      <c r="P174" s="27">
        <v>251.6</v>
      </c>
      <c r="Q174" s="27">
        <v>890</v>
      </c>
      <c r="R174" s="27">
        <v>300</v>
      </c>
      <c r="S174" s="27">
        <v>16</v>
      </c>
      <c r="T174" s="27">
        <v>30</v>
      </c>
      <c r="U174" s="27">
        <v>30</v>
      </c>
      <c r="V174" s="27">
        <v>770</v>
      </c>
      <c r="W174" s="27">
        <v>5</v>
      </c>
      <c r="X174" s="27">
        <v>48.1</v>
      </c>
      <c r="Y174" s="27">
        <v>422100</v>
      </c>
      <c r="Z174" s="27">
        <v>13550</v>
      </c>
      <c r="AA174" s="27">
        <v>36.299999999999997</v>
      </c>
      <c r="AB174" s="27">
        <v>6.5</v>
      </c>
      <c r="AC174" s="27">
        <v>9485</v>
      </c>
      <c r="AD174" s="27">
        <v>903</v>
      </c>
      <c r="AE174" s="27">
        <v>10810</v>
      </c>
      <c r="AF174" s="27">
        <v>1414</v>
      </c>
      <c r="AG174" s="27">
        <v>0.878</v>
      </c>
      <c r="AH174" s="27">
        <v>31.8</v>
      </c>
      <c r="AI174" s="27">
        <v>25</v>
      </c>
      <c r="AJ174" s="27">
        <v>749</v>
      </c>
      <c r="AK174" s="33">
        <v>321</v>
      </c>
    </row>
    <row r="175" spans="1:37">
      <c r="A175" s="26" t="s">
        <v>204</v>
      </c>
      <c r="B175" s="27">
        <v>900</v>
      </c>
      <c r="C175" s="27">
        <v>300</v>
      </c>
      <c r="D175" s="27">
        <v>18.5</v>
      </c>
      <c r="E175" s="27">
        <v>35</v>
      </c>
      <c r="F175" s="27">
        <v>30</v>
      </c>
      <c r="G175" s="27">
        <v>770</v>
      </c>
      <c r="H175" s="27">
        <v>494100</v>
      </c>
      <c r="I175" s="27">
        <v>15820</v>
      </c>
      <c r="J175" s="27">
        <v>10980</v>
      </c>
      <c r="K175" s="27">
        <v>1054</v>
      </c>
      <c r="L175" s="27">
        <v>12580</v>
      </c>
      <c r="M175" s="27">
        <v>1658</v>
      </c>
      <c r="N175" s="33">
        <v>371</v>
      </c>
      <c r="O175" s="26" t="s">
        <v>204</v>
      </c>
      <c r="P175" s="27">
        <v>291.5</v>
      </c>
      <c r="Q175" s="27">
        <v>900</v>
      </c>
      <c r="R175" s="27">
        <v>300</v>
      </c>
      <c r="S175" s="27">
        <v>18.5</v>
      </c>
      <c r="T175" s="27">
        <v>35</v>
      </c>
      <c r="U175" s="27">
        <v>30</v>
      </c>
      <c r="V175" s="27">
        <v>770</v>
      </c>
      <c r="W175" s="27">
        <v>4.29</v>
      </c>
      <c r="X175" s="27">
        <v>41.6</v>
      </c>
      <c r="Y175" s="27">
        <v>494100</v>
      </c>
      <c r="Z175" s="27">
        <v>15820</v>
      </c>
      <c r="AA175" s="27">
        <v>36.5</v>
      </c>
      <c r="AB175" s="27">
        <v>6.53</v>
      </c>
      <c r="AC175" s="27">
        <v>10980</v>
      </c>
      <c r="AD175" s="27">
        <v>1054</v>
      </c>
      <c r="AE175" s="27">
        <v>12580</v>
      </c>
      <c r="AF175" s="27">
        <v>1658</v>
      </c>
      <c r="AG175" s="27">
        <v>0.878</v>
      </c>
      <c r="AH175" s="27">
        <v>27.8</v>
      </c>
      <c r="AI175" s="27">
        <v>29.6</v>
      </c>
      <c r="AJ175" s="27">
        <v>1150</v>
      </c>
      <c r="AK175" s="33">
        <v>371</v>
      </c>
    </row>
    <row r="176" spans="1:37">
      <c r="A176" s="24" t="s">
        <v>205</v>
      </c>
      <c r="B176" s="25">
        <v>910</v>
      </c>
      <c r="C176" s="25">
        <v>302</v>
      </c>
      <c r="D176" s="25">
        <v>21</v>
      </c>
      <c r="E176" s="25">
        <v>40</v>
      </c>
      <c r="F176" s="25">
        <v>30</v>
      </c>
      <c r="G176" s="25">
        <v>770</v>
      </c>
      <c r="H176" s="25">
        <v>570400</v>
      </c>
      <c r="I176" s="25">
        <v>18450</v>
      </c>
      <c r="J176" s="25">
        <v>12540</v>
      </c>
      <c r="K176" s="25">
        <v>1222</v>
      </c>
      <c r="L176" s="25">
        <v>14440</v>
      </c>
      <c r="M176" s="25">
        <v>1929</v>
      </c>
      <c r="N176" s="32">
        <v>424</v>
      </c>
      <c r="O176" s="24" t="s">
        <v>205</v>
      </c>
      <c r="P176" s="25">
        <v>332.5</v>
      </c>
      <c r="Q176" s="25">
        <v>910</v>
      </c>
      <c r="R176" s="25">
        <v>302</v>
      </c>
      <c r="S176" s="25">
        <v>21</v>
      </c>
      <c r="T176" s="25">
        <v>40</v>
      </c>
      <c r="U176" s="25">
        <v>30</v>
      </c>
      <c r="V176" s="25">
        <v>770</v>
      </c>
      <c r="W176" s="25">
        <v>3.77</v>
      </c>
      <c r="X176" s="25">
        <v>36.700000000000003</v>
      </c>
      <c r="Y176" s="25">
        <v>570400</v>
      </c>
      <c r="Z176" s="25">
        <v>18450</v>
      </c>
      <c r="AA176" s="25">
        <v>36.700000000000003</v>
      </c>
      <c r="AB176" s="25">
        <v>6.6</v>
      </c>
      <c r="AC176" s="25">
        <v>12540</v>
      </c>
      <c r="AD176" s="25">
        <v>1222</v>
      </c>
      <c r="AE176" s="25">
        <v>14440</v>
      </c>
      <c r="AF176" s="25">
        <v>1929</v>
      </c>
      <c r="AG176" s="25">
        <v>0.878</v>
      </c>
      <c r="AH176" s="25">
        <v>24.7</v>
      </c>
      <c r="AI176" s="25">
        <v>34.9</v>
      </c>
      <c r="AJ176" s="25">
        <v>1683</v>
      </c>
      <c r="AK176" s="32">
        <v>424</v>
      </c>
    </row>
    <row r="177" spans="1:37">
      <c r="A177" s="26" t="s">
        <v>257</v>
      </c>
      <c r="B177" s="27">
        <v>970</v>
      </c>
      <c r="C177" s="27">
        <v>300</v>
      </c>
      <c r="D177" s="27">
        <v>16</v>
      </c>
      <c r="E177" s="27">
        <v>21</v>
      </c>
      <c r="F177" s="27">
        <v>30</v>
      </c>
      <c r="G177" s="27">
        <v>868</v>
      </c>
      <c r="H177" s="27">
        <v>406500</v>
      </c>
      <c r="I177" s="27">
        <v>9501</v>
      </c>
      <c r="J177" s="27">
        <v>8380</v>
      </c>
      <c r="K177" s="27">
        <v>633</v>
      </c>
      <c r="L177" s="27">
        <v>9777</v>
      </c>
      <c r="M177" s="27">
        <v>1016</v>
      </c>
      <c r="N177" s="33">
        <v>282</v>
      </c>
      <c r="O177" s="26" t="s">
        <v>257</v>
      </c>
      <c r="P177" s="27">
        <v>221.5</v>
      </c>
      <c r="Q177" s="27">
        <v>970</v>
      </c>
      <c r="R177" s="27">
        <v>300</v>
      </c>
      <c r="S177" s="27">
        <v>16</v>
      </c>
      <c r="T177" s="27">
        <v>21</v>
      </c>
      <c r="U177" s="27">
        <v>30</v>
      </c>
      <c r="V177" s="27">
        <v>868</v>
      </c>
      <c r="W177" s="27">
        <v>7.14</v>
      </c>
      <c r="X177" s="27">
        <v>54.3</v>
      </c>
      <c r="Y177" s="27">
        <v>406500</v>
      </c>
      <c r="Z177" s="27">
        <v>9501</v>
      </c>
      <c r="AA177" s="27">
        <v>38</v>
      </c>
      <c r="AB177" s="27">
        <v>5.8</v>
      </c>
      <c r="AC177" s="27">
        <v>8380</v>
      </c>
      <c r="AD177" s="27">
        <v>633</v>
      </c>
      <c r="AE177" s="27">
        <v>9777</v>
      </c>
      <c r="AF177" s="27">
        <v>1016</v>
      </c>
      <c r="AG177" s="27">
        <v>0.84899999999999998</v>
      </c>
      <c r="AH177" s="27">
        <v>45.9</v>
      </c>
      <c r="AI177" s="27">
        <v>21.4</v>
      </c>
      <c r="AJ177" s="27">
        <v>387</v>
      </c>
      <c r="AK177" s="33">
        <v>282</v>
      </c>
    </row>
    <row r="178" spans="1:37">
      <c r="A178" s="26" t="s">
        <v>206</v>
      </c>
      <c r="B178" s="27">
        <v>990</v>
      </c>
      <c r="C178" s="27">
        <v>300</v>
      </c>
      <c r="D178" s="27">
        <v>16.5</v>
      </c>
      <c r="E178" s="27">
        <v>31</v>
      </c>
      <c r="F178" s="27">
        <v>30</v>
      </c>
      <c r="G178" s="27">
        <v>868</v>
      </c>
      <c r="H178" s="27">
        <v>553800</v>
      </c>
      <c r="I178" s="27">
        <v>14000</v>
      </c>
      <c r="J178" s="27">
        <v>11190</v>
      </c>
      <c r="K178" s="27">
        <v>934</v>
      </c>
      <c r="L178" s="27">
        <v>12820</v>
      </c>
      <c r="M178" s="27">
        <v>1470</v>
      </c>
      <c r="N178" s="33">
        <v>347</v>
      </c>
      <c r="O178" s="26" t="s">
        <v>206</v>
      </c>
      <c r="P178" s="27">
        <v>272.3</v>
      </c>
      <c r="Q178" s="27">
        <v>990</v>
      </c>
      <c r="R178" s="27">
        <v>300</v>
      </c>
      <c r="S178" s="27">
        <v>16.5</v>
      </c>
      <c r="T178" s="27">
        <v>31</v>
      </c>
      <c r="U178" s="27">
        <v>30</v>
      </c>
      <c r="V178" s="27">
        <v>868</v>
      </c>
      <c r="W178" s="27">
        <v>4.84</v>
      </c>
      <c r="X178" s="27">
        <v>52.6</v>
      </c>
      <c r="Y178" s="27">
        <v>553800</v>
      </c>
      <c r="Z178" s="27">
        <v>14000</v>
      </c>
      <c r="AA178" s="27">
        <v>40</v>
      </c>
      <c r="AB178" s="27">
        <v>6.35</v>
      </c>
      <c r="AC178" s="27">
        <v>11190</v>
      </c>
      <c r="AD178" s="27">
        <v>934</v>
      </c>
      <c r="AE178" s="27">
        <v>12820</v>
      </c>
      <c r="AF178" s="27">
        <v>1470</v>
      </c>
      <c r="AG178" s="27">
        <v>0.873</v>
      </c>
      <c r="AH178" s="27">
        <v>35</v>
      </c>
      <c r="AI178" s="27">
        <v>32.200000000000003</v>
      </c>
      <c r="AJ178" s="27">
        <v>835</v>
      </c>
      <c r="AK178" s="33">
        <v>347</v>
      </c>
    </row>
    <row r="179" spans="1:37">
      <c r="A179" s="26" t="s">
        <v>207</v>
      </c>
      <c r="B179" s="27">
        <v>1000</v>
      </c>
      <c r="C179" s="27">
        <v>300</v>
      </c>
      <c r="D179" s="27">
        <v>19</v>
      </c>
      <c r="E179" s="27">
        <v>36</v>
      </c>
      <c r="F179" s="27">
        <v>30</v>
      </c>
      <c r="G179" s="27">
        <v>868</v>
      </c>
      <c r="H179" s="27">
        <v>644700</v>
      </c>
      <c r="I179" s="27">
        <v>16280</v>
      </c>
      <c r="J179" s="27">
        <v>12890</v>
      </c>
      <c r="K179" s="27">
        <v>1085</v>
      </c>
      <c r="L179" s="27">
        <v>14860</v>
      </c>
      <c r="M179" s="27">
        <v>1716</v>
      </c>
      <c r="N179" s="33">
        <v>400</v>
      </c>
      <c r="O179" s="26" t="s">
        <v>207</v>
      </c>
      <c r="P179" s="27">
        <v>314</v>
      </c>
      <c r="Q179" s="27">
        <v>1000</v>
      </c>
      <c r="R179" s="27">
        <v>300</v>
      </c>
      <c r="S179" s="27">
        <v>19</v>
      </c>
      <c r="T179" s="27">
        <v>36</v>
      </c>
      <c r="U179" s="27">
        <v>30</v>
      </c>
      <c r="V179" s="27">
        <v>868</v>
      </c>
      <c r="W179" s="27">
        <v>4.17</v>
      </c>
      <c r="X179" s="27">
        <v>45.7</v>
      </c>
      <c r="Y179" s="27">
        <v>644700</v>
      </c>
      <c r="Z179" s="27">
        <v>16280</v>
      </c>
      <c r="AA179" s="27">
        <v>40.1</v>
      </c>
      <c r="AB179" s="27">
        <v>6.38</v>
      </c>
      <c r="AC179" s="27">
        <v>12890</v>
      </c>
      <c r="AD179" s="27">
        <v>1085</v>
      </c>
      <c r="AE179" s="27">
        <v>14860</v>
      </c>
      <c r="AF179" s="27">
        <v>1716</v>
      </c>
      <c r="AG179" s="27">
        <v>0.872</v>
      </c>
      <c r="AH179" s="27">
        <v>30.7</v>
      </c>
      <c r="AI179" s="27">
        <v>37.799999999999997</v>
      </c>
      <c r="AJ179" s="27">
        <v>1267</v>
      </c>
      <c r="AK179" s="33">
        <v>400</v>
      </c>
    </row>
    <row r="180" spans="1:37">
      <c r="A180" s="24" t="s">
        <v>208</v>
      </c>
      <c r="B180" s="25">
        <v>1008</v>
      </c>
      <c r="C180" s="25">
        <v>302</v>
      </c>
      <c r="D180" s="25">
        <v>21</v>
      </c>
      <c r="E180" s="25">
        <v>40</v>
      </c>
      <c r="F180" s="25">
        <v>30</v>
      </c>
      <c r="G180" s="25">
        <v>868</v>
      </c>
      <c r="H180" s="25">
        <v>722300</v>
      </c>
      <c r="I180" s="25">
        <v>18460</v>
      </c>
      <c r="J180" s="25">
        <v>14330</v>
      </c>
      <c r="K180" s="25">
        <v>1222</v>
      </c>
      <c r="L180" s="25">
        <v>16570</v>
      </c>
      <c r="M180" s="25">
        <v>1940</v>
      </c>
      <c r="N180" s="32">
        <v>444</v>
      </c>
      <c r="O180" s="24" t="s">
        <v>208</v>
      </c>
      <c r="P180" s="25">
        <v>348.7</v>
      </c>
      <c r="Q180" s="25">
        <v>1008</v>
      </c>
      <c r="R180" s="25">
        <v>302</v>
      </c>
      <c r="S180" s="25">
        <v>21</v>
      </c>
      <c r="T180" s="25">
        <v>40</v>
      </c>
      <c r="U180" s="25">
        <v>30</v>
      </c>
      <c r="V180" s="25">
        <v>868</v>
      </c>
      <c r="W180" s="25">
        <v>3.77</v>
      </c>
      <c r="X180" s="25">
        <v>41.3</v>
      </c>
      <c r="Y180" s="25">
        <v>722300</v>
      </c>
      <c r="Z180" s="25">
        <v>18460</v>
      </c>
      <c r="AA180" s="25">
        <v>40.299999999999997</v>
      </c>
      <c r="AB180" s="25">
        <v>6.45</v>
      </c>
      <c r="AC180" s="25">
        <v>14330</v>
      </c>
      <c r="AD180" s="25">
        <v>1222</v>
      </c>
      <c r="AE180" s="25">
        <v>16570</v>
      </c>
      <c r="AF180" s="25">
        <v>1940</v>
      </c>
      <c r="AG180" s="25">
        <v>0.872</v>
      </c>
      <c r="AH180" s="25">
        <v>27.9</v>
      </c>
      <c r="AI180" s="25">
        <v>43.2</v>
      </c>
      <c r="AJ180" s="25">
        <v>1713</v>
      </c>
      <c r="AK180" s="32">
        <v>444</v>
      </c>
    </row>
    <row r="181" spans="1:37">
      <c r="A181" s="22" t="s">
        <v>258</v>
      </c>
      <c r="B181" s="23">
        <v>1046</v>
      </c>
      <c r="C181" s="23">
        <v>311.39999999999998</v>
      </c>
      <c r="D181" s="23">
        <v>33</v>
      </c>
      <c r="E181" s="23">
        <v>58.9</v>
      </c>
      <c r="F181" s="23">
        <v>30</v>
      </c>
      <c r="G181" s="23">
        <v>868.2</v>
      </c>
      <c r="H181" s="23">
        <v>1130700</v>
      </c>
      <c r="I181" s="23">
        <v>29960</v>
      </c>
      <c r="J181" s="23">
        <v>21620</v>
      </c>
      <c r="K181" s="23">
        <v>1925</v>
      </c>
      <c r="L181" s="23">
        <v>25570</v>
      </c>
      <c r="M181" s="23">
        <v>3126</v>
      </c>
      <c r="N181" s="31">
        <v>681</v>
      </c>
      <c r="O181" s="22" t="s">
        <v>258</v>
      </c>
      <c r="P181" s="23">
        <v>534.5</v>
      </c>
      <c r="Q181" s="23">
        <v>1046</v>
      </c>
      <c r="R181" s="23">
        <v>311.39999999999998</v>
      </c>
      <c r="S181" s="23">
        <v>33</v>
      </c>
      <c r="T181" s="23">
        <v>58.9</v>
      </c>
      <c r="U181" s="23">
        <v>30</v>
      </c>
      <c r="V181" s="23">
        <v>868.2</v>
      </c>
      <c r="W181" s="23">
        <v>2.64</v>
      </c>
      <c r="X181" s="23">
        <v>26.3</v>
      </c>
      <c r="Y181" s="23">
        <v>1130700</v>
      </c>
      <c r="Z181" s="23">
        <v>29960</v>
      </c>
      <c r="AA181" s="23">
        <v>40.799999999999997</v>
      </c>
      <c r="AB181" s="23">
        <v>6.63</v>
      </c>
      <c r="AC181" s="23">
        <v>21620</v>
      </c>
      <c r="AD181" s="23">
        <v>1925</v>
      </c>
      <c r="AE181" s="23">
        <v>25570</v>
      </c>
      <c r="AF181" s="23">
        <v>3126</v>
      </c>
      <c r="AG181" s="23">
        <v>0.86599999999999999</v>
      </c>
      <c r="AH181" s="23">
        <v>19.5</v>
      </c>
      <c r="AI181" s="23">
        <v>73</v>
      </c>
      <c r="AJ181" s="23">
        <v>5576</v>
      </c>
      <c r="AK181" s="31">
        <v>681</v>
      </c>
    </row>
    <row r="182" spans="1:37">
      <c r="A182" s="26" t="s">
        <v>259</v>
      </c>
      <c r="B182" s="27">
        <v>1036.0999999999999</v>
      </c>
      <c r="C182" s="27">
        <v>308.5</v>
      </c>
      <c r="D182" s="27">
        <v>30</v>
      </c>
      <c r="E182" s="27">
        <v>54.1</v>
      </c>
      <c r="F182" s="27">
        <v>30</v>
      </c>
      <c r="G182" s="27">
        <v>867.9</v>
      </c>
      <c r="H182" s="27">
        <v>1021400</v>
      </c>
      <c r="I182" s="27">
        <v>26720</v>
      </c>
      <c r="J182" s="27">
        <v>19720</v>
      </c>
      <c r="K182" s="27">
        <v>1732</v>
      </c>
      <c r="L182" s="27">
        <v>23200</v>
      </c>
      <c r="M182" s="27">
        <v>2800</v>
      </c>
      <c r="N182" s="33">
        <v>620</v>
      </c>
      <c r="O182" s="26" t="s">
        <v>259</v>
      </c>
      <c r="P182" s="27">
        <v>486.6</v>
      </c>
      <c r="Q182" s="27">
        <v>1036.0999999999999</v>
      </c>
      <c r="R182" s="27">
        <v>308.5</v>
      </c>
      <c r="S182" s="27">
        <v>30</v>
      </c>
      <c r="T182" s="27">
        <v>54.1</v>
      </c>
      <c r="U182" s="27">
        <v>30</v>
      </c>
      <c r="V182" s="27">
        <v>867.9</v>
      </c>
      <c r="W182" s="27">
        <v>2.85</v>
      </c>
      <c r="X182" s="27">
        <v>28.9</v>
      </c>
      <c r="Y182" s="27">
        <v>1021400</v>
      </c>
      <c r="Z182" s="27">
        <v>26720</v>
      </c>
      <c r="AA182" s="27">
        <v>40.6</v>
      </c>
      <c r="AB182" s="27">
        <v>6.57</v>
      </c>
      <c r="AC182" s="27">
        <v>19720</v>
      </c>
      <c r="AD182" s="27">
        <v>1732</v>
      </c>
      <c r="AE182" s="27">
        <v>23200</v>
      </c>
      <c r="AF182" s="27">
        <v>2800</v>
      </c>
      <c r="AG182" s="27">
        <v>0.86699999999999999</v>
      </c>
      <c r="AH182" s="27">
        <v>21.1</v>
      </c>
      <c r="AI182" s="27">
        <v>64.400000000000006</v>
      </c>
      <c r="AJ182" s="27">
        <v>4299</v>
      </c>
      <c r="AK182" s="33">
        <v>620</v>
      </c>
    </row>
    <row r="183" spans="1:37">
      <c r="A183" s="26" t="s">
        <v>260</v>
      </c>
      <c r="B183" s="27">
        <v>1025.9000000000001</v>
      </c>
      <c r="C183" s="27">
        <v>305.39999999999998</v>
      </c>
      <c r="D183" s="27">
        <v>26.9</v>
      </c>
      <c r="E183" s="27">
        <v>49</v>
      </c>
      <c r="F183" s="27">
        <v>30</v>
      </c>
      <c r="G183" s="27">
        <v>867.9</v>
      </c>
      <c r="H183" s="27">
        <v>909900</v>
      </c>
      <c r="I183" s="27">
        <v>23450</v>
      </c>
      <c r="J183" s="27">
        <v>17740</v>
      </c>
      <c r="K183" s="27">
        <v>1535</v>
      </c>
      <c r="L183" s="27">
        <v>20760</v>
      </c>
      <c r="M183" s="27">
        <v>2469</v>
      </c>
      <c r="N183" s="33">
        <v>557</v>
      </c>
      <c r="O183" s="26" t="s">
        <v>260</v>
      </c>
      <c r="P183" s="27">
        <v>436.9</v>
      </c>
      <c r="Q183" s="27">
        <v>1025.9000000000001</v>
      </c>
      <c r="R183" s="27">
        <v>305.39999999999998</v>
      </c>
      <c r="S183" s="27">
        <v>26.9</v>
      </c>
      <c r="T183" s="27">
        <v>49</v>
      </c>
      <c r="U183" s="27">
        <v>30</v>
      </c>
      <c r="V183" s="27">
        <v>867.9</v>
      </c>
      <c r="W183" s="27">
        <v>3.12</v>
      </c>
      <c r="X183" s="27">
        <v>32.299999999999997</v>
      </c>
      <c r="Y183" s="27">
        <v>909900</v>
      </c>
      <c r="Z183" s="27">
        <v>23450</v>
      </c>
      <c r="AA183" s="27">
        <v>40.4</v>
      </c>
      <c r="AB183" s="27">
        <v>6.49</v>
      </c>
      <c r="AC183" s="27">
        <v>17740</v>
      </c>
      <c r="AD183" s="27">
        <v>1535</v>
      </c>
      <c r="AE183" s="27">
        <v>20760</v>
      </c>
      <c r="AF183" s="27">
        <v>2469</v>
      </c>
      <c r="AG183" s="27">
        <v>0.86799999999999999</v>
      </c>
      <c r="AH183" s="27">
        <v>23.1</v>
      </c>
      <c r="AI183" s="27">
        <v>55.9</v>
      </c>
      <c r="AJ183" s="27">
        <v>3185</v>
      </c>
      <c r="AK183" s="33">
        <v>557</v>
      </c>
    </row>
    <row r="184" spans="1:37">
      <c r="A184" s="26" t="s">
        <v>261</v>
      </c>
      <c r="B184" s="27">
        <v>1016</v>
      </c>
      <c r="C184" s="27">
        <v>303</v>
      </c>
      <c r="D184" s="27">
        <v>24.4</v>
      </c>
      <c r="E184" s="27">
        <v>43.9</v>
      </c>
      <c r="F184" s="27">
        <v>30</v>
      </c>
      <c r="G184" s="27">
        <v>868.2</v>
      </c>
      <c r="H184" s="27">
        <v>807700</v>
      </c>
      <c r="I184" s="27">
        <v>20500</v>
      </c>
      <c r="J184" s="27">
        <v>15900</v>
      </c>
      <c r="K184" s="27">
        <v>1353</v>
      </c>
      <c r="L184" s="27">
        <v>18540</v>
      </c>
      <c r="M184" s="27">
        <v>2168</v>
      </c>
      <c r="N184" s="33">
        <v>500</v>
      </c>
      <c r="O184" s="26" t="s">
        <v>261</v>
      </c>
      <c r="P184" s="27">
        <v>392.7</v>
      </c>
      <c r="Q184" s="27">
        <v>1016</v>
      </c>
      <c r="R184" s="27">
        <v>303</v>
      </c>
      <c r="S184" s="27">
        <v>24.4</v>
      </c>
      <c r="T184" s="27">
        <v>43.9</v>
      </c>
      <c r="U184" s="27">
        <v>30</v>
      </c>
      <c r="V184" s="27">
        <v>868.2</v>
      </c>
      <c r="W184" s="27">
        <v>3.45</v>
      </c>
      <c r="X184" s="27">
        <v>35.6</v>
      </c>
      <c r="Y184" s="27">
        <v>807700</v>
      </c>
      <c r="Z184" s="27">
        <v>20500</v>
      </c>
      <c r="AA184" s="27">
        <v>40.200000000000003</v>
      </c>
      <c r="AB184" s="27">
        <v>6.4</v>
      </c>
      <c r="AC184" s="27">
        <v>15900</v>
      </c>
      <c r="AD184" s="27">
        <v>1353</v>
      </c>
      <c r="AE184" s="27">
        <v>18540</v>
      </c>
      <c r="AF184" s="27">
        <v>2168</v>
      </c>
      <c r="AG184" s="27">
        <v>0.86799999999999999</v>
      </c>
      <c r="AH184" s="27">
        <v>25.5</v>
      </c>
      <c r="AI184" s="27">
        <v>48.4</v>
      </c>
      <c r="AJ184" s="27">
        <v>2330</v>
      </c>
      <c r="AK184" s="33">
        <v>500</v>
      </c>
    </row>
    <row r="185" spans="1:37">
      <c r="A185" s="26" t="s">
        <v>262</v>
      </c>
      <c r="B185" s="27">
        <v>1008.1</v>
      </c>
      <c r="C185" s="27">
        <v>302</v>
      </c>
      <c r="D185" s="27">
        <v>21.1</v>
      </c>
      <c r="E185" s="27">
        <v>40</v>
      </c>
      <c r="F185" s="27">
        <v>30</v>
      </c>
      <c r="G185" s="27">
        <v>868.1</v>
      </c>
      <c r="H185" s="27">
        <v>723100</v>
      </c>
      <c r="I185" s="27">
        <v>18460</v>
      </c>
      <c r="J185" s="27">
        <v>14350</v>
      </c>
      <c r="K185" s="27">
        <v>1223</v>
      </c>
      <c r="L185" s="27">
        <v>16590</v>
      </c>
      <c r="M185" s="27">
        <v>1941</v>
      </c>
      <c r="N185" s="33">
        <v>445</v>
      </c>
      <c r="O185" s="26" t="s">
        <v>262</v>
      </c>
      <c r="P185" s="27">
        <v>349.4</v>
      </c>
      <c r="Q185" s="27">
        <v>1008.1</v>
      </c>
      <c r="R185" s="27">
        <v>302</v>
      </c>
      <c r="S185" s="27">
        <v>21.1</v>
      </c>
      <c r="T185" s="27">
        <v>40</v>
      </c>
      <c r="U185" s="27">
        <v>30</v>
      </c>
      <c r="V185" s="27">
        <v>868.1</v>
      </c>
      <c r="W185" s="27">
        <v>3.77</v>
      </c>
      <c r="X185" s="27">
        <v>41.1</v>
      </c>
      <c r="Y185" s="27">
        <v>723100</v>
      </c>
      <c r="Z185" s="27">
        <v>18460</v>
      </c>
      <c r="AA185" s="27">
        <v>40.299999999999997</v>
      </c>
      <c r="AB185" s="27">
        <v>6.44</v>
      </c>
      <c r="AC185" s="27">
        <v>14350</v>
      </c>
      <c r="AD185" s="27">
        <v>1223</v>
      </c>
      <c r="AE185" s="27">
        <v>16590</v>
      </c>
      <c r="AF185" s="27">
        <v>1941</v>
      </c>
      <c r="AG185" s="27">
        <v>0.872</v>
      </c>
      <c r="AH185" s="27">
        <v>27.9</v>
      </c>
      <c r="AI185" s="27">
        <v>43.3</v>
      </c>
      <c r="AJ185" s="27">
        <v>1718</v>
      </c>
      <c r="AK185" s="33">
        <v>445</v>
      </c>
    </row>
    <row r="186" spans="1:37">
      <c r="A186" s="26" t="s">
        <v>263</v>
      </c>
      <c r="B186" s="27">
        <v>1000</v>
      </c>
      <c r="C186" s="27">
        <v>300</v>
      </c>
      <c r="D186" s="27">
        <v>19.100000000000001</v>
      </c>
      <c r="E186" s="27">
        <v>35.9</v>
      </c>
      <c r="F186" s="27">
        <v>30</v>
      </c>
      <c r="G186" s="27">
        <v>868.2</v>
      </c>
      <c r="H186" s="27">
        <v>644200</v>
      </c>
      <c r="I186" s="27">
        <v>16230</v>
      </c>
      <c r="J186" s="27">
        <v>12880</v>
      </c>
      <c r="K186" s="27">
        <v>1082</v>
      </c>
      <c r="L186" s="27">
        <v>14850</v>
      </c>
      <c r="M186" s="27">
        <v>1713</v>
      </c>
      <c r="N186" s="33">
        <v>400</v>
      </c>
      <c r="O186" s="26" t="s">
        <v>263</v>
      </c>
      <c r="P186" s="27">
        <v>314.3</v>
      </c>
      <c r="Q186" s="27">
        <v>1000</v>
      </c>
      <c r="R186" s="27">
        <v>300</v>
      </c>
      <c r="S186" s="27">
        <v>19.100000000000001</v>
      </c>
      <c r="T186" s="27">
        <v>35.9</v>
      </c>
      <c r="U186" s="27">
        <v>30</v>
      </c>
      <c r="V186" s="27">
        <v>868.2</v>
      </c>
      <c r="W186" s="27">
        <v>4.18</v>
      </c>
      <c r="X186" s="27">
        <v>45.5</v>
      </c>
      <c r="Y186" s="27">
        <v>644200</v>
      </c>
      <c r="Z186" s="27">
        <v>16230</v>
      </c>
      <c r="AA186" s="27">
        <v>40.1</v>
      </c>
      <c r="AB186" s="27">
        <v>6.37</v>
      </c>
      <c r="AC186" s="27">
        <v>12880</v>
      </c>
      <c r="AD186" s="27">
        <v>1082</v>
      </c>
      <c r="AE186" s="27">
        <v>14850</v>
      </c>
      <c r="AF186" s="27">
        <v>1713</v>
      </c>
      <c r="AG186" s="27">
        <v>0.872</v>
      </c>
      <c r="AH186" s="27">
        <v>30.7</v>
      </c>
      <c r="AI186" s="27">
        <v>37.700000000000003</v>
      </c>
      <c r="AJ186" s="27">
        <v>1264</v>
      </c>
      <c r="AK186" s="33">
        <v>400</v>
      </c>
    </row>
    <row r="187" spans="1:37">
      <c r="A187" s="26" t="s">
        <v>264</v>
      </c>
      <c r="B187" s="27">
        <v>990.1</v>
      </c>
      <c r="C187" s="27">
        <v>300</v>
      </c>
      <c r="D187" s="27">
        <v>16.5</v>
      </c>
      <c r="E187" s="27">
        <v>31</v>
      </c>
      <c r="F187" s="27">
        <v>30</v>
      </c>
      <c r="G187" s="27">
        <v>868.1</v>
      </c>
      <c r="H187" s="27">
        <v>554000</v>
      </c>
      <c r="I187" s="27">
        <v>14000</v>
      </c>
      <c r="J187" s="27">
        <v>11190</v>
      </c>
      <c r="K187" s="27">
        <v>934</v>
      </c>
      <c r="L187" s="27">
        <v>12830</v>
      </c>
      <c r="M187" s="27">
        <v>1470</v>
      </c>
      <c r="N187" s="33">
        <v>347</v>
      </c>
      <c r="O187" s="26" t="s">
        <v>264</v>
      </c>
      <c r="P187" s="27">
        <v>272.3</v>
      </c>
      <c r="Q187" s="27">
        <v>990.1</v>
      </c>
      <c r="R187" s="27">
        <v>300</v>
      </c>
      <c r="S187" s="27">
        <v>16.5</v>
      </c>
      <c r="T187" s="27">
        <v>31</v>
      </c>
      <c r="U187" s="27">
        <v>30</v>
      </c>
      <c r="V187" s="27">
        <v>868.1</v>
      </c>
      <c r="W187" s="27">
        <v>4.84</v>
      </c>
      <c r="X187" s="27">
        <v>52.6</v>
      </c>
      <c r="Y187" s="27">
        <v>554000</v>
      </c>
      <c r="Z187" s="27">
        <v>14000</v>
      </c>
      <c r="AA187" s="27">
        <v>40</v>
      </c>
      <c r="AB187" s="27">
        <v>6.35</v>
      </c>
      <c r="AC187" s="27">
        <v>11190</v>
      </c>
      <c r="AD187" s="27">
        <v>934</v>
      </c>
      <c r="AE187" s="27">
        <v>12830</v>
      </c>
      <c r="AF187" s="27">
        <v>1470</v>
      </c>
      <c r="AG187" s="27">
        <v>0.873</v>
      </c>
      <c r="AH187" s="27">
        <v>35</v>
      </c>
      <c r="AI187" s="27">
        <v>32.200000000000003</v>
      </c>
      <c r="AJ187" s="27">
        <v>835</v>
      </c>
      <c r="AK187" s="33">
        <v>347</v>
      </c>
    </row>
    <row r="188" spans="1:37">
      <c r="A188" s="26" t="s">
        <v>265</v>
      </c>
      <c r="B188" s="27">
        <v>980.2</v>
      </c>
      <c r="C188" s="27">
        <v>300</v>
      </c>
      <c r="D188" s="27">
        <v>16.5</v>
      </c>
      <c r="E188" s="27">
        <v>26</v>
      </c>
      <c r="F188" s="27">
        <v>30</v>
      </c>
      <c r="G188" s="27">
        <v>868.2</v>
      </c>
      <c r="H188" s="27">
        <v>481300</v>
      </c>
      <c r="I188" s="27">
        <v>11750</v>
      </c>
      <c r="J188" s="27">
        <v>9821</v>
      </c>
      <c r="K188" s="27">
        <v>784</v>
      </c>
      <c r="L188" s="27">
        <v>11350</v>
      </c>
      <c r="M188" s="27">
        <v>1245</v>
      </c>
      <c r="N188" s="33">
        <v>317</v>
      </c>
      <c r="O188" s="26" t="s">
        <v>265</v>
      </c>
      <c r="P188" s="27">
        <v>248.7</v>
      </c>
      <c r="Q188" s="27">
        <v>980.2</v>
      </c>
      <c r="R188" s="27">
        <v>300</v>
      </c>
      <c r="S188" s="27">
        <v>16.5</v>
      </c>
      <c r="T188" s="27">
        <v>26</v>
      </c>
      <c r="U188" s="27">
        <v>30</v>
      </c>
      <c r="V188" s="27">
        <v>868.2</v>
      </c>
      <c r="W188" s="27">
        <v>5.77</v>
      </c>
      <c r="X188" s="27">
        <v>52.6</v>
      </c>
      <c r="Y188" s="27">
        <v>481300</v>
      </c>
      <c r="Z188" s="27">
        <v>11750</v>
      </c>
      <c r="AA188" s="27">
        <v>39</v>
      </c>
      <c r="AB188" s="27">
        <v>6.09</v>
      </c>
      <c r="AC188" s="27">
        <v>9821</v>
      </c>
      <c r="AD188" s="27">
        <v>784</v>
      </c>
      <c r="AE188" s="27">
        <v>11350</v>
      </c>
      <c r="AF188" s="27">
        <v>1245</v>
      </c>
      <c r="AG188" s="27">
        <v>0.86099999999999999</v>
      </c>
      <c r="AH188" s="27">
        <v>39.9</v>
      </c>
      <c r="AI188" s="27">
        <v>26.8</v>
      </c>
      <c r="AJ188" s="27">
        <v>582</v>
      </c>
      <c r="AK188" s="33">
        <v>317</v>
      </c>
    </row>
    <row r="189" spans="1:37">
      <c r="A189" s="24" t="s">
        <v>266</v>
      </c>
      <c r="B189" s="25">
        <v>970.3</v>
      </c>
      <c r="C189" s="25">
        <v>300</v>
      </c>
      <c r="D189" s="25">
        <v>16</v>
      </c>
      <c r="E189" s="25">
        <v>21.1</v>
      </c>
      <c r="F189" s="25">
        <v>30</v>
      </c>
      <c r="G189" s="25">
        <v>868.1</v>
      </c>
      <c r="H189" s="25">
        <v>408000</v>
      </c>
      <c r="I189" s="25">
        <v>9546</v>
      </c>
      <c r="J189" s="25">
        <v>8409</v>
      </c>
      <c r="K189" s="25">
        <v>636</v>
      </c>
      <c r="L189" s="25">
        <v>9807</v>
      </c>
      <c r="M189" s="25">
        <v>1020</v>
      </c>
      <c r="N189" s="32">
        <v>283</v>
      </c>
      <c r="O189" s="24" t="s">
        <v>266</v>
      </c>
      <c r="P189" s="25">
        <v>222</v>
      </c>
      <c r="Q189" s="25">
        <v>970.3</v>
      </c>
      <c r="R189" s="25">
        <v>300</v>
      </c>
      <c r="S189" s="25">
        <v>16</v>
      </c>
      <c r="T189" s="25">
        <v>21.1</v>
      </c>
      <c r="U189" s="25">
        <v>30</v>
      </c>
      <c r="V189" s="25">
        <v>868.1</v>
      </c>
      <c r="W189" s="25">
        <v>7.11</v>
      </c>
      <c r="X189" s="25">
        <v>54.3</v>
      </c>
      <c r="Y189" s="25">
        <v>408000</v>
      </c>
      <c r="Z189" s="25">
        <v>9546</v>
      </c>
      <c r="AA189" s="25">
        <v>38</v>
      </c>
      <c r="AB189" s="25">
        <v>5.81</v>
      </c>
      <c r="AC189" s="25">
        <v>8409</v>
      </c>
      <c r="AD189" s="25">
        <v>636</v>
      </c>
      <c r="AE189" s="25">
        <v>9807</v>
      </c>
      <c r="AF189" s="25">
        <v>1020</v>
      </c>
      <c r="AG189" s="25">
        <v>0.85</v>
      </c>
      <c r="AH189" s="25">
        <v>45.7</v>
      </c>
      <c r="AI189" s="25">
        <v>21.5</v>
      </c>
      <c r="AJ189" s="25">
        <v>390</v>
      </c>
      <c r="AK189" s="32">
        <v>283</v>
      </c>
    </row>
    <row r="190" spans="1:37" ht="14.25">
      <c r="A190" s="26" t="s">
        <v>267</v>
      </c>
      <c r="B190" s="27">
        <v>950</v>
      </c>
      <c r="C190" s="27">
        <v>425</v>
      </c>
      <c r="D190" s="27">
        <v>28.4</v>
      </c>
      <c r="E190" s="27">
        <v>51.1</v>
      </c>
      <c r="F190" s="27">
        <v>24.1</v>
      </c>
      <c r="G190" s="27">
        <v>799.6</v>
      </c>
      <c r="H190" s="27">
        <v>1031300</v>
      </c>
      <c r="I190" s="27">
        <v>65560</v>
      </c>
      <c r="J190" s="27">
        <v>21710</v>
      </c>
      <c r="K190" s="27">
        <v>3085</v>
      </c>
      <c r="L190" s="27">
        <v>24830</v>
      </c>
      <c r="M190" s="27">
        <v>4796</v>
      </c>
      <c r="N190" s="33">
        <v>680</v>
      </c>
      <c r="O190" s="26" t="s">
        <v>267</v>
      </c>
      <c r="P190" s="27">
        <v>533.9</v>
      </c>
      <c r="Q190" s="27">
        <v>950</v>
      </c>
      <c r="R190" s="27">
        <v>425</v>
      </c>
      <c r="S190" s="27">
        <v>28.4</v>
      </c>
      <c r="T190" s="27">
        <v>51.1</v>
      </c>
      <c r="U190" s="27">
        <v>24.1</v>
      </c>
      <c r="V190" s="27">
        <v>799.6</v>
      </c>
      <c r="W190" s="27">
        <v>4.16</v>
      </c>
      <c r="X190" s="27">
        <v>28.2</v>
      </c>
      <c r="Y190" s="27">
        <v>1031300</v>
      </c>
      <c r="Z190" s="27">
        <v>65560</v>
      </c>
      <c r="AA190" s="27">
        <v>38.9</v>
      </c>
      <c r="AB190" s="27">
        <v>9.82</v>
      </c>
      <c r="AC190" s="27">
        <v>21710</v>
      </c>
      <c r="AD190" s="27">
        <v>3085</v>
      </c>
      <c r="AE190" s="27">
        <v>24830</v>
      </c>
      <c r="AF190" s="27">
        <v>4796</v>
      </c>
      <c r="AG190" s="27">
        <v>0.88700000000000001</v>
      </c>
      <c r="AH190" s="27">
        <v>19.7</v>
      </c>
      <c r="AI190" s="27">
        <v>132</v>
      </c>
      <c r="AJ190" s="27">
        <v>4516</v>
      </c>
      <c r="AK190" s="33">
        <v>680</v>
      </c>
    </row>
    <row r="191" spans="1:37" ht="14.25">
      <c r="A191" s="26" t="s">
        <v>268</v>
      </c>
      <c r="B191" s="27">
        <v>942</v>
      </c>
      <c r="C191" s="27">
        <v>422</v>
      </c>
      <c r="D191" s="27">
        <v>25.9</v>
      </c>
      <c r="E191" s="27">
        <v>47</v>
      </c>
      <c r="F191" s="27">
        <v>24.1</v>
      </c>
      <c r="G191" s="27">
        <v>799.8</v>
      </c>
      <c r="H191" s="27">
        <v>935500</v>
      </c>
      <c r="I191" s="27">
        <v>59010</v>
      </c>
      <c r="J191" s="27">
        <v>19860</v>
      </c>
      <c r="K191" s="27">
        <v>2797</v>
      </c>
      <c r="L191" s="27">
        <v>22620</v>
      </c>
      <c r="M191" s="27">
        <v>4336</v>
      </c>
      <c r="N191" s="33">
        <v>621</v>
      </c>
      <c r="O191" s="26" t="s">
        <v>268</v>
      </c>
      <c r="P191" s="27">
        <v>487.7</v>
      </c>
      <c r="Q191" s="27">
        <v>942</v>
      </c>
      <c r="R191" s="27">
        <v>422</v>
      </c>
      <c r="S191" s="27">
        <v>25.9</v>
      </c>
      <c r="T191" s="27">
        <v>47</v>
      </c>
      <c r="U191" s="27">
        <v>24.1</v>
      </c>
      <c r="V191" s="27">
        <v>799.8</v>
      </c>
      <c r="W191" s="27">
        <v>4.49</v>
      </c>
      <c r="X191" s="27">
        <v>30.9</v>
      </c>
      <c r="Y191" s="27">
        <v>935500</v>
      </c>
      <c r="Z191" s="27">
        <v>59010</v>
      </c>
      <c r="AA191" s="27">
        <v>38.799999999999997</v>
      </c>
      <c r="AB191" s="27">
        <v>9.75</v>
      </c>
      <c r="AC191" s="27">
        <v>19860</v>
      </c>
      <c r="AD191" s="27">
        <v>2797</v>
      </c>
      <c r="AE191" s="27">
        <v>22620</v>
      </c>
      <c r="AF191" s="27">
        <v>4336</v>
      </c>
      <c r="AG191" s="27">
        <v>0.88700000000000001</v>
      </c>
      <c r="AH191" s="27">
        <v>21.3</v>
      </c>
      <c r="AI191" s="27">
        <v>118</v>
      </c>
      <c r="AJ191" s="27">
        <v>3499</v>
      </c>
      <c r="AK191" s="33">
        <v>621</v>
      </c>
    </row>
    <row r="192" spans="1:37" ht="14.25">
      <c r="A192" s="26" t="s">
        <v>269</v>
      </c>
      <c r="B192" s="27">
        <v>933.2</v>
      </c>
      <c r="C192" s="27">
        <v>423</v>
      </c>
      <c r="D192" s="27">
        <v>24</v>
      </c>
      <c r="E192" s="27">
        <v>42.7</v>
      </c>
      <c r="F192" s="27">
        <v>24.1</v>
      </c>
      <c r="G192" s="27">
        <v>799.6</v>
      </c>
      <c r="H192" s="27">
        <v>847300</v>
      </c>
      <c r="I192" s="27">
        <v>53980</v>
      </c>
      <c r="J192" s="27">
        <v>18160</v>
      </c>
      <c r="K192" s="27">
        <v>2552</v>
      </c>
      <c r="L192" s="27">
        <v>20610</v>
      </c>
      <c r="M192" s="27">
        <v>3951</v>
      </c>
      <c r="N192" s="33">
        <v>570</v>
      </c>
      <c r="O192" s="26" t="s">
        <v>269</v>
      </c>
      <c r="P192" s="27">
        <v>447.2</v>
      </c>
      <c r="Q192" s="27">
        <v>933.2</v>
      </c>
      <c r="R192" s="27">
        <v>423</v>
      </c>
      <c r="S192" s="27">
        <v>24</v>
      </c>
      <c r="T192" s="27">
        <v>42.7</v>
      </c>
      <c r="U192" s="27">
        <v>24.1</v>
      </c>
      <c r="V192" s="27">
        <v>799.6</v>
      </c>
      <c r="W192" s="27">
        <v>4.95</v>
      </c>
      <c r="X192" s="27">
        <v>33.299999999999997</v>
      </c>
      <c r="Y192" s="27">
        <v>847300</v>
      </c>
      <c r="Z192" s="27">
        <v>53980</v>
      </c>
      <c r="AA192" s="27">
        <v>38.6</v>
      </c>
      <c r="AB192" s="27">
        <v>9.73</v>
      </c>
      <c r="AC192" s="27">
        <v>18160</v>
      </c>
      <c r="AD192" s="27">
        <v>2552</v>
      </c>
      <c r="AE192" s="27">
        <v>20610</v>
      </c>
      <c r="AF192" s="27">
        <v>3951</v>
      </c>
      <c r="AG192" s="27">
        <v>0.88700000000000001</v>
      </c>
      <c r="AH192" s="27">
        <v>23.3</v>
      </c>
      <c r="AI192" s="27">
        <v>107</v>
      </c>
      <c r="AJ192" s="27">
        <v>2675</v>
      </c>
      <c r="AK192" s="33">
        <v>570</v>
      </c>
    </row>
    <row r="193" spans="1:37" ht="14.25">
      <c r="A193" s="26" t="s">
        <v>270</v>
      </c>
      <c r="B193" s="27">
        <v>927.6</v>
      </c>
      <c r="C193" s="27">
        <v>421.5</v>
      </c>
      <c r="D193" s="27">
        <v>22.5</v>
      </c>
      <c r="E193" s="27">
        <v>39.9</v>
      </c>
      <c r="F193" s="27">
        <v>24.1</v>
      </c>
      <c r="G193" s="27">
        <v>799.6</v>
      </c>
      <c r="H193" s="27">
        <v>786100</v>
      </c>
      <c r="I193" s="27">
        <v>49890</v>
      </c>
      <c r="J193" s="27">
        <v>16950</v>
      </c>
      <c r="K193" s="27">
        <v>2367</v>
      </c>
      <c r="L193" s="27">
        <v>19180</v>
      </c>
      <c r="M193" s="27">
        <v>3660</v>
      </c>
      <c r="N193" s="33">
        <v>532</v>
      </c>
      <c r="O193" s="26" t="s">
        <v>270</v>
      </c>
      <c r="P193" s="27">
        <v>417.7</v>
      </c>
      <c r="Q193" s="27">
        <v>927.6</v>
      </c>
      <c r="R193" s="27">
        <v>421.5</v>
      </c>
      <c r="S193" s="27">
        <v>22.5</v>
      </c>
      <c r="T193" s="27">
        <v>39.9</v>
      </c>
      <c r="U193" s="27">
        <v>24.1</v>
      </c>
      <c r="V193" s="27">
        <v>799.6</v>
      </c>
      <c r="W193" s="27">
        <v>5.28</v>
      </c>
      <c r="X193" s="27">
        <v>35.5</v>
      </c>
      <c r="Y193" s="27">
        <v>786100</v>
      </c>
      <c r="Z193" s="27">
        <v>49890</v>
      </c>
      <c r="AA193" s="27">
        <v>38.4</v>
      </c>
      <c r="AB193" s="27">
        <v>9.68</v>
      </c>
      <c r="AC193" s="27">
        <v>16950</v>
      </c>
      <c r="AD193" s="27">
        <v>2367</v>
      </c>
      <c r="AE193" s="27">
        <v>19180</v>
      </c>
      <c r="AF193" s="27">
        <v>3660</v>
      </c>
      <c r="AG193" s="27">
        <v>0.88700000000000001</v>
      </c>
      <c r="AH193" s="27">
        <v>24.8</v>
      </c>
      <c r="AI193" s="27">
        <v>98.3</v>
      </c>
      <c r="AJ193" s="27">
        <v>2191</v>
      </c>
      <c r="AK193" s="33">
        <v>532</v>
      </c>
    </row>
    <row r="194" spans="1:37" ht="14.25">
      <c r="A194" s="26" t="s">
        <v>271</v>
      </c>
      <c r="B194" s="27">
        <v>921</v>
      </c>
      <c r="C194" s="27">
        <v>420.4</v>
      </c>
      <c r="D194" s="27">
        <v>21.3</v>
      </c>
      <c r="E194" s="27">
        <v>36.6</v>
      </c>
      <c r="F194" s="27">
        <v>24.1</v>
      </c>
      <c r="G194" s="27">
        <v>799.6</v>
      </c>
      <c r="H194" s="27">
        <v>719000</v>
      </c>
      <c r="I194" s="27">
        <v>45410</v>
      </c>
      <c r="J194" s="27">
        <v>15610</v>
      </c>
      <c r="K194" s="27">
        <v>2160</v>
      </c>
      <c r="L194" s="27">
        <v>17640</v>
      </c>
      <c r="M194" s="27">
        <v>3338</v>
      </c>
      <c r="N194" s="33">
        <v>493</v>
      </c>
      <c r="O194" s="26" t="s">
        <v>271</v>
      </c>
      <c r="P194" s="27">
        <v>387.2</v>
      </c>
      <c r="Q194" s="27">
        <v>921</v>
      </c>
      <c r="R194" s="27">
        <v>420.4</v>
      </c>
      <c r="S194" s="27">
        <v>21.3</v>
      </c>
      <c r="T194" s="27">
        <v>36.6</v>
      </c>
      <c r="U194" s="27">
        <v>24.1</v>
      </c>
      <c r="V194" s="27">
        <v>799.6</v>
      </c>
      <c r="W194" s="27">
        <v>5.74</v>
      </c>
      <c r="X194" s="27">
        <v>37.5</v>
      </c>
      <c r="Y194" s="27">
        <v>719000</v>
      </c>
      <c r="Z194" s="27">
        <v>45410</v>
      </c>
      <c r="AA194" s="27">
        <v>38.200000000000003</v>
      </c>
      <c r="AB194" s="27">
        <v>9.59</v>
      </c>
      <c r="AC194" s="27">
        <v>15610</v>
      </c>
      <c r="AD194" s="27">
        <v>2160</v>
      </c>
      <c r="AE194" s="27">
        <v>17640</v>
      </c>
      <c r="AF194" s="27">
        <v>3338</v>
      </c>
      <c r="AG194" s="27">
        <v>0.88500000000000001</v>
      </c>
      <c r="AH194" s="27">
        <v>26.7</v>
      </c>
      <c r="AI194" s="27">
        <v>88.8</v>
      </c>
      <c r="AJ194" s="27">
        <v>1729</v>
      </c>
      <c r="AK194" s="33">
        <v>493</v>
      </c>
    </row>
    <row r="195" spans="1:37" ht="14.25">
      <c r="A195" s="26" t="s">
        <v>272</v>
      </c>
      <c r="B195" s="27">
        <v>916.4</v>
      </c>
      <c r="C195" s="27">
        <v>419.4</v>
      </c>
      <c r="D195" s="27">
        <v>20.3</v>
      </c>
      <c r="E195" s="27">
        <v>34.299999999999997</v>
      </c>
      <c r="F195" s="27">
        <v>24.1</v>
      </c>
      <c r="G195" s="27">
        <v>799.6</v>
      </c>
      <c r="H195" s="27">
        <v>671800</v>
      </c>
      <c r="I195" s="27">
        <v>42240</v>
      </c>
      <c r="J195" s="27">
        <v>14660</v>
      </c>
      <c r="K195" s="27">
        <v>2015</v>
      </c>
      <c r="L195" s="27">
        <v>16550</v>
      </c>
      <c r="M195" s="27">
        <v>3112</v>
      </c>
      <c r="N195" s="33">
        <v>465</v>
      </c>
      <c r="O195" s="26" t="s">
        <v>272</v>
      </c>
      <c r="P195" s="27">
        <v>364.9</v>
      </c>
      <c r="Q195" s="27">
        <v>916.4</v>
      </c>
      <c r="R195" s="27">
        <v>419.4</v>
      </c>
      <c r="S195" s="27">
        <v>20.3</v>
      </c>
      <c r="T195" s="27">
        <v>34.299999999999997</v>
      </c>
      <c r="U195" s="27">
        <v>24.1</v>
      </c>
      <c r="V195" s="27">
        <v>799.6</v>
      </c>
      <c r="W195" s="27">
        <v>6.11</v>
      </c>
      <c r="X195" s="27">
        <v>39.4</v>
      </c>
      <c r="Y195" s="27">
        <v>671800</v>
      </c>
      <c r="Z195" s="27">
        <v>42240</v>
      </c>
      <c r="AA195" s="27">
        <v>38</v>
      </c>
      <c r="AB195" s="27">
        <v>9.5299999999999994</v>
      </c>
      <c r="AC195" s="27">
        <v>14660</v>
      </c>
      <c r="AD195" s="27">
        <v>2015</v>
      </c>
      <c r="AE195" s="27">
        <v>16550</v>
      </c>
      <c r="AF195" s="27">
        <v>3112</v>
      </c>
      <c r="AG195" s="27">
        <v>0.88400000000000001</v>
      </c>
      <c r="AH195" s="27">
        <v>28.3</v>
      </c>
      <c r="AI195" s="27">
        <v>82.2</v>
      </c>
      <c r="AJ195" s="27">
        <v>1442</v>
      </c>
      <c r="AK195" s="33">
        <v>465</v>
      </c>
    </row>
    <row r="196" spans="1:37" ht="14.25">
      <c r="A196" s="26" t="s">
        <v>273</v>
      </c>
      <c r="B196" s="27">
        <v>911.9</v>
      </c>
      <c r="C196" s="27">
        <v>418.3</v>
      </c>
      <c r="D196" s="27">
        <v>19.3</v>
      </c>
      <c r="E196" s="27">
        <v>32</v>
      </c>
      <c r="F196" s="27">
        <v>24.1</v>
      </c>
      <c r="G196" s="27">
        <v>799.7</v>
      </c>
      <c r="H196" s="27">
        <v>625200</v>
      </c>
      <c r="I196" s="27">
        <v>39100</v>
      </c>
      <c r="J196" s="27">
        <v>13710</v>
      </c>
      <c r="K196" s="27">
        <v>1869</v>
      </c>
      <c r="L196" s="27">
        <v>15460</v>
      </c>
      <c r="M196" s="27">
        <v>2886</v>
      </c>
      <c r="N196" s="33">
        <v>436</v>
      </c>
      <c r="O196" s="26" t="s">
        <v>273</v>
      </c>
      <c r="P196" s="27">
        <v>342.5</v>
      </c>
      <c r="Q196" s="27">
        <v>911.9</v>
      </c>
      <c r="R196" s="27">
        <v>418.3</v>
      </c>
      <c r="S196" s="27">
        <v>19.3</v>
      </c>
      <c r="T196" s="27">
        <v>32</v>
      </c>
      <c r="U196" s="27">
        <v>24.1</v>
      </c>
      <c r="V196" s="27">
        <v>799.7</v>
      </c>
      <c r="W196" s="27">
        <v>6.54</v>
      </c>
      <c r="X196" s="27">
        <v>41.4</v>
      </c>
      <c r="Y196" s="27">
        <v>625200</v>
      </c>
      <c r="Z196" s="27">
        <v>39100</v>
      </c>
      <c r="AA196" s="27">
        <v>37.9</v>
      </c>
      <c r="AB196" s="27">
        <v>9.4700000000000006</v>
      </c>
      <c r="AC196" s="27">
        <v>13710</v>
      </c>
      <c r="AD196" s="27">
        <v>1869</v>
      </c>
      <c r="AE196" s="27">
        <v>15460</v>
      </c>
      <c r="AF196" s="27">
        <v>2886</v>
      </c>
      <c r="AG196" s="27">
        <v>0.88300000000000001</v>
      </c>
      <c r="AH196" s="27">
        <v>30.2</v>
      </c>
      <c r="AI196" s="27">
        <v>75.7</v>
      </c>
      <c r="AJ196" s="27">
        <v>1189</v>
      </c>
      <c r="AK196" s="33">
        <v>436</v>
      </c>
    </row>
    <row r="197" spans="1:37">
      <c r="A197" s="26" t="s">
        <v>274</v>
      </c>
      <c r="B197" s="27">
        <v>992.9</v>
      </c>
      <c r="C197" s="27">
        <v>321.8</v>
      </c>
      <c r="D197" s="27">
        <v>36.1</v>
      </c>
      <c r="E197" s="27">
        <v>65</v>
      </c>
      <c r="F197" s="27">
        <v>20</v>
      </c>
      <c r="G197" s="27">
        <v>822.9</v>
      </c>
      <c r="H197" s="27">
        <v>1101500</v>
      </c>
      <c r="I197" s="27">
        <v>36460</v>
      </c>
      <c r="J197" s="27">
        <v>22190</v>
      </c>
      <c r="K197" s="27">
        <v>2266</v>
      </c>
      <c r="L197" s="27">
        <v>26280</v>
      </c>
      <c r="M197" s="27">
        <v>3654</v>
      </c>
      <c r="N197" s="33">
        <v>733</v>
      </c>
      <c r="O197" s="26" t="s">
        <v>274</v>
      </c>
      <c r="P197" s="27">
        <v>575.6</v>
      </c>
      <c r="Q197" s="27">
        <v>992.9</v>
      </c>
      <c r="R197" s="27">
        <v>321.8</v>
      </c>
      <c r="S197" s="27">
        <v>36.1</v>
      </c>
      <c r="T197" s="27">
        <v>65</v>
      </c>
      <c r="U197" s="27">
        <v>20</v>
      </c>
      <c r="V197" s="27">
        <v>822.9</v>
      </c>
      <c r="W197" s="27">
        <v>2.48</v>
      </c>
      <c r="X197" s="27">
        <v>22.8</v>
      </c>
      <c r="Y197" s="27">
        <v>1101500</v>
      </c>
      <c r="Z197" s="27">
        <v>36460</v>
      </c>
      <c r="AA197" s="27">
        <v>38.799999999999997</v>
      </c>
      <c r="AB197" s="27">
        <v>7.05</v>
      </c>
      <c r="AC197" s="27">
        <v>22190</v>
      </c>
      <c r="AD197" s="27">
        <v>2266</v>
      </c>
      <c r="AE197" s="27">
        <v>26280</v>
      </c>
      <c r="AF197" s="27">
        <v>3654</v>
      </c>
      <c r="AG197" s="27">
        <v>0.871</v>
      </c>
      <c r="AH197" s="27">
        <v>16.8</v>
      </c>
      <c r="AI197" s="27">
        <v>78.5</v>
      </c>
      <c r="AJ197" s="27">
        <v>7150</v>
      </c>
      <c r="AK197" s="33">
        <v>733</v>
      </c>
    </row>
    <row r="198" spans="1:37">
      <c r="A198" s="26" t="s">
        <v>275</v>
      </c>
      <c r="B198" s="27">
        <v>980.7</v>
      </c>
      <c r="C198" s="27">
        <v>318.8</v>
      </c>
      <c r="D198" s="27">
        <v>33</v>
      </c>
      <c r="E198" s="27">
        <v>58.9</v>
      </c>
      <c r="F198" s="27">
        <v>20</v>
      </c>
      <c r="G198" s="27">
        <v>822.9</v>
      </c>
      <c r="H198" s="27">
        <v>981800</v>
      </c>
      <c r="I198" s="27">
        <v>32080</v>
      </c>
      <c r="J198" s="27">
        <v>20020</v>
      </c>
      <c r="K198" s="27">
        <v>2013</v>
      </c>
      <c r="L198" s="27">
        <v>23600</v>
      </c>
      <c r="M198" s="27">
        <v>3235</v>
      </c>
      <c r="N198" s="33">
        <v>664</v>
      </c>
      <c r="O198" s="26" t="s">
        <v>275</v>
      </c>
      <c r="P198" s="27">
        <v>521</v>
      </c>
      <c r="Q198" s="27">
        <v>980.7</v>
      </c>
      <c r="R198" s="27">
        <v>318.8</v>
      </c>
      <c r="S198" s="27">
        <v>33</v>
      </c>
      <c r="T198" s="27">
        <v>58.9</v>
      </c>
      <c r="U198" s="27">
        <v>20</v>
      </c>
      <c r="V198" s="27">
        <v>822.9</v>
      </c>
      <c r="W198" s="27">
        <v>2.71</v>
      </c>
      <c r="X198" s="27">
        <v>24.9</v>
      </c>
      <c r="Y198" s="27">
        <v>981800</v>
      </c>
      <c r="Z198" s="27">
        <v>32080</v>
      </c>
      <c r="AA198" s="27">
        <v>38.5</v>
      </c>
      <c r="AB198" s="27">
        <v>6.95</v>
      </c>
      <c r="AC198" s="27">
        <v>20020</v>
      </c>
      <c r="AD198" s="27">
        <v>2013</v>
      </c>
      <c r="AE198" s="27">
        <v>23600</v>
      </c>
      <c r="AF198" s="27">
        <v>3235</v>
      </c>
      <c r="AG198" s="27">
        <v>0.871</v>
      </c>
      <c r="AH198" s="27">
        <v>18.399999999999999</v>
      </c>
      <c r="AI198" s="27">
        <v>68.099999999999994</v>
      </c>
      <c r="AJ198" s="27">
        <v>5355</v>
      </c>
      <c r="AK198" s="33">
        <v>664</v>
      </c>
    </row>
    <row r="199" spans="1:37">
      <c r="A199" s="26" t="s">
        <v>276</v>
      </c>
      <c r="B199" s="27">
        <v>970.8</v>
      </c>
      <c r="C199" s="27">
        <v>315.7</v>
      </c>
      <c r="D199" s="27">
        <v>29.9</v>
      </c>
      <c r="E199" s="27">
        <v>54.1</v>
      </c>
      <c r="F199" s="27">
        <v>20</v>
      </c>
      <c r="G199" s="27">
        <v>822.6</v>
      </c>
      <c r="H199" s="27">
        <v>884600</v>
      </c>
      <c r="I199" s="27">
        <v>28580</v>
      </c>
      <c r="J199" s="27">
        <v>18220</v>
      </c>
      <c r="K199" s="27">
        <v>1810</v>
      </c>
      <c r="L199" s="27">
        <v>21370</v>
      </c>
      <c r="M199" s="27">
        <v>2895</v>
      </c>
      <c r="N199" s="33">
        <v>603</v>
      </c>
      <c r="O199" s="26" t="s">
        <v>276</v>
      </c>
      <c r="P199" s="27">
        <v>473.3</v>
      </c>
      <c r="Q199" s="27">
        <v>970.8</v>
      </c>
      <c r="R199" s="27">
        <v>315.7</v>
      </c>
      <c r="S199" s="27">
        <v>29.9</v>
      </c>
      <c r="T199" s="27">
        <v>54.1</v>
      </c>
      <c r="U199" s="27">
        <v>20</v>
      </c>
      <c r="V199" s="27">
        <v>822.6</v>
      </c>
      <c r="W199" s="27">
        <v>2.92</v>
      </c>
      <c r="X199" s="27">
        <v>27.5</v>
      </c>
      <c r="Y199" s="27">
        <v>884600</v>
      </c>
      <c r="Z199" s="27">
        <v>28580</v>
      </c>
      <c r="AA199" s="27">
        <v>38.299999999999997</v>
      </c>
      <c r="AB199" s="27">
        <v>6.88</v>
      </c>
      <c r="AC199" s="27">
        <v>18220</v>
      </c>
      <c r="AD199" s="27">
        <v>1810</v>
      </c>
      <c r="AE199" s="27">
        <v>21370</v>
      </c>
      <c r="AF199" s="27">
        <v>2895</v>
      </c>
      <c r="AG199" s="27">
        <v>0.872</v>
      </c>
      <c r="AH199" s="27">
        <v>19.899999999999999</v>
      </c>
      <c r="AI199" s="27">
        <v>60</v>
      </c>
      <c r="AJ199" s="27">
        <v>4106</v>
      </c>
      <c r="AK199" s="33">
        <v>603</v>
      </c>
    </row>
    <row r="200" spans="1:37">
      <c r="A200" s="26" t="s">
        <v>277</v>
      </c>
      <c r="B200" s="27">
        <v>960.9</v>
      </c>
      <c r="C200" s="27">
        <v>312.8</v>
      </c>
      <c r="D200" s="27">
        <v>26.9</v>
      </c>
      <c r="E200" s="27">
        <v>49</v>
      </c>
      <c r="F200" s="27">
        <v>20</v>
      </c>
      <c r="G200" s="27">
        <v>822.9</v>
      </c>
      <c r="H200" s="27">
        <v>788200</v>
      </c>
      <c r="I200" s="27">
        <v>25150</v>
      </c>
      <c r="J200" s="27">
        <v>16410</v>
      </c>
      <c r="K200" s="27">
        <v>1608</v>
      </c>
      <c r="L200" s="27">
        <v>19130</v>
      </c>
      <c r="M200" s="27">
        <v>2559</v>
      </c>
      <c r="N200" s="33">
        <v>542</v>
      </c>
      <c r="O200" s="26" t="s">
        <v>277</v>
      </c>
      <c r="P200" s="27">
        <v>425.5</v>
      </c>
      <c r="Q200" s="27">
        <v>960.9</v>
      </c>
      <c r="R200" s="27">
        <v>312.8</v>
      </c>
      <c r="S200" s="27">
        <v>26.9</v>
      </c>
      <c r="T200" s="27">
        <v>49</v>
      </c>
      <c r="U200" s="27">
        <v>20</v>
      </c>
      <c r="V200" s="27">
        <v>822.9</v>
      </c>
      <c r="W200" s="27">
        <v>3.19</v>
      </c>
      <c r="X200" s="27">
        <v>30.6</v>
      </c>
      <c r="Y200" s="27">
        <v>788200</v>
      </c>
      <c r="Z200" s="27">
        <v>25150</v>
      </c>
      <c r="AA200" s="27">
        <v>38.1</v>
      </c>
      <c r="AB200" s="27">
        <v>6.81</v>
      </c>
      <c r="AC200" s="27">
        <v>16410</v>
      </c>
      <c r="AD200" s="27">
        <v>1608</v>
      </c>
      <c r="AE200" s="27">
        <v>19130</v>
      </c>
      <c r="AF200" s="27">
        <v>2559</v>
      </c>
      <c r="AG200" s="27">
        <v>0.873</v>
      </c>
      <c r="AH200" s="27">
        <v>21.8</v>
      </c>
      <c r="AI200" s="27">
        <v>52.3</v>
      </c>
      <c r="AJ200" s="27">
        <v>3039</v>
      </c>
      <c r="AK200" s="33">
        <v>542</v>
      </c>
    </row>
    <row r="201" spans="1:37">
      <c r="A201" s="26" t="s">
        <v>278</v>
      </c>
      <c r="B201" s="27">
        <v>950.7</v>
      </c>
      <c r="C201" s="27">
        <v>310.3</v>
      </c>
      <c r="D201" s="27">
        <v>24.4</v>
      </c>
      <c r="E201" s="27">
        <v>43.9</v>
      </c>
      <c r="F201" s="27">
        <v>20</v>
      </c>
      <c r="G201" s="27">
        <v>822.9</v>
      </c>
      <c r="H201" s="27">
        <v>697400</v>
      </c>
      <c r="I201" s="27">
        <v>21970</v>
      </c>
      <c r="J201" s="27">
        <v>14670</v>
      </c>
      <c r="K201" s="27">
        <v>1416</v>
      </c>
      <c r="L201" s="27">
        <v>17040</v>
      </c>
      <c r="M201" s="27">
        <v>2248</v>
      </c>
      <c r="N201" s="33">
        <v>486</v>
      </c>
      <c r="O201" s="26" t="s">
        <v>278</v>
      </c>
      <c r="P201" s="27">
        <v>381.8</v>
      </c>
      <c r="Q201" s="27">
        <v>950.7</v>
      </c>
      <c r="R201" s="27">
        <v>310.3</v>
      </c>
      <c r="S201" s="27">
        <v>24.4</v>
      </c>
      <c r="T201" s="27">
        <v>43.9</v>
      </c>
      <c r="U201" s="27">
        <v>20</v>
      </c>
      <c r="V201" s="27">
        <v>822.9</v>
      </c>
      <c r="W201" s="27">
        <v>3.53</v>
      </c>
      <c r="X201" s="27">
        <v>33.700000000000003</v>
      </c>
      <c r="Y201" s="27">
        <v>697400</v>
      </c>
      <c r="Z201" s="27">
        <v>21970</v>
      </c>
      <c r="AA201" s="27">
        <v>37.9</v>
      </c>
      <c r="AB201" s="27">
        <v>6.72</v>
      </c>
      <c r="AC201" s="27">
        <v>14670</v>
      </c>
      <c r="AD201" s="27">
        <v>1416</v>
      </c>
      <c r="AE201" s="27">
        <v>17040</v>
      </c>
      <c r="AF201" s="27">
        <v>2248</v>
      </c>
      <c r="AG201" s="27">
        <v>0.872</v>
      </c>
      <c r="AH201" s="27">
        <v>24.1</v>
      </c>
      <c r="AI201" s="27">
        <v>45.2</v>
      </c>
      <c r="AJ201" s="27">
        <v>2208</v>
      </c>
      <c r="AK201" s="33">
        <v>486</v>
      </c>
    </row>
    <row r="202" spans="1:37">
      <c r="A202" s="26" t="s">
        <v>279</v>
      </c>
      <c r="B202" s="27">
        <v>942.9</v>
      </c>
      <c r="C202" s="27">
        <v>307.8</v>
      </c>
      <c r="D202" s="27">
        <v>22.1</v>
      </c>
      <c r="E202" s="27">
        <v>39.9</v>
      </c>
      <c r="F202" s="27">
        <v>20</v>
      </c>
      <c r="G202" s="27">
        <v>823.1</v>
      </c>
      <c r="H202" s="27">
        <v>625700</v>
      </c>
      <c r="I202" s="27">
        <v>19480</v>
      </c>
      <c r="J202" s="27">
        <v>13270</v>
      </c>
      <c r="K202" s="27">
        <v>1266</v>
      </c>
      <c r="L202" s="27">
        <v>15350</v>
      </c>
      <c r="M202" s="27">
        <v>2001</v>
      </c>
      <c r="N202" s="33">
        <v>440</v>
      </c>
      <c r="O202" s="26" t="s">
        <v>279</v>
      </c>
      <c r="P202" s="27">
        <v>345.2</v>
      </c>
      <c r="Q202" s="27">
        <v>942.9</v>
      </c>
      <c r="R202" s="27">
        <v>307.8</v>
      </c>
      <c r="S202" s="27">
        <v>22.1</v>
      </c>
      <c r="T202" s="27">
        <v>39.9</v>
      </c>
      <c r="U202" s="27">
        <v>20</v>
      </c>
      <c r="V202" s="27">
        <v>823.1</v>
      </c>
      <c r="W202" s="27">
        <v>3.86</v>
      </c>
      <c r="X202" s="27">
        <v>37.200000000000003</v>
      </c>
      <c r="Y202" s="27">
        <v>625700</v>
      </c>
      <c r="Z202" s="27">
        <v>19480</v>
      </c>
      <c r="AA202" s="27">
        <v>37.700000000000003</v>
      </c>
      <c r="AB202" s="27">
        <v>6.66</v>
      </c>
      <c r="AC202" s="27">
        <v>13270</v>
      </c>
      <c r="AD202" s="27">
        <v>1266</v>
      </c>
      <c r="AE202" s="27">
        <v>15350</v>
      </c>
      <c r="AF202" s="27">
        <v>2001</v>
      </c>
      <c r="AG202" s="27">
        <v>0.872</v>
      </c>
      <c r="AH202" s="27">
        <v>26.3</v>
      </c>
      <c r="AI202" s="27">
        <v>39.700000000000003</v>
      </c>
      <c r="AJ202" s="27">
        <v>1656</v>
      </c>
      <c r="AK202" s="33">
        <v>440</v>
      </c>
    </row>
    <row r="203" spans="1:37">
      <c r="A203" s="26" t="s">
        <v>280</v>
      </c>
      <c r="B203" s="27">
        <v>931.9</v>
      </c>
      <c r="C203" s="27">
        <v>309.39999999999998</v>
      </c>
      <c r="D203" s="27">
        <v>21.1</v>
      </c>
      <c r="E203" s="27">
        <v>34.5</v>
      </c>
      <c r="F203" s="27">
        <v>20</v>
      </c>
      <c r="G203" s="27">
        <v>822.9</v>
      </c>
      <c r="H203" s="27">
        <v>549300</v>
      </c>
      <c r="I203" s="27">
        <v>17110</v>
      </c>
      <c r="J203" s="27">
        <v>11790</v>
      </c>
      <c r="K203" s="27">
        <v>1106</v>
      </c>
      <c r="L203" s="27">
        <v>13650</v>
      </c>
      <c r="M203" s="27">
        <v>1753</v>
      </c>
      <c r="N203" s="33">
        <v>399</v>
      </c>
      <c r="O203" s="26" t="s">
        <v>280</v>
      </c>
      <c r="P203" s="27">
        <v>313.2</v>
      </c>
      <c r="Q203" s="27">
        <v>931.9</v>
      </c>
      <c r="R203" s="27">
        <v>309.39999999999998</v>
      </c>
      <c r="S203" s="27">
        <v>21.1</v>
      </c>
      <c r="T203" s="27">
        <v>34.5</v>
      </c>
      <c r="U203" s="27">
        <v>20</v>
      </c>
      <c r="V203" s="27">
        <v>822.9</v>
      </c>
      <c r="W203" s="27">
        <v>4.4800000000000004</v>
      </c>
      <c r="X203" s="27">
        <v>39</v>
      </c>
      <c r="Y203" s="27">
        <v>549300</v>
      </c>
      <c r="Z203" s="27">
        <v>17110</v>
      </c>
      <c r="AA203" s="27">
        <v>37.1</v>
      </c>
      <c r="AB203" s="27">
        <v>6.55</v>
      </c>
      <c r="AC203" s="27">
        <v>11790</v>
      </c>
      <c r="AD203" s="27">
        <v>1106</v>
      </c>
      <c r="AE203" s="27">
        <v>13650</v>
      </c>
      <c r="AF203" s="27">
        <v>1753</v>
      </c>
      <c r="AG203" s="27">
        <v>0.86599999999999999</v>
      </c>
      <c r="AH203" s="27">
        <v>29.7</v>
      </c>
      <c r="AI203" s="27">
        <v>34.4</v>
      </c>
      <c r="AJ203" s="27">
        <v>1169</v>
      </c>
      <c r="AK203" s="33">
        <v>399</v>
      </c>
    </row>
    <row r="204" spans="1:37">
      <c r="A204" s="26" t="s">
        <v>281</v>
      </c>
      <c r="B204" s="27">
        <v>926.8</v>
      </c>
      <c r="C204" s="27">
        <v>307.7</v>
      </c>
      <c r="D204" s="27">
        <v>19.399999999999999</v>
      </c>
      <c r="E204" s="27">
        <v>32</v>
      </c>
      <c r="F204" s="27">
        <v>20</v>
      </c>
      <c r="G204" s="27">
        <v>822.8</v>
      </c>
      <c r="H204" s="27">
        <v>504400</v>
      </c>
      <c r="I204" s="27">
        <v>15600</v>
      </c>
      <c r="J204" s="27">
        <v>10890</v>
      </c>
      <c r="K204" s="27">
        <v>1014</v>
      </c>
      <c r="L204" s="27">
        <v>12570</v>
      </c>
      <c r="M204" s="27">
        <v>1601</v>
      </c>
      <c r="N204" s="33">
        <v>368</v>
      </c>
      <c r="O204" s="26" t="s">
        <v>281</v>
      </c>
      <c r="P204" s="27">
        <v>288.7</v>
      </c>
      <c r="Q204" s="27">
        <v>926.8</v>
      </c>
      <c r="R204" s="27">
        <v>307.7</v>
      </c>
      <c r="S204" s="27">
        <v>19.399999999999999</v>
      </c>
      <c r="T204" s="27">
        <v>32</v>
      </c>
      <c r="U204" s="27">
        <v>20</v>
      </c>
      <c r="V204" s="27">
        <v>822.8</v>
      </c>
      <c r="W204" s="27">
        <v>4.8099999999999996</v>
      </c>
      <c r="X204" s="27">
        <v>42.4</v>
      </c>
      <c r="Y204" s="27">
        <v>504400</v>
      </c>
      <c r="Z204" s="27">
        <v>15600</v>
      </c>
      <c r="AA204" s="27">
        <v>37</v>
      </c>
      <c r="AB204" s="27">
        <v>6.51</v>
      </c>
      <c r="AC204" s="27">
        <v>10890</v>
      </c>
      <c r="AD204" s="27">
        <v>1014</v>
      </c>
      <c r="AE204" s="27">
        <v>12570</v>
      </c>
      <c r="AF204" s="27">
        <v>1601</v>
      </c>
      <c r="AG204" s="27">
        <v>0.86699999999999999</v>
      </c>
      <c r="AH204" s="27">
        <v>31.9</v>
      </c>
      <c r="AI204" s="27">
        <v>31.2</v>
      </c>
      <c r="AJ204" s="27">
        <v>928</v>
      </c>
      <c r="AK204" s="33">
        <v>368</v>
      </c>
    </row>
    <row r="205" spans="1:37">
      <c r="A205" s="26" t="s">
        <v>282</v>
      </c>
      <c r="B205" s="27">
        <v>922.8</v>
      </c>
      <c r="C205" s="27">
        <v>306.7</v>
      </c>
      <c r="D205" s="27">
        <v>18.399999999999999</v>
      </c>
      <c r="E205" s="27">
        <v>30</v>
      </c>
      <c r="F205" s="27">
        <v>20</v>
      </c>
      <c r="G205" s="27">
        <v>822.8</v>
      </c>
      <c r="H205" s="27">
        <v>471600</v>
      </c>
      <c r="I205" s="27">
        <v>14480</v>
      </c>
      <c r="J205" s="27">
        <v>10220</v>
      </c>
      <c r="K205" s="27">
        <v>944</v>
      </c>
      <c r="L205" s="27">
        <v>11790</v>
      </c>
      <c r="M205" s="27">
        <v>1489</v>
      </c>
      <c r="N205" s="33">
        <v>346</v>
      </c>
      <c r="O205" s="26" t="s">
        <v>282</v>
      </c>
      <c r="P205" s="27">
        <v>271.8</v>
      </c>
      <c r="Q205" s="27">
        <v>922.8</v>
      </c>
      <c r="R205" s="27">
        <v>306.7</v>
      </c>
      <c r="S205" s="27">
        <v>18.399999999999999</v>
      </c>
      <c r="T205" s="27">
        <v>30</v>
      </c>
      <c r="U205" s="27">
        <v>20</v>
      </c>
      <c r="V205" s="27">
        <v>822.8</v>
      </c>
      <c r="W205" s="27">
        <v>5.1100000000000003</v>
      </c>
      <c r="X205" s="27">
        <v>44.7</v>
      </c>
      <c r="Y205" s="27">
        <v>471600</v>
      </c>
      <c r="Z205" s="27">
        <v>14480</v>
      </c>
      <c r="AA205" s="27">
        <v>36.9</v>
      </c>
      <c r="AB205" s="27">
        <v>6.47</v>
      </c>
      <c r="AC205" s="27">
        <v>10220</v>
      </c>
      <c r="AD205" s="27">
        <v>944</v>
      </c>
      <c r="AE205" s="27">
        <v>11790</v>
      </c>
      <c r="AF205" s="27">
        <v>1489</v>
      </c>
      <c r="AG205" s="27">
        <v>0.86599999999999999</v>
      </c>
      <c r="AH205" s="27">
        <v>33.799999999999997</v>
      </c>
      <c r="AI205" s="27">
        <v>28.8</v>
      </c>
      <c r="AJ205" s="27">
        <v>774</v>
      </c>
      <c r="AK205" s="33">
        <v>346</v>
      </c>
    </row>
    <row r="206" spans="1:37">
      <c r="A206" s="26" t="s">
        <v>283</v>
      </c>
      <c r="B206" s="27">
        <v>918.7</v>
      </c>
      <c r="C206" s="27">
        <v>305.60000000000002</v>
      </c>
      <c r="D206" s="27">
        <v>17.3</v>
      </c>
      <c r="E206" s="27">
        <v>27.9</v>
      </c>
      <c r="F206" s="27">
        <v>20</v>
      </c>
      <c r="G206" s="27">
        <v>822.9</v>
      </c>
      <c r="H206" s="27">
        <v>437300</v>
      </c>
      <c r="I206" s="27">
        <v>13310</v>
      </c>
      <c r="J206" s="27">
        <v>9520</v>
      </c>
      <c r="K206" s="27">
        <v>871</v>
      </c>
      <c r="L206" s="27">
        <v>10960</v>
      </c>
      <c r="M206" s="27">
        <v>1372</v>
      </c>
      <c r="N206" s="33">
        <v>323</v>
      </c>
      <c r="O206" s="26" t="s">
        <v>283</v>
      </c>
      <c r="P206" s="27">
        <v>253.7</v>
      </c>
      <c r="Q206" s="27">
        <v>918.7</v>
      </c>
      <c r="R206" s="27">
        <v>305.60000000000002</v>
      </c>
      <c r="S206" s="27">
        <v>17.3</v>
      </c>
      <c r="T206" s="27">
        <v>27.9</v>
      </c>
      <c r="U206" s="27">
        <v>20</v>
      </c>
      <c r="V206" s="27">
        <v>822.9</v>
      </c>
      <c r="W206" s="27">
        <v>5.48</v>
      </c>
      <c r="X206" s="27">
        <v>47.6</v>
      </c>
      <c r="Y206" s="27">
        <v>437300</v>
      </c>
      <c r="Z206" s="27">
        <v>13310</v>
      </c>
      <c r="AA206" s="27">
        <v>36.799999999999997</v>
      </c>
      <c r="AB206" s="27">
        <v>6.42</v>
      </c>
      <c r="AC206" s="27">
        <v>9520</v>
      </c>
      <c r="AD206" s="27">
        <v>871</v>
      </c>
      <c r="AE206" s="27">
        <v>10960</v>
      </c>
      <c r="AF206" s="27">
        <v>1372</v>
      </c>
      <c r="AG206" s="27">
        <v>0.86599999999999999</v>
      </c>
      <c r="AH206" s="27">
        <v>36.1</v>
      </c>
      <c r="AI206" s="27">
        <v>26.4</v>
      </c>
      <c r="AJ206" s="27">
        <v>630</v>
      </c>
      <c r="AK206" s="33">
        <v>323</v>
      </c>
    </row>
    <row r="207" spans="1:37">
      <c r="A207" s="26" t="s">
        <v>284</v>
      </c>
      <c r="B207" s="27">
        <v>914.7</v>
      </c>
      <c r="C207" s="27">
        <v>304.8</v>
      </c>
      <c r="D207" s="27">
        <v>16.5</v>
      </c>
      <c r="E207" s="27">
        <v>25.9</v>
      </c>
      <c r="F207" s="27">
        <v>20</v>
      </c>
      <c r="G207" s="27">
        <v>822.9</v>
      </c>
      <c r="H207" s="27">
        <v>406500</v>
      </c>
      <c r="I207" s="27">
        <v>12260</v>
      </c>
      <c r="J207" s="27">
        <v>8888</v>
      </c>
      <c r="K207" s="27">
        <v>805</v>
      </c>
      <c r="L207" s="27">
        <v>10230</v>
      </c>
      <c r="M207" s="27">
        <v>1266</v>
      </c>
      <c r="N207" s="33">
        <v>304</v>
      </c>
      <c r="O207" s="26" t="s">
        <v>284</v>
      </c>
      <c r="P207" s="27">
        <v>238.4</v>
      </c>
      <c r="Q207" s="27">
        <v>914.7</v>
      </c>
      <c r="R207" s="27">
        <v>304.8</v>
      </c>
      <c r="S207" s="27">
        <v>16.5</v>
      </c>
      <c r="T207" s="27">
        <v>25.9</v>
      </c>
      <c r="U207" s="27">
        <v>20</v>
      </c>
      <c r="V207" s="27">
        <v>822.9</v>
      </c>
      <c r="W207" s="27">
        <v>5.88</v>
      </c>
      <c r="X207" s="27">
        <v>49.9</v>
      </c>
      <c r="Y207" s="27">
        <v>406500</v>
      </c>
      <c r="Z207" s="27">
        <v>12260</v>
      </c>
      <c r="AA207" s="27">
        <v>36.6</v>
      </c>
      <c r="AB207" s="27">
        <v>6.35</v>
      </c>
      <c r="AC207" s="27">
        <v>8888</v>
      </c>
      <c r="AD207" s="27">
        <v>805</v>
      </c>
      <c r="AE207" s="27">
        <v>10230</v>
      </c>
      <c r="AF207" s="27">
        <v>1266</v>
      </c>
      <c r="AG207" s="27">
        <v>0.86399999999999999</v>
      </c>
      <c r="AH207" s="27">
        <v>38.5</v>
      </c>
      <c r="AI207" s="27">
        <v>24.2</v>
      </c>
      <c r="AJ207" s="27">
        <v>518</v>
      </c>
      <c r="AK207" s="33">
        <v>304</v>
      </c>
    </row>
    <row r="208" spans="1:37">
      <c r="A208" s="26" t="s">
        <v>285</v>
      </c>
      <c r="B208" s="27">
        <v>910.6</v>
      </c>
      <c r="C208" s="27">
        <v>304.2</v>
      </c>
      <c r="D208" s="27">
        <v>15.9</v>
      </c>
      <c r="E208" s="27">
        <v>23.9</v>
      </c>
      <c r="F208" s="27">
        <v>20</v>
      </c>
      <c r="G208" s="27">
        <v>822.8</v>
      </c>
      <c r="H208" s="27">
        <v>377200</v>
      </c>
      <c r="I208" s="27">
        <v>11250</v>
      </c>
      <c r="J208" s="27">
        <v>8286</v>
      </c>
      <c r="K208" s="27">
        <v>739</v>
      </c>
      <c r="L208" s="27">
        <v>9552</v>
      </c>
      <c r="M208" s="27">
        <v>1165</v>
      </c>
      <c r="N208" s="33">
        <v>286</v>
      </c>
      <c r="O208" s="26" t="s">
        <v>285</v>
      </c>
      <c r="P208" s="27">
        <v>224.5</v>
      </c>
      <c r="Q208" s="27">
        <v>910.6</v>
      </c>
      <c r="R208" s="27">
        <v>304.2</v>
      </c>
      <c r="S208" s="27">
        <v>15.9</v>
      </c>
      <c r="T208" s="27">
        <v>23.9</v>
      </c>
      <c r="U208" s="27">
        <v>20</v>
      </c>
      <c r="V208" s="27">
        <v>822.8</v>
      </c>
      <c r="W208" s="27">
        <v>6.36</v>
      </c>
      <c r="X208" s="27">
        <v>51.7</v>
      </c>
      <c r="Y208" s="27">
        <v>377200</v>
      </c>
      <c r="Z208" s="27">
        <v>11250</v>
      </c>
      <c r="AA208" s="27">
        <v>36.299999999999997</v>
      </c>
      <c r="AB208" s="27">
        <v>6.27</v>
      </c>
      <c r="AC208" s="27">
        <v>8286</v>
      </c>
      <c r="AD208" s="27">
        <v>739</v>
      </c>
      <c r="AE208" s="27">
        <v>9552</v>
      </c>
      <c r="AF208" s="27">
        <v>1165</v>
      </c>
      <c r="AG208" s="27">
        <v>0.86099999999999999</v>
      </c>
      <c r="AH208" s="27">
        <v>41.1</v>
      </c>
      <c r="AI208" s="27">
        <v>22.1</v>
      </c>
      <c r="AJ208" s="27">
        <v>426</v>
      </c>
      <c r="AK208" s="33">
        <v>286</v>
      </c>
    </row>
    <row r="209" spans="1:37">
      <c r="A209" s="24" t="s">
        <v>286</v>
      </c>
      <c r="B209" s="25">
        <v>903</v>
      </c>
      <c r="C209" s="25">
        <v>303.5</v>
      </c>
      <c r="D209" s="25">
        <v>15.2</v>
      </c>
      <c r="E209" s="25">
        <v>20.100000000000001</v>
      </c>
      <c r="F209" s="25">
        <v>20</v>
      </c>
      <c r="G209" s="25">
        <v>822.8</v>
      </c>
      <c r="H209" s="25">
        <v>325400</v>
      </c>
      <c r="I209" s="25">
        <v>9396</v>
      </c>
      <c r="J209" s="25">
        <v>7208</v>
      </c>
      <c r="K209" s="25">
        <v>619</v>
      </c>
      <c r="L209" s="25">
        <v>8361</v>
      </c>
      <c r="M209" s="25">
        <v>980</v>
      </c>
      <c r="N209" s="32">
        <v>257</v>
      </c>
      <c r="O209" s="24" t="s">
        <v>286</v>
      </c>
      <c r="P209" s="25">
        <v>201.4</v>
      </c>
      <c r="Q209" s="25">
        <v>903</v>
      </c>
      <c r="R209" s="25">
        <v>303.5</v>
      </c>
      <c r="S209" s="25">
        <v>15.2</v>
      </c>
      <c r="T209" s="25">
        <v>20.100000000000001</v>
      </c>
      <c r="U209" s="25">
        <v>20</v>
      </c>
      <c r="V209" s="25">
        <v>822.8</v>
      </c>
      <c r="W209" s="25">
        <v>7.55</v>
      </c>
      <c r="X209" s="25">
        <v>54.1</v>
      </c>
      <c r="Y209" s="25">
        <v>325400</v>
      </c>
      <c r="Z209" s="25">
        <v>9396</v>
      </c>
      <c r="AA209" s="25">
        <v>35.6</v>
      </c>
      <c r="AB209" s="25">
        <v>6.05</v>
      </c>
      <c r="AC209" s="25">
        <v>7208</v>
      </c>
      <c r="AD209" s="25">
        <v>619</v>
      </c>
      <c r="AE209" s="25">
        <v>8361</v>
      </c>
      <c r="AF209" s="25">
        <v>980</v>
      </c>
      <c r="AG209" s="25">
        <v>0.85299999999999998</v>
      </c>
      <c r="AH209" s="25">
        <v>46.7</v>
      </c>
      <c r="AI209" s="25">
        <v>18.3</v>
      </c>
      <c r="AJ209" s="25">
        <v>294</v>
      </c>
      <c r="AK209" s="32">
        <v>257</v>
      </c>
    </row>
    <row r="210" spans="1:37" ht="14.25">
      <c r="A210" s="26" t="s">
        <v>287</v>
      </c>
      <c r="B210" s="27">
        <v>935</v>
      </c>
      <c r="C210" s="27">
        <v>418</v>
      </c>
      <c r="D210" s="27">
        <v>38.6</v>
      </c>
      <c r="E210" s="27">
        <v>69.099999999999994</v>
      </c>
      <c r="F210" s="27">
        <v>20</v>
      </c>
      <c r="G210" s="27">
        <v>756.8</v>
      </c>
      <c r="H210" s="27">
        <v>1253200</v>
      </c>
      <c r="I210" s="27">
        <v>84510</v>
      </c>
      <c r="J210" s="27">
        <v>26810</v>
      </c>
      <c r="K210" s="27">
        <v>4044</v>
      </c>
      <c r="L210" s="27">
        <v>31270</v>
      </c>
      <c r="M210" s="27">
        <v>6342</v>
      </c>
      <c r="N210" s="33">
        <v>889</v>
      </c>
      <c r="O210" s="26" t="s">
        <v>287</v>
      </c>
      <c r="P210" s="27">
        <v>697.6</v>
      </c>
      <c r="Q210" s="27">
        <v>935</v>
      </c>
      <c r="R210" s="27">
        <v>418</v>
      </c>
      <c r="S210" s="27">
        <v>38.6</v>
      </c>
      <c r="T210" s="27">
        <v>69.099999999999994</v>
      </c>
      <c r="U210" s="27">
        <v>20</v>
      </c>
      <c r="V210" s="27">
        <v>756.8</v>
      </c>
      <c r="W210" s="27">
        <v>3.02</v>
      </c>
      <c r="X210" s="27">
        <v>19.600000000000001</v>
      </c>
      <c r="Y210" s="27">
        <v>1253200</v>
      </c>
      <c r="Z210" s="27">
        <v>84510</v>
      </c>
      <c r="AA210" s="27">
        <v>37.6</v>
      </c>
      <c r="AB210" s="27">
        <v>9.75</v>
      </c>
      <c r="AC210" s="27">
        <v>26810</v>
      </c>
      <c r="AD210" s="27">
        <v>4044</v>
      </c>
      <c r="AE210" s="27">
        <v>31270</v>
      </c>
      <c r="AF210" s="27">
        <v>6342</v>
      </c>
      <c r="AG210" s="27">
        <v>0.88600000000000001</v>
      </c>
      <c r="AH210" s="27">
        <v>14.2</v>
      </c>
      <c r="AI210" s="27">
        <v>158</v>
      </c>
      <c r="AJ210" s="27">
        <v>10570</v>
      </c>
      <c r="AK210" s="33">
        <v>889</v>
      </c>
    </row>
    <row r="211" spans="1:37" ht="14.25">
      <c r="A211" s="26" t="s">
        <v>288</v>
      </c>
      <c r="B211" s="27">
        <v>923</v>
      </c>
      <c r="C211" s="27">
        <v>414</v>
      </c>
      <c r="D211" s="27">
        <v>35.1</v>
      </c>
      <c r="E211" s="27">
        <v>63</v>
      </c>
      <c r="F211" s="27">
        <v>20</v>
      </c>
      <c r="G211" s="27">
        <v>757</v>
      </c>
      <c r="H211" s="27">
        <v>1119700</v>
      </c>
      <c r="I211" s="27">
        <v>74810</v>
      </c>
      <c r="J211" s="27">
        <v>24260</v>
      </c>
      <c r="K211" s="27">
        <v>3614</v>
      </c>
      <c r="L211" s="27">
        <v>28140</v>
      </c>
      <c r="M211" s="27">
        <v>5652</v>
      </c>
      <c r="N211" s="33">
        <v>805</v>
      </c>
      <c r="O211" s="26" t="s">
        <v>288</v>
      </c>
      <c r="P211" s="27">
        <v>631.79999999999995</v>
      </c>
      <c r="Q211" s="27">
        <v>923</v>
      </c>
      <c r="R211" s="27">
        <v>414</v>
      </c>
      <c r="S211" s="27">
        <v>35.1</v>
      </c>
      <c r="T211" s="27">
        <v>63</v>
      </c>
      <c r="U211" s="27">
        <v>20</v>
      </c>
      <c r="V211" s="27">
        <v>757</v>
      </c>
      <c r="W211" s="27">
        <v>3.29</v>
      </c>
      <c r="X211" s="27">
        <v>21.6</v>
      </c>
      <c r="Y211" s="27">
        <v>1119700</v>
      </c>
      <c r="Z211" s="27">
        <v>74810</v>
      </c>
      <c r="AA211" s="27">
        <v>37.299999999999997</v>
      </c>
      <c r="AB211" s="27">
        <v>9.64</v>
      </c>
      <c r="AC211" s="27">
        <v>24260</v>
      </c>
      <c r="AD211" s="27">
        <v>3614</v>
      </c>
      <c r="AE211" s="27">
        <v>28140</v>
      </c>
      <c r="AF211" s="27">
        <v>5652</v>
      </c>
      <c r="AG211" s="27">
        <v>0.88600000000000001</v>
      </c>
      <c r="AH211" s="27">
        <v>15.5</v>
      </c>
      <c r="AI211" s="27">
        <v>138</v>
      </c>
      <c r="AJ211" s="27">
        <v>7983</v>
      </c>
      <c r="AK211" s="33">
        <v>805</v>
      </c>
    </row>
    <row r="212" spans="1:37" ht="14.25">
      <c r="A212" s="26" t="s">
        <v>289</v>
      </c>
      <c r="B212" s="27">
        <v>913</v>
      </c>
      <c r="C212" s="27">
        <v>411</v>
      </c>
      <c r="D212" s="27">
        <v>32</v>
      </c>
      <c r="E212" s="27">
        <v>57.9</v>
      </c>
      <c r="F212" s="27">
        <v>20</v>
      </c>
      <c r="G212" s="27">
        <v>757.2</v>
      </c>
      <c r="H212" s="27">
        <v>1011800</v>
      </c>
      <c r="I212" s="27">
        <v>67230</v>
      </c>
      <c r="J212" s="27">
        <v>22160</v>
      </c>
      <c r="K212" s="27">
        <v>3271</v>
      </c>
      <c r="L212" s="27">
        <v>25570</v>
      </c>
      <c r="M212" s="27">
        <v>5101</v>
      </c>
      <c r="N212" s="33">
        <v>734</v>
      </c>
      <c r="O212" s="26" t="s">
        <v>289</v>
      </c>
      <c r="P212" s="27">
        <v>576.6</v>
      </c>
      <c r="Q212" s="27">
        <v>913</v>
      </c>
      <c r="R212" s="27">
        <v>411</v>
      </c>
      <c r="S212" s="27">
        <v>32</v>
      </c>
      <c r="T212" s="27">
        <v>57.9</v>
      </c>
      <c r="U212" s="27">
        <v>20</v>
      </c>
      <c r="V212" s="27">
        <v>757.2</v>
      </c>
      <c r="W212" s="27">
        <v>3.55</v>
      </c>
      <c r="X212" s="27">
        <v>23.7</v>
      </c>
      <c r="Y212" s="27">
        <v>1011800</v>
      </c>
      <c r="Z212" s="27">
        <v>67230</v>
      </c>
      <c r="AA212" s="27">
        <v>37.1</v>
      </c>
      <c r="AB212" s="27">
        <v>9.57</v>
      </c>
      <c r="AC212" s="27">
        <v>22160</v>
      </c>
      <c r="AD212" s="27">
        <v>3271</v>
      </c>
      <c r="AE212" s="27">
        <v>25570</v>
      </c>
      <c r="AF212" s="27">
        <v>5101</v>
      </c>
      <c r="AG212" s="27">
        <v>0.88700000000000001</v>
      </c>
      <c r="AH212" s="27">
        <v>16.7</v>
      </c>
      <c r="AI212" s="27">
        <v>123</v>
      </c>
      <c r="AJ212" s="27">
        <v>6168</v>
      </c>
      <c r="AK212" s="33">
        <v>734</v>
      </c>
    </row>
    <row r="213" spans="1:37" ht="14.25">
      <c r="A213" s="26" t="s">
        <v>290</v>
      </c>
      <c r="B213" s="27">
        <v>903</v>
      </c>
      <c r="C213" s="27">
        <v>409</v>
      </c>
      <c r="D213" s="27">
        <v>29.5</v>
      </c>
      <c r="E213" s="27">
        <v>53.1</v>
      </c>
      <c r="F213" s="27">
        <v>20</v>
      </c>
      <c r="G213" s="27">
        <v>756.8</v>
      </c>
      <c r="H213" s="27">
        <v>915100</v>
      </c>
      <c r="I213" s="27">
        <v>60730</v>
      </c>
      <c r="J213" s="27">
        <v>20270</v>
      </c>
      <c r="K213" s="27">
        <v>2970</v>
      </c>
      <c r="L213" s="27">
        <v>23280</v>
      </c>
      <c r="M213" s="27">
        <v>4621</v>
      </c>
      <c r="N213" s="33">
        <v>673</v>
      </c>
      <c r="O213" s="26" t="s">
        <v>290</v>
      </c>
      <c r="P213" s="27">
        <v>528.20000000000005</v>
      </c>
      <c r="Q213" s="27">
        <v>903</v>
      </c>
      <c r="R213" s="27">
        <v>409</v>
      </c>
      <c r="S213" s="27">
        <v>29.5</v>
      </c>
      <c r="T213" s="27">
        <v>53.1</v>
      </c>
      <c r="U213" s="27">
        <v>20</v>
      </c>
      <c r="V213" s="27">
        <v>756.8</v>
      </c>
      <c r="W213" s="27">
        <v>3.85</v>
      </c>
      <c r="X213" s="27">
        <v>25.7</v>
      </c>
      <c r="Y213" s="27">
        <v>915100</v>
      </c>
      <c r="Z213" s="27">
        <v>60730</v>
      </c>
      <c r="AA213" s="27">
        <v>36.9</v>
      </c>
      <c r="AB213" s="27">
        <v>9.5</v>
      </c>
      <c r="AC213" s="27">
        <v>20270</v>
      </c>
      <c r="AD213" s="27">
        <v>2970</v>
      </c>
      <c r="AE213" s="27">
        <v>23280</v>
      </c>
      <c r="AF213" s="27">
        <v>4621</v>
      </c>
      <c r="AG213" s="27">
        <v>0.88700000000000001</v>
      </c>
      <c r="AH213" s="27">
        <v>18.100000000000001</v>
      </c>
      <c r="AI213" s="27">
        <v>110</v>
      </c>
      <c r="AJ213" s="27">
        <v>4777</v>
      </c>
      <c r="AK213" s="33">
        <v>673</v>
      </c>
    </row>
    <row r="214" spans="1:37" ht="14.25">
      <c r="A214" s="26" t="s">
        <v>291</v>
      </c>
      <c r="B214" s="27">
        <v>893</v>
      </c>
      <c r="C214" s="27">
        <v>406</v>
      </c>
      <c r="D214" s="27">
        <v>26.4</v>
      </c>
      <c r="E214" s="27">
        <v>48</v>
      </c>
      <c r="F214" s="27">
        <v>20</v>
      </c>
      <c r="G214" s="27">
        <v>757</v>
      </c>
      <c r="H214" s="27">
        <v>813200</v>
      </c>
      <c r="I214" s="27">
        <v>53670</v>
      </c>
      <c r="J214" s="27">
        <v>18210</v>
      </c>
      <c r="K214" s="27">
        <v>2644</v>
      </c>
      <c r="L214" s="27">
        <v>20800</v>
      </c>
      <c r="M214" s="27">
        <v>4101</v>
      </c>
      <c r="N214" s="33">
        <v>604</v>
      </c>
      <c r="O214" s="26" t="s">
        <v>291</v>
      </c>
      <c r="P214" s="27">
        <v>473.8</v>
      </c>
      <c r="Q214" s="27">
        <v>893</v>
      </c>
      <c r="R214" s="27">
        <v>406</v>
      </c>
      <c r="S214" s="27">
        <v>26.4</v>
      </c>
      <c r="T214" s="27">
        <v>48</v>
      </c>
      <c r="U214" s="27">
        <v>20</v>
      </c>
      <c r="V214" s="27">
        <v>757</v>
      </c>
      <c r="W214" s="27">
        <v>4.2300000000000004</v>
      </c>
      <c r="X214" s="27">
        <v>28.7</v>
      </c>
      <c r="Y214" s="27">
        <v>813200</v>
      </c>
      <c r="Z214" s="27">
        <v>53670</v>
      </c>
      <c r="AA214" s="27">
        <v>36.700000000000003</v>
      </c>
      <c r="AB214" s="27">
        <v>9.43</v>
      </c>
      <c r="AC214" s="27">
        <v>18210</v>
      </c>
      <c r="AD214" s="27">
        <v>2644</v>
      </c>
      <c r="AE214" s="27">
        <v>20800</v>
      </c>
      <c r="AF214" s="27">
        <v>4101</v>
      </c>
      <c r="AG214" s="27">
        <v>0.88800000000000001</v>
      </c>
      <c r="AH214" s="27">
        <v>19.8</v>
      </c>
      <c r="AI214" s="27">
        <v>95.8</v>
      </c>
      <c r="AJ214" s="27">
        <v>3511</v>
      </c>
      <c r="AK214" s="33">
        <v>604</v>
      </c>
    </row>
    <row r="215" spans="1:37" ht="14.25">
      <c r="A215" s="26" t="s">
        <v>292</v>
      </c>
      <c r="B215" s="27">
        <v>885</v>
      </c>
      <c r="C215" s="27">
        <v>404</v>
      </c>
      <c r="D215" s="27">
        <v>24.4</v>
      </c>
      <c r="E215" s="27">
        <v>43.9</v>
      </c>
      <c r="F215" s="27">
        <v>20</v>
      </c>
      <c r="G215" s="27">
        <v>757.2</v>
      </c>
      <c r="H215" s="27">
        <v>736300</v>
      </c>
      <c r="I215" s="27">
        <v>48350</v>
      </c>
      <c r="J215" s="27">
        <v>16640</v>
      </c>
      <c r="K215" s="27">
        <v>2394</v>
      </c>
      <c r="L215" s="27">
        <v>18930</v>
      </c>
      <c r="M215" s="27">
        <v>3707</v>
      </c>
      <c r="N215" s="33">
        <v>553</v>
      </c>
      <c r="O215" s="26" t="s">
        <v>292</v>
      </c>
      <c r="P215" s="27">
        <v>433.8</v>
      </c>
      <c r="Q215" s="27">
        <v>885</v>
      </c>
      <c r="R215" s="27">
        <v>404</v>
      </c>
      <c r="S215" s="27">
        <v>24.4</v>
      </c>
      <c r="T215" s="27">
        <v>43.9</v>
      </c>
      <c r="U215" s="27">
        <v>20</v>
      </c>
      <c r="V215" s="27">
        <v>757.2</v>
      </c>
      <c r="W215" s="27">
        <v>4.5999999999999996</v>
      </c>
      <c r="X215" s="27">
        <v>31</v>
      </c>
      <c r="Y215" s="27">
        <v>736300</v>
      </c>
      <c r="Z215" s="27">
        <v>48350</v>
      </c>
      <c r="AA215" s="27">
        <v>36.5</v>
      </c>
      <c r="AB215" s="27">
        <v>9.35</v>
      </c>
      <c r="AC215" s="27">
        <v>16640</v>
      </c>
      <c r="AD215" s="27">
        <v>2394</v>
      </c>
      <c r="AE215" s="27">
        <v>18930</v>
      </c>
      <c r="AF215" s="27">
        <v>3707</v>
      </c>
      <c r="AG215" s="27">
        <v>0.88700000000000001</v>
      </c>
      <c r="AH215" s="27">
        <v>21.5</v>
      </c>
      <c r="AI215" s="27">
        <v>85.5</v>
      </c>
      <c r="AJ215" s="27">
        <v>2705</v>
      </c>
      <c r="AK215" s="33">
        <v>553</v>
      </c>
    </row>
    <row r="216" spans="1:37" ht="14.25">
      <c r="A216" s="26" t="s">
        <v>293</v>
      </c>
      <c r="B216" s="27">
        <v>877</v>
      </c>
      <c r="C216" s="27">
        <v>401</v>
      </c>
      <c r="D216" s="27">
        <v>22.1</v>
      </c>
      <c r="E216" s="27">
        <v>39.9</v>
      </c>
      <c r="F216" s="27">
        <v>20</v>
      </c>
      <c r="G216" s="27">
        <v>757.2</v>
      </c>
      <c r="H216" s="27">
        <v>659700</v>
      </c>
      <c r="I216" s="27">
        <v>42960</v>
      </c>
      <c r="J216" s="27">
        <v>15040</v>
      </c>
      <c r="K216" s="27">
        <v>2143</v>
      </c>
      <c r="L216" s="27">
        <v>17040</v>
      </c>
      <c r="M216" s="27">
        <v>3311</v>
      </c>
      <c r="N216" s="33">
        <v>500</v>
      </c>
      <c r="O216" s="26" t="s">
        <v>293</v>
      </c>
      <c r="P216" s="27">
        <v>392.2</v>
      </c>
      <c r="Q216" s="27">
        <v>877</v>
      </c>
      <c r="R216" s="27">
        <v>401</v>
      </c>
      <c r="S216" s="27">
        <v>22.1</v>
      </c>
      <c r="T216" s="27">
        <v>39.9</v>
      </c>
      <c r="U216" s="27">
        <v>20</v>
      </c>
      <c r="V216" s="27">
        <v>757.2</v>
      </c>
      <c r="W216" s="27">
        <v>5.03</v>
      </c>
      <c r="X216" s="27">
        <v>34.299999999999997</v>
      </c>
      <c r="Y216" s="27">
        <v>659700</v>
      </c>
      <c r="Z216" s="27">
        <v>42960</v>
      </c>
      <c r="AA216" s="27">
        <v>36.299999999999997</v>
      </c>
      <c r="AB216" s="27">
        <v>9.27</v>
      </c>
      <c r="AC216" s="27">
        <v>15040</v>
      </c>
      <c r="AD216" s="27">
        <v>2143</v>
      </c>
      <c r="AE216" s="27">
        <v>17040</v>
      </c>
      <c r="AF216" s="27">
        <v>3311</v>
      </c>
      <c r="AG216" s="27">
        <v>0.88800000000000001</v>
      </c>
      <c r="AH216" s="27">
        <v>23.5</v>
      </c>
      <c r="AI216" s="27">
        <v>75.3</v>
      </c>
      <c r="AJ216" s="27">
        <v>2027</v>
      </c>
      <c r="AK216" s="33">
        <v>500</v>
      </c>
    </row>
    <row r="217" spans="1:37" ht="14.25">
      <c r="A217" s="26" t="s">
        <v>294</v>
      </c>
      <c r="B217" s="27">
        <v>868.2</v>
      </c>
      <c r="C217" s="27">
        <v>402.8</v>
      </c>
      <c r="D217" s="27">
        <v>21.1</v>
      </c>
      <c r="E217" s="27">
        <v>35.6</v>
      </c>
      <c r="F217" s="27">
        <v>20</v>
      </c>
      <c r="G217" s="27">
        <v>757</v>
      </c>
      <c r="H217" s="27">
        <v>591700</v>
      </c>
      <c r="I217" s="27">
        <v>38850</v>
      </c>
      <c r="J217" s="27">
        <v>13630</v>
      </c>
      <c r="K217" s="27">
        <v>1929</v>
      </c>
      <c r="L217" s="27">
        <v>15430</v>
      </c>
      <c r="M217" s="27">
        <v>2982</v>
      </c>
      <c r="N217" s="33">
        <v>458</v>
      </c>
      <c r="O217" s="26" t="s">
        <v>294</v>
      </c>
      <c r="P217" s="27">
        <v>359.8</v>
      </c>
      <c r="Q217" s="27">
        <v>868.2</v>
      </c>
      <c r="R217" s="27">
        <v>402.8</v>
      </c>
      <c r="S217" s="27">
        <v>21.1</v>
      </c>
      <c r="T217" s="27">
        <v>35.6</v>
      </c>
      <c r="U217" s="27">
        <v>20</v>
      </c>
      <c r="V217" s="27">
        <v>757</v>
      </c>
      <c r="W217" s="27">
        <v>5.66</v>
      </c>
      <c r="X217" s="27">
        <v>35.9</v>
      </c>
      <c r="Y217" s="27">
        <v>591700</v>
      </c>
      <c r="Z217" s="27">
        <v>38850</v>
      </c>
      <c r="AA217" s="27">
        <v>35.9</v>
      </c>
      <c r="AB217" s="27">
        <v>9.2100000000000009</v>
      </c>
      <c r="AC217" s="27">
        <v>13630</v>
      </c>
      <c r="AD217" s="27">
        <v>1929</v>
      </c>
      <c r="AE217" s="27">
        <v>15430</v>
      </c>
      <c r="AF217" s="27">
        <v>2982</v>
      </c>
      <c r="AG217" s="27">
        <v>0.88400000000000001</v>
      </c>
      <c r="AH217" s="27">
        <v>26</v>
      </c>
      <c r="AI217" s="27">
        <v>67.3</v>
      </c>
      <c r="AJ217" s="27">
        <v>1510</v>
      </c>
      <c r="AK217" s="33">
        <v>458</v>
      </c>
    </row>
    <row r="218" spans="1:37" ht="14.25">
      <c r="A218" s="26" t="s">
        <v>295</v>
      </c>
      <c r="B218" s="27">
        <v>861.8</v>
      </c>
      <c r="C218" s="27">
        <v>401.4</v>
      </c>
      <c r="D218" s="27">
        <v>19.7</v>
      </c>
      <c r="E218" s="27">
        <v>32.4</v>
      </c>
      <c r="F218" s="27">
        <v>20</v>
      </c>
      <c r="G218" s="27">
        <v>757</v>
      </c>
      <c r="H218" s="27">
        <v>536000</v>
      </c>
      <c r="I218" s="27">
        <v>34980</v>
      </c>
      <c r="J218" s="27">
        <v>12440</v>
      </c>
      <c r="K218" s="27">
        <v>1743</v>
      </c>
      <c r="L218" s="27">
        <v>14050</v>
      </c>
      <c r="M218" s="27">
        <v>2692</v>
      </c>
      <c r="N218" s="33">
        <v>421</v>
      </c>
      <c r="O218" s="26" t="s">
        <v>295</v>
      </c>
      <c r="P218" s="27">
        <v>330.1</v>
      </c>
      <c r="Q218" s="27">
        <v>861.8</v>
      </c>
      <c r="R218" s="27">
        <v>401.4</v>
      </c>
      <c r="S218" s="27">
        <v>19.7</v>
      </c>
      <c r="T218" s="27">
        <v>32.4</v>
      </c>
      <c r="U218" s="27">
        <v>20</v>
      </c>
      <c r="V218" s="27">
        <v>757</v>
      </c>
      <c r="W218" s="27">
        <v>6.19</v>
      </c>
      <c r="X218" s="27">
        <v>38.4</v>
      </c>
      <c r="Y218" s="27">
        <v>536000</v>
      </c>
      <c r="Z218" s="27">
        <v>34980</v>
      </c>
      <c r="AA218" s="27">
        <v>35.700000000000003</v>
      </c>
      <c r="AB218" s="27">
        <v>9.1199999999999992</v>
      </c>
      <c r="AC218" s="27">
        <v>12440</v>
      </c>
      <c r="AD218" s="27">
        <v>1743</v>
      </c>
      <c r="AE218" s="27">
        <v>14050</v>
      </c>
      <c r="AF218" s="27">
        <v>2692</v>
      </c>
      <c r="AG218" s="27">
        <v>0.88300000000000001</v>
      </c>
      <c r="AH218" s="27">
        <v>28.3</v>
      </c>
      <c r="AI218" s="27">
        <v>60.2</v>
      </c>
      <c r="AJ218" s="27">
        <v>1160</v>
      </c>
      <c r="AK218" s="33">
        <v>421</v>
      </c>
    </row>
    <row r="219" spans="1:37" ht="14.25">
      <c r="A219" s="26" t="s">
        <v>296</v>
      </c>
      <c r="B219" s="27">
        <v>855.5</v>
      </c>
      <c r="C219" s="27">
        <v>399.9</v>
      </c>
      <c r="D219" s="27">
        <v>18.2</v>
      </c>
      <c r="E219" s="27">
        <v>29.2</v>
      </c>
      <c r="F219" s="27">
        <v>20</v>
      </c>
      <c r="G219" s="27">
        <v>757.1</v>
      </c>
      <c r="H219" s="27">
        <v>480900</v>
      </c>
      <c r="I219" s="27">
        <v>31170</v>
      </c>
      <c r="J219" s="27">
        <v>11240</v>
      </c>
      <c r="K219" s="27">
        <v>1559</v>
      </c>
      <c r="L219" s="27">
        <v>12680</v>
      </c>
      <c r="M219" s="27">
        <v>2405</v>
      </c>
      <c r="N219" s="33">
        <v>382</v>
      </c>
      <c r="O219" s="26" t="s">
        <v>296</v>
      </c>
      <c r="P219" s="27">
        <v>299.89999999999998</v>
      </c>
      <c r="Q219" s="27">
        <v>855.5</v>
      </c>
      <c r="R219" s="27">
        <v>399.9</v>
      </c>
      <c r="S219" s="27">
        <v>18.2</v>
      </c>
      <c r="T219" s="27">
        <v>29.2</v>
      </c>
      <c r="U219" s="27">
        <v>20</v>
      </c>
      <c r="V219" s="27">
        <v>757.1</v>
      </c>
      <c r="W219" s="27">
        <v>6.85</v>
      </c>
      <c r="X219" s="27">
        <v>41.6</v>
      </c>
      <c r="Y219" s="27">
        <v>480900</v>
      </c>
      <c r="Z219" s="27">
        <v>31170</v>
      </c>
      <c r="AA219" s="27">
        <v>35.5</v>
      </c>
      <c r="AB219" s="27">
        <v>9.0299999999999994</v>
      </c>
      <c r="AC219" s="27">
        <v>11240</v>
      </c>
      <c r="AD219" s="27">
        <v>1559</v>
      </c>
      <c r="AE219" s="27">
        <v>12680</v>
      </c>
      <c r="AF219" s="27">
        <v>2405</v>
      </c>
      <c r="AG219" s="27">
        <v>0.88100000000000001</v>
      </c>
      <c r="AH219" s="27">
        <v>31.1</v>
      </c>
      <c r="AI219" s="27">
        <v>53.2</v>
      </c>
      <c r="AJ219" s="27">
        <v>866</v>
      </c>
      <c r="AK219" s="33">
        <v>382</v>
      </c>
    </row>
    <row r="220" spans="1:37" ht="14.25">
      <c r="A220" s="26" t="s">
        <v>297</v>
      </c>
      <c r="B220" s="27">
        <v>925.1</v>
      </c>
      <c r="C220" s="27">
        <v>310.60000000000002</v>
      </c>
      <c r="D220" s="27">
        <v>35.6</v>
      </c>
      <c r="E220" s="27">
        <v>64</v>
      </c>
      <c r="F220" s="27">
        <v>20</v>
      </c>
      <c r="G220" s="27">
        <v>757.1</v>
      </c>
      <c r="H220" s="27">
        <v>893900</v>
      </c>
      <c r="I220" s="27">
        <v>32280</v>
      </c>
      <c r="J220" s="27">
        <v>19330</v>
      </c>
      <c r="K220" s="27">
        <v>2079</v>
      </c>
      <c r="L220" s="27">
        <v>22910</v>
      </c>
      <c r="M220" s="27">
        <v>3347</v>
      </c>
      <c r="N220" s="33">
        <v>685</v>
      </c>
      <c r="O220" s="26" t="s">
        <v>297</v>
      </c>
      <c r="P220" s="27">
        <v>537.5</v>
      </c>
      <c r="Q220" s="27">
        <v>925.1</v>
      </c>
      <c r="R220" s="27">
        <v>310.60000000000002</v>
      </c>
      <c r="S220" s="27">
        <v>35.6</v>
      </c>
      <c r="T220" s="27">
        <v>64</v>
      </c>
      <c r="U220" s="27">
        <v>20</v>
      </c>
      <c r="V220" s="27">
        <v>757.1</v>
      </c>
      <c r="W220" s="27">
        <v>2.4300000000000002</v>
      </c>
      <c r="X220" s="27">
        <v>21.3</v>
      </c>
      <c r="Y220" s="27">
        <v>893900</v>
      </c>
      <c r="Z220" s="27">
        <v>32280</v>
      </c>
      <c r="AA220" s="27">
        <v>36.1</v>
      </c>
      <c r="AB220" s="27">
        <v>6.87</v>
      </c>
      <c r="AC220" s="27">
        <v>19330</v>
      </c>
      <c r="AD220" s="27">
        <v>2079</v>
      </c>
      <c r="AE220" s="27">
        <v>22910</v>
      </c>
      <c r="AF220" s="27">
        <v>3347</v>
      </c>
      <c r="AG220" s="27">
        <v>0.873</v>
      </c>
      <c r="AH220" s="27">
        <v>15.8</v>
      </c>
      <c r="AI220" s="27">
        <v>59.8</v>
      </c>
      <c r="AJ220" s="27">
        <v>6547</v>
      </c>
      <c r="AK220" s="33">
        <v>685</v>
      </c>
    </row>
    <row r="221" spans="1:37" ht="14.25">
      <c r="A221" s="26" t="s">
        <v>298</v>
      </c>
      <c r="B221" s="27">
        <v>915.2</v>
      </c>
      <c r="C221" s="27">
        <v>308.10000000000002</v>
      </c>
      <c r="D221" s="27">
        <v>33</v>
      </c>
      <c r="E221" s="27">
        <v>58.9</v>
      </c>
      <c r="F221" s="27">
        <v>20</v>
      </c>
      <c r="G221" s="27">
        <v>757.4</v>
      </c>
      <c r="H221" s="27">
        <v>811100</v>
      </c>
      <c r="I221" s="27">
        <v>28960</v>
      </c>
      <c r="J221" s="27">
        <v>17730</v>
      </c>
      <c r="K221" s="27">
        <v>1880</v>
      </c>
      <c r="L221" s="27">
        <v>20920</v>
      </c>
      <c r="M221" s="27">
        <v>3020</v>
      </c>
      <c r="N221" s="33">
        <v>630</v>
      </c>
      <c r="O221" s="26" t="s">
        <v>298</v>
      </c>
      <c r="P221" s="27">
        <v>494.2</v>
      </c>
      <c r="Q221" s="27">
        <v>915.2</v>
      </c>
      <c r="R221" s="27">
        <v>308.10000000000002</v>
      </c>
      <c r="S221" s="27">
        <v>33</v>
      </c>
      <c r="T221" s="27">
        <v>58.9</v>
      </c>
      <c r="U221" s="27">
        <v>20</v>
      </c>
      <c r="V221" s="27">
        <v>757.4</v>
      </c>
      <c r="W221" s="27">
        <v>2.62</v>
      </c>
      <c r="X221" s="27">
        <v>23</v>
      </c>
      <c r="Y221" s="27">
        <v>811100</v>
      </c>
      <c r="Z221" s="27">
        <v>28960</v>
      </c>
      <c r="AA221" s="27">
        <v>35.9</v>
      </c>
      <c r="AB221" s="27">
        <v>6.78</v>
      </c>
      <c r="AC221" s="27">
        <v>17730</v>
      </c>
      <c r="AD221" s="27">
        <v>1880</v>
      </c>
      <c r="AE221" s="27">
        <v>20920</v>
      </c>
      <c r="AF221" s="27">
        <v>3020</v>
      </c>
      <c r="AG221" s="27">
        <v>0.873</v>
      </c>
      <c r="AH221" s="27">
        <v>17</v>
      </c>
      <c r="AI221" s="27">
        <v>53.1</v>
      </c>
      <c r="AJ221" s="27">
        <v>5131</v>
      </c>
      <c r="AK221" s="33">
        <v>630</v>
      </c>
    </row>
    <row r="222" spans="1:37" ht="14.25">
      <c r="A222" s="26" t="s">
        <v>299</v>
      </c>
      <c r="B222" s="27">
        <v>905</v>
      </c>
      <c r="C222" s="27">
        <v>305.2</v>
      </c>
      <c r="D222" s="27">
        <v>30</v>
      </c>
      <c r="E222" s="27">
        <v>54.1</v>
      </c>
      <c r="F222" s="27">
        <v>20</v>
      </c>
      <c r="G222" s="27">
        <v>756.8</v>
      </c>
      <c r="H222" s="27">
        <v>730300</v>
      </c>
      <c r="I222" s="27">
        <v>25830</v>
      </c>
      <c r="J222" s="27">
        <v>16140</v>
      </c>
      <c r="K222" s="27">
        <v>1692</v>
      </c>
      <c r="L222" s="27">
        <v>18950</v>
      </c>
      <c r="M222" s="27">
        <v>2706</v>
      </c>
      <c r="N222" s="33">
        <v>573</v>
      </c>
      <c r="O222" s="26" t="s">
        <v>299</v>
      </c>
      <c r="P222" s="27">
        <v>449.6</v>
      </c>
      <c r="Q222" s="27">
        <v>905</v>
      </c>
      <c r="R222" s="27">
        <v>305.2</v>
      </c>
      <c r="S222" s="27">
        <v>30</v>
      </c>
      <c r="T222" s="27">
        <v>54.1</v>
      </c>
      <c r="U222" s="27">
        <v>20</v>
      </c>
      <c r="V222" s="27">
        <v>756.8</v>
      </c>
      <c r="W222" s="27">
        <v>2.82</v>
      </c>
      <c r="X222" s="27">
        <v>25.2</v>
      </c>
      <c r="Y222" s="27">
        <v>730300</v>
      </c>
      <c r="Z222" s="27">
        <v>25830</v>
      </c>
      <c r="AA222" s="27">
        <v>35.700000000000003</v>
      </c>
      <c r="AB222" s="27">
        <v>6.72</v>
      </c>
      <c r="AC222" s="27">
        <v>16140</v>
      </c>
      <c r="AD222" s="27">
        <v>1692</v>
      </c>
      <c r="AE222" s="27">
        <v>18950</v>
      </c>
      <c r="AF222" s="27">
        <v>2706</v>
      </c>
      <c r="AG222" s="27">
        <v>0.874</v>
      </c>
      <c r="AH222" s="27">
        <v>18.3</v>
      </c>
      <c r="AI222" s="27">
        <v>46.7</v>
      </c>
      <c r="AJ222" s="27">
        <v>3945</v>
      </c>
      <c r="AK222" s="33">
        <v>573</v>
      </c>
    </row>
    <row r="223" spans="1:37" ht="14.25">
      <c r="A223" s="26" t="s">
        <v>300</v>
      </c>
      <c r="B223" s="27">
        <v>895.1</v>
      </c>
      <c r="C223" s="27">
        <v>302.10000000000002</v>
      </c>
      <c r="D223" s="27">
        <v>26.9</v>
      </c>
      <c r="E223" s="27">
        <v>49</v>
      </c>
      <c r="F223" s="27">
        <v>20</v>
      </c>
      <c r="G223" s="27">
        <v>757.1</v>
      </c>
      <c r="H223" s="27">
        <v>649300</v>
      </c>
      <c r="I223" s="27">
        <v>22660</v>
      </c>
      <c r="J223" s="27">
        <v>14510</v>
      </c>
      <c r="K223" s="27">
        <v>1500</v>
      </c>
      <c r="L223" s="27">
        <v>16930</v>
      </c>
      <c r="M223" s="27">
        <v>2386</v>
      </c>
      <c r="N223" s="33">
        <v>514</v>
      </c>
      <c r="O223" s="26" t="s">
        <v>300</v>
      </c>
      <c r="P223" s="27">
        <v>403.4</v>
      </c>
      <c r="Q223" s="27">
        <v>895.1</v>
      </c>
      <c r="R223" s="27">
        <v>302.10000000000002</v>
      </c>
      <c r="S223" s="27">
        <v>26.9</v>
      </c>
      <c r="T223" s="27">
        <v>49</v>
      </c>
      <c r="U223" s="27">
        <v>20</v>
      </c>
      <c r="V223" s="27">
        <v>757.1</v>
      </c>
      <c r="W223" s="27">
        <v>3.08</v>
      </c>
      <c r="X223" s="27">
        <v>28.1</v>
      </c>
      <c r="Y223" s="27">
        <v>649300</v>
      </c>
      <c r="Z223" s="27">
        <v>22660</v>
      </c>
      <c r="AA223" s="27">
        <v>35.5</v>
      </c>
      <c r="AB223" s="27">
        <v>6.64</v>
      </c>
      <c r="AC223" s="27">
        <v>14510</v>
      </c>
      <c r="AD223" s="27">
        <v>1500</v>
      </c>
      <c r="AE223" s="27">
        <v>16930</v>
      </c>
      <c r="AF223" s="27">
        <v>2386</v>
      </c>
      <c r="AG223" s="27">
        <v>0.875</v>
      </c>
      <c r="AH223" s="27">
        <v>20.100000000000001</v>
      </c>
      <c r="AI223" s="27">
        <v>40.5</v>
      </c>
      <c r="AJ223" s="27">
        <v>2912</v>
      </c>
      <c r="AK223" s="33">
        <v>514</v>
      </c>
    </row>
    <row r="224" spans="1:37" ht="14.25">
      <c r="A224" s="26" t="s">
        <v>301</v>
      </c>
      <c r="B224" s="27">
        <v>885.2</v>
      </c>
      <c r="C224" s="27">
        <v>299.7</v>
      </c>
      <c r="D224" s="27">
        <v>24.4</v>
      </c>
      <c r="E224" s="27">
        <v>43.9</v>
      </c>
      <c r="F224" s="27">
        <v>20</v>
      </c>
      <c r="G224" s="27">
        <v>757.4</v>
      </c>
      <c r="H224" s="27">
        <v>574500</v>
      </c>
      <c r="I224" s="27">
        <v>19800</v>
      </c>
      <c r="J224" s="27">
        <v>12980</v>
      </c>
      <c r="K224" s="27">
        <v>1321</v>
      </c>
      <c r="L224" s="27">
        <v>15080</v>
      </c>
      <c r="M224" s="27">
        <v>2096</v>
      </c>
      <c r="N224" s="33">
        <v>461</v>
      </c>
      <c r="O224" s="26" t="s">
        <v>301</v>
      </c>
      <c r="P224" s="27">
        <v>362</v>
      </c>
      <c r="Q224" s="27">
        <v>885.2</v>
      </c>
      <c r="R224" s="27">
        <v>299.7</v>
      </c>
      <c r="S224" s="27">
        <v>24.4</v>
      </c>
      <c r="T224" s="27">
        <v>43.9</v>
      </c>
      <c r="U224" s="27">
        <v>20</v>
      </c>
      <c r="V224" s="27">
        <v>757.4</v>
      </c>
      <c r="W224" s="27">
        <v>3.41</v>
      </c>
      <c r="X224" s="27">
        <v>31</v>
      </c>
      <c r="Y224" s="27">
        <v>574500</v>
      </c>
      <c r="Z224" s="27">
        <v>19800</v>
      </c>
      <c r="AA224" s="27">
        <v>35.299999999999997</v>
      </c>
      <c r="AB224" s="27">
        <v>6.55</v>
      </c>
      <c r="AC224" s="27">
        <v>12980</v>
      </c>
      <c r="AD224" s="27">
        <v>1321</v>
      </c>
      <c r="AE224" s="27">
        <v>15080</v>
      </c>
      <c r="AF224" s="27">
        <v>2096</v>
      </c>
      <c r="AG224" s="27">
        <v>0.874</v>
      </c>
      <c r="AH224" s="27">
        <v>22.2</v>
      </c>
      <c r="AI224" s="27">
        <v>35</v>
      </c>
      <c r="AJ224" s="27">
        <v>2117</v>
      </c>
      <c r="AK224" s="33">
        <v>461</v>
      </c>
    </row>
    <row r="225" spans="1:37" ht="14.25">
      <c r="A225" s="26" t="s">
        <v>302</v>
      </c>
      <c r="B225" s="27">
        <v>877.1</v>
      </c>
      <c r="C225" s="27">
        <v>297.2</v>
      </c>
      <c r="D225" s="27">
        <v>22.1</v>
      </c>
      <c r="E225" s="27">
        <v>39.9</v>
      </c>
      <c r="F225" s="27">
        <v>20</v>
      </c>
      <c r="G225" s="27">
        <v>757.3</v>
      </c>
      <c r="H225" s="27">
        <v>514600</v>
      </c>
      <c r="I225" s="27">
        <v>17540</v>
      </c>
      <c r="J225" s="27">
        <v>11730</v>
      </c>
      <c r="K225" s="27">
        <v>1180</v>
      </c>
      <c r="L225" s="27">
        <v>13580</v>
      </c>
      <c r="M225" s="27">
        <v>1865</v>
      </c>
      <c r="N225" s="33">
        <v>417</v>
      </c>
      <c r="O225" s="26" t="s">
        <v>302</v>
      </c>
      <c r="P225" s="27">
        <v>327.2</v>
      </c>
      <c r="Q225" s="27">
        <v>877.1</v>
      </c>
      <c r="R225" s="27">
        <v>297.2</v>
      </c>
      <c r="S225" s="27">
        <v>22.1</v>
      </c>
      <c r="T225" s="27">
        <v>39.9</v>
      </c>
      <c r="U225" s="27">
        <v>20</v>
      </c>
      <c r="V225" s="27">
        <v>757.3</v>
      </c>
      <c r="W225" s="27">
        <v>3.72</v>
      </c>
      <c r="X225" s="27">
        <v>34.299999999999997</v>
      </c>
      <c r="Y225" s="27">
        <v>514600</v>
      </c>
      <c r="Z225" s="27">
        <v>17540</v>
      </c>
      <c r="AA225" s="27">
        <v>35.1</v>
      </c>
      <c r="AB225" s="27">
        <v>6.49</v>
      </c>
      <c r="AC225" s="27">
        <v>11730</v>
      </c>
      <c r="AD225" s="27">
        <v>1180</v>
      </c>
      <c r="AE225" s="27">
        <v>13580</v>
      </c>
      <c r="AF225" s="27">
        <v>1865</v>
      </c>
      <c r="AG225" s="27">
        <v>0.874</v>
      </c>
      <c r="AH225" s="27">
        <v>24.3</v>
      </c>
      <c r="AI225" s="27">
        <v>30.7</v>
      </c>
      <c r="AJ225" s="27">
        <v>1587</v>
      </c>
      <c r="AK225" s="33">
        <v>417</v>
      </c>
    </row>
    <row r="226" spans="1:37" ht="14.25">
      <c r="A226" s="26" t="s">
        <v>303</v>
      </c>
      <c r="B226" s="27">
        <v>871.2</v>
      </c>
      <c r="C226" s="27">
        <v>295.7</v>
      </c>
      <c r="D226" s="27">
        <v>20.6</v>
      </c>
      <c r="E226" s="27">
        <v>37.1</v>
      </c>
      <c r="F226" s="27">
        <v>20</v>
      </c>
      <c r="G226" s="27">
        <v>757</v>
      </c>
      <c r="H226" s="27">
        <v>474100</v>
      </c>
      <c r="I226" s="27">
        <v>16050</v>
      </c>
      <c r="J226" s="27">
        <v>10880</v>
      </c>
      <c r="K226" s="27">
        <v>1086</v>
      </c>
      <c r="L226" s="27">
        <v>12560</v>
      </c>
      <c r="M226" s="27">
        <v>1712</v>
      </c>
      <c r="N226" s="33">
        <v>387</v>
      </c>
      <c r="O226" s="26" t="s">
        <v>303</v>
      </c>
      <c r="P226" s="27">
        <v>303.8</v>
      </c>
      <c r="Q226" s="27">
        <v>871.2</v>
      </c>
      <c r="R226" s="27">
        <v>295.7</v>
      </c>
      <c r="S226" s="27">
        <v>20.6</v>
      </c>
      <c r="T226" s="27">
        <v>37.1</v>
      </c>
      <c r="U226" s="27">
        <v>20</v>
      </c>
      <c r="V226" s="27">
        <v>757</v>
      </c>
      <c r="W226" s="27">
        <v>3.99</v>
      </c>
      <c r="X226" s="27">
        <v>36.700000000000003</v>
      </c>
      <c r="Y226" s="27">
        <v>474100</v>
      </c>
      <c r="Z226" s="27">
        <v>16050</v>
      </c>
      <c r="AA226" s="27">
        <v>35</v>
      </c>
      <c r="AB226" s="27">
        <v>6.44</v>
      </c>
      <c r="AC226" s="27">
        <v>10880</v>
      </c>
      <c r="AD226" s="27">
        <v>1086</v>
      </c>
      <c r="AE226" s="27">
        <v>12560</v>
      </c>
      <c r="AF226" s="27">
        <v>1712</v>
      </c>
      <c r="AG226" s="27">
        <v>0.874</v>
      </c>
      <c r="AH226" s="27">
        <v>26</v>
      </c>
      <c r="AI226" s="27">
        <v>27.9</v>
      </c>
      <c r="AJ226" s="27">
        <v>1281</v>
      </c>
      <c r="AK226" s="33">
        <v>387</v>
      </c>
    </row>
    <row r="227" spans="1:37" ht="14.25">
      <c r="A227" s="26" t="s">
        <v>304</v>
      </c>
      <c r="B227" s="27">
        <v>865.1</v>
      </c>
      <c r="C227" s="27">
        <v>294.10000000000002</v>
      </c>
      <c r="D227" s="27">
        <v>19.100000000000001</v>
      </c>
      <c r="E227" s="27">
        <v>34</v>
      </c>
      <c r="F227" s="27">
        <v>20</v>
      </c>
      <c r="G227" s="27">
        <v>757.1</v>
      </c>
      <c r="H227" s="27">
        <v>431500</v>
      </c>
      <c r="I227" s="27">
        <v>14470</v>
      </c>
      <c r="J227" s="27">
        <v>9975</v>
      </c>
      <c r="K227" s="27">
        <v>984</v>
      </c>
      <c r="L227" s="27">
        <v>11480</v>
      </c>
      <c r="M227" s="27">
        <v>1548</v>
      </c>
      <c r="N227" s="33">
        <v>356</v>
      </c>
      <c r="O227" s="26" t="s">
        <v>304</v>
      </c>
      <c r="P227" s="27">
        <v>279.2</v>
      </c>
      <c r="Q227" s="27">
        <v>865.1</v>
      </c>
      <c r="R227" s="27">
        <v>294.10000000000002</v>
      </c>
      <c r="S227" s="27">
        <v>19.100000000000001</v>
      </c>
      <c r="T227" s="27">
        <v>34</v>
      </c>
      <c r="U227" s="27">
        <v>20</v>
      </c>
      <c r="V227" s="27">
        <v>757.1</v>
      </c>
      <c r="W227" s="27">
        <v>4.33</v>
      </c>
      <c r="X227" s="27">
        <v>39.6</v>
      </c>
      <c r="Y227" s="27">
        <v>431500</v>
      </c>
      <c r="Z227" s="27">
        <v>14470</v>
      </c>
      <c r="AA227" s="27">
        <v>34.799999999999997</v>
      </c>
      <c r="AB227" s="27">
        <v>6.38</v>
      </c>
      <c r="AC227" s="27">
        <v>9975</v>
      </c>
      <c r="AD227" s="27">
        <v>984</v>
      </c>
      <c r="AE227" s="27">
        <v>11480</v>
      </c>
      <c r="AF227" s="27">
        <v>1548</v>
      </c>
      <c r="AG227" s="27">
        <v>0.874</v>
      </c>
      <c r="AH227" s="27">
        <v>28.1</v>
      </c>
      <c r="AI227" s="27">
        <v>25</v>
      </c>
      <c r="AJ227" s="27">
        <v>996</v>
      </c>
      <c r="AK227" s="33">
        <v>356</v>
      </c>
    </row>
    <row r="228" spans="1:37" ht="14.25">
      <c r="A228" s="26" t="s">
        <v>305</v>
      </c>
      <c r="B228" s="27">
        <v>859</v>
      </c>
      <c r="C228" s="27">
        <v>292.10000000000002</v>
      </c>
      <c r="D228" s="27">
        <v>17</v>
      </c>
      <c r="E228" s="27">
        <v>31</v>
      </c>
      <c r="F228" s="27">
        <v>20</v>
      </c>
      <c r="G228" s="27">
        <v>757</v>
      </c>
      <c r="H228" s="27">
        <v>387600</v>
      </c>
      <c r="I228" s="27">
        <v>12920</v>
      </c>
      <c r="J228" s="27">
        <v>9024</v>
      </c>
      <c r="K228" s="27">
        <v>884</v>
      </c>
      <c r="L228" s="27">
        <v>10330</v>
      </c>
      <c r="M228" s="27">
        <v>1385</v>
      </c>
      <c r="N228" s="33">
        <v>320</v>
      </c>
      <c r="O228" s="26" t="s">
        <v>305</v>
      </c>
      <c r="P228" s="27">
        <v>251.2</v>
      </c>
      <c r="Q228" s="27">
        <v>859</v>
      </c>
      <c r="R228" s="27">
        <v>292.10000000000002</v>
      </c>
      <c r="S228" s="27">
        <v>17</v>
      </c>
      <c r="T228" s="27">
        <v>31</v>
      </c>
      <c r="U228" s="27">
        <v>20</v>
      </c>
      <c r="V228" s="27">
        <v>757</v>
      </c>
      <c r="W228" s="27">
        <v>4.71</v>
      </c>
      <c r="X228" s="27">
        <v>44.5</v>
      </c>
      <c r="Y228" s="27">
        <v>387600</v>
      </c>
      <c r="Z228" s="27">
        <v>12920</v>
      </c>
      <c r="AA228" s="27">
        <v>34.799999999999997</v>
      </c>
      <c r="AB228" s="27">
        <v>6.35</v>
      </c>
      <c r="AC228" s="27">
        <v>9024</v>
      </c>
      <c r="AD228" s="27">
        <v>884</v>
      </c>
      <c r="AE228" s="27">
        <v>10330</v>
      </c>
      <c r="AF228" s="27">
        <v>1385</v>
      </c>
      <c r="AG228" s="27">
        <v>0.876</v>
      </c>
      <c r="AH228" s="27">
        <v>30.7</v>
      </c>
      <c r="AI228" s="27">
        <v>22.1</v>
      </c>
      <c r="AJ228" s="27">
        <v>746</v>
      </c>
      <c r="AK228" s="33">
        <v>320</v>
      </c>
    </row>
    <row r="229" spans="1:37" ht="14.25">
      <c r="A229" s="26" t="s">
        <v>306</v>
      </c>
      <c r="B229" s="27">
        <v>850.6</v>
      </c>
      <c r="C229" s="27">
        <v>293.8</v>
      </c>
      <c r="D229" s="27">
        <v>16.100000000000001</v>
      </c>
      <c r="E229" s="27">
        <v>26.8</v>
      </c>
      <c r="F229" s="27">
        <v>20</v>
      </c>
      <c r="G229" s="27">
        <v>757</v>
      </c>
      <c r="H229" s="27">
        <v>340500</v>
      </c>
      <c r="I229" s="27">
        <v>11360</v>
      </c>
      <c r="J229" s="27">
        <v>8007</v>
      </c>
      <c r="K229" s="27">
        <v>773</v>
      </c>
      <c r="L229" s="27">
        <v>9178</v>
      </c>
      <c r="M229" s="27">
        <v>1213</v>
      </c>
      <c r="N229" s="33">
        <v>289</v>
      </c>
      <c r="O229" s="26" t="s">
        <v>306</v>
      </c>
      <c r="P229" s="27">
        <v>227</v>
      </c>
      <c r="Q229" s="27">
        <v>850.6</v>
      </c>
      <c r="R229" s="27">
        <v>293.8</v>
      </c>
      <c r="S229" s="27">
        <v>16.100000000000001</v>
      </c>
      <c r="T229" s="27">
        <v>26.8</v>
      </c>
      <c r="U229" s="27">
        <v>20</v>
      </c>
      <c r="V229" s="27">
        <v>757</v>
      </c>
      <c r="W229" s="27">
        <v>5.48</v>
      </c>
      <c r="X229" s="27">
        <v>47</v>
      </c>
      <c r="Y229" s="27">
        <v>340500</v>
      </c>
      <c r="Z229" s="27">
        <v>11360</v>
      </c>
      <c r="AA229" s="27">
        <v>34.299999999999997</v>
      </c>
      <c r="AB229" s="27">
        <v>6.27</v>
      </c>
      <c r="AC229" s="27">
        <v>8007</v>
      </c>
      <c r="AD229" s="27">
        <v>773</v>
      </c>
      <c r="AE229" s="27">
        <v>9178</v>
      </c>
      <c r="AF229" s="27">
        <v>1213</v>
      </c>
      <c r="AG229" s="27">
        <v>0.87</v>
      </c>
      <c r="AH229" s="27">
        <v>34.700000000000003</v>
      </c>
      <c r="AI229" s="27">
        <v>19.3</v>
      </c>
      <c r="AJ229" s="27">
        <v>522</v>
      </c>
      <c r="AK229" s="33">
        <v>289</v>
      </c>
    </row>
    <row r="230" spans="1:37" ht="14.25">
      <c r="A230" s="26" t="s">
        <v>307</v>
      </c>
      <c r="B230" s="27">
        <v>845.8</v>
      </c>
      <c r="C230" s="27">
        <v>293</v>
      </c>
      <c r="D230" s="27">
        <v>15.4</v>
      </c>
      <c r="E230" s="27">
        <v>24.4</v>
      </c>
      <c r="F230" s="27">
        <v>20</v>
      </c>
      <c r="G230" s="27">
        <v>757</v>
      </c>
      <c r="H230" s="27">
        <v>311600</v>
      </c>
      <c r="I230" s="27">
        <v>10260</v>
      </c>
      <c r="J230" s="27">
        <v>7367</v>
      </c>
      <c r="K230" s="27">
        <v>700</v>
      </c>
      <c r="L230" s="27">
        <v>8453</v>
      </c>
      <c r="M230" s="27">
        <v>1099</v>
      </c>
      <c r="N230" s="33">
        <v>269</v>
      </c>
      <c r="O230" s="26" t="s">
        <v>307</v>
      </c>
      <c r="P230" s="27">
        <v>211.3</v>
      </c>
      <c r="Q230" s="27">
        <v>845.8</v>
      </c>
      <c r="R230" s="27">
        <v>293</v>
      </c>
      <c r="S230" s="27">
        <v>15.4</v>
      </c>
      <c r="T230" s="27">
        <v>24.4</v>
      </c>
      <c r="U230" s="27">
        <v>20</v>
      </c>
      <c r="V230" s="27">
        <v>757</v>
      </c>
      <c r="W230" s="27">
        <v>6</v>
      </c>
      <c r="X230" s="27">
        <v>49.2</v>
      </c>
      <c r="Y230" s="27">
        <v>311600</v>
      </c>
      <c r="Z230" s="27">
        <v>10260</v>
      </c>
      <c r="AA230" s="27">
        <v>34</v>
      </c>
      <c r="AB230" s="27">
        <v>6.17</v>
      </c>
      <c r="AC230" s="27">
        <v>7367</v>
      </c>
      <c r="AD230" s="27">
        <v>700</v>
      </c>
      <c r="AE230" s="27">
        <v>8453</v>
      </c>
      <c r="AF230" s="27">
        <v>1099</v>
      </c>
      <c r="AG230" s="27">
        <v>0.86699999999999999</v>
      </c>
      <c r="AH230" s="27">
        <v>37.5</v>
      </c>
      <c r="AI230" s="27">
        <v>17.3</v>
      </c>
      <c r="AJ230" s="27">
        <v>413</v>
      </c>
      <c r="AK230" s="33">
        <v>269</v>
      </c>
    </row>
    <row r="231" spans="1:37" ht="14.25">
      <c r="A231" s="26" t="s">
        <v>308</v>
      </c>
      <c r="B231" s="27">
        <v>840.5</v>
      </c>
      <c r="C231" s="27">
        <v>292.39999999999998</v>
      </c>
      <c r="D231" s="27">
        <v>14.7</v>
      </c>
      <c r="E231" s="27">
        <v>21.7</v>
      </c>
      <c r="F231" s="27">
        <v>20</v>
      </c>
      <c r="G231" s="27">
        <v>757.1</v>
      </c>
      <c r="H231" s="27">
        <v>280100</v>
      </c>
      <c r="I231" s="27">
        <v>9068</v>
      </c>
      <c r="J231" s="27">
        <v>6666</v>
      </c>
      <c r="K231" s="27">
        <v>620</v>
      </c>
      <c r="L231" s="27">
        <v>7666</v>
      </c>
      <c r="M231" s="27">
        <v>975</v>
      </c>
      <c r="N231" s="33">
        <v>248</v>
      </c>
      <c r="O231" s="26" t="s">
        <v>308</v>
      </c>
      <c r="P231" s="27">
        <v>194.3</v>
      </c>
      <c r="Q231" s="27">
        <v>840.5</v>
      </c>
      <c r="R231" s="27">
        <v>292.39999999999998</v>
      </c>
      <c r="S231" s="27">
        <v>14.7</v>
      </c>
      <c r="T231" s="27">
        <v>21.7</v>
      </c>
      <c r="U231" s="27">
        <v>20</v>
      </c>
      <c r="V231" s="27">
        <v>757.1</v>
      </c>
      <c r="W231" s="27">
        <v>6.74</v>
      </c>
      <c r="X231" s="27">
        <v>51.5</v>
      </c>
      <c r="Y231" s="27">
        <v>280100</v>
      </c>
      <c r="Z231" s="27">
        <v>9068</v>
      </c>
      <c r="AA231" s="27">
        <v>33.6</v>
      </c>
      <c r="AB231" s="27">
        <v>6.05</v>
      </c>
      <c r="AC231" s="27">
        <v>6666</v>
      </c>
      <c r="AD231" s="27">
        <v>620</v>
      </c>
      <c r="AE231" s="27">
        <v>7666</v>
      </c>
      <c r="AF231" s="27">
        <v>975</v>
      </c>
      <c r="AG231" s="27">
        <v>0.86299999999999999</v>
      </c>
      <c r="AH231" s="27">
        <v>41.3</v>
      </c>
      <c r="AI231" s="27">
        <v>15.2</v>
      </c>
      <c r="AJ231" s="27">
        <v>312</v>
      </c>
      <c r="AK231" s="33">
        <v>248</v>
      </c>
    </row>
    <row r="232" spans="1:37" ht="14.25">
      <c r="A232" s="24" t="s">
        <v>309</v>
      </c>
      <c r="B232" s="25">
        <v>834.6</v>
      </c>
      <c r="C232" s="25">
        <v>291.60000000000002</v>
      </c>
      <c r="D232" s="25">
        <v>14</v>
      </c>
      <c r="E232" s="25">
        <v>18.8</v>
      </c>
      <c r="F232" s="25">
        <v>20</v>
      </c>
      <c r="G232" s="25">
        <v>757</v>
      </c>
      <c r="H232" s="25">
        <v>246900</v>
      </c>
      <c r="I232" s="25">
        <v>7792</v>
      </c>
      <c r="J232" s="25">
        <v>5915</v>
      </c>
      <c r="K232" s="25">
        <v>534</v>
      </c>
      <c r="L232" s="25">
        <v>6831</v>
      </c>
      <c r="M232" s="25">
        <v>842</v>
      </c>
      <c r="N232" s="32">
        <v>225</v>
      </c>
      <c r="O232" s="24" t="s">
        <v>309</v>
      </c>
      <c r="P232" s="25">
        <v>176.4</v>
      </c>
      <c r="Q232" s="25">
        <v>834.6</v>
      </c>
      <c r="R232" s="25">
        <v>291.60000000000002</v>
      </c>
      <c r="S232" s="25">
        <v>14</v>
      </c>
      <c r="T232" s="25">
        <v>18.8</v>
      </c>
      <c r="U232" s="25">
        <v>20</v>
      </c>
      <c r="V232" s="25">
        <v>757</v>
      </c>
      <c r="W232" s="25">
        <v>7.76</v>
      </c>
      <c r="X232" s="25">
        <v>54.1</v>
      </c>
      <c r="Y232" s="25">
        <v>246900</v>
      </c>
      <c r="Z232" s="25">
        <v>7792</v>
      </c>
      <c r="AA232" s="25">
        <v>33.1</v>
      </c>
      <c r="AB232" s="25">
        <v>5.89</v>
      </c>
      <c r="AC232" s="25">
        <v>5915</v>
      </c>
      <c r="AD232" s="25">
        <v>534</v>
      </c>
      <c r="AE232" s="25">
        <v>6831</v>
      </c>
      <c r="AF232" s="25">
        <v>842</v>
      </c>
      <c r="AG232" s="25">
        <v>0.85599999999999998</v>
      </c>
      <c r="AH232" s="25">
        <v>46</v>
      </c>
      <c r="AI232" s="25">
        <v>13</v>
      </c>
      <c r="AJ232" s="25">
        <v>227</v>
      </c>
      <c r="AK232" s="32">
        <v>225</v>
      </c>
    </row>
    <row r="233" spans="1:37">
      <c r="A233" s="26" t="s">
        <v>310</v>
      </c>
      <c r="B233" s="27">
        <v>833</v>
      </c>
      <c r="C233" s="27">
        <v>393</v>
      </c>
      <c r="D233" s="27">
        <v>31.5</v>
      </c>
      <c r="E233" s="27">
        <v>56.9</v>
      </c>
      <c r="F233" s="27">
        <v>20</v>
      </c>
      <c r="G233" s="27">
        <v>679.2</v>
      </c>
      <c r="H233" s="27">
        <v>776600</v>
      </c>
      <c r="I233" s="27">
        <v>57760</v>
      </c>
      <c r="J233" s="27">
        <v>18650</v>
      </c>
      <c r="K233" s="27">
        <v>2940</v>
      </c>
      <c r="L233" s="27">
        <v>21550</v>
      </c>
      <c r="M233" s="27">
        <v>4579</v>
      </c>
      <c r="N233" s="33">
        <v>677</v>
      </c>
      <c r="O233" s="26" t="s">
        <v>310</v>
      </c>
      <c r="P233" s="27">
        <v>531.6</v>
      </c>
      <c r="Q233" s="27">
        <v>833</v>
      </c>
      <c r="R233" s="27">
        <v>393</v>
      </c>
      <c r="S233" s="27">
        <v>31.5</v>
      </c>
      <c r="T233" s="27">
        <v>56.9</v>
      </c>
      <c r="U233" s="27">
        <v>20</v>
      </c>
      <c r="V233" s="27">
        <v>679.2</v>
      </c>
      <c r="W233" s="27">
        <v>3.45</v>
      </c>
      <c r="X233" s="27">
        <v>21.6</v>
      </c>
      <c r="Y233" s="27">
        <v>776600</v>
      </c>
      <c r="Z233" s="27">
        <v>57760</v>
      </c>
      <c r="AA233" s="27">
        <v>33.9</v>
      </c>
      <c r="AB233" s="27">
        <v>9.24</v>
      </c>
      <c r="AC233" s="27">
        <v>18650</v>
      </c>
      <c r="AD233" s="27">
        <v>2940</v>
      </c>
      <c r="AE233" s="27">
        <v>21550</v>
      </c>
      <c r="AF233" s="27">
        <v>4579</v>
      </c>
      <c r="AG233" s="27">
        <v>0.88800000000000001</v>
      </c>
      <c r="AH233" s="27">
        <v>15.3</v>
      </c>
      <c r="AI233" s="27">
        <v>87</v>
      </c>
      <c r="AJ233" s="27">
        <v>5563</v>
      </c>
      <c r="AK233" s="33">
        <v>677</v>
      </c>
    </row>
    <row r="234" spans="1:37">
      <c r="A234" s="26" t="s">
        <v>311</v>
      </c>
      <c r="B234" s="27">
        <v>823</v>
      </c>
      <c r="C234" s="27">
        <v>390</v>
      </c>
      <c r="D234" s="27">
        <v>29</v>
      </c>
      <c r="E234" s="27">
        <v>52.1</v>
      </c>
      <c r="F234" s="27">
        <v>20</v>
      </c>
      <c r="G234" s="27">
        <v>678.8</v>
      </c>
      <c r="H234" s="27">
        <v>698800</v>
      </c>
      <c r="I234" s="27">
        <v>51670</v>
      </c>
      <c r="J234" s="27">
        <v>16980</v>
      </c>
      <c r="K234" s="27">
        <v>2650</v>
      </c>
      <c r="L234" s="27">
        <v>19530</v>
      </c>
      <c r="M234" s="27">
        <v>4120</v>
      </c>
      <c r="N234" s="33">
        <v>618</v>
      </c>
      <c r="O234" s="26" t="s">
        <v>311</v>
      </c>
      <c r="P234" s="27">
        <v>485.3</v>
      </c>
      <c r="Q234" s="27">
        <v>823</v>
      </c>
      <c r="R234" s="27">
        <v>390</v>
      </c>
      <c r="S234" s="27">
        <v>29</v>
      </c>
      <c r="T234" s="27">
        <v>52.1</v>
      </c>
      <c r="U234" s="27">
        <v>20</v>
      </c>
      <c r="V234" s="27">
        <v>678.8</v>
      </c>
      <c r="W234" s="27">
        <v>3.74</v>
      </c>
      <c r="X234" s="27">
        <v>23.4</v>
      </c>
      <c r="Y234" s="27">
        <v>698800</v>
      </c>
      <c r="Z234" s="27">
        <v>51670</v>
      </c>
      <c r="AA234" s="27">
        <v>33.6</v>
      </c>
      <c r="AB234" s="27">
        <v>9.14</v>
      </c>
      <c r="AC234" s="27">
        <v>16980</v>
      </c>
      <c r="AD234" s="27">
        <v>2650</v>
      </c>
      <c r="AE234" s="27">
        <v>19530</v>
      </c>
      <c r="AF234" s="27">
        <v>4120</v>
      </c>
      <c r="AG234" s="27">
        <v>0.88800000000000001</v>
      </c>
      <c r="AH234" s="27">
        <v>16.600000000000001</v>
      </c>
      <c r="AI234" s="27">
        <v>76.8</v>
      </c>
      <c r="AJ234" s="27">
        <v>4280</v>
      </c>
      <c r="AK234" s="33">
        <v>618</v>
      </c>
    </row>
    <row r="235" spans="1:37">
      <c r="A235" s="26" t="s">
        <v>312</v>
      </c>
      <c r="B235" s="27">
        <v>813</v>
      </c>
      <c r="C235" s="27">
        <v>387</v>
      </c>
      <c r="D235" s="27">
        <v>25.9</v>
      </c>
      <c r="E235" s="27">
        <v>47</v>
      </c>
      <c r="F235" s="27">
        <v>20</v>
      </c>
      <c r="G235" s="27">
        <v>679</v>
      </c>
      <c r="H235" s="27">
        <v>618800</v>
      </c>
      <c r="I235" s="27">
        <v>45520</v>
      </c>
      <c r="J235" s="27">
        <v>15220</v>
      </c>
      <c r="K235" s="27">
        <v>2352</v>
      </c>
      <c r="L235" s="27">
        <v>17400</v>
      </c>
      <c r="M235" s="27">
        <v>3646</v>
      </c>
      <c r="N235" s="33">
        <v>553</v>
      </c>
      <c r="O235" s="26" t="s">
        <v>312</v>
      </c>
      <c r="P235" s="27">
        <v>434.4</v>
      </c>
      <c r="Q235" s="27">
        <v>813</v>
      </c>
      <c r="R235" s="27">
        <v>387</v>
      </c>
      <c r="S235" s="27">
        <v>25.9</v>
      </c>
      <c r="T235" s="27">
        <v>47</v>
      </c>
      <c r="U235" s="27">
        <v>20</v>
      </c>
      <c r="V235" s="27">
        <v>679</v>
      </c>
      <c r="W235" s="27">
        <v>4.12</v>
      </c>
      <c r="X235" s="27">
        <v>26.2</v>
      </c>
      <c r="Y235" s="27">
        <v>618800</v>
      </c>
      <c r="Z235" s="27">
        <v>45520</v>
      </c>
      <c r="AA235" s="27">
        <v>33.4</v>
      </c>
      <c r="AB235" s="27">
        <v>9.07</v>
      </c>
      <c r="AC235" s="27">
        <v>15220</v>
      </c>
      <c r="AD235" s="27">
        <v>2352</v>
      </c>
      <c r="AE235" s="27">
        <v>17400</v>
      </c>
      <c r="AF235" s="27">
        <v>3646</v>
      </c>
      <c r="AG235" s="27">
        <v>0.88900000000000001</v>
      </c>
      <c r="AH235" s="27">
        <v>18.2</v>
      </c>
      <c r="AI235" s="27">
        <v>66.8</v>
      </c>
      <c r="AJ235" s="27">
        <v>3127</v>
      </c>
      <c r="AK235" s="33">
        <v>553</v>
      </c>
    </row>
    <row r="236" spans="1:37">
      <c r="A236" s="26" t="s">
        <v>313</v>
      </c>
      <c r="B236" s="27">
        <v>803</v>
      </c>
      <c r="C236" s="27">
        <v>385</v>
      </c>
      <c r="D236" s="27">
        <v>23.6</v>
      </c>
      <c r="E236" s="27">
        <v>41.9</v>
      </c>
      <c r="F236" s="27">
        <v>20</v>
      </c>
      <c r="G236" s="27">
        <v>679.2</v>
      </c>
      <c r="H236" s="27">
        <v>545200</v>
      </c>
      <c r="I236" s="27">
        <v>39940</v>
      </c>
      <c r="J236" s="27">
        <v>13580</v>
      </c>
      <c r="K236" s="27">
        <v>2075</v>
      </c>
      <c r="L236" s="27">
        <v>15450</v>
      </c>
      <c r="M236" s="27">
        <v>3211</v>
      </c>
      <c r="N236" s="33">
        <v>496</v>
      </c>
      <c r="O236" s="26" t="s">
        <v>313</v>
      </c>
      <c r="P236" s="27">
        <v>389.2</v>
      </c>
      <c r="Q236" s="27">
        <v>803</v>
      </c>
      <c r="R236" s="27">
        <v>385</v>
      </c>
      <c r="S236" s="27">
        <v>23.6</v>
      </c>
      <c r="T236" s="27">
        <v>41.9</v>
      </c>
      <c r="U236" s="27">
        <v>20</v>
      </c>
      <c r="V236" s="27">
        <v>679.2</v>
      </c>
      <c r="W236" s="27">
        <v>4.59</v>
      </c>
      <c r="X236" s="27">
        <v>28.8</v>
      </c>
      <c r="Y236" s="27">
        <v>545200</v>
      </c>
      <c r="Z236" s="27">
        <v>39940</v>
      </c>
      <c r="AA236" s="27">
        <v>33.200000000000003</v>
      </c>
      <c r="AB236" s="27">
        <v>8.98</v>
      </c>
      <c r="AC236" s="27">
        <v>13580</v>
      </c>
      <c r="AD236" s="27">
        <v>2075</v>
      </c>
      <c r="AE236" s="27">
        <v>15450</v>
      </c>
      <c r="AF236" s="27">
        <v>3211</v>
      </c>
      <c r="AG236" s="27">
        <v>0.88800000000000001</v>
      </c>
      <c r="AH236" s="27">
        <v>20.2</v>
      </c>
      <c r="AI236" s="27">
        <v>57.8</v>
      </c>
      <c r="AJ236" s="27">
        <v>2248</v>
      </c>
      <c r="AK236" s="33">
        <v>496</v>
      </c>
    </row>
    <row r="237" spans="1:37">
      <c r="A237" s="26" t="s">
        <v>314</v>
      </c>
      <c r="B237" s="27">
        <v>795</v>
      </c>
      <c r="C237" s="27">
        <v>382</v>
      </c>
      <c r="D237" s="27">
        <v>21.1</v>
      </c>
      <c r="E237" s="27">
        <v>38.1</v>
      </c>
      <c r="F237" s="27">
        <v>20</v>
      </c>
      <c r="G237" s="27">
        <v>678.8</v>
      </c>
      <c r="H237" s="27">
        <v>486900</v>
      </c>
      <c r="I237" s="27">
        <v>35460</v>
      </c>
      <c r="J237" s="27">
        <v>12250</v>
      </c>
      <c r="K237" s="27">
        <v>1857</v>
      </c>
      <c r="L237" s="27">
        <v>13860</v>
      </c>
      <c r="M237" s="27">
        <v>2865</v>
      </c>
      <c r="N237" s="33">
        <v>446</v>
      </c>
      <c r="O237" s="26" t="s">
        <v>314</v>
      </c>
      <c r="P237" s="27">
        <v>350.3</v>
      </c>
      <c r="Q237" s="27">
        <v>795</v>
      </c>
      <c r="R237" s="27">
        <v>382</v>
      </c>
      <c r="S237" s="27">
        <v>21.1</v>
      </c>
      <c r="T237" s="27">
        <v>38.1</v>
      </c>
      <c r="U237" s="27">
        <v>20</v>
      </c>
      <c r="V237" s="27">
        <v>678.8</v>
      </c>
      <c r="W237" s="27">
        <v>5.01</v>
      </c>
      <c r="X237" s="27">
        <v>32.200000000000003</v>
      </c>
      <c r="Y237" s="27">
        <v>486900</v>
      </c>
      <c r="Z237" s="27">
        <v>35460</v>
      </c>
      <c r="AA237" s="27">
        <v>33</v>
      </c>
      <c r="AB237" s="27">
        <v>8.91</v>
      </c>
      <c r="AC237" s="27">
        <v>12250</v>
      </c>
      <c r="AD237" s="27">
        <v>1857</v>
      </c>
      <c r="AE237" s="27">
        <v>13860</v>
      </c>
      <c r="AF237" s="27">
        <v>2865</v>
      </c>
      <c r="AG237" s="27">
        <v>0.88900000000000001</v>
      </c>
      <c r="AH237" s="27">
        <v>22.1</v>
      </c>
      <c r="AI237" s="27">
        <v>50.8</v>
      </c>
      <c r="AJ237" s="27">
        <v>1675</v>
      </c>
      <c r="AK237" s="33">
        <v>446</v>
      </c>
    </row>
    <row r="238" spans="1:37">
      <c r="A238" s="26" t="s">
        <v>315</v>
      </c>
      <c r="B238" s="27">
        <v>785.9</v>
      </c>
      <c r="C238" s="27">
        <v>383.7</v>
      </c>
      <c r="D238" s="27">
        <v>19.7</v>
      </c>
      <c r="E238" s="27">
        <v>33.4</v>
      </c>
      <c r="F238" s="27">
        <v>20</v>
      </c>
      <c r="G238" s="27">
        <v>679.1</v>
      </c>
      <c r="H238" s="27">
        <v>428500</v>
      </c>
      <c r="I238" s="27">
        <v>31500</v>
      </c>
      <c r="J238" s="27">
        <v>10900</v>
      </c>
      <c r="K238" s="27">
        <v>1642</v>
      </c>
      <c r="L238" s="27">
        <v>12310</v>
      </c>
      <c r="M238" s="27">
        <v>2533</v>
      </c>
      <c r="N238" s="33">
        <v>401</v>
      </c>
      <c r="O238" s="26" t="s">
        <v>315</v>
      </c>
      <c r="P238" s="27">
        <v>315.10000000000002</v>
      </c>
      <c r="Q238" s="27">
        <v>785.9</v>
      </c>
      <c r="R238" s="27">
        <v>383.7</v>
      </c>
      <c r="S238" s="27">
        <v>19.7</v>
      </c>
      <c r="T238" s="27">
        <v>33.4</v>
      </c>
      <c r="U238" s="27">
        <v>20</v>
      </c>
      <c r="V238" s="27">
        <v>679.1</v>
      </c>
      <c r="W238" s="27">
        <v>5.74</v>
      </c>
      <c r="X238" s="27">
        <v>34.5</v>
      </c>
      <c r="Y238" s="27">
        <v>428500</v>
      </c>
      <c r="Z238" s="27">
        <v>31500</v>
      </c>
      <c r="AA238" s="27">
        <v>32.700000000000003</v>
      </c>
      <c r="AB238" s="27">
        <v>8.86</v>
      </c>
      <c r="AC238" s="27">
        <v>10900</v>
      </c>
      <c r="AD238" s="27">
        <v>1642</v>
      </c>
      <c r="AE238" s="27">
        <v>12310</v>
      </c>
      <c r="AF238" s="27">
        <v>2533</v>
      </c>
      <c r="AG238" s="27">
        <v>0.88600000000000001</v>
      </c>
      <c r="AH238" s="27">
        <v>24.8</v>
      </c>
      <c r="AI238" s="27">
        <v>44.6</v>
      </c>
      <c r="AJ238" s="27">
        <v>1182</v>
      </c>
      <c r="AK238" s="33">
        <v>401</v>
      </c>
    </row>
    <row r="239" spans="1:37">
      <c r="A239" s="26" t="s">
        <v>316</v>
      </c>
      <c r="B239" s="27">
        <v>779.3</v>
      </c>
      <c r="C239" s="27">
        <v>382</v>
      </c>
      <c r="D239" s="27">
        <v>18</v>
      </c>
      <c r="E239" s="27">
        <v>30.1</v>
      </c>
      <c r="F239" s="27">
        <v>20</v>
      </c>
      <c r="G239" s="27">
        <v>679.1</v>
      </c>
      <c r="H239" s="27">
        <v>383000</v>
      </c>
      <c r="I239" s="27">
        <v>28010</v>
      </c>
      <c r="J239" s="27">
        <v>9829</v>
      </c>
      <c r="K239" s="27">
        <v>1466</v>
      </c>
      <c r="L239" s="27">
        <v>11060</v>
      </c>
      <c r="M239" s="27">
        <v>2259</v>
      </c>
      <c r="N239" s="33">
        <v>363</v>
      </c>
      <c r="O239" s="26" t="s">
        <v>316</v>
      </c>
      <c r="P239" s="27">
        <v>284.8</v>
      </c>
      <c r="Q239" s="27">
        <v>779.3</v>
      </c>
      <c r="R239" s="27">
        <v>382</v>
      </c>
      <c r="S239" s="27">
        <v>18</v>
      </c>
      <c r="T239" s="27">
        <v>30.1</v>
      </c>
      <c r="U239" s="27">
        <v>20</v>
      </c>
      <c r="V239" s="27">
        <v>679.1</v>
      </c>
      <c r="W239" s="27">
        <v>6.35</v>
      </c>
      <c r="X239" s="27">
        <v>37.700000000000003</v>
      </c>
      <c r="Y239" s="27">
        <v>383000</v>
      </c>
      <c r="Z239" s="27">
        <v>28010</v>
      </c>
      <c r="AA239" s="27">
        <v>32.5</v>
      </c>
      <c r="AB239" s="27">
        <v>8.7899999999999991</v>
      </c>
      <c r="AC239" s="27">
        <v>9829</v>
      </c>
      <c r="AD239" s="27">
        <v>1466</v>
      </c>
      <c r="AE239" s="27">
        <v>11060</v>
      </c>
      <c r="AF239" s="27">
        <v>2259</v>
      </c>
      <c r="AG239" s="27">
        <v>0.88500000000000001</v>
      </c>
      <c r="AH239" s="27">
        <v>27.3</v>
      </c>
      <c r="AI239" s="27">
        <v>39.299999999999997</v>
      </c>
      <c r="AJ239" s="27">
        <v>875</v>
      </c>
      <c r="AK239" s="33">
        <v>363</v>
      </c>
    </row>
    <row r="240" spans="1:37">
      <c r="A240" s="26" t="s">
        <v>317</v>
      </c>
      <c r="B240" s="27">
        <v>773.2</v>
      </c>
      <c r="C240" s="27">
        <v>380.6</v>
      </c>
      <c r="D240" s="27">
        <v>16.600000000000001</v>
      </c>
      <c r="E240" s="27">
        <v>27.1</v>
      </c>
      <c r="F240" s="27">
        <v>20</v>
      </c>
      <c r="G240" s="27">
        <v>679</v>
      </c>
      <c r="H240" s="27">
        <v>343000</v>
      </c>
      <c r="I240" s="27">
        <v>24930</v>
      </c>
      <c r="J240" s="27">
        <v>8871</v>
      </c>
      <c r="K240" s="27">
        <v>1310</v>
      </c>
      <c r="L240" s="27">
        <v>9963</v>
      </c>
      <c r="M240" s="27">
        <v>2017</v>
      </c>
      <c r="N240" s="33">
        <v>329</v>
      </c>
      <c r="O240" s="26" t="s">
        <v>317</v>
      </c>
      <c r="P240" s="27">
        <v>258.3</v>
      </c>
      <c r="Q240" s="27">
        <v>773.2</v>
      </c>
      <c r="R240" s="27">
        <v>380.6</v>
      </c>
      <c r="S240" s="27">
        <v>16.600000000000001</v>
      </c>
      <c r="T240" s="27">
        <v>27.1</v>
      </c>
      <c r="U240" s="27">
        <v>20</v>
      </c>
      <c r="V240" s="27">
        <v>679</v>
      </c>
      <c r="W240" s="27">
        <v>7.02</v>
      </c>
      <c r="X240" s="27">
        <v>40.9</v>
      </c>
      <c r="Y240" s="27">
        <v>343000</v>
      </c>
      <c r="Z240" s="27">
        <v>24930</v>
      </c>
      <c r="AA240" s="27">
        <v>32.299999999999997</v>
      </c>
      <c r="AB240" s="27">
        <v>8.6999999999999993</v>
      </c>
      <c r="AC240" s="27">
        <v>8871</v>
      </c>
      <c r="AD240" s="27">
        <v>1310</v>
      </c>
      <c r="AE240" s="27">
        <v>9963</v>
      </c>
      <c r="AF240" s="27">
        <v>2017</v>
      </c>
      <c r="AG240" s="27">
        <v>0.88400000000000001</v>
      </c>
      <c r="AH240" s="27">
        <v>30</v>
      </c>
      <c r="AI240" s="27">
        <v>34.700000000000003</v>
      </c>
      <c r="AJ240" s="27">
        <v>651</v>
      </c>
      <c r="AK240" s="33">
        <v>329</v>
      </c>
    </row>
    <row r="241" spans="1:37" ht="14.25">
      <c r="A241" s="26" t="s">
        <v>318</v>
      </c>
      <c r="B241" s="27">
        <v>835.2</v>
      </c>
      <c r="C241" s="27">
        <v>281.7</v>
      </c>
      <c r="D241" s="27">
        <v>32</v>
      </c>
      <c r="E241" s="27">
        <v>57.9</v>
      </c>
      <c r="F241" s="27">
        <v>20</v>
      </c>
      <c r="G241" s="27">
        <v>679.4</v>
      </c>
      <c r="H241" s="27">
        <v>597300</v>
      </c>
      <c r="I241" s="27">
        <v>21780</v>
      </c>
      <c r="J241" s="27">
        <v>14300</v>
      </c>
      <c r="K241" s="27">
        <v>1547</v>
      </c>
      <c r="L241" s="27">
        <v>16940</v>
      </c>
      <c r="M241" s="27">
        <v>2489</v>
      </c>
      <c r="N241" s="33">
        <v>560</v>
      </c>
      <c r="O241" s="26" t="s">
        <v>318</v>
      </c>
      <c r="P241" s="27">
        <v>439.5</v>
      </c>
      <c r="Q241" s="27">
        <v>835.2</v>
      </c>
      <c r="R241" s="27">
        <v>281.7</v>
      </c>
      <c r="S241" s="27">
        <v>32</v>
      </c>
      <c r="T241" s="27">
        <v>57.9</v>
      </c>
      <c r="U241" s="27">
        <v>20</v>
      </c>
      <c r="V241" s="27">
        <v>679.4</v>
      </c>
      <c r="W241" s="27">
        <v>2.4300000000000002</v>
      </c>
      <c r="X241" s="27">
        <v>21.2</v>
      </c>
      <c r="Y241" s="27">
        <v>597300</v>
      </c>
      <c r="Z241" s="27">
        <v>21780</v>
      </c>
      <c r="AA241" s="27">
        <v>32.700000000000003</v>
      </c>
      <c r="AB241" s="27">
        <v>6.24</v>
      </c>
      <c r="AC241" s="27">
        <v>14300</v>
      </c>
      <c r="AD241" s="27">
        <v>1547</v>
      </c>
      <c r="AE241" s="27">
        <v>16940</v>
      </c>
      <c r="AF241" s="27">
        <v>2489</v>
      </c>
      <c r="AG241" s="27">
        <v>0.874</v>
      </c>
      <c r="AH241" s="27">
        <v>15.7</v>
      </c>
      <c r="AI241" s="27">
        <v>32.9</v>
      </c>
      <c r="AJ241" s="27">
        <v>4410</v>
      </c>
      <c r="AK241" s="33">
        <v>560</v>
      </c>
    </row>
    <row r="242" spans="1:37" ht="14.25">
      <c r="A242" s="26" t="s">
        <v>319</v>
      </c>
      <c r="B242" s="27">
        <v>825</v>
      </c>
      <c r="C242" s="27">
        <v>279.10000000000002</v>
      </c>
      <c r="D242" s="27">
        <v>29.5</v>
      </c>
      <c r="E242" s="27">
        <v>53.1</v>
      </c>
      <c r="F242" s="27">
        <v>20</v>
      </c>
      <c r="G242" s="27">
        <v>678.8</v>
      </c>
      <c r="H242" s="27">
        <v>537800</v>
      </c>
      <c r="I242" s="27">
        <v>19410</v>
      </c>
      <c r="J242" s="27">
        <v>13040</v>
      </c>
      <c r="K242" s="27">
        <v>1391</v>
      </c>
      <c r="L242" s="27">
        <v>15370</v>
      </c>
      <c r="M242" s="27">
        <v>2231</v>
      </c>
      <c r="N242" s="33">
        <v>512</v>
      </c>
      <c r="O242" s="26" t="s">
        <v>319</v>
      </c>
      <c r="P242" s="27">
        <v>401.8</v>
      </c>
      <c r="Q242" s="27">
        <v>825</v>
      </c>
      <c r="R242" s="27">
        <v>279.10000000000002</v>
      </c>
      <c r="S242" s="27">
        <v>29.5</v>
      </c>
      <c r="T242" s="27">
        <v>53.1</v>
      </c>
      <c r="U242" s="27">
        <v>20</v>
      </c>
      <c r="V242" s="27">
        <v>678.8</v>
      </c>
      <c r="W242" s="27">
        <v>2.63</v>
      </c>
      <c r="X242" s="27">
        <v>23</v>
      </c>
      <c r="Y242" s="27">
        <v>537800</v>
      </c>
      <c r="Z242" s="27">
        <v>19410</v>
      </c>
      <c r="AA242" s="27">
        <v>32.4</v>
      </c>
      <c r="AB242" s="27">
        <v>6.16</v>
      </c>
      <c r="AC242" s="27">
        <v>13040</v>
      </c>
      <c r="AD242" s="27">
        <v>1391</v>
      </c>
      <c r="AE242" s="27">
        <v>15370</v>
      </c>
      <c r="AF242" s="27">
        <v>2231</v>
      </c>
      <c r="AG242" s="27">
        <v>0.874</v>
      </c>
      <c r="AH242" s="27">
        <v>16.899999999999999</v>
      </c>
      <c r="AI242" s="27">
        <v>28.9</v>
      </c>
      <c r="AJ242" s="27">
        <v>3414</v>
      </c>
      <c r="AK242" s="33">
        <v>512</v>
      </c>
    </row>
    <row r="243" spans="1:37" ht="14.25">
      <c r="A243" s="26" t="s">
        <v>320</v>
      </c>
      <c r="B243" s="27">
        <v>817.1</v>
      </c>
      <c r="C243" s="27">
        <v>276.60000000000002</v>
      </c>
      <c r="D243" s="27">
        <v>26.9</v>
      </c>
      <c r="E243" s="27">
        <v>49</v>
      </c>
      <c r="F243" s="27">
        <v>20</v>
      </c>
      <c r="G243" s="27">
        <v>679.1</v>
      </c>
      <c r="H243" s="27">
        <v>488000</v>
      </c>
      <c r="I243" s="27">
        <v>17410</v>
      </c>
      <c r="J243" s="27">
        <v>11950</v>
      </c>
      <c r="K243" s="27">
        <v>1259</v>
      </c>
      <c r="L243" s="27">
        <v>14010</v>
      </c>
      <c r="M243" s="27">
        <v>2011</v>
      </c>
      <c r="N243" s="33">
        <v>468</v>
      </c>
      <c r="O243" s="26" t="s">
        <v>320</v>
      </c>
      <c r="P243" s="27">
        <v>367.3</v>
      </c>
      <c r="Q243" s="27">
        <v>817.1</v>
      </c>
      <c r="R243" s="27">
        <v>276.60000000000002</v>
      </c>
      <c r="S243" s="27">
        <v>26.9</v>
      </c>
      <c r="T243" s="27">
        <v>49</v>
      </c>
      <c r="U243" s="27">
        <v>20</v>
      </c>
      <c r="V243" s="27">
        <v>679.1</v>
      </c>
      <c r="W243" s="27">
        <v>2.82</v>
      </c>
      <c r="X243" s="27">
        <v>25.2</v>
      </c>
      <c r="Y243" s="27">
        <v>488000</v>
      </c>
      <c r="Z243" s="27">
        <v>17410</v>
      </c>
      <c r="AA243" s="27">
        <v>32.299999999999997</v>
      </c>
      <c r="AB243" s="27">
        <v>6.1</v>
      </c>
      <c r="AC243" s="27">
        <v>11950</v>
      </c>
      <c r="AD243" s="27">
        <v>1259</v>
      </c>
      <c r="AE243" s="27">
        <v>14010</v>
      </c>
      <c r="AF243" s="27">
        <v>2011</v>
      </c>
      <c r="AG243" s="27">
        <v>0.875</v>
      </c>
      <c r="AH243" s="27">
        <v>18.2</v>
      </c>
      <c r="AI243" s="27">
        <v>25.7</v>
      </c>
      <c r="AJ243" s="27">
        <v>2661</v>
      </c>
      <c r="AK243" s="33">
        <v>468</v>
      </c>
    </row>
    <row r="244" spans="1:37" ht="14.25">
      <c r="A244" s="26" t="s">
        <v>321</v>
      </c>
      <c r="B244" s="27">
        <v>809</v>
      </c>
      <c r="C244" s="27">
        <v>274.60000000000002</v>
      </c>
      <c r="D244" s="27">
        <v>24.9</v>
      </c>
      <c r="E244" s="27">
        <v>44.9</v>
      </c>
      <c r="F244" s="27">
        <v>20</v>
      </c>
      <c r="G244" s="27">
        <v>679.2</v>
      </c>
      <c r="H244" s="27">
        <v>441900</v>
      </c>
      <c r="I244" s="27">
        <v>15600</v>
      </c>
      <c r="J244" s="27">
        <v>10920</v>
      </c>
      <c r="K244" s="27">
        <v>1136</v>
      </c>
      <c r="L244" s="27">
        <v>12760</v>
      </c>
      <c r="M244" s="27">
        <v>1810</v>
      </c>
      <c r="N244" s="33">
        <v>429</v>
      </c>
      <c r="O244" s="26" t="s">
        <v>321</v>
      </c>
      <c r="P244" s="27">
        <v>336.8</v>
      </c>
      <c r="Q244" s="27">
        <v>809</v>
      </c>
      <c r="R244" s="27">
        <v>274.60000000000002</v>
      </c>
      <c r="S244" s="27">
        <v>24.9</v>
      </c>
      <c r="T244" s="27">
        <v>44.9</v>
      </c>
      <c r="U244" s="27">
        <v>20</v>
      </c>
      <c r="V244" s="27">
        <v>679.2</v>
      </c>
      <c r="W244" s="27">
        <v>3.06</v>
      </c>
      <c r="X244" s="27">
        <v>27.3</v>
      </c>
      <c r="Y244" s="27">
        <v>441900</v>
      </c>
      <c r="Z244" s="27">
        <v>15600</v>
      </c>
      <c r="AA244" s="27">
        <v>32.1</v>
      </c>
      <c r="AB244" s="27">
        <v>6.03</v>
      </c>
      <c r="AC244" s="27">
        <v>10920</v>
      </c>
      <c r="AD244" s="27">
        <v>1136</v>
      </c>
      <c r="AE244" s="27">
        <v>12760</v>
      </c>
      <c r="AF244" s="27">
        <v>1810</v>
      </c>
      <c r="AG244" s="27">
        <v>0.874</v>
      </c>
      <c r="AH244" s="27">
        <v>19.7</v>
      </c>
      <c r="AI244" s="27">
        <v>22.8</v>
      </c>
      <c r="AJ244" s="27">
        <v>2066</v>
      </c>
      <c r="AK244" s="33">
        <v>429</v>
      </c>
    </row>
    <row r="245" spans="1:37" ht="14.25">
      <c r="A245" s="26" t="s">
        <v>322</v>
      </c>
      <c r="B245" s="27">
        <v>801.1</v>
      </c>
      <c r="C245" s="27">
        <v>272.7</v>
      </c>
      <c r="D245" s="27">
        <v>23.1</v>
      </c>
      <c r="E245" s="27">
        <v>40.9</v>
      </c>
      <c r="F245" s="27">
        <v>20</v>
      </c>
      <c r="G245" s="27">
        <v>679.3</v>
      </c>
      <c r="H245" s="27">
        <v>398600</v>
      </c>
      <c r="I245" s="27">
        <v>13910</v>
      </c>
      <c r="J245" s="27">
        <v>9950</v>
      </c>
      <c r="K245" s="27">
        <v>1020</v>
      </c>
      <c r="L245" s="27">
        <v>11590</v>
      </c>
      <c r="M245" s="27">
        <v>1622</v>
      </c>
      <c r="N245" s="33">
        <v>393</v>
      </c>
      <c r="O245" s="26" t="s">
        <v>322</v>
      </c>
      <c r="P245" s="27">
        <v>308.2</v>
      </c>
      <c r="Q245" s="27">
        <v>801.1</v>
      </c>
      <c r="R245" s="27">
        <v>272.7</v>
      </c>
      <c r="S245" s="27">
        <v>23.1</v>
      </c>
      <c r="T245" s="27">
        <v>40.9</v>
      </c>
      <c r="U245" s="27">
        <v>20</v>
      </c>
      <c r="V245" s="27">
        <v>679.3</v>
      </c>
      <c r="W245" s="27">
        <v>3.33</v>
      </c>
      <c r="X245" s="27">
        <v>29.4</v>
      </c>
      <c r="Y245" s="27">
        <v>398600</v>
      </c>
      <c r="Z245" s="27">
        <v>13910</v>
      </c>
      <c r="AA245" s="27">
        <v>31.9</v>
      </c>
      <c r="AB245" s="27">
        <v>5.95</v>
      </c>
      <c r="AC245" s="27">
        <v>9950</v>
      </c>
      <c r="AD245" s="27">
        <v>1020</v>
      </c>
      <c r="AE245" s="27">
        <v>11590</v>
      </c>
      <c r="AF245" s="27">
        <v>1622</v>
      </c>
      <c r="AG245" s="27">
        <v>0.873</v>
      </c>
      <c r="AH245" s="27">
        <v>21.4</v>
      </c>
      <c r="AI245" s="27">
        <v>20.100000000000001</v>
      </c>
      <c r="AJ245" s="27">
        <v>1585</v>
      </c>
      <c r="AK245" s="33">
        <v>393</v>
      </c>
    </row>
    <row r="246" spans="1:37" ht="14.25">
      <c r="A246" s="26" t="s">
        <v>323</v>
      </c>
      <c r="B246" s="27">
        <v>793</v>
      </c>
      <c r="C246" s="27">
        <v>270.10000000000002</v>
      </c>
      <c r="D246" s="27">
        <v>20.6</v>
      </c>
      <c r="E246" s="27">
        <v>37.1</v>
      </c>
      <c r="F246" s="27">
        <v>20</v>
      </c>
      <c r="G246" s="27">
        <v>678.8</v>
      </c>
      <c r="H246" s="27">
        <v>354600</v>
      </c>
      <c r="I246" s="27">
        <v>12240</v>
      </c>
      <c r="J246" s="27">
        <v>8943</v>
      </c>
      <c r="K246" s="27">
        <v>907</v>
      </c>
      <c r="L246" s="27">
        <v>10360</v>
      </c>
      <c r="M246" s="27">
        <v>1435</v>
      </c>
      <c r="N246" s="33">
        <v>352</v>
      </c>
      <c r="O246" s="26" t="s">
        <v>323</v>
      </c>
      <c r="P246" s="27">
        <v>276.3</v>
      </c>
      <c r="Q246" s="27">
        <v>793</v>
      </c>
      <c r="R246" s="27">
        <v>270.10000000000002</v>
      </c>
      <c r="S246" s="27">
        <v>20.6</v>
      </c>
      <c r="T246" s="27">
        <v>37.1</v>
      </c>
      <c r="U246" s="27">
        <v>20</v>
      </c>
      <c r="V246" s="27">
        <v>678.8</v>
      </c>
      <c r="W246" s="27">
        <v>3.64</v>
      </c>
      <c r="X246" s="27">
        <v>33</v>
      </c>
      <c r="Y246" s="27">
        <v>354600</v>
      </c>
      <c r="Z246" s="27">
        <v>12240</v>
      </c>
      <c r="AA246" s="27">
        <v>31.7</v>
      </c>
      <c r="AB246" s="27">
        <v>5.9</v>
      </c>
      <c r="AC246" s="27">
        <v>8943</v>
      </c>
      <c r="AD246" s="27">
        <v>907</v>
      </c>
      <c r="AE246" s="27">
        <v>10360</v>
      </c>
      <c r="AF246" s="27">
        <v>1435</v>
      </c>
      <c r="AG246" s="27">
        <v>0.875</v>
      </c>
      <c r="AH246" s="27">
        <v>23.5</v>
      </c>
      <c r="AI246" s="27">
        <v>17.5</v>
      </c>
      <c r="AJ246" s="27">
        <v>1171</v>
      </c>
      <c r="AK246" s="33">
        <v>352</v>
      </c>
    </row>
    <row r="247" spans="1:37" ht="14.25">
      <c r="A247" s="26" t="s">
        <v>324</v>
      </c>
      <c r="B247" s="27">
        <v>785.1</v>
      </c>
      <c r="C247" s="27">
        <v>268.10000000000002</v>
      </c>
      <c r="D247" s="27">
        <v>18.5</v>
      </c>
      <c r="E247" s="27">
        <v>33</v>
      </c>
      <c r="F247" s="27">
        <v>20</v>
      </c>
      <c r="G247" s="27">
        <v>679.1</v>
      </c>
      <c r="H247" s="27">
        <v>312000</v>
      </c>
      <c r="I247" s="27">
        <v>10640</v>
      </c>
      <c r="J247" s="27">
        <v>7949</v>
      </c>
      <c r="K247" s="27">
        <v>794</v>
      </c>
      <c r="L247" s="27">
        <v>9168</v>
      </c>
      <c r="M247" s="27">
        <v>1252</v>
      </c>
      <c r="N247" s="33">
        <v>313</v>
      </c>
      <c r="O247" s="26" t="s">
        <v>324</v>
      </c>
      <c r="P247" s="27">
        <v>246</v>
      </c>
      <c r="Q247" s="27">
        <v>785.1</v>
      </c>
      <c r="R247" s="27">
        <v>268.10000000000002</v>
      </c>
      <c r="S247" s="27">
        <v>18.5</v>
      </c>
      <c r="T247" s="27">
        <v>33</v>
      </c>
      <c r="U247" s="27">
        <v>20</v>
      </c>
      <c r="V247" s="27">
        <v>679.1</v>
      </c>
      <c r="W247" s="27">
        <v>4.0599999999999996</v>
      </c>
      <c r="X247" s="27">
        <v>36.700000000000003</v>
      </c>
      <c r="Y247" s="27">
        <v>312000</v>
      </c>
      <c r="Z247" s="27">
        <v>10640</v>
      </c>
      <c r="AA247" s="27">
        <v>31.6</v>
      </c>
      <c r="AB247" s="27">
        <v>5.83</v>
      </c>
      <c r="AC247" s="27">
        <v>7949</v>
      </c>
      <c r="AD247" s="27">
        <v>794</v>
      </c>
      <c r="AE247" s="27">
        <v>9168</v>
      </c>
      <c r="AF247" s="27">
        <v>1252</v>
      </c>
      <c r="AG247" s="27">
        <v>0.874</v>
      </c>
      <c r="AH247" s="27">
        <v>26.1</v>
      </c>
      <c r="AI247" s="27">
        <v>15.1</v>
      </c>
      <c r="AJ247" s="27">
        <v>833</v>
      </c>
      <c r="AK247" s="33">
        <v>313</v>
      </c>
    </row>
    <row r="248" spans="1:37" ht="14.25">
      <c r="A248" s="26" t="s">
        <v>325</v>
      </c>
      <c r="B248" s="27">
        <v>779</v>
      </c>
      <c r="C248" s="27">
        <v>266.2</v>
      </c>
      <c r="D248" s="27">
        <v>16.5</v>
      </c>
      <c r="E248" s="27">
        <v>30</v>
      </c>
      <c r="F248" s="27">
        <v>20</v>
      </c>
      <c r="G248" s="27">
        <v>679</v>
      </c>
      <c r="H248" s="27">
        <v>279600</v>
      </c>
      <c r="I248" s="27">
        <v>9465</v>
      </c>
      <c r="J248" s="27">
        <v>7178</v>
      </c>
      <c r="K248" s="27">
        <v>711</v>
      </c>
      <c r="L248" s="27">
        <v>8236</v>
      </c>
      <c r="M248" s="27">
        <v>1116</v>
      </c>
      <c r="N248" s="33">
        <v>282</v>
      </c>
      <c r="O248" s="26" t="s">
        <v>325</v>
      </c>
      <c r="P248" s="27">
        <v>221.2</v>
      </c>
      <c r="Q248" s="27">
        <v>779</v>
      </c>
      <c r="R248" s="27">
        <v>266.2</v>
      </c>
      <c r="S248" s="27">
        <v>16.5</v>
      </c>
      <c r="T248" s="27">
        <v>30</v>
      </c>
      <c r="U248" s="27">
        <v>20</v>
      </c>
      <c r="V248" s="27">
        <v>679</v>
      </c>
      <c r="W248" s="27">
        <v>4.4400000000000004</v>
      </c>
      <c r="X248" s="27">
        <v>41.2</v>
      </c>
      <c r="Y248" s="27">
        <v>279600</v>
      </c>
      <c r="Z248" s="27">
        <v>9465</v>
      </c>
      <c r="AA248" s="27">
        <v>31.5</v>
      </c>
      <c r="AB248" s="27">
        <v>5.8</v>
      </c>
      <c r="AC248" s="27">
        <v>7178</v>
      </c>
      <c r="AD248" s="27">
        <v>711</v>
      </c>
      <c r="AE248" s="27">
        <v>8236</v>
      </c>
      <c r="AF248" s="27">
        <v>1116</v>
      </c>
      <c r="AG248" s="27">
        <v>0.876</v>
      </c>
      <c r="AH248" s="27">
        <v>28.6</v>
      </c>
      <c r="AI248" s="27">
        <v>13.3</v>
      </c>
      <c r="AJ248" s="27">
        <v>621</v>
      </c>
      <c r="AK248" s="33">
        <v>282</v>
      </c>
    </row>
    <row r="249" spans="1:37" ht="14.25">
      <c r="A249" s="26" t="s">
        <v>326</v>
      </c>
      <c r="B249" s="27">
        <v>769.9</v>
      </c>
      <c r="C249" s="27">
        <v>267.8</v>
      </c>
      <c r="D249" s="27">
        <v>15.6</v>
      </c>
      <c r="E249" s="27">
        <v>25.4</v>
      </c>
      <c r="F249" s="27">
        <v>20</v>
      </c>
      <c r="G249" s="27">
        <v>679.1</v>
      </c>
      <c r="H249" s="27">
        <v>241300</v>
      </c>
      <c r="I249" s="27">
        <v>8159</v>
      </c>
      <c r="J249" s="27">
        <v>6267</v>
      </c>
      <c r="K249" s="27">
        <v>609</v>
      </c>
      <c r="L249" s="27">
        <v>7203</v>
      </c>
      <c r="M249" s="27">
        <v>959</v>
      </c>
      <c r="N249" s="33">
        <v>252</v>
      </c>
      <c r="O249" s="26" t="s">
        <v>326</v>
      </c>
      <c r="P249" s="27">
        <v>197.5</v>
      </c>
      <c r="Q249" s="27">
        <v>769.9</v>
      </c>
      <c r="R249" s="27">
        <v>267.8</v>
      </c>
      <c r="S249" s="27">
        <v>15.6</v>
      </c>
      <c r="T249" s="27">
        <v>25.4</v>
      </c>
      <c r="U249" s="27">
        <v>20</v>
      </c>
      <c r="V249" s="27">
        <v>679.1</v>
      </c>
      <c r="W249" s="27">
        <v>5.27</v>
      </c>
      <c r="X249" s="27">
        <v>43.5</v>
      </c>
      <c r="Y249" s="27">
        <v>241300</v>
      </c>
      <c r="Z249" s="27">
        <v>8159</v>
      </c>
      <c r="AA249" s="27">
        <v>31</v>
      </c>
      <c r="AB249" s="27">
        <v>5.69</v>
      </c>
      <c r="AC249" s="27">
        <v>6267</v>
      </c>
      <c r="AD249" s="27">
        <v>609</v>
      </c>
      <c r="AE249" s="27">
        <v>7203</v>
      </c>
      <c r="AF249" s="27">
        <v>959</v>
      </c>
      <c r="AG249" s="27">
        <v>0.86899999999999999</v>
      </c>
      <c r="AH249" s="27">
        <v>32.799999999999997</v>
      </c>
      <c r="AI249" s="27">
        <v>11.3</v>
      </c>
      <c r="AJ249" s="27">
        <v>416</v>
      </c>
      <c r="AK249" s="33">
        <v>252</v>
      </c>
    </row>
    <row r="250" spans="1:37" ht="14.25">
      <c r="A250" s="26" t="s">
        <v>327</v>
      </c>
      <c r="B250" s="27">
        <v>766.3</v>
      </c>
      <c r="C250" s="27">
        <v>267.10000000000002</v>
      </c>
      <c r="D250" s="27">
        <v>14.9</v>
      </c>
      <c r="E250" s="27">
        <v>23.6</v>
      </c>
      <c r="F250" s="27">
        <v>20</v>
      </c>
      <c r="G250" s="27">
        <v>679.1</v>
      </c>
      <c r="H250" s="27">
        <v>224400</v>
      </c>
      <c r="I250" s="27">
        <v>7520</v>
      </c>
      <c r="J250" s="27">
        <v>5857</v>
      </c>
      <c r="K250" s="27">
        <v>563</v>
      </c>
      <c r="L250" s="27">
        <v>6730</v>
      </c>
      <c r="M250" s="27">
        <v>886</v>
      </c>
      <c r="N250" s="33">
        <v>237</v>
      </c>
      <c r="O250" s="26" t="s">
        <v>327</v>
      </c>
      <c r="P250" s="27">
        <v>185.8</v>
      </c>
      <c r="Q250" s="27">
        <v>766.3</v>
      </c>
      <c r="R250" s="27">
        <v>267.10000000000002</v>
      </c>
      <c r="S250" s="27">
        <v>14.9</v>
      </c>
      <c r="T250" s="27">
        <v>23.6</v>
      </c>
      <c r="U250" s="27">
        <v>20</v>
      </c>
      <c r="V250" s="27">
        <v>679.1</v>
      </c>
      <c r="W250" s="27">
        <v>5.66</v>
      </c>
      <c r="X250" s="27">
        <v>45.6</v>
      </c>
      <c r="Y250" s="27">
        <v>224400</v>
      </c>
      <c r="Z250" s="27">
        <v>7520</v>
      </c>
      <c r="AA250" s="27">
        <v>30.8</v>
      </c>
      <c r="AB250" s="27">
        <v>5.64</v>
      </c>
      <c r="AC250" s="27">
        <v>5857</v>
      </c>
      <c r="AD250" s="27">
        <v>563</v>
      </c>
      <c r="AE250" s="27">
        <v>6730</v>
      </c>
      <c r="AF250" s="27">
        <v>886</v>
      </c>
      <c r="AG250" s="27">
        <v>0.86799999999999999</v>
      </c>
      <c r="AH250" s="27">
        <v>34.9</v>
      </c>
      <c r="AI250" s="27">
        <v>10.4</v>
      </c>
      <c r="AJ250" s="27">
        <v>344</v>
      </c>
      <c r="AK250" s="33">
        <v>237</v>
      </c>
    </row>
    <row r="251" spans="1:37" ht="14.25">
      <c r="A251" s="26" t="s">
        <v>328</v>
      </c>
      <c r="B251" s="27">
        <v>762.3</v>
      </c>
      <c r="C251" s="27">
        <v>266.60000000000002</v>
      </c>
      <c r="D251" s="27">
        <v>14.4</v>
      </c>
      <c r="E251" s="27">
        <v>21.6</v>
      </c>
      <c r="F251" s="27">
        <v>20</v>
      </c>
      <c r="G251" s="27">
        <v>679.1</v>
      </c>
      <c r="H251" s="27">
        <v>207000</v>
      </c>
      <c r="I251" s="27">
        <v>6845</v>
      </c>
      <c r="J251" s="27">
        <v>5430</v>
      </c>
      <c r="K251" s="27">
        <v>513</v>
      </c>
      <c r="L251" s="27">
        <v>6249</v>
      </c>
      <c r="M251" s="27">
        <v>809</v>
      </c>
      <c r="N251" s="33">
        <v>222</v>
      </c>
      <c r="O251" s="26" t="s">
        <v>328</v>
      </c>
      <c r="P251" s="27">
        <v>174.4</v>
      </c>
      <c r="Q251" s="27">
        <v>762.3</v>
      </c>
      <c r="R251" s="27">
        <v>266.60000000000002</v>
      </c>
      <c r="S251" s="27">
        <v>14.4</v>
      </c>
      <c r="T251" s="27">
        <v>21.6</v>
      </c>
      <c r="U251" s="27">
        <v>20</v>
      </c>
      <c r="V251" s="27">
        <v>679.1</v>
      </c>
      <c r="W251" s="27">
        <v>6.17</v>
      </c>
      <c r="X251" s="27">
        <v>47.2</v>
      </c>
      <c r="Y251" s="27">
        <v>207000</v>
      </c>
      <c r="Z251" s="27">
        <v>6845</v>
      </c>
      <c r="AA251" s="27">
        <v>30.5</v>
      </c>
      <c r="AB251" s="27">
        <v>5.55</v>
      </c>
      <c r="AC251" s="27">
        <v>5430</v>
      </c>
      <c r="AD251" s="27">
        <v>513</v>
      </c>
      <c r="AE251" s="27">
        <v>6249</v>
      </c>
      <c r="AF251" s="27">
        <v>809</v>
      </c>
      <c r="AG251" s="27">
        <v>0.86399999999999999</v>
      </c>
      <c r="AH251" s="27">
        <v>37.4</v>
      </c>
      <c r="AI251" s="27">
        <v>9.39</v>
      </c>
      <c r="AJ251" s="27">
        <v>278</v>
      </c>
      <c r="AK251" s="33">
        <v>222</v>
      </c>
    </row>
    <row r="252" spans="1:37" ht="14.25">
      <c r="A252" s="26" t="s">
        <v>329</v>
      </c>
      <c r="B252" s="27">
        <v>757.7</v>
      </c>
      <c r="C252" s="27">
        <v>266.39999999999998</v>
      </c>
      <c r="D252" s="27">
        <v>13.8</v>
      </c>
      <c r="E252" s="27">
        <v>19.3</v>
      </c>
      <c r="F252" s="27">
        <v>20</v>
      </c>
      <c r="G252" s="27">
        <v>679.1</v>
      </c>
      <c r="H252" s="27">
        <v>187300</v>
      </c>
      <c r="I252" s="27">
        <v>6102</v>
      </c>
      <c r="J252" s="27">
        <v>4944</v>
      </c>
      <c r="K252" s="27">
        <v>458</v>
      </c>
      <c r="L252" s="27">
        <v>5702</v>
      </c>
      <c r="M252" s="27">
        <v>723</v>
      </c>
      <c r="N252" s="33">
        <v>205</v>
      </c>
      <c r="O252" s="26" t="s">
        <v>329</v>
      </c>
      <c r="P252" s="27">
        <v>161.30000000000001</v>
      </c>
      <c r="Q252" s="27">
        <v>757.7</v>
      </c>
      <c r="R252" s="27">
        <v>266.39999999999998</v>
      </c>
      <c r="S252" s="27">
        <v>13.8</v>
      </c>
      <c r="T252" s="27">
        <v>19.3</v>
      </c>
      <c r="U252" s="27">
        <v>20</v>
      </c>
      <c r="V252" s="27">
        <v>679.1</v>
      </c>
      <c r="W252" s="27">
        <v>6.9</v>
      </c>
      <c r="X252" s="27">
        <v>49.2</v>
      </c>
      <c r="Y252" s="27">
        <v>187300</v>
      </c>
      <c r="Z252" s="27">
        <v>6102</v>
      </c>
      <c r="AA252" s="27">
        <v>30.2</v>
      </c>
      <c r="AB252" s="27">
        <v>5.45</v>
      </c>
      <c r="AC252" s="27">
        <v>4944</v>
      </c>
      <c r="AD252" s="27">
        <v>458</v>
      </c>
      <c r="AE252" s="27">
        <v>5702</v>
      </c>
      <c r="AF252" s="27">
        <v>723</v>
      </c>
      <c r="AG252" s="27">
        <v>0.86</v>
      </c>
      <c r="AH252" s="27">
        <v>40.799999999999997</v>
      </c>
      <c r="AI252" s="27">
        <v>8.32</v>
      </c>
      <c r="AJ252" s="27">
        <v>215</v>
      </c>
      <c r="AK252" s="33">
        <v>205</v>
      </c>
    </row>
    <row r="253" spans="1:37" ht="14.25">
      <c r="A253" s="26" t="s">
        <v>330</v>
      </c>
      <c r="B253" s="27">
        <v>753.1</v>
      </c>
      <c r="C253" s="27">
        <v>265.3</v>
      </c>
      <c r="D253" s="27">
        <v>13.2</v>
      </c>
      <c r="E253" s="27">
        <v>17</v>
      </c>
      <c r="F253" s="27">
        <v>20</v>
      </c>
      <c r="G253" s="27">
        <v>679.1</v>
      </c>
      <c r="H253" s="27">
        <v>167400</v>
      </c>
      <c r="I253" s="27">
        <v>5309</v>
      </c>
      <c r="J253" s="27">
        <v>4447</v>
      </c>
      <c r="K253" s="27">
        <v>400</v>
      </c>
      <c r="L253" s="27">
        <v>5148</v>
      </c>
      <c r="M253" s="27">
        <v>633</v>
      </c>
      <c r="N253" s="33">
        <v>189</v>
      </c>
      <c r="O253" s="26" t="s">
        <v>330</v>
      </c>
      <c r="P253" s="27">
        <v>148</v>
      </c>
      <c r="Q253" s="27">
        <v>753.1</v>
      </c>
      <c r="R253" s="27">
        <v>265.3</v>
      </c>
      <c r="S253" s="27">
        <v>13.2</v>
      </c>
      <c r="T253" s="27">
        <v>17</v>
      </c>
      <c r="U253" s="27">
        <v>20</v>
      </c>
      <c r="V253" s="27">
        <v>679.1</v>
      </c>
      <c r="W253" s="27">
        <v>7.8</v>
      </c>
      <c r="X253" s="27">
        <v>51.4</v>
      </c>
      <c r="Y253" s="27">
        <v>167400</v>
      </c>
      <c r="Z253" s="27">
        <v>5309</v>
      </c>
      <c r="AA253" s="27">
        <v>29.8</v>
      </c>
      <c r="AB253" s="27">
        <v>5.31</v>
      </c>
      <c r="AC253" s="27">
        <v>4447</v>
      </c>
      <c r="AD253" s="27">
        <v>400</v>
      </c>
      <c r="AE253" s="27">
        <v>5148</v>
      </c>
      <c r="AF253" s="27">
        <v>633</v>
      </c>
      <c r="AG253" s="27">
        <v>0.85399999999999998</v>
      </c>
      <c r="AH253" s="27">
        <v>44.8</v>
      </c>
      <c r="AI253" s="27">
        <v>7.19</v>
      </c>
      <c r="AJ253" s="27">
        <v>163</v>
      </c>
      <c r="AK253" s="33">
        <v>189</v>
      </c>
    </row>
    <row r="254" spans="1:37" ht="14.25">
      <c r="A254" s="24" t="s">
        <v>331</v>
      </c>
      <c r="B254" s="25">
        <v>750</v>
      </c>
      <c r="C254" s="25">
        <v>264.2</v>
      </c>
      <c r="D254" s="25">
        <v>11.9</v>
      </c>
      <c r="E254" s="25">
        <v>15.5</v>
      </c>
      <c r="F254" s="25">
        <v>20</v>
      </c>
      <c r="G254" s="25">
        <v>679</v>
      </c>
      <c r="H254" s="25">
        <v>151700</v>
      </c>
      <c r="I254" s="25">
        <v>4778</v>
      </c>
      <c r="J254" s="25">
        <v>4044</v>
      </c>
      <c r="K254" s="25">
        <v>362</v>
      </c>
      <c r="L254" s="25">
        <v>4668</v>
      </c>
      <c r="M254" s="25">
        <v>570</v>
      </c>
      <c r="N254" s="32">
        <v>171</v>
      </c>
      <c r="O254" s="24" t="s">
        <v>331</v>
      </c>
      <c r="P254" s="25">
        <v>134.19999999999999</v>
      </c>
      <c r="Q254" s="25">
        <v>750</v>
      </c>
      <c r="R254" s="25">
        <v>264.2</v>
      </c>
      <c r="S254" s="25">
        <v>11.9</v>
      </c>
      <c r="T254" s="25">
        <v>15.5</v>
      </c>
      <c r="U254" s="25">
        <v>20</v>
      </c>
      <c r="V254" s="25">
        <v>679</v>
      </c>
      <c r="W254" s="25">
        <v>8.52</v>
      </c>
      <c r="X254" s="25">
        <v>57.1</v>
      </c>
      <c r="Y254" s="25">
        <v>151700</v>
      </c>
      <c r="Z254" s="25">
        <v>4778</v>
      </c>
      <c r="AA254" s="25">
        <v>29.8</v>
      </c>
      <c r="AB254" s="25">
        <v>5.29</v>
      </c>
      <c r="AC254" s="25">
        <v>4044</v>
      </c>
      <c r="AD254" s="25">
        <v>362</v>
      </c>
      <c r="AE254" s="25">
        <v>4668</v>
      </c>
      <c r="AF254" s="25">
        <v>570</v>
      </c>
      <c r="AG254" s="25">
        <v>0.85599999999999998</v>
      </c>
      <c r="AH254" s="25">
        <v>48.8</v>
      </c>
      <c r="AI254" s="25">
        <v>6.44</v>
      </c>
      <c r="AJ254" s="25">
        <v>124</v>
      </c>
      <c r="AK254" s="32">
        <v>171</v>
      </c>
    </row>
    <row r="255" spans="1:37">
      <c r="A255" s="26" t="s">
        <v>332</v>
      </c>
      <c r="B255" s="27">
        <v>762</v>
      </c>
      <c r="C255" s="27">
        <v>369</v>
      </c>
      <c r="D255" s="27">
        <v>32</v>
      </c>
      <c r="E255" s="27">
        <v>57.9</v>
      </c>
      <c r="F255" s="27">
        <v>20</v>
      </c>
      <c r="G255" s="27">
        <v>606.20000000000005</v>
      </c>
      <c r="H255" s="27">
        <v>606200</v>
      </c>
      <c r="I255" s="27">
        <v>48680</v>
      </c>
      <c r="J255" s="27">
        <v>15910</v>
      </c>
      <c r="K255" s="27">
        <v>2638</v>
      </c>
      <c r="L255" s="27">
        <v>18490</v>
      </c>
      <c r="M255" s="27">
        <v>4114</v>
      </c>
      <c r="N255" s="33">
        <v>638</v>
      </c>
      <c r="O255" s="26" t="s">
        <v>332</v>
      </c>
      <c r="P255" s="27">
        <v>500.5</v>
      </c>
      <c r="Q255" s="27">
        <v>762</v>
      </c>
      <c r="R255" s="27">
        <v>369</v>
      </c>
      <c r="S255" s="27">
        <v>32</v>
      </c>
      <c r="T255" s="27">
        <v>57.9</v>
      </c>
      <c r="U255" s="27">
        <v>20</v>
      </c>
      <c r="V255" s="27">
        <v>606.20000000000005</v>
      </c>
      <c r="W255" s="27">
        <v>3.19</v>
      </c>
      <c r="X255" s="27">
        <v>18.899999999999999</v>
      </c>
      <c r="Y255" s="27">
        <v>606200</v>
      </c>
      <c r="Z255" s="27">
        <v>48680</v>
      </c>
      <c r="AA255" s="27">
        <v>30.8</v>
      </c>
      <c r="AB255" s="27">
        <v>8.74</v>
      </c>
      <c r="AC255" s="27">
        <v>15910</v>
      </c>
      <c r="AD255" s="27">
        <v>2638</v>
      </c>
      <c r="AE255" s="27">
        <v>18490</v>
      </c>
      <c r="AF255" s="27">
        <v>4114</v>
      </c>
      <c r="AG255" s="27">
        <v>0.88900000000000001</v>
      </c>
      <c r="AH255" s="27">
        <v>13.6</v>
      </c>
      <c r="AI255" s="27">
        <v>60.3</v>
      </c>
      <c r="AJ255" s="27">
        <v>5459</v>
      </c>
      <c r="AK255" s="33">
        <v>638</v>
      </c>
    </row>
    <row r="256" spans="1:37">
      <c r="A256" s="26" t="s">
        <v>333</v>
      </c>
      <c r="B256" s="27">
        <v>752</v>
      </c>
      <c r="C256" s="27">
        <v>367</v>
      </c>
      <c r="D256" s="27">
        <v>29.5</v>
      </c>
      <c r="E256" s="27">
        <v>53.1</v>
      </c>
      <c r="F256" s="27">
        <v>20</v>
      </c>
      <c r="G256" s="27">
        <v>605.79999999999995</v>
      </c>
      <c r="H256" s="27">
        <v>546600</v>
      </c>
      <c r="I256" s="27">
        <v>43900</v>
      </c>
      <c r="J256" s="27">
        <v>14540</v>
      </c>
      <c r="K256" s="27">
        <v>2392</v>
      </c>
      <c r="L256" s="27">
        <v>16810</v>
      </c>
      <c r="M256" s="27">
        <v>3723</v>
      </c>
      <c r="N256" s="33">
        <v>584</v>
      </c>
      <c r="O256" s="26" t="s">
        <v>333</v>
      </c>
      <c r="P256" s="27">
        <v>458.2</v>
      </c>
      <c r="Q256" s="27">
        <v>752</v>
      </c>
      <c r="R256" s="27">
        <v>367</v>
      </c>
      <c r="S256" s="27">
        <v>29.5</v>
      </c>
      <c r="T256" s="27">
        <v>53.1</v>
      </c>
      <c r="U256" s="27">
        <v>20</v>
      </c>
      <c r="V256" s="27">
        <v>605.79999999999995</v>
      </c>
      <c r="W256" s="27">
        <v>3.46</v>
      </c>
      <c r="X256" s="27">
        <v>20.5</v>
      </c>
      <c r="Y256" s="27">
        <v>546600</v>
      </c>
      <c r="Z256" s="27">
        <v>43900</v>
      </c>
      <c r="AA256" s="27">
        <v>30.6</v>
      </c>
      <c r="AB256" s="27">
        <v>8.67</v>
      </c>
      <c r="AC256" s="27">
        <v>14540</v>
      </c>
      <c r="AD256" s="27">
        <v>2392</v>
      </c>
      <c r="AE256" s="27">
        <v>16810</v>
      </c>
      <c r="AF256" s="27">
        <v>3723</v>
      </c>
      <c r="AG256" s="27">
        <v>0.88900000000000001</v>
      </c>
      <c r="AH256" s="27">
        <v>14.7</v>
      </c>
      <c r="AI256" s="27">
        <v>53.6</v>
      </c>
      <c r="AJ256" s="27">
        <v>4229</v>
      </c>
      <c r="AK256" s="33">
        <v>584</v>
      </c>
    </row>
    <row r="257" spans="1:37">
      <c r="A257" s="26" t="s">
        <v>334</v>
      </c>
      <c r="B257" s="27">
        <v>744</v>
      </c>
      <c r="C257" s="27">
        <v>364</v>
      </c>
      <c r="D257" s="27">
        <v>26.9</v>
      </c>
      <c r="E257" s="27">
        <v>49</v>
      </c>
      <c r="F257" s="27">
        <v>20</v>
      </c>
      <c r="G257" s="27">
        <v>606</v>
      </c>
      <c r="H257" s="27">
        <v>495400</v>
      </c>
      <c r="I257" s="27">
        <v>39500</v>
      </c>
      <c r="J257" s="27">
        <v>13320</v>
      </c>
      <c r="K257" s="27">
        <v>2170</v>
      </c>
      <c r="L257" s="27">
        <v>15310</v>
      </c>
      <c r="M257" s="27">
        <v>3369</v>
      </c>
      <c r="N257" s="33">
        <v>534</v>
      </c>
      <c r="O257" s="26" t="s">
        <v>334</v>
      </c>
      <c r="P257" s="27">
        <v>419.1</v>
      </c>
      <c r="Q257" s="27">
        <v>744</v>
      </c>
      <c r="R257" s="27">
        <v>364</v>
      </c>
      <c r="S257" s="27">
        <v>26.9</v>
      </c>
      <c r="T257" s="27">
        <v>49</v>
      </c>
      <c r="U257" s="27">
        <v>20</v>
      </c>
      <c r="V257" s="27">
        <v>606</v>
      </c>
      <c r="W257" s="27">
        <v>3.71</v>
      </c>
      <c r="X257" s="27">
        <v>22.5</v>
      </c>
      <c r="Y257" s="27">
        <v>495400</v>
      </c>
      <c r="Z257" s="27">
        <v>39500</v>
      </c>
      <c r="AA257" s="27">
        <v>30.5</v>
      </c>
      <c r="AB257" s="27">
        <v>8.6</v>
      </c>
      <c r="AC257" s="27">
        <v>13320</v>
      </c>
      <c r="AD257" s="27">
        <v>2170</v>
      </c>
      <c r="AE257" s="27">
        <v>15310</v>
      </c>
      <c r="AF257" s="27">
        <v>3369</v>
      </c>
      <c r="AG257" s="27">
        <v>0.89</v>
      </c>
      <c r="AH257" s="27">
        <v>15.8</v>
      </c>
      <c r="AI257" s="27">
        <v>47.7</v>
      </c>
      <c r="AJ257" s="27">
        <v>3300</v>
      </c>
      <c r="AK257" s="33">
        <v>534</v>
      </c>
    </row>
    <row r="258" spans="1:37">
      <c r="A258" s="26" t="s">
        <v>335</v>
      </c>
      <c r="B258" s="27">
        <v>736</v>
      </c>
      <c r="C258" s="27">
        <v>362</v>
      </c>
      <c r="D258" s="27">
        <v>24.9</v>
      </c>
      <c r="E258" s="27">
        <v>45</v>
      </c>
      <c r="F258" s="27">
        <v>20</v>
      </c>
      <c r="G258" s="27">
        <v>606</v>
      </c>
      <c r="H258" s="27">
        <v>448900</v>
      </c>
      <c r="I258" s="27">
        <v>35670</v>
      </c>
      <c r="J258" s="27">
        <v>12200</v>
      </c>
      <c r="K258" s="27">
        <v>1971</v>
      </c>
      <c r="L258" s="27">
        <v>13960</v>
      </c>
      <c r="M258" s="27">
        <v>3054</v>
      </c>
      <c r="N258" s="33">
        <v>490</v>
      </c>
      <c r="O258" s="26" t="s">
        <v>335</v>
      </c>
      <c r="P258" s="27">
        <v>384.7</v>
      </c>
      <c r="Q258" s="27">
        <v>736</v>
      </c>
      <c r="R258" s="27">
        <v>362</v>
      </c>
      <c r="S258" s="27">
        <v>24.9</v>
      </c>
      <c r="T258" s="27">
        <v>45</v>
      </c>
      <c r="U258" s="27">
        <v>20</v>
      </c>
      <c r="V258" s="27">
        <v>606</v>
      </c>
      <c r="W258" s="27">
        <v>4.0199999999999996</v>
      </c>
      <c r="X258" s="27">
        <v>24.3</v>
      </c>
      <c r="Y258" s="27">
        <v>448900</v>
      </c>
      <c r="Z258" s="27">
        <v>35670</v>
      </c>
      <c r="AA258" s="27">
        <v>30.3</v>
      </c>
      <c r="AB258" s="27">
        <v>8.5299999999999994</v>
      </c>
      <c r="AC258" s="27">
        <v>12200</v>
      </c>
      <c r="AD258" s="27">
        <v>1971</v>
      </c>
      <c r="AE258" s="27">
        <v>13960</v>
      </c>
      <c r="AF258" s="27">
        <v>3054</v>
      </c>
      <c r="AG258" s="27">
        <v>0.89</v>
      </c>
      <c r="AH258" s="27">
        <v>17.100000000000001</v>
      </c>
      <c r="AI258" s="27">
        <v>42.6</v>
      </c>
      <c r="AJ258" s="27">
        <v>2569</v>
      </c>
      <c r="AK258" s="33">
        <v>490</v>
      </c>
    </row>
    <row r="259" spans="1:37">
      <c r="A259" s="26" t="s">
        <v>336</v>
      </c>
      <c r="B259" s="27">
        <v>728</v>
      </c>
      <c r="C259" s="27">
        <v>360</v>
      </c>
      <c r="D259" s="27">
        <v>23.1</v>
      </c>
      <c r="E259" s="27">
        <v>40.9</v>
      </c>
      <c r="F259" s="27">
        <v>20</v>
      </c>
      <c r="G259" s="27">
        <v>606.20000000000005</v>
      </c>
      <c r="H259" s="27">
        <v>403400</v>
      </c>
      <c r="I259" s="27">
        <v>31880</v>
      </c>
      <c r="J259" s="27">
        <v>11080</v>
      </c>
      <c r="K259" s="27">
        <v>1771</v>
      </c>
      <c r="L259" s="27">
        <v>12640</v>
      </c>
      <c r="M259" s="27">
        <v>2742</v>
      </c>
      <c r="N259" s="33">
        <v>447</v>
      </c>
      <c r="O259" s="26" t="s">
        <v>336</v>
      </c>
      <c r="P259" s="27">
        <v>351</v>
      </c>
      <c r="Q259" s="27">
        <v>728</v>
      </c>
      <c r="R259" s="27">
        <v>360</v>
      </c>
      <c r="S259" s="27">
        <v>23.1</v>
      </c>
      <c r="T259" s="27">
        <v>40.9</v>
      </c>
      <c r="U259" s="27">
        <v>20</v>
      </c>
      <c r="V259" s="27">
        <v>606.20000000000005</v>
      </c>
      <c r="W259" s="27">
        <v>4.4000000000000004</v>
      </c>
      <c r="X259" s="27">
        <v>26.2</v>
      </c>
      <c r="Y259" s="27">
        <v>403400</v>
      </c>
      <c r="Z259" s="27">
        <v>31880</v>
      </c>
      <c r="AA259" s="27">
        <v>30</v>
      </c>
      <c r="AB259" s="27">
        <v>8.44</v>
      </c>
      <c r="AC259" s="27">
        <v>11080</v>
      </c>
      <c r="AD259" s="27">
        <v>1771</v>
      </c>
      <c r="AE259" s="27">
        <v>12640</v>
      </c>
      <c r="AF259" s="27">
        <v>2742</v>
      </c>
      <c r="AG259" s="27">
        <v>0.88900000000000001</v>
      </c>
      <c r="AH259" s="27">
        <v>18.600000000000001</v>
      </c>
      <c r="AI259" s="27">
        <v>37.6</v>
      </c>
      <c r="AJ259" s="27">
        <v>1953</v>
      </c>
      <c r="AK259" s="33">
        <v>447</v>
      </c>
    </row>
    <row r="260" spans="1:37">
      <c r="A260" s="26" t="s">
        <v>337</v>
      </c>
      <c r="B260" s="27">
        <v>722</v>
      </c>
      <c r="C260" s="27">
        <v>359</v>
      </c>
      <c r="D260" s="27">
        <v>21.1</v>
      </c>
      <c r="E260" s="27">
        <v>38.1</v>
      </c>
      <c r="F260" s="27">
        <v>20</v>
      </c>
      <c r="G260" s="27">
        <v>605.79999999999995</v>
      </c>
      <c r="H260" s="27">
        <v>371000</v>
      </c>
      <c r="I260" s="27">
        <v>29440</v>
      </c>
      <c r="J260" s="27">
        <v>10280</v>
      </c>
      <c r="K260" s="27">
        <v>1640</v>
      </c>
      <c r="L260" s="27">
        <v>11660</v>
      </c>
      <c r="M260" s="27">
        <v>2532</v>
      </c>
      <c r="N260" s="33">
        <v>413</v>
      </c>
      <c r="O260" s="26" t="s">
        <v>337</v>
      </c>
      <c r="P260" s="27">
        <v>324.39999999999998</v>
      </c>
      <c r="Q260" s="27">
        <v>722</v>
      </c>
      <c r="R260" s="27">
        <v>359</v>
      </c>
      <c r="S260" s="27">
        <v>21.1</v>
      </c>
      <c r="T260" s="27">
        <v>38.1</v>
      </c>
      <c r="U260" s="27">
        <v>20</v>
      </c>
      <c r="V260" s="27">
        <v>605.79999999999995</v>
      </c>
      <c r="W260" s="27">
        <v>4.71</v>
      </c>
      <c r="X260" s="27">
        <v>28.7</v>
      </c>
      <c r="Y260" s="27">
        <v>371000</v>
      </c>
      <c r="Z260" s="27">
        <v>29440</v>
      </c>
      <c r="AA260" s="27">
        <v>30</v>
      </c>
      <c r="AB260" s="27">
        <v>8.44</v>
      </c>
      <c r="AC260" s="27">
        <v>10280</v>
      </c>
      <c r="AD260" s="27">
        <v>1640</v>
      </c>
      <c r="AE260" s="27">
        <v>11660</v>
      </c>
      <c r="AF260" s="27">
        <v>2532</v>
      </c>
      <c r="AG260" s="27">
        <v>0.89</v>
      </c>
      <c r="AH260" s="27">
        <v>19.899999999999999</v>
      </c>
      <c r="AI260" s="27">
        <v>34.4</v>
      </c>
      <c r="AJ260" s="27">
        <v>1568</v>
      </c>
      <c r="AK260" s="33">
        <v>413</v>
      </c>
    </row>
    <row r="261" spans="1:37">
      <c r="A261" s="26" t="s">
        <v>338</v>
      </c>
      <c r="B261" s="27">
        <v>714</v>
      </c>
      <c r="C261" s="27">
        <v>356</v>
      </c>
      <c r="D261" s="27">
        <v>19</v>
      </c>
      <c r="E261" s="27">
        <v>34</v>
      </c>
      <c r="F261" s="27">
        <v>20</v>
      </c>
      <c r="G261" s="27">
        <v>606</v>
      </c>
      <c r="H261" s="27">
        <v>326200</v>
      </c>
      <c r="I261" s="27">
        <v>25610</v>
      </c>
      <c r="J261" s="27">
        <v>9139</v>
      </c>
      <c r="K261" s="27">
        <v>1439</v>
      </c>
      <c r="L261" s="27">
        <v>10320</v>
      </c>
      <c r="M261" s="27">
        <v>2218</v>
      </c>
      <c r="N261" s="33">
        <v>368</v>
      </c>
      <c r="O261" s="26" t="s">
        <v>338</v>
      </c>
      <c r="P261" s="27">
        <v>289.10000000000002</v>
      </c>
      <c r="Q261" s="27">
        <v>714</v>
      </c>
      <c r="R261" s="27">
        <v>356</v>
      </c>
      <c r="S261" s="27">
        <v>19</v>
      </c>
      <c r="T261" s="27">
        <v>34</v>
      </c>
      <c r="U261" s="27">
        <v>20</v>
      </c>
      <c r="V261" s="27">
        <v>606</v>
      </c>
      <c r="W261" s="27">
        <v>5.24</v>
      </c>
      <c r="X261" s="27">
        <v>31.9</v>
      </c>
      <c r="Y261" s="27">
        <v>326200</v>
      </c>
      <c r="Z261" s="27">
        <v>25610</v>
      </c>
      <c r="AA261" s="27">
        <v>29.8</v>
      </c>
      <c r="AB261" s="27">
        <v>8.34</v>
      </c>
      <c r="AC261" s="27">
        <v>9139</v>
      </c>
      <c r="AD261" s="27">
        <v>1439</v>
      </c>
      <c r="AE261" s="27">
        <v>10320</v>
      </c>
      <c r="AF261" s="27">
        <v>2218</v>
      </c>
      <c r="AG261" s="27">
        <v>0.89</v>
      </c>
      <c r="AH261" s="27">
        <v>22.1</v>
      </c>
      <c r="AI261" s="27">
        <v>29.6</v>
      </c>
      <c r="AJ261" s="27">
        <v>1121</v>
      </c>
      <c r="AK261" s="33">
        <v>368</v>
      </c>
    </row>
    <row r="262" spans="1:37">
      <c r="A262" s="26" t="s">
        <v>339</v>
      </c>
      <c r="B262" s="27">
        <v>706.4</v>
      </c>
      <c r="C262" s="27">
        <v>357.8</v>
      </c>
      <c r="D262" s="27">
        <v>18.399999999999999</v>
      </c>
      <c r="E262" s="27">
        <v>30.2</v>
      </c>
      <c r="F262" s="27">
        <v>20</v>
      </c>
      <c r="G262" s="27">
        <v>606</v>
      </c>
      <c r="H262" s="27">
        <v>292000</v>
      </c>
      <c r="I262" s="27">
        <v>23100</v>
      </c>
      <c r="J262" s="27">
        <v>8268</v>
      </c>
      <c r="K262" s="27">
        <v>1291</v>
      </c>
      <c r="L262" s="27">
        <v>9336</v>
      </c>
      <c r="M262" s="27">
        <v>1992</v>
      </c>
      <c r="N262" s="33">
        <v>338</v>
      </c>
      <c r="O262" s="26" t="s">
        <v>339</v>
      </c>
      <c r="P262" s="27">
        <v>265.7</v>
      </c>
      <c r="Q262" s="27">
        <v>706.4</v>
      </c>
      <c r="R262" s="27">
        <v>357.8</v>
      </c>
      <c r="S262" s="27">
        <v>18.399999999999999</v>
      </c>
      <c r="T262" s="27">
        <v>30.2</v>
      </c>
      <c r="U262" s="27">
        <v>20</v>
      </c>
      <c r="V262" s="27">
        <v>606</v>
      </c>
      <c r="W262" s="27">
        <v>5.92</v>
      </c>
      <c r="X262" s="27">
        <v>32.9</v>
      </c>
      <c r="Y262" s="27">
        <v>292000</v>
      </c>
      <c r="Z262" s="27">
        <v>23100</v>
      </c>
      <c r="AA262" s="27">
        <v>29.4</v>
      </c>
      <c r="AB262" s="27">
        <v>8.26</v>
      </c>
      <c r="AC262" s="27">
        <v>8268</v>
      </c>
      <c r="AD262" s="27">
        <v>1291</v>
      </c>
      <c r="AE262" s="27">
        <v>9336</v>
      </c>
      <c r="AF262" s="27">
        <v>1992</v>
      </c>
      <c r="AG262" s="27">
        <v>0.88500000000000001</v>
      </c>
      <c r="AH262" s="27">
        <v>24.4</v>
      </c>
      <c r="AI262" s="27">
        <v>26.4</v>
      </c>
      <c r="AJ262" s="27">
        <v>834</v>
      </c>
      <c r="AK262" s="33">
        <v>338</v>
      </c>
    </row>
    <row r="263" spans="1:37">
      <c r="A263" s="26" t="s">
        <v>340</v>
      </c>
      <c r="B263" s="27">
        <v>700.8</v>
      </c>
      <c r="C263" s="27">
        <v>356.1</v>
      </c>
      <c r="D263" s="27">
        <v>16.8</v>
      </c>
      <c r="E263" s="27">
        <v>27.4</v>
      </c>
      <c r="F263" s="27">
        <v>20</v>
      </c>
      <c r="G263" s="27">
        <v>606</v>
      </c>
      <c r="H263" s="27">
        <v>262600</v>
      </c>
      <c r="I263" s="27">
        <v>20650</v>
      </c>
      <c r="J263" s="27">
        <v>7494</v>
      </c>
      <c r="K263" s="27">
        <v>1160</v>
      </c>
      <c r="L263" s="27">
        <v>8433</v>
      </c>
      <c r="M263" s="27">
        <v>1787</v>
      </c>
      <c r="N263" s="33">
        <v>307</v>
      </c>
      <c r="O263" s="26" t="s">
        <v>340</v>
      </c>
      <c r="P263" s="27">
        <v>241.1</v>
      </c>
      <c r="Q263" s="27">
        <v>700.8</v>
      </c>
      <c r="R263" s="27">
        <v>356.1</v>
      </c>
      <c r="S263" s="27">
        <v>16.8</v>
      </c>
      <c r="T263" s="27">
        <v>27.4</v>
      </c>
      <c r="U263" s="27">
        <v>20</v>
      </c>
      <c r="V263" s="27">
        <v>606</v>
      </c>
      <c r="W263" s="27">
        <v>6.5</v>
      </c>
      <c r="X263" s="27">
        <v>36.1</v>
      </c>
      <c r="Y263" s="27">
        <v>262600</v>
      </c>
      <c r="Z263" s="27">
        <v>20650</v>
      </c>
      <c r="AA263" s="27">
        <v>29.2</v>
      </c>
      <c r="AB263" s="27">
        <v>8.1999999999999993</v>
      </c>
      <c r="AC263" s="27">
        <v>7494</v>
      </c>
      <c r="AD263" s="27">
        <v>1160</v>
      </c>
      <c r="AE263" s="27">
        <v>8433</v>
      </c>
      <c r="AF263" s="27">
        <v>1787</v>
      </c>
      <c r="AG263" s="27">
        <v>0.88500000000000001</v>
      </c>
      <c r="AH263" s="27">
        <v>26.7</v>
      </c>
      <c r="AI263" s="27">
        <v>23.4</v>
      </c>
      <c r="AJ263" s="27">
        <v>627</v>
      </c>
      <c r="AK263" s="33">
        <v>307</v>
      </c>
    </row>
    <row r="264" spans="1:37">
      <c r="A264" s="26" t="s">
        <v>341</v>
      </c>
      <c r="B264" s="27">
        <v>695.4</v>
      </c>
      <c r="C264" s="27">
        <v>354.7</v>
      </c>
      <c r="D264" s="27">
        <v>15.4</v>
      </c>
      <c r="E264" s="27">
        <v>24.8</v>
      </c>
      <c r="F264" s="27">
        <v>20</v>
      </c>
      <c r="G264" s="27">
        <v>605.79999999999995</v>
      </c>
      <c r="H264" s="27">
        <v>235900</v>
      </c>
      <c r="I264" s="27">
        <v>18470</v>
      </c>
      <c r="J264" s="27">
        <v>6785</v>
      </c>
      <c r="K264" s="27">
        <v>1041</v>
      </c>
      <c r="L264" s="27">
        <v>7614</v>
      </c>
      <c r="M264" s="27">
        <v>1603</v>
      </c>
      <c r="N264" s="33">
        <v>279</v>
      </c>
      <c r="O264" s="26" t="s">
        <v>341</v>
      </c>
      <c r="P264" s="27">
        <v>218.9</v>
      </c>
      <c r="Q264" s="27">
        <v>695.4</v>
      </c>
      <c r="R264" s="27">
        <v>354.7</v>
      </c>
      <c r="S264" s="27">
        <v>15.4</v>
      </c>
      <c r="T264" s="27">
        <v>24.8</v>
      </c>
      <c r="U264" s="27">
        <v>20</v>
      </c>
      <c r="V264" s="27">
        <v>605.79999999999995</v>
      </c>
      <c r="W264" s="27">
        <v>7.15</v>
      </c>
      <c r="X264" s="27">
        <v>39.299999999999997</v>
      </c>
      <c r="Y264" s="27">
        <v>235900</v>
      </c>
      <c r="Z264" s="27">
        <v>18470</v>
      </c>
      <c r="AA264" s="27">
        <v>29.1</v>
      </c>
      <c r="AB264" s="27">
        <v>8.14</v>
      </c>
      <c r="AC264" s="27">
        <v>6785</v>
      </c>
      <c r="AD264" s="27">
        <v>1041</v>
      </c>
      <c r="AE264" s="27">
        <v>7614</v>
      </c>
      <c r="AF264" s="27">
        <v>1603</v>
      </c>
      <c r="AG264" s="27">
        <v>0.88400000000000001</v>
      </c>
      <c r="AH264" s="27">
        <v>29.2</v>
      </c>
      <c r="AI264" s="27">
        <v>20.8</v>
      </c>
      <c r="AJ264" s="27">
        <v>471</v>
      </c>
      <c r="AK264" s="33">
        <v>279</v>
      </c>
    </row>
    <row r="265" spans="1:37">
      <c r="A265" s="26" t="s">
        <v>342</v>
      </c>
      <c r="B265" s="27">
        <v>771.9</v>
      </c>
      <c r="C265" s="27">
        <v>273.8</v>
      </c>
      <c r="D265" s="27">
        <v>35.1</v>
      </c>
      <c r="E265" s="27">
        <v>63</v>
      </c>
      <c r="F265" s="27">
        <v>20</v>
      </c>
      <c r="G265" s="27">
        <v>605.9</v>
      </c>
      <c r="H265" s="27">
        <v>516900</v>
      </c>
      <c r="I265" s="27">
        <v>21800</v>
      </c>
      <c r="J265" s="27">
        <v>13390</v>
      </c>
      <c r="K265" s="27">
        <v>1593</v>
      </c>
      <c r="L265" s="27">
        <v>16000</v>
      </c>
      <c r="M265" s="27">
        <v>2568</v>
      </c>
      <c r="N265" s="33">
        <v>575</v>
      </c>
      <c r="O265" s="26" t="s">
        <v>342</v>
      </c>
      <c r="P265" s="27">
        <v>451.5</v>
      </c>
      <c r="Q265" s="27">
        <v>771.9</v>
      </c>
      <c r="R265" s="27">
        <v>273.8</v>
      </c>
      <c r="S265" s="27">
        <v>35.1</v>
      </c>
      <c r="T265" s="27">
        <v>63</v>
      </c>
      <c r="U265" s="27">
        <v>20</v>
      </c>
      <c r="V265" s="27">
        <v>605.9</v>
      </c>
      <c r="W265" s="27">
        <v>2.17</v>
      </c>
      <c r="X265" s="27">
        <v>17.3</v>
      </c>
      <c r="Y265" s="27">
        <v>516900</v>
      </c>
      <c r="Z265" s="27">
        <v>21800</v>
      </c>
      <c r="AA265" s="27">
        <v>30</v>
      </c>
      <c r="AB265" s="27">
        <v>6.16</v>
      </c>
      <c r="AC265" s="27">
        <v>13390</v>
      </c>
      <c r="AD265" s="27">
        <v>1593</v>
      </c>
      <c r="AE265" s="27">
        <v>16000</v>
      </c>
      <c r="AF265" s="27">
        <v>2568</v>
      </c>
      <c r="AG265" s="27">
        <v>0.876</v>
      </c>
      <c r="AH265" s="27">
        <v>13.1</v>
      </c>
      <c r="AI265" s="27">
        <v>27.4</v>
      </c>
      <c r="AJ265" s="27">
        <v>5429</v>
      </c>
      <c r="AK265" s="33">
        <v>575</v>
      </c>
    </row>
    <row r="266" spans="1:37">
      <c r="A266" s="26" t="s">
        <v>343</v>
      </c>
      <c r="B266" s="27">
        <v>760</v>
      </c>
      <c r="C266" s="27">
        <v>270.3</v>
      </c>
      <c r="D266" s="27">
        <v>31.5</v>
      </c>
      <c r="E266" s="27">
        <v>56.9</v>
      </c>
      <c r="F266" s="27">
        <v>20</v>
      </c>
      <c r="G266" s="27">
        <v>606.20000000000005</v>
      </c>
      <c r="H266" s="27">
        <v>455300</v>
      </c>
      <c r="I266" s="27">
        <v>18910</v>
      </c>
      <c r="J266" s="27">
        <v>11980</v>
      </c>
      <c r="K266" s="27">
        <v>1399</v>
      </c>
      <c r="L266" s="27">
        <v>14210</v>
      </c>
      <c r="M266" s="27">
        <v>2246</v>
      </c>
      <c r="N266" s="33">
        <v>515</v>
      </c>
      <c r="O266" s="26" t="s">
        <v>343</v>
      </c>
      <c r="P266" s="27">
        <v>404</v>
      </c>
      <c r="Q266" s="27">
        <v>760</v>
      </c>
      <c r="R266" s="27">
        <v>270.3</v>
      </c>
      <c r="S266" s="27">
        <v>31.5</v>
      </c>
      <c r="T266" s="27">
        <v>56.9</v>
      </c>
      <c r="U266" s="27">
        <v>20</v>
      </c>
      <c r="V266" s="27">
        <v>606.20000000000005</v>
      </c>
      <c r="W266" s="27">
        <v>2.38</v>
      </c>
      <c r="X266" s="27">
        <v>19.2</v>
      </c>
      <c r="Y266" s="27">
        <v>455300</v>
      </c>
      <c r="Z266" s="27">
        <v>18910</v>
      </c>
      <c r="AA266" s="27">
        <v>29.7</v>
      </c>
      <c r="AB266" s="27">
        <v>6.06</v>
      </c>
      <c r="AC266" s="27">
        <v>11980</v>
      </c>
      <c r="AD266" s="27">
        <v>1399</v>
      </c>
      <c r="AE266" s="27">
        <v>14210</v>
      </c>
      <c r="AF266" s="27">
        <v>2246</v>
      </c>
      <c r="AG266" s="27">
        <v>0.877</v>
      </c>
      <c r="AH266" s="27">
        <v>14.3</v>
      </c>
      <c r="AI266" s="27">
        <v>23.4</v>
      </c>
      <c r="AJ266" s="27">
        <v>3980</v>
      </c>
      <c r="AK266" s="33">
        <v>515</v>
      </c>
    </row>
    <row r="267" spans="1:37">
      <c r="A267" s="26" t="s">
        <v>344</v>
      </c>
      <c r="B267" s="27">
        <v>749.8</v>
      </c>
      <c r="C267" s="27">
        <v>267.7</v>
      </c>
      <c r="D267" s="27">
        <v>28.9</v>
      </c>
      <c r="E267" s="27">
        <v>52.1</v>
      </c>
      <c r="F267" s="27">
        <v>20</v>
      </c>
      <c r="G267" s="27">
        <v>605.6</v>
      </c>
      <c r="H267" s="27">
        <v>408400</v>
      </c>
      <c r="I267" s="27">
        <v>16800</v>
      </c>
      <c r="J267" s="27">
        <v>10890</v>
      </c>
      <c r="K267" s="27">
        <v>1255</v>
      </c>
      <c r="L267" s="27">
        <v>12850</v>
      </c>
      <c r="M267" s="27">
        <v>2008</v>
      </c>
      <c r="N267" s="33">
        <v>469</v>
      </c>
      <c r="O267" s="26" t="s">
        <v>344</v>
      </c>
      <c r="P267" s="27">
        <v>368.1</v>
      </c>
      <c r="Q267" s="27">
        <v>749.8</v>
      </c>
      <c r="R267" s="27">
        <v>267.7</v>
      </c>
      <c r="S267" s="27">
        <v>28.9</v>
      </c>
      <c r="T267" s="27">
        <v>52.1</v>
      </c>
      <c r="U267" s="27">
        <v>20</v>
      </c>
      <c r="V267" s="27">
        <v>605.6</v>
      </c>
      <c r="W267" s="27">
        <v>2.57</v>
      </c>
      <c r="X267" s="27">
        <v>21</v>
      </c>
      <c r="Y267" s="27">
        <v>408400</v>
      </c>
      <c r="Z267" s="27">
        <v>16800</v>
      </c>
      <c r="AA267" s="27">
        <v>29.5</v>
      </c>
      <c r="AB267" s="27">
        <v>5.99</v>
      </c>
      <c r="AC267" s="27">
        <v>10890</v>
      </c>
      <c r="AD267" s="27">
        <v>1255</v>
      </c>
      <c r="AE267" s="27">
        <v>12850</v>
      </c>
      <c r="AF267" s="27">
        <v>2008</v>
      </c>
      <c r="AG267" s="27">
        <v>0.877</v>
      </c>
      <c r="AH267" s="27">
        <v>15.5</v>
      </c>
      <c r="AI267" s="27">
        <v>20.399999999999999</v>
      </c>
      <c r="AJ267" s="27">
        <v>3060</v>
      </c>
      <c r="AK267" s="33">
        <v>469</v>
      </c>
    </row>
    <row r="268" spans="1:37">
      <c r="A268" s="26" t="s">
        <v>345</v>
      </c>
      <c r="B268" s="27">
        <v>739.9</v>
      </c>
      <c r="C268" s="27">
        <v>264.8</v>
      </c>
      <c r="D268" s="27">
        <v>25.9</v>
      </c>
      <c r="E268" s="27">
        <v>47</v>
      </c>
      <c r="F268" s="27">
        <v>20</v>
      </c>
      <c r="G268" s="27">
        <v>605.9</v>
      </c>
      <c r="H268" s="27">
        <v>360900</v>
      </c>
      <c r="I268" s="27">
        <v>14650</v>
      </c>
      <c r="J268" s="27">
        <v>9754</v>
      </c>
      <c r="K268" s="27">
        <v>1106</v>
      </c>
      <c r="L268" s="27">
        <v>11430</v>
      </c>
      <c r="M268" s="27">
        <v>1762</v>
      </c>
      <c r="N268" s="33">
        <v>420</v>
      </c>
      <c r="O268" s="26" t="s">
        <v>345</v>
      </c>
      <c r="P268" s="27">
        <v>329.4</v>
      </c>
      <c r="Q268" s="27">
        <v>739.9</v>
      </c>
      <c r="R268" s="27">
        <v>264.8</v>
      </c>
      <c r="S268" s="27">
        <v>25.9</v>
      </c>
      <c r="T268" s="27">
        <v>47</v>
      </c>
      <c r="U268" s="27">
        <v>20</v>
      </c>
      <c r="V268" s="27">
        <v>605.9</v>
      </c>
      <c r="W268" s="27">
        <v>2.82</v>
      </c>
      <c r="X268" s="27">
        <v>23.4</v>
      </c>
      <c r="Y268" s="27">
        <v>360900</v>
      </c>
      <c r="Z268" s="27">
        <v>14650</v>
      </c>
      <c r="AA268" s="27">
        <v>29.3</v>
      </c>
      <c r="AB268" s="27">
        <v>5.91</v>
      </c>
      <c r="AC268" s="27">
        <v>9754</v>
      </c>
      <c r="AD268" s="27">
        <v>1106</v>
      </c>
      <c r="AE268" s="27">
        <v>11430</v>
      </c>
      <c r="AF268" s="27">
        <v>1762</v>
      </c>
      <c r="AG268" s="27">
        <v>0.878</v>
      </c>
      <c r="AH268" s="27">
        <v>17</v>
      </c>
      <c r="AI268" s="27">
        <v>17.600000000000001</v>
      </c>
      <c r="AJ268" s="27">
        <v>2239</v>
      </c>
      <c r="AK268" s="33">
        <v>420</v>
      </c>
    </row>
    <row r="269" spans="1:37">
      <c r="A269" s="26" t="s">
        <v>346</v>
      </c>
      <c r="B269" s="27">
        <v>732</v>
      </c>
      <c r="C269" s="27">
        <v>262.8</v>
      </c>
      <c r="D269" s="27">
        <v>23.9</v>
      </c>
      <c r="E269" s="27">
        <v>42.9</v>
      </c>
      <c r="F269" s="27">
        <v>20</v>
      </c>
      <c r="G269" s="27">
        <v>606.20000000000005</v>
      </c>
      <c r="H269" s="27">
        <v>325300</v>
      </c>
      <c r="I269" s="27">
        <v>13060</v>
      </c>
      <c r="J269" s="27">
        <v>8887</v>
      </c>
      <c r="K269" s="27">
        <v>994</v>
      </c>
      <c r="L269" s="27">
        <v>10370</v>
      </c>
      <c r="M269" s="27">
        <v>1579</v>
      </c>
      <c r="N269" s="33">
        <v>383</v>
      </c>
      <c r="O269" s="26" t="s">
        <v>346</v>
      </c>
      <c r="P269" s="27">
        <v>300.89999999999998</v>
      </c>
      <c r="Q269" s="27">
        <v>732</v>
      </c>
      <c r="R269" s="27">
        <v>262.8</v>
      </c>
      <c r="S269" s="27">
        <v>23.9</v>
      </c>
      <c r="T269" s="27">
        <v>42.9</v>
      </c>
      <c r="U269" s="27">
        <v>20</v>
      </c>
      <c r="V269" s="27">
        <v>606.20000000000005</v>
      </c>
      <c r="W269" s="27">
        <v>3.06</v>
      </c>
      <c r="X269" s="27">
        <v>25.4</v>
      </c>
      <c r="Y269" s="27">
        <v>325300</v>
      </c>
      <c r="Z269" s="27">
        <v>13060</v>
      </c>
      <c r="AA269" s="27">
        <v>29.1</v>
      </c>
      <c r="AB269" s="27">
        <v>5.84</v>
      </c>
      <c r="AC269" s="27">
        <v>8887</v>
      </c>
      <c r="AD269" s="27">
        <v>994</v>
      </c>
      <c r="AE269" s="27">
        <v>10370</v>
      </c>
      <c r="AF269" s="27">
        <v>1579</v>
      </c>
      <c r="AG269" s="27">
        <v>0.877</v>
      </c>
      <c r="AH269" s="27">
        <v>18.399999999999999</v>
      </c>
      <c r="AI269" s="27">
        <v>15.5</v>
      </c>
      <c r="AJ269" s="27">
        <v>1719</v>
      </c>
      <c r="AK269" s="33">
        <v>383</v>
      </c>
    </row>
    <row r="270" spans="1:37">
      <c r="A270" s="26" t="s">
        <v>347</v>
      </c>
      <c r="B270" s="27">
        <v>723.9</v>
      </c>
      <c r="C270" s="27">
        <v>260.2</v>
      </c>
      <c r="D270" s="27">
        <v>21.6</v>
      </c>
      <c r="E270" s="27">
        <v>39.1</v>
      </c>
      <c r="F270" s="27">
        <v>20</v>
      </c>
      <c r="G270" s="27">
        <v>605.70000000000005</v>
      </c>
      <c r="H270" s="27">
        <v>290700</v>
      </c>
      <c r="I270" s="27">
        <v>11540</v>
      </c>
      <c r="J270" s="27">
        <v>8033</v>
      </c>
      <c r="K270" s="27">
        <v>887</v>
      </c>
      <c r="L270" s="27">
        <v>9328</v>
      </c>
      <c r="M270" s="27">
        <v>1404</v>
      </c>
      <c r="N270" s="33">
        <v>346</v>
      </c>
      <c r="O270" s="26" t="s">
        <v>347</v>
      </c>
      <c r="P270" s="27">
        <v>271.89999999999998</v>
      </c>
      <c r="Q270" s="27">
        <v>723.9</v>
      </c>
      <c r="R270" s="27">
        <v>260.2</v>
      </c>
      <c r="S270" s="27">
        <v>21.6</v>
      </c>
      <c r="T270" s="27">
        <v>39.1</v>
      </c>
      <c r="U270" s="27">
        <v>20</v>
      </c>
      <c r="V270" s="27">
        <v>605.70000000000005</v>
      </c>
      <c r="W270" s="27">
        <v>3.33</v>
      </c>
      <c r="X270" s="27">
        <v>28</v>
      </c>
      <c r="Y270" s="27">
        <v>290700</v>
      </c>
      <c r="Z270" s="27">
        <v>11540</v>
      </c>
      <c r="AA270" s="27">
        <v>29</v>
      </c>
      <c r="AB270" s="27">
        <v>5.77</v>
      </c>
      <c r="AC270" s="27">
        <v>8033</v>
      </c>
      <c r="AD270" s="27">
        <v>887</v>
      </c>
      <c r="AE270" s="27">
        <v>9328</v>
      </c>
      <c r="AF270" s="27">
        <v>1404</v>
      </c>
      <c r="AG270" s="27">
        <v>0.878</v>
      </c>
      <c r="AH270" s="27">
        <v>20</v>
      </c>
      <c r="AI270" s="27">
        <v>13.5</v>
      </c>
      <c r="AJ270" s="27">
        <v>1295</v>
      </c>
      <c r="AK270" s="33">
        <v>346</v>
      </c>
    </row>
    <row r="271" spans="1:37">
      <c r="A271" s="26" t="s">
        <v>348</v>
      </c>
      <c r="B271" s="27">
        <v>714</v>
      </c>
      <c r="C271" s="27">
        <v>257.8</v>
      </c>
      <c r="D271" s="27">
        <v>19.100000000000001</v>
      </c>
      <c r="E271" s="27">
        <v>34</v>
      </c>
      <c r="F271" s="27">
        <v>20</v>
      </c>
      <c r="G271" s="27">
        <v>606</v>
      </c>
      <c r="H271" s="27">
        <v>249200</v>
      </c>
      <c r="I271" s="27">
        <v>9754</v>
      </c>
      <c r="J271" s="27">
        <v>6981</v>
      </c>
      <c r="K271" s="27">
        <v>757</v>
      </c>
      <c r="L271" s="27">
        <v>8062</v>
      </c>
      <c r="M271" s="27">
        <v>1194</v>
      </c>
      <c r="N271" s="33">
        <v>302</v>
      </c>
      <c r="O271" s="26" t="s">
        <v>348</v>
      </c>
      <c r="P271" s="27">
        <v>237.2</v>
      </c>
      <c r="Q271" s="27">
        <v>714</v>
      </c>
      <c r="R271" s="27">
        <v>257.8</v>
      </c>
      <c r="S271" s="27">
        <v>19.100000000000001</v>
      </c>
      <c r="T271" s="27">
        <v>34</v>
      </c>
      <c r="U271" s="27">
        <v>20</v>
      </c>
      <c r="V271" s="27">
        <v>606</v>
      </c>
      <c r="W271" s="27">
        <v>3.79</v>
      </c>
      <c r="X271" s="27">
        <v>31.7</v>
      </c>
      <c r="Y271" s="27">
        <v>249200</v>
      </c>
      <c r="Z271" s="27">
        <v>9754</v>
      </c>
      <c r="AA271" s="27">
        <v>28.7</v>
      </c>
      <c r="AB271" s="27">
        <v>5.68</v>
      </c>
      <c r="AC271" s="27">
        <v>6981</v>
      </c>
      <c r="AD271" s="27">
        <v>757</v>
      </c>
      <c r="AE271" s="27">
        <v>8062</v>
      </c>
      <c r="AF271" s="27">
        <v>1194</v>
      </c>
      <c r="AG271" s="27">
        <v>0.877</v>
      </c>
      <c r="AH271" s="27">
        <v>22.7</v>
      </c>
      <c r="AI271" s="27">
        <v>11.3</v>
      </c>
      <c r="AJ271" s="27">
        <v>866</v>
      </c>
      <c r="AK271" s="33">
        <v>302</v>
      </c>
    </row>
    <row r="272" spans="1:37">
      <c r="A272" s="26" t="s">
        <v>349</v>
      </c>
      <c r="B272" s="27">
        <v>707.9</v>
      </c>
      <c r="C272" s="27">
        <v>255.8</v>
      </c>
      <c r="D272" s="27">
        <v>17</v>
      </c>
      <c r="E272" s="27">
        <v>31</v>
      </c>
      <c r="F272" s="27">
        <v>20</v>
      </c>
      <c r="G272" s="27">
        <v>605.9</v>
      </c>
      <c r="H272" s="27">
        <v>223500</v>
      </c>
      <c r="I272" s="27">
        <v>8681</v>
      </c>
      <c r="J272" s="27">
        <v>6313</v>
      </c>
      <c r="K272" s="27">
        <v>679</v>
      </c>
      <c r="L272" s="27">
        <v>7250</v>
      </c>
      <c r="M272" s="27">
        <v>1065</v>
      </c>
      <c r="N272" s="33">
        <v>272</v>
      </c>
      <c r="O272" s="26" t="s">
        <v>349</v>
      </c>
      <c r="P272" s="27">
        <v>213.4</v>
      </c>
      <c r="Q272" s="27">
        <v>707.9</v>
      </c>
      <c r="R272" s="27">
        <v>255.8</v>
      </c>
      <c r="S272" s="27">
        <v>17</v>
      </c>
      <c r="T272" s="27">
        <v>31</v>
      </c>
      <c r="U272" s="27">
        <v>20</v>
      </c>
      <c r="V272" s="27">
        <v>605.9</v>
      </c>
      <c r="W272" s="27">
        <v>4.13</v>
      </c>
      <c r="X272" s="27">
        <v>35.6</v>
      </c>
      <c r="Y272" s="27">
        <v>223500</v>
      </c>
      <c r="Z272" s="27">
        <v>8681</v>
      </c>
      <c r="AA272" s="27">
        <v>28.7</v>
      </c>
      <c r="AB272" s="27">
        <v>5.65</v>
      </c>
      <c r="AC272" s="27">
        <v>6313</v>
      </c>
      <c r="AD272" s="27">
        <v>679</v>
      </c>
      <c r="AE272" s="27">
        <v>7250</v>
      </c>
      <c r="AF272" s="27">
        <v>1065</v>
      </c>
      <c r="AG272" s="27">
        <v>0.879</v>
      </c>
      <c r="AH272" s="27">
        <v>24.8</v>
      </c>
      <c r="AI272" s="27">
        <v>9.94</v>
      </c>
      <c r="AJ272" s="27">
        <v>649</v>
      </c>
      <c r="AK272" s="33">
        <v>272</v>
      </c>
    </row>
    <row r="273" spans="1:37">
      <c r="A273" s="26" t="s">
        <v>350</v>
      </c>
      <c r="B273" s="27">
        <v>701.8</v>
      </c>
      <c r="C273" s="27">
        <v>254.3</v>
      </c>
      <c r="D273" s="27">
        <v>15.5</v>
      </c>
      <c r="E273" s="27">
        <v>27.9</v>
      </c>
      <c r="F273" s="27">
        <v>20</v>
      </c>
      <c r="G273" s="27">
        <v>606</v>
      </c>
      <c r="H273" s="27">
        <v>199500</v>
      </c>
      <c r="I273" s="27">
        <v>7673</v>
      </c>
      <c r="J273" s="27">
        <v>5685</v>
      </c>
      <c r="K273" s="27">
        <v>603</v>
      </c>
      <c r="L273" s="27">
        <v>6508</v>
      </c>
      <c r="M273" s="27">
        <v>945</v>
      </c>
      <c r="N273" s="33">
        <v>245</v>
      </c>
      <c r="O273" s="26" t="s">
        <v>350</v>
      </c>
      <c r="P273" s="27">
        <v>192.7</v>
      </c>
      <c r="Q273" s="27">
        <v>701.8</v>
      </c>
      <c r="R273" s="27">
        <v>254.3</v>
      </c>
      <c r="S273" s="27">
        <v>15.5</v>
      </c>
      <c r="T273" s="27">
        <v>27.9</v>
      </c>
      <c r="U273" s="27">
        <v>20</v>
      </c>
      <c r="V273" s="27">
        <v>606</v>
      </c>
      <c r="W273" s="27">
        <v>4.5599999999999996</v>
      </c>
      <c r="X273" s="27">
        <v>39.1</v>
      </c>
      <c r="Y273" s="27">
        <v>199500</v>
      </c>
      <c r="Z273" s="27">
        <v>7673</v>
      </c>
      <c r="AA273" s="27">
        <v>28.5</v>
      </c>
      <c r="AB273" s="27">
        <v>5.59</v>
      </c>
      <c r="AC273" s="27">
        <v>5685</v>
      </c>
      <c r="AD273" s="27">
        <v>603</v>
      </c>
      <c r="AE273" s="27">
        <v>6508</v>
      </c>
      <c r="AF273" s="27">
        <v>945</v>
      </c>
      <c r="AG273" s="27">
        <v>0.878</v>
      </c>
      <c r="AH273" s="27">
        <v>27.3</v>
      </c>
      <c r="AI273" s="27">
        <v>8.7100000000000009</v>
      </c>
      <c r="AJ273" s="27">
        <v>480</v>
      </c>
      <c r="AK273" s="33">
        <v>245</v>
      </c>
    </row>
    <row r="274" spans="1:37">
      <c r="A274" s="26" t="s">
        <v>351</v>
      </c>
      <c r="B274" s="27">
        <v>693.2</v>
      </c>
      <c r="C274" s="27">
        <v>255.8</v>
      </c>
      <c r="D274" s="27">
        <v>14.5</v>
      </c>
      <c r="E274" s="27">
        <v>23.6</v>
      </c>
      <c r="F274" s="27">
        <v>20</v>
      </c>
      <c r="G274" s="27">
        <v>606</v>
      </c>
      <c r="H274" s="27">
        <v>171500</v>
      </c>
      <c r="I274" s="27">
        <v>6605</v>
      </c>
      <c r="J274" s="27">
        <v>4947</v>
      </c>
      <c r="K274" s="27">
        <v>516</v>
      </c>
      <c r="L274" s="27">
        <v>5664</v>
      </c>
      <c r="M274" s="27">
        <v>810</v>
      </c>
      <c r="N274" s="33">
        <v>218</v>
      </c>
      <c r="O274" s="26" t="s">
        <v>351</v>
      </c>
      <c r="P274" s="27">
        <v>171</v>
      </c>
      <c r="Q274" s="27">
        <v>693.2</v>
      </c>
      <c r="R274" s="27">
        <v>255.8</v>
      </c>
      <c r="S274" s="27">
        <v>14.5</v>
      </c>
      <c r="T274" s="27">
        <v>23.6</v>
      </c>
      <c r="U274" s="27">
        <v>20</v>
      </c>
      <c r="V274" s="27">
        <v>606</v>
      </c>
      <c r="W274" s="27">
        <v>5.42</v>
      </c>
      <c r="X274" s="27">
        <v>41.8</v>
      </c>
      <c r="Y274" s="27">
        <v>171500</v>
      </c>
      <c r="Z274" s="27">
        <v>6605</v>
      </c>
      <c r="AA274" s="27">
        <v>28.1</v>
      </c>
      <c r="AB274" s="27">
        <v>5.51</v>
      </c>
      <c r="AC274" s="27">
        <v>4947</v>
      </c>
      <c r="AD274" s="27">
        <v>516</v>
      </c>
      <c r="AE274" s="27">
        <v>5664</v>
      </c>
      <c r="AF274" s="27">
        <v>810</v>
      </c>
      <c r="AG274" s="27">
        <v>0.873</v>
      </c>
      <c r="AH274" s="27">
        <v>31.3</v>
      </c>
      <c r="AI274" s="27">
        <v>7.4</v>
      </c>
      <c r="AJ274" s="27">
        <v>319</v>
      </c>
      <c r="AK274" s="33">
        <v>218</v>
      </c>
    </row>
    <row r="275" spans="1:37">
      <c r="A275" s="26" t="s">
        <v>352</v>
      </c>
      <c r="B275" s="27">
        <v>688.1</v>
      </c>
      <c r="C275" s="27">
        <v>254.4</v>
      </c>
      <c r="D275" s="27">
        <v>13.1</v>
      </c>
      <c r="E275" s="27">
        <v>21.1</v>
      </c>
      <c r="F275" s="27">
        <v>20</v>
      </c>
      <c r="G275" s="27">
        <v>605.9</v>
      </c>
      <c r="H275" s="27">
        <v>152300</v>
      </c>
      <c r="I275" s="27">
        <v>5807</v>
      </c>
      <c r="J275" s="27">
        <v>4428</v>
      </c>
      <c r="K275" s="27">
        <v>457</v>
      </c>
      <c r="L275" s="27">
        <v>5056</v>
      </c>
      <c r="M275" s="27">
        <v>714</v>
      </c>
      <c r="N275" s="33">
        <v>195</v>
      </c>
      <c r="O275" s="26" t="s">
        <v>352</v>
      </c>
      <c r="P275" s="27">
        <v>153.4</v>
      </c>
      <c r="Q275" s="27">
        <v>688.1</v>
      </c>
      <c r="R275" s="27">
        <v>254.4</v>
      </c>
      <c r="S275" s="27">
        <v>13.1</v>
      </c>
      <c r="T275" s="27">
        <v>21.1</v>
      </c>
      <c r="U275" s="27">
        <v>20</v>
      </c>
      <c r="V275" s="27">
        <v>605.9</v>
      </c>
      <c r="W275" s="27">
        <v>6.03</v>
      </c>
      <c r="X275" s="27">
        <v>46.3</v>
      </c>
      <c r="Y275" s="27">
        <v>152300</v>
      </c>
      <c r="Z275" s="27">
        <v>5807</v>
      </c>
      <c r="AA275" s="27">
        <v>27.9</v>
      </c>
      <c r="AB275" s="27">
        <v>5.45</v>
      </c>
      <c r="AC275" s="27">
        <v>4428</v>
      </c>
      <c r="AD275" s="27">
        <v>457</v>
      </c>
      <c r="AE275" s="27">
        <v>5056</v>
      </c>
      <c r="AF275" s="27">
        <v>714</v>
      </c>
      <c r="AG275" s="27">
        <v>0.872</v>
      </c>
      <c r="AH275" s="27">
        <v>34.6</v>
      </c>
      <c r="AI275" s="27">
        <v>6.46</v>
      </c>
      <c r="AJ275" s="27">
        <v>232</v>
      </c>
      <c r="AK275" s="33">
        <v>195</v>
      </c>
    </row>
    <row r="276" spans="1:37">
      <c r="A276" s="26" t="s">
        <v>353</v>
      </c>
      <c r="B276" s="27">
        <v>683.8</v>
      </c>
      <c r="C276" s="27">
        <v>253.7</v>
      </c>
      <c r="D276" s="27">
        <v>12.4</v>
      </c>
      <c r="E276" s="27">
        <v>18.899999999999999</v>
      </c>
      <c r="F276" s="27">
        <v>20</v>
      </c>
      <c r="G276" s="27">
        <v>606</v>
      </c>
      <c r="H276" s="27">
        <v>137400</v>
      </c>
      <c r="I276" s="27">
        <v>5158</v>
      </c>
      <c r="J276" s="27">
        <v>4018</v>
      </c>
      <c r="K276" s="27">
        <v>407</v>
      </c>
      <c r="L276" s="27">
        <v>4591</v>
      </c>
      <c r="M276" s="27">
        <v>637</v>
      </c>
      <c r="N276" s="33">
        <v>179</v>
      </c>
      <c r="O276" s="26" t="s">
        <v>353</v>
      </c>
      <c r="P276" s="27">
        <v>140.9</v>
      </c>
      <c r="Q276" s="27">
        <v>683.8</v>
      </c>
      <c r="R276" s="27">
        <v>253.7</v>
      </c>
      <c r="S276" s="27">
        <v>12.4</v>
      </c>
      <c r="T276" s="27">
        <v>18.899999999999999</v>
      </c>
      <c r="U276" s="27">
        <v>20</v>
      </c>
      <c r="V276" s="27">
        <v>606</v>
      </c>
      <c r="W276" s="27">
        <v>6.71</v>
      </c>
      <c r="X276" s="27">
        <v>48.9</v>
      </c>
      <c r="Y276" s="27">
        <v>137400</v>
      </c>
      <c r="Z276" s="27">
        <v>5158</v>
      </c>
      <c r="AA276" s="27">
        <v>27.7</v>
      </c>
      <c r="AB276" s="27">
        <v>5.36</v>
      </c>
      <c r="AC276" s="27">
        <v>4018</v>
      </c>
      <c r="AD276" s="27">
        <v>407</v>
      </c>
      <c r="AE276" s="27">
        <v>4591</v>
      </c>
      <c r="AF276" s="27">
        <v>637</v>
      </c>
      <c r="AG276" s="27">
        <v>0.86899999999999999</v>
      </c>
      <c r="AH276" s="27">
        <v>37.9</v>
      </c>
      <c r="AI276" s="27">
        <v>5.7</v>
      </c>
      <c r="AJ276" s="27">
        <v>177</v>
      </c>
      <c r="AK276" s="33">
        <v>179</v>
      </c>
    </row>
    <row r="277" spans="1:37">
      <c r="A277" s="24" t="s">
        <v>354</v>
      </c>
      <c r="B277" s="25">
        <v>678.4</v>
      </c>
      <c r="C277" s="25">
        <v>253</v>
      </c>
      <c r="D277" s="25">
        <v>11.7</v>
      </c>
      <c r="E277" s="25">
        <v>16.3</v>
      </c>
      <c r="F277" s="25">
        <v>20</v>
      </c>
      <c r="G277" s="25">
        <v>605.79999999999995</v>
      </c>
      <c r="H277" s="25">
        <v>120200</v>
      </c>
      <c r="I277" s="25">
        <v>4412</v>
      </c>
      <c r="J277" s="25">
        <v>3542</v>
      </c>
      <c r="K277" s="25">
        <v>349</v>
      </c>
      <c r="L277" s="25">
        <v>4060</v>
      </c>
      <c r="M277" s="25">
        <v>547</v>
      </c>
      <c r="N277" s="32">
        <v>161</v>
      </c>
      <c r="O277" s="24" t="s">
        <v>354</v>
      </c>
      <c r="P277" s="25">
        <v>126.8</v>
      </c>
      <c r="Q277" s="25">
        <v>678.4</v>
      </c>
      <c r="R277" s="25">
        <v>253</v>
      </c>
      <c r="S277" s="25">
        <v>11.7</v>
      </c>
      <c r="T277" s="25">
        <v>16.3</v>
      </c>
      <c r="U277" s="25">
        <v>20</v>
      </c>
      <c r="V277" s="25">
        <v>605.79999999999995</v>
      </c>
      <c r="W277" s="25">
        <v>7.76</v>
      </c>
      <c r="X277" s="25">
        <v>51.8</v>
      </c>
      <c r="Y277" s="25">
        <v>120200</v>
      </c>
      <c r="Z277" s="25">
        <v>4412</v>
      </c>
      <c r="AA277" s="25">
        <v>27.3</v>
      </c>
      <c r="AB277" s="25">
        <v>5.23</v>
      </c>
      <c r="AC277" s="25">
        <v>3542</v>
      </c>
      <c r="AD277" s="25">
        <v>349</v>
      </c>
      <c r="AE277" s="25">
        <v>4060</v>
      </c>
      <c r="AF277" s="25">
        <v>547</v>
      </c>
      <c r="AG277" s="25">
        <v>0.86299999999999999</v>
      </c>
      <c r="AH277" s="25">
        <v>42.5</v>
      </c>
      <c r="AI277" s="25">
        <v>4.84</v>
      </c>
      <c r="AJ277" s="25">
        <v>126</v>
      </c>
      <c r="AK277" s="32">
        <v>161</v>
      </c>
    </row>
    <row r="278" spans="1:37" ht="14.25">
      <c r="A278" s="26" t="s">
        <v>355</v>
      </c>
      <c r="B278" s="27">
        <v>689</v>
      </c>
      <c r="C278" s="27">
        <v>340</v>
      </c>
      <c r="D278" s="27">
        <v>32</v>
      </c>
      <c r="E278" s="27">
        <v>57.9</v>
      </c>
      <c r="F278" s="27">
        <v>20</v>
      </c>
      <c r="G278" s="27">
        <v>533.20000000000005</v>
      </c>
      <c r="H278" s="27">
        <v>446100</v>
      </c>
      <c r="I278" s="27">
        <v>38100</v>
      </c>
      <c r="J278" s="27">
        <v>12950</v>
      </c>
      <c r="K278" s="27">
        <v>2241</v>
      </c>
      <c r="L278" s="27">
        <v>15150</v>
      </c>
      <c r="M278" s="27">
        <v>3500</v>
      </c>
      <c r="N278" s="33">
        <v>581</v>
      </c>
      <c r="O278" s="26" t="s">
        <v>355</v>
      </c>
      <c r="P278" s="27">
        <v>455.8</v>
      </c>
      <c r="Q278" s="27">
        <v>689</v>
      </c>
      <c r="R278" s="27">
        <v>340</v>
      </c>
      <c r="S278" s="27">
        <v>32</v>
      </c>
      <c r="T278" s="27">
        <v>57.9</v>
      </c>
      <c r="U278" s="27">
        <v>20</v>
      </c>
      <c r="V278" s="27">
        <v>533.20000000000005</v>
      </c>
      <c r="W278" s="27">
        <v>2.94</v>
      </c>
      <c r="X278" s="27">
        <v>16.7</v>
      </c>
      <c r="Y278" s="27">
        <v>446100</v>
      </c>
      <c r="Z278" s="27">
        <v>38100</v>
      </c>
      <c r="AA278" s="27">
        <v>27.7</v>
      </c>
      <c r="AB278" s="27">
        <v>8.1</v>
      </c>
      <c r="AC278" s="27">
        <v>12950</v>
      </c>
      <c r="AD278" s="27">
        <v>2241</v>
      </c>
      <c r="AE278" s="27">
        <v>15150</v>
      </c>
      <c r="AF278" s="27">
        <v>3500</v>
      </c>
      <c r="AG278" s="27">
        <v>0.88900000000000001</v>
      </c>
      <c r="AH278" s="27">
        <v>12.2</v>
      </c>
      <c r="AI278" s="27">
        <v>37.9</v>
      </c>
      <c r="AJ278" s="27">
        <v>5004</v>
      </c>
      <c r="AK278" s="33">
        <v>581</v>
      </c>
    </row>
    <row r="279" spans="1:37" ht="14.25">
      <c r="A279" s="26" t="s">
        <v>356</v>
      </c>
      <c r="B279" s="27">
        <v>679</v>
      </c>
      <c r="C279" s="27">
        <v>338</v>
      </c>
      <c r="D279" s="27">
        <v>29.5</v>
      </c>
      <c r="E279" s="27">
        <v>53.1</v>
      </c>
      <c r="F279" s="27">
        <v>20</v>
      </c>
      <c r="G279" s="27">
        <v>532.79999999999995</v>
      </c>
      <c r="H279" s="27">
        <v>401300</v>
      </c>
      <c r="I279" s="27">
        <v>34310</v>
      </c>
      <c r="J279" s="27">
        <v>11820</v>
      </c>
      <c r="K279" s="27">
        <v>2030</v>
      </c>
      <c r="L279" s="27">
        <v>13750</v>
      </c>
      <c r="M279" s="27">
        <v>3164</v>
      </c>
      <c r="N279" s="33">
        <v>531</v>
      </c>
      <c r="O279" s="26" t="s">
        <v>356</v>
      </c>
      <c r="P279" s="27">
        <v>417.1</v>
      </c>
      <c r="Q279" s="27">
        <v>679</v>
      </c>
      <c r="R279" s="27">
        <v>338</v>
      </c>
      <c r="S279" s="27">
        <v>29.5</v>
      </c>
      <c r="T279" s="27">
        <v>53.1</v>
      </c>
      <c r="U279" s="27">
        <v>20</v>
      </c>
      <c r="V279" s="27">
        <v>532.79999999999995</v>
      </c>
      <c r="W279" s="27">
        <v>3.18</v>
      </c>
      <c r="X279" s="27">
        <v>18.100000000000001</v>
      </c>
      <c r="Y279" s="27">
        <v>401300</v>
      </c>
      <c r="Z279" s="27">
        <v>34310</v>
      </c>
      <c r="AA279" s="27">
        <v>27.5</v>
      </c>
      <c r="AB279" s="27">
        <v>8.0399999999999991</v>
      </c>
      <c r="AC279" s="27">
        <v>11820</v>
      </c>
      <c r="AD279" s="27">
        <v>2030</v>
      </c>
      <c r="AE279" s="27">
        <v>13750</v>
      </c>
      <c r="AF279" s="27">
        <v>3164</v>
      </c>
      <c r="AG279" s="27">
        <v>0.88900000000000001</v>
      </c>
      <c r="AH279" s="27">
        <v>13.1</v>
      </c>
      <c r="AI279" s="27">
        <v>33.6</v>
      </c>
      <c r="AJ279" s="27">
        <v>3877</v>
      </c>
      <c r="AK279" s="33">
        <v>531</v>
      </c>
    </row>
    <row r="280" spans="1:37" ht="14.25">
      <c r="A280" s="26" t="s">
        <v>357</v>
      </c>
      <c r="B280" s="27">
        <v>669</v>
      </c>
      <c r="C280" s="27">
        <v>335</v>
      </c>
      <c r="D280" s="27">
        <v>26.4</v>
      </c>
      <c r="E280" s="27">
        <v>48</v>
      </c>
      <c r="F280" s="27">
        <v>20</v>
      </c>
      <c r="G280" s="27">
        <v>533</v>
      </c>
      <c r="H280" s="27">
        <v>354800</v>
      </c>
      <c r="I280" s="27">
        <v>30180</v>
      </c>
      <c r="J280" s="27">
        <v>10610</v>
      </c>
      <c r="K280" s="27">
        <v>1802</v>
      </c>
      <c r="L280" s="27">
        <v>12250</v>
      </c>
      <c r="M280" s="27">
        <v>2799</v>
      </c>
      <c r="N280" s="33">
        <v>476</v>
      </c>
      <c r="O280" s="26" t="s">
        <v>357</v>
      </c>
      <c r="P280" s="27">
        <v>373.9</v>
      </c>
      <c r="Q280" s="27">
        <v>669</v>
      </c>
      <c r="R280" s="27">
        <v>335</v>
      </c>
      <c r="S280" s="27">
        <v>26.4</v>
      </c>
      <c r="T280" s="27">
        <v>48</v>
      </c>
      <c r="U280" s="27">
        <v>20</v>
      </c>
      <c r="V280" s="27">
        <v>533</v>
      </c>
      <c r="W280" s="27">
        <v>3.49</v>
      </c>
      <c r="X280" s="27">
        <v>20.2</v>
      </c>
      <c r="Y280" s="27">
        <v>354800</v>
      </c>
      <c r="Z280" s="27">
        <v>30180</v>
      </c>
      <c r="AA280" s="27">
        <v>27.3</v>
      </c>
      <c r="AB280" s="27">
        <v>7.96</v>
      </c>
      <c r="AC280" s="27">
        <v>10610</v>
      </c>
      <c r="AD280" s="27">
        <v>1802</v>
      </c>
      <c r="AE280" s="27">
        <v>12250</v>
      </c>
      <c r="AF280" s="27">
        <v>2799</v>
      </c>
      <c r="AG280" s="27">
        <v>0.89</v>
      </c>
      <c r="AH280" s="27">
        <v>14.4</v>
      </c>
      <c r="AI280" s="27">
        <v>29.1</v>
      </c>
      <c r="AJ280" s="27">
        <v>2850</v>
      </c>
      <c r="AK280" s="33">
        <v>476</v>
      </c>
    </row>
    <row r="281" spans="1:37" ht="14.25">
      <c r="A281" s="26" t="s">
        <v>358</v>
      </c>
      <c r="B281" s="27">
        <v>661</v>
      </c>
      <c r="C281" s="27">
        <v>333</v>
      </c>
      <c r="D281" s="27">
        <v>24.4</v>
      </c>
      <c r="E281" s="27">
        <v>43.9</v>
      </c>
      <c r="F281" s="27">
        <v>20</v>
      </c>
      <c r="G281" s="27">
        <v>533.20000000000005</v>
      </c>
      <c r="H281" s="27">
        <v>319800</v>
      </c>
      <c r="I281" s="27">
        <v>27100</v>
      </c>
      <c r="J281" s="27">
        <v>9678</v>
      </c>
      <c r="K281" s="27">
        <v>1627</v>
      </c>
      <c r="L281" s="27">
        <v>11120</v>
      </c>
      <c r="M281" s="27">
        <v>2525</v>
      </c>
      <c r="N281" s="33">
        <v>436</v>
      </c>
      <c r="O281" s="26" t="s">
        <v>358</v>
      </c>
      <c r="P281" s="27">
        <v>342</v>
      </c>
      <c r="Q281" s="27">
        <v>661</v>
      </c>
      <c r="R281" s="27">
        <v>333</v>
      </c>
      <c r="S281" s="27">
        <v>24.4</v>
      </c>
      <c r="T281" s="27">
        <v>43.9</v>
      </c>
      <c r="U281" s="27">
        <v>20</v>
      </c>
      <c r="V281" s="27">
        <v>533.20000000000005</v>
      </c>
      <c r="W281" s="27">
        <v>3.79</v>
      </c>
      <c r="X281" s="27">
        <v>21.9</v>
      </c>
      <c r="Y281" s="27">
        <v>319800</v>
      </c>
      <c r="Z281" s="27">
        <v>27100</v>
      </c>
      <c r="AA281" s="27">
        <v>27.1</v>
      </c>
      <c r="AB281" s="27">
        <v>7.89</v>
      </c>
      <c r="AC281" s="27">
        <v>9678</v>
      </c>
      <c r="AD281" s="27">
        <v>1627</v>
      </c>
      <c r="AE281" s="27">
        <v>11120</v>
      </c>
      <c r="AF281" s="27">
        <v>2525</v>
      </c>
      <c r="AG281" s="27">
        <v>0.89</v>
      </c>
      <c r="AH281" s="27">
        <v>15.6</v>
      </c>
      <c r="AI281" s="27">
        <v>25.8</v>
      </c>
      <c r="AJ281" s="27">
        <v>2196</v>
      </c>
      <c r="AK281" s="33">
        <v>436</v>
      </c>
    </row>
    <row r="282" spans="1:37" ht="14.25">
      <c r="A282" s="26" t="s">
        <v>359</v>
      </c>
      <c r="B282" s="27">
        <v>653</v>
      </c>
      <c r="C282" s="27">
        <v>330</v>
      </c>
      <c r="D282" s="27">
        <v>22.1</v>
      </c>
      <c r="E282" s="27">
        <v>39.9</v>
      </c>
      <c r="F282" s="27">
        <v>20</v>
      </c>
      <c r="G282" s="27">
        <v>533.20000000000005</v>
      </c>
      <c r="H282" s="27">
        <v>285200</v>
      </c>
      <c r="I282" s="27">
        <v>23960</v>
      </c>
      <c r="J282" s="27">
        <v>8736</v>
      </c>
      <c r="K282" s="27">
        <v>1452</v>
      </c>
      <c r="L282" s="27">
        <v>9985</v>
      </c>
      <c r="M282" s="27">
        <v>2248</v>
      </c>
      <c r="N282" s="33">
        <v>393</v>
      </c>
      <c r="O282" s="26" t="s">
        <v>359</v>
      </c>
      <c r="P282" s="27">
        <v>308.89999999999998</v>
      </c>
      <c r="Q282" s="27">
        <v>653</v>
      </c>
      <c r="R282" s="27">
        <v>330</v>
      </c>
      <c r="S282" s="27">
        <v>22.1</v>
      </c>
      <c r="T282" s="27">
        <v>39.9</v>
      </c>
      <c r="U282" s="27">
        <v>20</v>
      </c>
      <c r="V282" s="27">
        <v>533.20000000000005</v>
      </c>
      <c r="W282" s="27">
        <v>4.1399999999999997</v>
      </c>
      <c r="X282" s="27">
        <v>24.1</v>
      </c>
      <c r="Y282" s="27">
        <v>285200</v>
      </c>
      <c r="Z282" s="27">
        <v>23960</v>
      </c>
      <c r="AA282" s="27">
        <v>26.9</v>
      </c>
      <c r="AB282" s="27">
        <v>7.8</v>
      </c>
      <c r="AC282" s="27">
        <v>8736</v>
      </c>
      <c r="AD282" s="27">
        <v>1452</v>
      </c>
      <c r="AE282" s="27">
        <v>9985</v>
      </c>
      <c r="AF282" s="27">
        <v>2248</v>
      </c>
      <c r="AG282" s="27">
        <v>0.89</v>
      </c>
      <c r="AH282" s="27">
        <v>17</v>
      </c>
      <c r="AI282" s="27">
        <v>22.5</v>
      </c>
      <c r="AJ282" s="27">
        <v>1646</v>
      </c>
      <c r="AK282" s="33">
        <v>393</v>
      </c>
    </row>
    <row r="283" spans="1:37" ht="14.25">
      <c r="A283" s="26" t="s">
        <v>360</v>
      </c>
      <c r="B283" s="27">
        <v>647</v>
      </c>
      <c r="C283" s="27">
        <v>329</v>
      </c>
      <c r="D283" s="27">
        <v>20.6</v>
      </c>
      <c r="E283" s="27">
        <v>37.1</v>
      </c>
      <c r="F283" s="27">
        <v>20</v>
      </c>
      <c r="G283" s="27">
        <v>532.79999999999995</v>
      </c>
      <c r="H283" s="27">
        <v>262300</v>
      </c>
      <c r="I283" s="27">
        <v>22070</v>
      </c>
      <c r="J283" s="27">
        <v>8108</v>
      </c>
      <c r="K283" s="27">
        <v>1342</v>
      </c>
      <c r="L283" s="27">
        <v>9231</v>
      </c>
      <c r="M283" s="27">
        <v>2074</v>
      </c>
      <c r="N283" s="33">
        <v>366</v>
      </c>
      <c r="O283" s="26" t="s">
        <v>360</v>
      </c>
      <c r="P283" s="27">
        <v>287</v>
      </c>
      <c r="Q283" s="27">
        <v>647</v>
      </c>
      <c r="R283" s="27">
        <v>329</v>
      </c>
      <c r="S283" s="27">
        <v>20.6</v>
      </c>
      <c r="T283" s="27">
        <v>37.1</v>
      </c>
      <c r="U283" s="27">
        <v>20</v>
      </c>
      <c r="V283" s="27">
        <v>532.79999999999995</v>
      </c>
      <c r="W283" s="27">
        <v>4.43</v>
      </c>
      <c r="X283" s="27">
        <v>25.9</v>
      </c>
      <c r="Y283" s="27">
        <v>262300</v>
      </c>
      <c r="Z283" s="27">
        <v>22070</v>
      </c>
      <c r="AA283" s="27">
        <v>26.8</v>
      </c>
      <c r="AB283" s="27">
        <v>7.77</v>
      </c>
      <c r="AC283" s="27">
        <v>8108</v>
      </c>
      <c r="AD283" s="27">
        <v>1342</v>
      </c>
      <c r="AE283" s="27">
        <v>9231</v>
      </c>
      <c r="AF283" s="27">
        <v>2074</v>
      </c>
      <c r="AG283" s="27">
        <v>0.89</v>
      </c>
      <c r="AH283" s="27">
        <v>18.100000000000001</v>
      </c>
      <c r="AI283" s="27">
        <v>20.5</v>
      </c>
      <c r="AJ283" s="27">
        <v>1329</v>
      </c>
      <c r="AK283" s="33">
        <v>366</v>
      </c>
    </row>
    <row r="284" spans="1:37" ht="14.25">
      <c r="A284" s="26" t="s">
        <v>361</v>
      </c>
      <c r="B284" s="27">
        <v>641</v>
      </c>
      <c r="C284" s="27">
        <v>327</v>
      </c>
      <c r="D284" s="27">
        <v>19</v>
      </c>
      <c r="E284" s="27">
        <v>34</v>
      </c>
      <c r="F284" s="27">
        <v>20</v>
      </c>
      <c r="G284" s="27">
        <v>533</v>
      </c>
      <c r="H284" s="27">
        <v>237600</v>
      </c>
      <c r="I284" s="27">
        <v>19850</v>
      </c>
      <c r="J284" s="27">
        <v>7412</v>
      </c>
      <c r="K284" s="27">
        <v>1214</v>
      </c>
      <c r="L284" s="27">
        <v>8405</v>
      </c>
      <c r="M284" s="27">
        <v>1874</v>
      </c>
      <c r="N284" s="33">
        <v>335</v>
      </c>
      <c r="O284" s="26" t="s">
        <v>361</v>
      </c>
      <c r="P284" s="27">
        <v>262.7</v>
      </c>
      <c r="Q284" s="27">
        <v>641</v>
      </c>
      <c r="R284" s="27">
        <v>327</v>
      </c>
      <c r="S284" s="27">
        <v>19</v>
      </c>
      <c r="T284" s="27">
        <v>34</v>
      </c>
      <c r="U284" s="27">
        <v>20</v>
      </c>
      <c r="V284" s="27">
        <v>533</v>
      </c>
      <c r="W284" s="27">
        <v>4.8099999999999996</v>
      </c>
      <c r="X284" s="27">
        <v>28.1</v>
      </c>
      <c r="Y284" s="27">
        <v>237600</v>
      </c>
      <c r="Z284" s="27">
        <v>19850</v>
      </c>
      <c r="AA284" s="27">
        <v>26.6</v>
      </c>
      <c r="AB284" s="27">
        <v>7.7</v>
      </c>
      <c r="AC284" s="27">
        <v>7412</v>
      </c>
      <c r="AD284" s="27">
        <v>1214</v>
      </c>
      <c r="AE284" s="27">
        <v>8405</v>
      </c>
      <c r="AF284" s="27">
        <v>1874</v>
      </c>
      <c r="AG284" s="27">
        <v>0.89</v>
      </c>
      <c r="AH284" s="27">
        <v>19.600000000000001</v>
      </c>
      <c r="AI284" s="27">
        <v>18.3</v>
      </c>
      <c r="AJ284" s="27">
        <v>1028</v>
      </c>
      <c r="AK284" s="33">
        <v>335</v>
      </c>
    </row>
    <row r="285" spans="1:37" ht="14.25">
      <c r="A285" s="26" t="s">
        <v>362</v>
      </c>
      <c r="B285" s="27">
        <v>635</v>
      </c>
      <c r="C285" s="27">
        <v>329.1</v>
      </c>
      <c r="D285" s="27">
        <v>17.899999999999999</v>
      </c>
      <c r="E285" s="27">
        <v>31</v>
      </c>
      <c r="F285" s="27">
        <v>20</v>
      </c>
      <c r="G285" s="27">
        <v>533</v>
      </c>
      <c r="H285" s="27">
        <v>217100</v>
      </c>
      <c r="I285" s="27">
        <v>18450</v>
      </c>
      <c r="J285" s="27">
        <v>6836</v>
      </c>
      <c r="K285" s="27">
        <v>1121</v>
      </c>
      <c r="L285" s="27">
        <v>7728</v>
      </c>
      <c r="M285" s="27">
        <v>1729</v>
      </c>
      <c r="N285" s="33">
        <v>310</v>
      </c>
      <c r="O285" s="26" t="s">
        <v>362</v>
      </c>
      <c r="P285" s="27">
        <v>243.4</v>
      </c>
      <c r="Q285" s="27">
        <v>635</v>
      </c>
      <c r="R285" s="27">
        <v>329.1</v>
      </c>
      <c r="S285" s="27">
        <v>17.899999999999999</v>
      </c>
      <c r="T285" s="27">
        <v>31</v>
      </c>
      <c r="U285" s="27">
        <v>20</v>
      </c>
      <c r="V285" s="27">
        <v>533</v>
      </c>
      <c r="W285" s="27">
        <v>5.31</v>
      </c>
      <c r="X285" s="27">
        <v>29.8</v>
      </c>
      <c r="Y285" s="27">
        <v>217100</v>
      </c>
      <c r="Z285" s="27">
        <v>18450</v>
      </c>
      <c r="AA285" s="27">
        <v>26.5</v>
      </c>
      <c r="AB285" s="27">
        <v>7.71</v>
      </c>
      <c r="AC285" s="27">
        <v>6836</v>
      </c>
      <c r="AD285" s="27">
        <v>1121</v>
      </c>
      <c r="AE285" s="27">
        <v>7728</v>
      </c>
      <c r="AF285" s="27">
        <v>1729</v>
      </c>
      <c r="AG285" s="27">
        <v>0.88900000000000001</v>
      </c>
      <c r="AH285" s="27">
        <v>21.2</v>
      </c>
      <c r="AI285" s="27">
        <v>16.8</v>
      </c>
      <c r="AJ285" s="27">
        <v>802</v>
      </c>
      <c r="AK285" s="33">
        <v>310</v>
      </c>
    </row>
    <row r="286" spans="1:37" ht="14.25">
      <c r="A286" s="26" t="s">
        <v>363</v>
      </c>
      <c r="B286" s="27">
        <v>628.4</v>
      </c>
      <c r="C286" s="27">
        <v>327.7</v>
      </c>
      <c r="D286" s="27">
        <v>16.5</v>
      </c>
      <c r="E286" s="27">
        <v>27.7</v>
      </c>
      <c r="F286" s="27">
        <v>20</v>
      </c>
      <c r="G286" s="27">
        <v>533</v>
      </c>
      <c r="H286" s="27">
        <v>192500</v>
      </c>
      <c r="I286" s="27">
        <v>16270</v>
      </c>
      <c r="J286" s="27">
        <v>6126</v>
      </c>
      <c r="K286" s="27">
        <v>993</v>
      </c>
      <c r="L286" s="27">
        <v>6904</v>
      </c>
      <c r="M286" s="27">
        <v>1531</v>
      </c>
      <c r="N286" s="33">
        <v>280</v>
      </c>
      <c r="O286" s="26" t="s">
        <v>363</v>
      </c>
      <c r="P286" s="27">
        <v>219.4</v>
      </c>
      <c r="Q286" s="27">
        <v>628.4</v>
      </c>
      <c r="R286" s="27">
        <v>327.7</v>
      </c>
      <c r="S286" s="27">
        <v>16.5</v>
      </c>
      <c r="T286" s="27">
        <v>27.7</v>
      </c>
      <c r="U286" s="27">
        <v>20</v>
      </c>
      <c r="V286" s="27">
        <v>533</v>
      </c>
      <c r="W286" s="27">
        <v>5.92</v>
      </c>
      <c r="X286" s="27">
        <v>32.299999999999997</v>
      </c>
      <c r="Y286" s="27">
        <v>192500</v>
      </c>
      <c r="Z286" s="27">
        <v>16270</v>
      </c>
      <c r="AA286" s="27">
        <v>26.2</v>
      </c>
      <c r="AB286" s="27">
        <v>7.63</v>
      </c>
      <c r="AC286" s="27">
        <v>6126</v>
      </c>
      <c r="AD286" s="27">
        <v>993</v>
      </c>
      <c r="AE286" s="27">
        <v>6904</v>
      </c>
      <c r="AF286" s="27">
        <v>1531</v>
      </c>
      <c r="AG286" s="27">
        <v>0.88700000000000001</v>
      </c>
      <c r="AH286" s="27">
        <v>23.5</v>
      </c>
      <c r="AI286" s="27">
        <v>14.7</v>
      </c>
      <c r="AJ286" s="27">
        <v>586</v>
      </c>
      <c r="AK286" s="33">
        <v>280</v>
      </c>
    </row>
    <row r="287" spans="1:37" ht="14.25">
      <c r="A287" s="26" t="s">
        <v>364</v>
      </c>
      <c r="B287" s="27">
        <v>621.79999999999995</v>
      </c>
      <c r="C287" s="27">
        <v>326.5</v>
      </c>
      <c r="D287" s="27">
        <v>15.4</v>
      </c>
      <c r="E287" s="27">
        <v>24.4</v>
      </c>
      <c r="F287" s="27">
        <v>20</v>
      </c>
      <c r="G287" s="27">
        <v>533</v>
      </c>
      <c r="H287" s="27">
        <v>169100</v>
      </c>
      <c r="I287" s="27">
        <v>14180</v>
      </c>
      <c r="J287" s="27">
        <v>5439</v>
      </c>
      <c r="K287" s="27">
        <v>868</v>
      </c>
      <c r="L287" s="27">
        <v>6120</v>
      </c>
      <c r="M287" s="27">
        <v>1339</v>
      </c>
      <c r="N287" s="33">
        <v>251</v>
      </c>
      <c r="O287" s="26" t="s">
        <v>364</v>
      </c>
      <c r="P287" s="27">
        <v>197</v>
      </c>
      <c r="Q287" s="27">
        <v>621.79999999999995</v>
      </c>
      <c r="R287" s="27">
        <v>326.5</v>
      </c>
      <c r="S287" s="27">
        <v>15.4</v>
      </c>
      <c r="T287" s="27">
        <v>24.4</v>
      </c>
      <c r="U287" s="27">
        <v>20</v>
      </c>
      <c r="V287" s="27">
        <v>533</v>
      </c>
      <c r="W287" s="27">
        <v>6.69</v>
      </c>
      <c r="X287" s="27">
        <v>34.6</v>
      </c>
      <c r="Y287" s="27">
        <v>169100</v>
      </c>
      <c r="Z287" s="27">
        <v>14180</v>
      </c>
      <c r="AA287" s="27">
        <v>26</v>
      </c>
      <c r="AB287" s="27">
        <v>7.52</v>
      </c>
      <c r="AC287" s="27">
        <v>5439</v>
      </c>
      <c r="AD287" s="27">
        <v>868</v>
      </c>
      <c r="AE287" s="27">
        <v>6120</v>
      </c>
      <c r="AF287" s="27">
        <v>1339</v>
      </c>
      <c r="AG287" s="27">
        <v>0.88400000000000001</v>
      </c>
      <c r="AH287" s="27">
        <v>26.2</v>
      </c>
      <c r="AI287" s="27">
        <v>12.6</v>
      </c>
      <c r="AJ287" s="27">
        <v>418</v>
      </c>
      <c r="AK287" s="33">
        <v>251</v>
      </c>
    </row>
    <row r="288" spans="1:37" ht="14.25">
      <c r="A288" s="26" t="s">
        <v>365</v>
      </c>
      <c r="B288" s="27">
        <v>616.20000000000005</v>
      </c>
      <c r="C288" s="27">
        <v>325.10000000000002</v>
      </c>
      <c r="D288" s="27">
        <v>14</v>
      </c>
      <c r="E288" s="27">
        <v>21.6</v>
      </c>
      <c r="F288" s="27">
        <v>20</v>
      </c>
      <c r="G288" s="27">
        <v>533</v>
      </c>
      <c r="H288" s="27">
        <v>148900</v>
      </c>
      <c r="I288" s="27">
        <v>12390</v>
      </c>
      <c r="J288" s="27">
        <v>4832</v>
      </c>
      <c r="K288" s="27">
        <v>762</v>
      </c>
      <c r="L288" s="27">
        <v>5421</v>
      </c>
      <c r="M288" s="27">
        <v>1173</v>
      </c>
      <c r="N288" s="33">
        <v>224</v>
      </c>
      <c r="O288" s="26" t="s">
        <v>365</v>
      </c>
      <c r="P288" s="27">
        <v>175.9</v>
      </c>
      <c r="Q288" s="27">
        <v>616.20000000000005</v>
      </c>
      <c r="R288" s="27">
        <v>325.10000000000002</v>
      </c>
      <c r="S288" s="27">
        <v>14</v>
      </c>
      <c r="T288" s="27">
        <v>21.6</v>
      </c>
      <c r="U288" s="27">
        <v>20</v>
      </c>
      <c r="V288" s="27">
        <v>533</v>
      </c>
      <c r="W288" s="27">
        <v>7.53</v>
      </c>
      <c r="X288" s="27">
        <v>38.1</v>
      </c>
      <c r="Y288" s="27">
        <v>148900</v>
      </c>
      <c r="Z288" s="27">
        <v>12390</v>
      </c>
      <c r="AA288" s="27">
        <v>25.8</v>
      </c>
      <c r="AB288" s="27">
        <v>7.43</v>
      </c>
      <c r="AC288" s="27">
        <v>4832</v>
      </c>
      <c r="AD288" s="27">
        <v>762</v>
      </c>
      <c r="AE288" s="27">
        <v>5421</v>
      </c>
      <c r="AF288" s="27">
        <v>1173</v>
      </c>
      <c r="AG288" s="27">
        <v>0.88300000000000001</v>
      </c>
      <c r="AH288" s="27">
        <v>29.2</v>
      </c>
      <c r="AI288" s="27">
        <v>10.9</v>
      </c>
      <c r="AJ288" s="27">
        <v>298</v>
      </c>
      <c r="AK288" s="33">
        <v>224</v>
      </c>
    </row>
    <row r="289" spans="1:37" ht="14.25">
      <c r="A289" s="26" t="s">
        <v>366</v>
      </c>
      <c r="B289" s="27">
        <v>611.1</v>
      </c>
      <c r="C289" s="27">
        <v>323.89999999999998</v>
      </c>
      <c r="D289" s="27">
        <v>12.7</v>
      </c>
      <c r="E289" s="27">
        <v>19</v>
      </c>
      <c r="F289" s="27">
        <v>20</v>
      </c>
      <c r="G289" s="27">
        <v>533.1</v>
      </c>
      <c r="H289" s="27">
        <v>130600</v>
      </c>
      <c r="I289" s="27">
        <v>10770</v>
      </c>
      <c r="J289" s="27">
        <v>4273</v>
      </c>
      <c r="K289" s="27">
        <v>665</v>
      </c>
      <c r="L289" s="27">
        <v>4784</v>
      </c>
      <c r="M289" s="27">
        <v>1023</v>
      </c>
      <c r="N289" s="33">
        <v>199</v>
      </c>
      <c r="O289" s="26" t="s">
        <v>366</v>
      </c>
      <c r="P289" s="27">
        <v>156.4</v>
      </c>
      <c r="Q289" s="27">
        <v>611.1</v>
      </c>
      <c r="R289" s="27">
        <v>323.89999999999998</v>
      </c>
      <c r="S289" s="27">
        <v>12.7</v>
      </c>
      <c r="T289" s="27">
        <v>19</v>
      </c>
      <c r="U289" s="27">
        <v>20</v>
      </c>
      <c r="V289" s="27">
        <v>533.1</v>
      </c>
      <c r="W289" s="27">
        <v>8.52</v>
      </c>
      <c r="X289" s="27">
        <v>42</v>
      </c>
      <c r="Y289" s="27">
        <v>130600</v>
      </c>
      <c r="Z289" s="27">
        <v>10770</v>
      </c>
      <c r="AA289" s="27">
        <v>25.6</v>
      </c>
      <c r="AB289" s="27">
        <v>7.35</v>
      </c>
      <c r="AC289" s="27">
        <v>4273</v>
      </c>
      <c r="AD289" s="27">
        <v>665</v>
      </c>
      <c r="AE289" s="27">
        <v>4784</v>
      </c>
      <c r="AF289" s="27">
        <v>1023</v>
      </c>
      <c r="AG289" s="27">
        <v>0.88100000000000001</v>
      </c>
      <c r="AH289" s="27">
        <v>32.700000000000003</v>
      </c>
      <c r="AI289" s="27">
        <v>9.44</v>
      </c>
      <c r="AJ289" s="27">
        <v>209</v>
      </c>
      <c r="AK289" s="33">
        <v>199</v>
      </c>
    </row>
    <row r="290" spans="1:37">
      <c r="A290" s="26" t="s">
        <v>367</v>
      </c>
      <c r="B290" s="27">
        <v>685</v>
      </c>
      <c r="C290" s="27">
        <v>245.6</v>
      </c>
      <c r="D290" s="27">
        <v>31</v>
      </c>
      <c r="E290" s="27">
        <v>55.9</v>
      </c>
      <c r="F290" s="27">
        <v>20</v>
      </c>
      <c r="G290" s="27">
        <v>533.20000000000005</v>
      </c>
      <c r="H290" s="27">
        <v>323800</v>
      </c>
      <c r="I290" s="27">
        <v>13960</v>
      </c>
      <c r="J290" s="27">
        <v>9453</v>
      </c>
      <c r="K290" s="27">
        <v>1137</v>
      </c>
      <c r="L290" s="27">
        <v>11280</v>
      </c>
      <c r="M290" s="27">
        <v>1830</v>
      </c>
      <c r="N290" s="33">
        <v>456</v>
      </c>
      <c r="O290" s="26" t="s">
        <v>367</v>
      </c>
      <c r="P290" s="27">
        <v>357.7</v>
      </c>
      <c r="Q290" s="27">
        <v>685</v>
      </c>
      <c r="R290" s="27">
        <v>245.6</v>
      </c>
      <c r="S290" s="27">
        <v>31</v>
      </c>
      <c r="T290" s="27">
        <v>55.9</v>
      </c>
      <c r="U290" s="27">
        <v>20</v>
      </c>
      <c r="V290" s="27">
        <v>533.20000000000005</v>
      </c>
      <c r="W290" s="27">
        <v>2.2000000000000002</v>
      </c>
      <c r="X290" s="27">
        <v>17.2</v>
      </c>
      <c r="Y290" s="27">
        <v>323800</v>
      </c>
      <c r="Z290" s="27">
        <v>13960</v>
      </c>
      <c r="AA290" s="27">
        <v>26.7</v>
      </c>
      <c r="AB290" s="27">
        <v>5.53</v>
      </c>
      <c r="AC290" s="27">
        <v>9453</v>
      </c>
      <c r="AD290" s="27">
        <v>1137</v>
      </c>
      <c r="AE290" s="27">
        <v>11280</v>
      </c>
      <c r="AF290" s="27">
        <v>1830</v>
      </c>
      <c r="AG290" s="27">
        <v>0.877</v>
      </c>
      <c r="AH290" s="27">
        <v>13</v>
      </c>
      <c r="AI290" s="27">
        <v>13.8</v>
      </c>
      <c r="AJ290" s="27">
        <v>3425</v>
      </c>
      <c r="AK290" s="33">
        <v>456</v>
      </c>
    </row>
    <row r="291" spans="1:37">
      <c r="A291" s="26" t="s">
        <v>368</v>
      </c>
      <c r="B291" s="27">
        <v>675.1</v>
      </c>
      <c r="C291" s="27">
        <v>243.1</v>
      </c>
      <c r="D291" s="27">
        <v>28.4</v>
      </c>
      <c r="E291" s="27">
        <v>51</v>
      </c>
      <c r="F291" s="27">
        <v>20</v>
      </c>
      <c r="G291" s="27">
        <v>533.1</v>
      </c>
      <c r="H291" s="27">
        <v>289300</v>
      </c>
      <c r="I291" s="27">
        <v>12330</v>
      </c>
      <c r="J291" s="27">
        <v>8570</v>
      </c>
      <c r="K291" s="27">
        <v>1015</v>
      </c>
      <c r="L291" s="27">
        <v>10170</v>
      </c>
      <c r="M291" s="27">
        <v>1629</v>
      </c>
      <c r="N291" s="33">
        <v>414</v>
      </c>
      <c r="O291" s="26" t="s">
        <v>368</v>
      </c>
      <c r="P291" s="27">
        <v>325.10000000000002</v>
      </c>
      <c r="Q291" s="27">
        <v>675.1</v>
      </c>
      <c r="R291" s="27">
        <v>243.1</v>
      </c>
      <c r="S291" s="27">
        <v>28.4</v>
      </c>
      <c r="T291" s="27">
        <v>51</v>
      </c>
      <c r="U291" s="27">
        <v>20</v>
      </c>
      <c r="V291" s="27">
        <v>533.1</v>
      </c>
      <c r="W291" s="27">
        <v>2.38</v>
      </c>
      <c r="X291" s="27">
        <v>18.8</v>
      </c>
      <c r="Y291" s="27">
        <v>289300</v>
      </c>
      <c r="Z291" s="27">
        <v>12330</v>
      </c>
      <c r="AA291" s="27">
        <v>26.4</v>
      </c>
      <c r="AB291" s="27">
        <v>5.46</v>
      </c>
      <c r="AC291" s="27">
        <v>8570</v>
      </c>
      <c r="AD291" s="27">
        <v>1015</v>
      </c>
      <c r="AE291" s="27">
        <v>10170</v>
      </c>
      <c r="AF291" s="27">
        <v>1629</v>
      </c>
      <c r="AG291" s="27">
        <v>0.877</v>
      </c>
      <c r="AH291" s="27">
        <v>14.1</v>
      </c>
      <c r="AI291" s="27">
        <v>12</v>
      </c>
      <c r="AJ291" s="27">
        <v>2611</v>
      </c>
      <c r="AK291" s="33">
        <v>414</v>
      </c>
    </row>
    <row r="292" spans="1:37">
      <c r="A292" s="26" t="s">
        <v>369</v>
      </c>
      <c r="B292" s="27">
        <v>667</v>
      </c>
      <c r="C292" s="27">
        <v>240.5</v>
      </c>
      <c r="D292" s="27">
        <v>25.9</v>
      </c>
      <c r="E292" s="27">
        <v>47</v>
      </c>
      <c r="F292" s="27">
        <v>20</v>
      </c>
      <c r="G292" s="27">
        <v>533</v>
      </c>
      <c r="H292" s="27">
        <v>261000</v>
      </c>
      <c r="I292" s="27">
        <v>10990</v>
      </c>
      <c r="J292" s="27">
        <v>7826</v>
      </c>
      <c r="K292" s="27">
        <v>914</v>
      </c>
      <c r="L292" s="27">
        <v>9231</v>
      </c>
      <c r="M292" s="27">
        <v>1461</v>
      </c>
      <c r="N292" s="33">
        <v>378</v>
      </c>
      <c r="O292" s="26" t="s">
        <v>369</v>
      </c>
      <c r="P292" s="27">
        <v>296.7</v>
      </c>
      <c r="Q292" s="27">
        <v>667</v>
      </c>
      <c r="R292" s="27">
        <v>240.5</v>
      </c>
      <c r="S292" s="27">
        <v>25.9</v>
      </c>
      <c r="T292" s="27">
        <v>47</v>
      </c>
      <c r="U292" s="27">
        <v>20</v>
      </c>
      <c r="V292" s="27">
        <v>533</v>
      </c>
      <c r="W292" s="27">
        <v>2.56</v>
      </c>
      <c r="X292" s="27">
        <v>20.6</v>
      </c>
      <c r="Y292" s="27">
        <v>261000</v>
      </c>
      <c r="Z292" s="27">
        <v>10990</v>
      </c>
      <c r="AA292" s="27">
        <v>26.3</v>
      </c>
      <c r="AB292" s="27">
        <v>5.39</v>
      </c>
      <c r="AC292" s="27">
        <v>7826</v>
      </c>
      <c r="AD292" s="27">
        <v>914</v>
      </c>
      <c r="AE292" s="27">
        <v>9231</v>
      </c>
      <c r="AF292" s="27">
        <v>1461</v>
      </c>
      <c r="AG292" s="27">
        <v>0.878</v>
      </c>
      <c r="AH292" s="27">
        <v>15.1</v>
      </c>
      <c r="AI292" s="27">
        <v>10.6</v>
      </c>
      <c r="AJ292" s="27">
        <v>2029</v>
      </c>
      <c r="AK292" s="33">
        <v>378</v>
      </c>
    </row>
    <row r="293" spans="1:37">
      <c r="A293" s="26" t="s">
        <v>370</v>
      </c>
      <c r="B293" s="27">
        <v>658.6</v>
      </c>
      <c r="C293" s="27">
        <v>238.5</v>
      </c>
      <c r="D293" s="27">
        <v>23.9</v>
      </c>
      <c r="E293" s="27">
        <v>42.9</v>
      </c>
      <c r="F293" s="27">
        <v>20</v>
      </c>
      <c r="G293" s="27">
        <v>532.79999999999995</v>
      </c>
      <c r="H293" s="27">
        <v>234400</v>
      </c>
      <c r="I293" s="27">
        <v>9775</v>
      </c>
      <c r="J293" s="27">
        <v>7118</v>
      </c>
      <c r="K293" s="27">
        <v>820</v>
      </c>
      <c r="L293" s="27">
        <v>8357</v>
      </c>
      <c r="M293" s="27">
        <v>1308</v>
      </c>
      <c r="N293" s="33">
        <v>345</v>
      </c>
      <c r="O293" s="26" t="s">
        <v>370</v>
      </c>
      <c r="P293" s="27">
        <v>270.8</v>
      </c>
      <c r="Q293" s="27">
        <v>658.6</v>
      </c>
      <c r="R293" s="27">
        <v>238.5</v>
      </c>
      <c r="S293" s="27">
        <v>23.9</v>
      </c>
      <c r="T293" s="27">
        <v>42.9</v>
      </c>
      <c r="U293" s="27">
        <v>20</v>
      </c>
      <c r="V293" s="27">
        <v>532.79999999999995</v>
      </c>
      <c r="W293" s="27">
        <v>2.78</v>
      </c>
      <c r="X293" s="27">
        <v>22.3</v>
      </c>
      <c r="Y293" s="27">
        <v>234400</v>
      </c>
      <c r="Z293" s="27">
        <v>9775</v>
      </c>
      <c r="AA293" s="27">
        <v>26.1</v>
      </c>
      <c r="AB293" s="27">
        <v>5.32</v>
      </c>
      <c r="AC293" s="27">
        <v>7118</v>
      </c>
      <c r="AD293" s="27">
        <v>820</v>
      </c>
      <c r="AE293" s="27">
        <v>8357</v>
      </c>
      <c r="AF293" s="27">
        <v>1308</v>
      </c>
      <c r="AG293" s="27">
        <v>0.878</v>
      </c>
      <c r="AH293" s="27">
        <v>16.399999999999999</v>
      </c>
      <c r="AI293" s="27">
        <v>9.26</v>
      </c>
      <c r="AJ293" s="27">
        <v>1558</v>
      </c>
      <c r="AK293" s="33">
        <v>345</v>
      </c>
    </row>
    <row r="294" spans="1:37">
      <c r="A294" s="26" t="s">
        <v>371</v>
      </c>
      <c r="B294" s="27">
        <v>651</v>
      </c>
      <c r="C294" s="27">
        <v>235.9</v>
      </c>
      <c r="D294" s="27">
        <v>21.6</v>
      </c>
      <c r="E294" s="27">
        <v>39.1</v>
      </c>
      <c r="F294" s="27">
        <v>20</v>
      </c>
      <c r="G294" s="27">
        <v>532.79999999999995</v>
      </c>
      <c r="H294" s="27">
        <v>209500</v>
      </c>
      <c r="I294" s="27">
        <v>8611</v>
      </c>
      <c r="J294" s="27">
        <v>6435</v>
      </c>
      <c r="K294" s="27">
        <v>730</v>
      </c>
      <c r="L294" s="27">
        <v>7513</v>
      </c>
      <c r="M294" s="27">
        <v>1160</v>
      </c>
      <c r="N294" s="33">
        <v>312</v>
      </c>
      <c r="O294" s="26" t="s">
        <v>371</v>
      </c>
      <c r="P294" s="27">
        <v>244.6</v>
      </c>
      <c r="Q294" s="27">
        <v>651</v>
      </c>
      <c r="R294" s="27">
        <v>235.9</v>
      </c>
      <c r="S294" s="27">
        <v>21.6</v>
      </c>
      <c r="T294" s="27">
        <v>39.1</v>
      </c>
      <c r="U294" s="27">
        <v>20</v>
      </c>
      <c r="V294" s="27">
        <v>532.79999999999995</v>
      </c>
      <c r="W294" s="27">
        <v>3.02</v>
      </c>
      <c r="X294" s="27">
        <v>24.7</v>
      </c>
      <c r="Y294" s="27">
        <v>209500</v>
      </c>
      <c r="Z294" s="27">
        <v>8611</v>
      </c>
      <c r="AA294" s="27">
        <v>25.9</v>
      </c>
      <c r="AB294" s="27">
        <v>5.26</v>
      </c>
      <c r="AC294" s="27">
        <v>6435</v>
      </c>
      <c r="AD294" s="27">
        <v>730</v>
      </c>
      <c r="AE294" s="27">
        <v>7513</v>
      </c>
      <c r="AF294" s="27">
        <v>1160</v>
      </c>
      <c r="AG294" s="27">
        <v>0.878</v>
      </c>
      <c r="AH294" s="27">
        <v>17.8</v>
      </c>
      <c r="AI294" s="27">
        <v>8.06</v>
      </c>
      <c r="AJ294" s="27">
        <v>1174</v>
      </c>
      <c r="AK294" s="33">
        <v>312</v>
      </c>
    </row>
    <row r="295" spans="1:37">
      <c r="A295" s="26" t="s">
        <v>372</v>
      </c>
      <c r="B295" s="27">
        <v>643.1</v>
      </c>
      <c r="C295" s="27">
        <v>234.1</v>
      </c>
      <c r="D295" s="27">
        <v>19.600000000000001</v>
      </c>
      <c r="E295" s="27">
        <v>35.1</v>
      </c>
      <c r="F295" s="27">
        <v>20</v>
      </c>
      <c r="G295" s="27">
        <v>532.9</v>
      </c>
      <c r="H295" s="27">
        <v>185500</v>
      </c>
      <c r="I295" s="27">
        <v>7549</v>
      </c>
      <c r="J295" s="27">
        <v>5769</v>
      </c>
      <c r="K295" s="27">
        <v>645</v>
      </c>
      <c r="L295" s="27">
        <v>6701</v>
      </c>
      <c r="M295" s="27">
        <v>1022</v>
      </c>
      <c r="N295" s="33">
        <v>280</v>
      </c>
      <c r="O295" s="26" t="s">
        <v>372</v>
      </c>
      <c r="P295" s="27">
        <v>219.8</v>
      </c>
      <c r="Q295" s="27">
        <v>643.1</v>
      </c>
      <c r="R295" s="27">
        <v>234.1</v>
      </c>
      <c r="S295" s="27">
        <v>19.600000000000001</v>
      </c>
      <c r="T295" s="27">
        <v>35.1</v>
      </c>
      <c r="U295" s="27">
        <v>20</v>
      </c>
      <c r="V295" s="27">
        <v>532.9</v>
      </c>
      <c r="W295" s="27">
        <v>3.33</v>
      </c>
      <c r="X295" s="27">
        <v>27.2</v>
      </c>
      <c r="Y295" s="27">
        <v>185500</v>
      </c>
      <c r="Z295" s="27">
        <v>7549</v>
      </c>
      <c r="AA295" s="27">
        <v>25.7</v>
      </c>
      <c r="AB295" s="27">
        <v>5.19</v>
      </c>
      <c r="AC295" s="27">
        <v>5769</v>
      </c>
      <c r="AD295" s="27">
        <v>645</v>
      </c>
      <c r="AE295" s="27">
        <v>6701</v>
      </c>
      <c r="AF295" s="27">
        <v>1022</v>
      </c>
      <c r="AG295" s="27">
        <v>0.878</v>
      </c>
      <c r="AH295" s="27">
        <v>19.600000000000001</v>
      </c>
      <c r="AI295" s="27">
        <v>6.98</v>
      </c>
      <c r="AJ295" s="27">
        <v>860</v>
      </c>
      <c r="AK295" s="33">
        <v>280</v>
      </c>
    </row>
    <row r="296" spans="1:37">
      <c r="A296" s="26" t="s">
        <v>373</v>
      </c>
      <c r="B296" s="27">
        <v>635</v>
      </c>
      <c r="C296" s="27">
        <v>231.5</v>
      </c>
      <c r="D296" s="27">
        <v>17</v>
      </c>
      <c r="E296" s="27">
        <v>30.9</v>
      </c>
      <c r="F296" s="27">
        <v>20</v>
      </c>
      <c r="G296" s="27">
        <v>533.20000000000005</v>
      </c>
      <c r="H296" s="27">
        <v>160100</v>
      </c>
      <c r="I296" s="27">
        <v>6419</v>
      </c>
      <c r="J296" s="27">
        <v>5041</v>
      </c>
      <c r="K296" s="27">
        <v>555</v>
      </c>
      <c r="L296" s="27">
        <v>5815</v>
      </c>
      <c r="M296" s="27">
        <v>874</v>
      </c>
      <c r="N296" s="33">
        <v>244</v>
      </c>
      <c r="O296" s="26" t="s">
        <v>373</v>
      </c>
      <c r="P296" s="27">
        <v>191.5</v>
      </c>
      <c r="Q296" s="27">
        <v>635</v>
      </c>
      <c r="R296" s="27">
        <v>231.5</v>
      </c>
      <c r="S296" s="27">
        <v>17</v>
      </c>
      <c r="T296" s="27">
        <v>30.9</v>
      </c>
      <c r="U296" s="27">
        <v>20</v>
      </c>
      <c r="V296" s="27">
        <v>533.20000000000005</v>
      </c>
      <c r="W296" s="27">
        <v>3.75</v>
      </c>
      <c r="X296" s="27">
        <v>31.4</v>
      </c>
      <c r="Y296" s="27">
        <v>160100</v>
      </c>
      <c r="Z296" s="27">
        <v>6419</v>
      </c>
      <c r="AA296" s="27">
        <v>25.6</v>
      </c>
      <c r="AB296" s="27">
        <v>5.13</v>
      </c>
      <c r="AC296" s="27">
        <v>5041</v>
      </c>
      <c r="AD296" s="27">
        <v>555</v>
      </c>
      <c r="AE296" s="27">
        <v>5815</v>
      </c>
      <c r="AF296" s="27">
        <v>874</v>
      </c>
      <c r="AG296" s="27">
        <v>0.879</v>
      </c>
      <c r="AH296" s="27">
        <v>22.1</v>
      </c>
      <c r="AI296" s="27">
        <v>5.86</v>
      </c>
      <c r="AJ296" s="27">
        <v>584</v>
      </c>
      <c r="AK296" s="33">
        <v>244</v>
      </c>
    </row>
    <row r="297" spans="1:37">
      <c r="A297" s="26" t="s">
        <v>374</v>
      </c>
      <c r="B297" s="27">
        <v>628.9</v>
      </c>
      <c r="C297" s="27">
        <v>229.9</v>
      </c>
      <c r="D297" s="27">
        <v>15.5</v>
      </c>
      <c r="E297" s="27">
        <v>27.9</v>
      </c>
      <c r="F297" s="27">
        <v>20</v>
      </c>
      <c r="G297" s="27">
        <v>533.1</v>
      </c>
      <c r="H297" s="27">
        <v>143000</v>
      </c>
      <c r="I297" s="27">
        <v>5674</v>
      </c>
      <c r="J297" s="27">
        <v>4547</v>
      </c>
      <c r="K297" s="27">
        <v>494</v>
      </c>
      <c r="L297" s="27">
        <v>5225</v>
      </c>
      <c r="M297" s="27">
        <v>776</v>
      </c>
      <c r="N297" s="33">
        <v>221</v>
      </c>
      <c r="O297" s="26" t="s">
        <v>374</v>
      </c>
      <c r="P297" s="27">
        <v>173.1</v>
      </c>
      <c r="Q297" s="27">
        <v>628.9</v>
      </c>
      <c r="R297" s="27">
        <v>229.9</v>
      </c>
      <c r="S297" s="27">
        <v>15.5</v>
      </c>
      <c r="T297" s="27">
        <v>27.9</v>
      </c>
      <c r="U297" s="27">
        <v>20</v>
      </c>
      <c r="V297" s="27">
        <v>533.1</v>
      </c>
      <c r="W297" s="27">
        <v>4.12</v>
      </c>
      <c r="X297" s="27">
        <v>34.4</v>
      </c>
      <c r="Y297" s="27">
        <v>143000</v>
      </c>
      <c r="Z297" s="27">
        <v>5674</v>
      </c>
      <c r="AA297" s="27">
        <v>25.5</v>
      </c>
      <c r="AB297" s="27">
        <v>5.07</v>
      </c>
      <c r="AC297" s="27">
        <v>4547</v>
      </c>
      <c r="AD297" s="27">
        <v>494</v>
      </c>
      <c r="AE297" s="27">
        <v>5225</v>
      </c>
      <c r="AF297" s="27">
        <v>776</v>
      </c>
      <c r="AG297" s="27">
        <v>0.879</v>
      </c>
      <c r="AH297" s="27">
        <v>24.2</v>
      </c>
      <c r="AI297" s="27">
        <v>5.12</v>
      </c>
      <c r="AJ297" s="27">
        <v>436</v>
      </c>
      <c r="AK297" s="33">
        <v>221</v>
      </c>
    </row>
    <row r="298" spans="1:37">
      <c r="A298" s="26" t="s">
        <v>375</v>
      </c>
      <c r="B298" s="27">
        <v>623.1</v>
      </c>
      <c r="C298" s="27">
        <v>228.6</v>
      </c>
      <c r="D298" s="27">
        <v>14</v>
      </c>
      <c r="E298" s="27">
        <v>24.9</v>
      </c>
      <c r="F298" s="27">
        <v>20</v>
      </c>
      <c r="G298" s="27">
        <v>533.29999999999995</v>
      </c>
      <c r="H298" s="27">
        <v>126600</v>
      </c>
      <c r="I298" s="27">
        <v>4976</v>
      </c>
      <c r="J298" s="27">
        <v>4064</v>
      </c>
      <c r="K298" s="27">
        <v>435</v>
      </c>
      <c r="L298" s="27">
        <v>4652</v>
      </c>
      <c r="M298" s="27">
        <v>683</v>
      </c>
      <c r="N298" s="33">
        <v>198</v>
      </c>
      <c r="O298" s="26" t="s">
        <v>375</v>
      </c>
      <c r="P298" s="27">
        <v>155.1</v>
      </c>
      <c r="Q298" s="27">
        <v>623.1</v>
      </c>
      <c r="R298" s="27">
        <v>228.6</v>
      </c>
      <c r="S298" s="27">
        <v>14</v>
      </c>
      <c r="T298" s="27">
        <v>24.9</v>
      </c>
      <c r="U298" s="27">
        <v>20</v>
      </c>
      <c r="V298" s="27">
        <v>533.29999999999995</v>
      </c>
      <c r="W298" s="27">
        <v>4.59</v>
      </c>
      <c r="X298" s="27">
        <v>38.1</v>
      </c>
      <c r="Y298" s="27">
        <v>126600</v>
      </c>
      <c r="Z298" s="27">
        <v>4976</v>
      </c>
      <c r="AA298" s="27">
        <v>25.3</v>
      </c>
      <c r="AB298" s="27">
        <v>5.0199999999999996</v>
      </c>
      <c r="AC298" s="27">
        <v>4064</v>
      </c>
      <c r="AD298" s="27">
        <v>435</v>
      </c>
      <c r="AE298" s="27">
        <v>4652</v>
      </c>
      <c r="AF298" s="27">
        <v>683</v>
      </c>
      <c r="AG298" s="27">
        <v>0.879</v>
      </c>
      <c r="AH298" s="27">
        <v>26.8</v>
      </c>
      <c r="AI298" s="27">
        <v>4.45</v>
      </c>
      <c r="AJ298" s="27">
        <v>315</v>
      </c>
      <c r="AK298" s="33">
        <v>198</v>
      </c>
    </row>
    <row r="299" spans="1:37">
      <c r="A299" s="26" t="s">
        <v>376</v>
      </c>
      <c r="B299" s="27">
        <v>617.5</v>
      </c>
      <c r="C299" s="27">
        <v>230.3</v>
      </c>
      <c r="D299" s="27">
        <v>13.1</v>
      </c>
      <c r="E299" s="27">
        <v>22.2</v>
      </c>
      <c r="F299" s="27">
        <v>20</v>
      </c>
      <c r="G299" s="27">
        <v>533.1</v>
      </c>
      <c r="H299" s="27">
        <v>113900</v>
      </c>
      <c r="I299" s="27">
        <v>4535</v>
      </c>
      <c r="J299" s="27">
        <v>3690</v>
      </c>
      <c r="K299" s="27">
        <v>394</v>
      </c>
      <c r="L299" s="27">
        <v>4216</v>
      </c>
      <c r="M299" s="27">
        <v>617</v>
      </c>
      <c r="N299" s="33">
        <v>181</v>
      </c>
      <c r="O299" s="26" t="s">
        <v>376</v>
      </c>
      <c r="P299" s="27">
        <v>141.9</v>
      </c>
      <c r="Q299" s="27">
        <v>617.5</v>
      </c>
      <c r="R299" s="27">
        <v>230.3</v>
      </c>
      <c r="S299" s="27">
        <v>13.1</v>
      </c>
      <c r="T299" s="27">
        <v>22.2</v>
      </c>
      <c r="U299" s="27">
        <v>20</v>
      </c>
      <c r="V299" s="27">
        <v>533.1</v>
      </c>
      <c r="W299" s="27">
        <v>5.19</v>
      </c>
      <c r="X299" s="27">
        <v>40.700000000000003</v>
      </c>
      <c r="Y299" s="27">
        <v>113900</v>
      </c>
      <c r="Z299" s="27">
        <v>4535</v>
      </c>
      <c r="AA299" s="27">
        <v>25.1</v>
      </c>
      <c r="AB299" s="27">
        <v>5.01</v>
      </c>
      <c r="AC299" s="27">
        <v>3690</v>
      </c>
      <c r="AD299" s="27">
        <v>394</v>
      </c>
      <c r="AE299" s="27">
        <v>4216</v>
      </c>
      <c r="AF299" s="27">
        <v>617</v>
      </c>
      <c r="AG299" s="27">
        <v>0.876</v>
      </c>
      <c r="AH299" s="27">
        <v>29.5</v>
      </c>
      <c r="AI299" s="27">
        <v>4.0199999999999996</v>
      </c>
      <c r="AJ299" s="27">
        <v>236</v>
      </c>
      <c r="AK299" s="33">
        <v>181</v>
      </c>
    </row>
    <row r="300" spans="1:37">
      <c r="A300" s="26" t="s">
        <v>377</v>
      </c>
      <c r="B300" s="27">
        <v>612.1</v>
      </c>
      <c r="C300" s="27">
        <v>229.1</v>
      </c>
      <c r="D300" s="27">
        <v>11.9</v>
      </c>
      <c r="E300" s="27">
        <v>19.600000000000001</v>
      </c>
      <c r="F300" s="27">
        <v>20</v>
      </c>
      <c r="G300" s="27">
        <v>532.9</v>
      </c>
      <c r="H300" s="27">
        <v>100200</v>
      </c>
      <c r="I300" s="27">
        <v>3940</v>
      </c>
      <c r="J300" s="27">
        <v>3275</v>
      </c>
      <c r="K300" s="27">
        <v>344</v>
      </c>
      <c r="L300" s="27">
        <v>3734</v>
      </c>
      <c r="M300" s="27">
        <v>538</v>
      </c>
      <c r="N300" s="33">
        <v>161</v>
      </c>
      <c r="O300" s="26" t="s">
        <v>377</v>
      </c>
      <c r="P300" s="27">
        <v>126.7</v>
      </c>
      <c r="Q300" s="27">
        <v>612.1</v>
      </c>
      <c r="R300" s="27">
        <v>229.1</v>
      </c>
      <c r="S300" s="27">
        <v>11.9</v>
      </c>
      <c r="T300" s="27">
        <v>19.600000000000001</v>
      </c>
      <c r="U300" s="27">
        <v>20</v>
      </c>
      <c r="V300" s="27">
        <v>532.9</v>
      </c>
      <c r="W300" s="27">
        <v>5.84</v>
      </c>
      <c r="X300" s="27">
        <v>44.8</v>
      </c>
      <c r="Y300" s="27">
        <v>100200</v>
      </c>
      <c r="Z300" s="27">
        <v>3940</v>
      </c>
      <c r="AA300" s="27">
        <v>24.9</v>
      </c>
      <c r="AB300" s="27">
        <v>4.9400000000000004</v>
      </c>
      <c r="AC300" s="27">
        <v>3275</v>
      </c>
      <c r="AD300" s="27">
        <v>344</v>
      </c>
      <c r="AE300" s="27">
        <v>3734</v>
      </c>
      <c r="AF300" s="27">
        <v>538</v>
      </c>
      <c r="AG300" s="27">
        <v>0.875</v>
      </c>
      <c r="AH300" s="27">
        <v>32.799999999999997</v>
      </c>
      <c r="AI300" s="27">
        <v>3.46</v>
      </c>
      <c r="AJ300" s="27">
        <v>168</v>
      </c>
      <c r="AK300" s="33">
        <v>161</v>
      </c>
    </row>
    <row r="301" spans="1:37">
      <c r="A301" s="26" t="s">
        <v>378</v>
      </c>
      <c r="B301" s="27">
        <v>607.6</v>
      </c>
      <c r="C301" s="27">
        <v>228.3</v>
      </c>
      <c r="D301" s="27">
        <v>11.2</v>
      </c>
      <c r="E301" s="27">
        <v>17.3</v>
      </c>
      <c r="F301" s="27">
        <v>20</v>
      </c>
      <c r="G301" s="27">
        <v>533</v>
      </c>
      <c r="H301" s="27">
        <v>89120</v>
      </c>
      <c r="I301" s="27">
        <v>3442</v>
      </c>
      <c r="J301" s="27">
        <v>2934</v>
      </c>
      <c r="K301" s="27">
        <v>301</v>
      </c>
      <c r="L301" s="27">
        <v>3348</v>
      </c>
      <c r="M301" s="27">
        <v>472</v>
      </c>
      <c r="N301" s="33">
        <v>147</v>
      </c>
      <c r="O301" s="26" t="s">
        <v>378</v>
      </c>
      <c r="P301" s="27">
        <v>115.1</v>
      </c>
      <c r="Q301" s="27">
        <v>607.6</v>
      </c>
      <c r="R301" s="27">
        <v>228.3</v>
      </c>
      <c r="S301" s="27">
        <v>11.2</v>
      </c>
      <c r="T301" s="27">
        <v>17.3</v>
      </c>
      <c r="U301" s="27">
        <v>20</v>
      </c>
      <c r="V301" s="27">
        <v>533</v>
      </c>
      <c r="W301" s="27">
        <v>6.6</v>
      </c>
      <c r="X301" s="27">
        <v>47.6</v>
      </c>
      <c r="Y301" s="27">
        <v>89120</v>
      </c>
      <c r="Z301" s="27">
        <v>3442</v>
      </c>
      <c r="AA301" s="27">
        <v>24.7</v>
      </c>
      <c r="AB301" s="27">
        <v>4.8499999999999996</v>
      </c>
      <c r="AC301" s="27">
        <v>2934</v>
      </c>
      <c r="AD301" s="27">
        <v>301</v>
      </c>
      <c r="AE301" s="27">
        <v>3348</v>
      </c>
      <c r="AF301" s="27">
        <v>472</v>
      </c>
      <c r="AG301" s="27">
        <v>0.871</v>
      </c>
      <c r="AH301" s="27">
        <v>36.299999999999997</v>
      </c>
      <c r="AI301" s="27">
        <v>3</v>
      </c>
      <c r="AJ301" s="27">
        <v>124</v>
      </c>
      <c r="AK301" s="33">
        <v>147</v>
      </c>
    </row>
    <row r="302" spans="1:37">
      <c r="A302" s="26" t="s">
        <v>379</v>
      </c>
      <c r="B302" s="27">
        <v>602.70000000000005</v>
      </c>
      <c r="C302" s="27">
        <v>227.7</v>
      </c>
      <c r="D302" s="27">
        <v>10.5</v>
      </c>
      <c r="E302" s="27">
        <v>14.9</v>
      </c>
      <c r="F302" s="27">
        <v>20</v>
      </c>
      <c r="G302" s="27">
        <v>532.9</v>
      </c>
      <c r="H302" s="27">
        <v>77810</v>
      </c>
      <c r="I302" s="27">
        <v>2941</v>
      </c>
      <c r="J302" s="27">
        <v>2582</v>
      </c>
      <c r="K302" s="27">
        <v>258</v>
      </c>
      <c r="L302" s="27">
        <v>2953</v>
      </c>
      <c r="M302" s="27">
        <v>405</v>
      </c>
      <c r="N302" s="33">
        <v>131</v>
      </c>
      <c r="O302" s="26" t="s">
        <v>379</v>
      </c>
      <c r="P302" s="27">
        <v>103.2</v>
      </c>
      <c r="Q302" s="27">
        <v>602.70000000000005</v>
      </c>
      <c r="R302" s="27">
        <v>227.7</v>
      </c>
      <c r="S302" s="27">
        <v>10.5</v>
      </c>
      <c r="T302" s="27">
        <v>14.9</v>
      </c>
      <c r="U302" s="27">
        <v>20</v>
      </c>
      <c r="V302" s="27">
        <v>532.9</v>
      </c>
      <c r="W302" s="27">
        <v>7.64</v>
      </c>
      <c r="X302" s="27">
        <v>50.8</v>
      </c>
      <c r="Y302" s="27">
        <v>77810</v>
      </c>
      <c r="Z302" s="27">
        <v>2941</v>
      </c>
      <c r="AA302" s="27">
        <v>24.3</v>
      </c>
      <c r="AB302" s="27">
        <v>4.7300000000000004</v>
      </c>
      <c r="AC302" s="27">
        <v>2582</v>
      </c>
      <c r="AD302" s="27">
        <v>258</v>
      </c>
      <c r="AE302" s="27">
        <v>2953</v>
      </c>
      <c r="AF302" s="27">
        <v>405</v>
      </c>
      <c r="AG302" s="27">
        <v>0.86599999999999999</v>
      </c>
      <c r="AH302" s="27">
        <v>40.700000000000003</v>
      </c>
      <c r="AI302" s="27">
        <v>2.54</v>
      </c>
      <c r="AJ302" s="27">
        <v>87.8</v>
      </c>
      <c r="AK302" s="33">
        <v>131</v>
      </c>
    </row>
    <row r="303" spans="1:37">
      <c r="A303" s="26" t="s">
        <v>380</v>
      </c>
      <c r="B303" s="27">
        <v>603</v>
      </c>
      <c r="C303" s="27">
        <v>178.8</v>
      </c>
      <c r="D303" s="27">
        <v>10.9</v>
      </c>
      <c r="E303" s="27">
        <v>15</v>
      </c>
      <c r="F303" s="27">
        <v>20</v>
      </c>
      <c r="G303" s="27">
        <v>533</v>
      </c>
      <c r="H303" s="27">
        <v>66190</v>
      </c>
      <c r="I303" s="27">
        <v>1439</v>
      </c>
      <c r="J303" s="27">
        <v>2196</v>
      </c>
      <c r="K303" s="27">
        <v>161</v>
      </c>
      <c r="L303" s="27">
        <v>2569</v>
      </c>
      <c r="M303" s="27">
        <v>260</v>
      </c>
      <c r="N303" s="33">
        <v>120</v>
      </c>
      <c r="O303" s="26" t="s">
        <v>380</v>
      </c>
      <c r="P303" s="27">
        <v>93.8</v>
      </c>
      <c r="Q303" s="27">
        <v>603</v>
      </c>
      <c r="R303" s="27">
        <v>178.8</v>
      </c>
      <c r="S303" s="27">
        <v>10.9</v>
      </c>
      <c r="T303" s="27">
        <v>15</v>
      </c>
      <c r="U303" s="27">
        <v>20</v>
      </c>
      <c r="V303" s="27">
        <v>533</v>
      </c>
      <c r="W303" s="27">
        <v>5.96</v>
      </c>
      <c r="X303" s="27">
        <v>48.9</v>
      </c>
      <c r="Y303" s="27">
        <v>66190</v>
      </c>
      <c r="Z303" s="27">
        <v>1439</v>
      </c>
      <c r="AA303" s="27">
        <v>23.5</v>
      </c>
      <c r="AB303" s="27">
        <v>3.47</v>
      </c>
      <c r="AC303" s="27">
        <v>2196</v>
      </c>
      <c r="AD303" s="27">
        <v>161</v>
      </c>
      <c r="AE303" s="27">
        <v>2569</v>
      </c>
      <c r="AF303" s="27">
        <v>260</v>
      </c>
      <c r="AG303" s="27">
        <v>0.85</v>
      </c>
      <c r="AH303" s="27">
        <v>40.4</v>
      </c>
      <c r="AI303" s="27">
        <v>1.24</v>
      </c>
      <c r="AJ303" s="27">
        <v>81</v>
      </c>
      <c r="AK303" s="33">
        <v>120</v>
      </c>
    </row>
    <row r="304" spans="1:37">
      <c r="A304" s="24" t="s">
        <v>381</v>
      </c>
      <c r="B304" s="25">
        <v>598.70000000000005</v>
      </c>
      <c r="C304" s="25">
        <v>177.9</v>
      </c>
      <c r="D304" s="25">
        <v>10</v>
      </c>
      <c r="E304" s="25">
        <v>12.8</v>
      </c>
      <c r="F304" s="25">
        <v>20</v>
      </c>
      <c r="G304" s="25">
        <v>533.1</v>
      </c>
      <c r="H304" s="25">
        <v>57510</v>
      </c>
      <c r="I304" s="25">
        <v>1209</v>
      </c>
      <c r="J304" s="25">
        <v>1921</v>
      </c>
      <c r="K304" s="25">
        <v>136</v>
      </c>
      <c r="L304" s="25">
        <v>2252</v>
      </c>
      <c r="M304" s="25">
        <v>220</v>
      </c>
      <c r="N304" s="32">
        <v>106</v>
      </c>
      <c r="O304" s="24" t="s">
        <v>381</v>
      </c>
      <c r="P304" s="25">
        <v>83.4</v>
      </c>
      <c r="Q304" s="25">
        <v>598.70000000000005</v>
      </c>
      <c r="R304" s="25">
        <v>177.9</v>
      </c>
      <c r="S304" s="25">
        <v>10</v>
      </c>
      <c r="T304" s="25">
        <v>12.8</v>
      </c>
      <c r="U304" s="25">
        <v>20</v>
      </c>
      <c r="V304" s="25">
        <v>533.1</v>
      </c>
      <c r="W304" s="25">
        <v>6.95</v>
      </c>
      <c r="X304" s="25">
        <v>53.3</v>
      </c>
      <c r="Y304" s="25">
        <v>57510</v>
      </c>
      <c r="Z304" s="25">
        <v>1209</v>
      </c>
      <c r="AA304" s="25">
        <v>23.3</v>
      </c>
      <c r="AB304" s="25">
        <v>3.37</v>
      </c>
      <c r="AC304" s="25">
        <v>1921</v>
      </c>
      <c r="AD304" s="25">
        <v>136</v>
      </c>
      <c r="AE304" s="25">
        <v>2252</v>
      </c>
      <c r="AF304" s="25">
        <v>220</v>
      </c>
      <c r="AG304" s="25">
        <v>0.84599999999999997</v>
      </c>
      <c r="AH304" s="25">
        <v>45.3</v>
      </c>
      <c r="AI304" s="25">
        <v>1.04</v>
      </c>
      <c r="AJ304" s="25">
        <v>57</v>
      </c>
      <c r="AK304" s="32">
        <v>106</v>
      </c>
    </row>
    <row r="305" spans="1:37" ht="14.25">
      <c r="A305" s="26" t="s">
        <v>382</v>
      </c>
      <c r="B305" s="27">
        <v>613</v>
      </c>
      <c r="C305" s="27">
        <v>327</v>
      </c>
      <c r="D305" s="27">
        <v>31</v>
      </c>
      <c r="E305" s="27">
        <v>55.6</v>
      </c>
      <c r="F305" s="27">
        <v>12.7</v>
      </c>
      <c r="G305" s="27">
        <v>476.4</v>
      </c>
      <c r="H305" s="27">
        <v>316900</v>
      </c>
      <c r="I305" s="27">
        <v>32530</v>
      </c>
      <c r="J305" s="27">
        <v>10340</v>
      </c>
      <c r="K305" s="27">
        <v>1990</v>
      </c>
      <c r="L305" s="27">
        <v>12120</v>
      </c>
      <c r="M305" s="27">
        <v>3096</v>
      </c>
      <c r="N305" s="33">
        <v>521</v>
      </c>
      <c r="O305" s="26" t="s">
        <v>382</v>
      </c>
      <c r="P305" s="27">
        <v>408.6</v>
      </c>
      <c r="Q305" s="27">
        <v>613</v>
      </c>
      <c r="R305" s="27">
        <v>327</v>
      </c>
      <c r="S305" s="27">
        <v>31</v>
      </c>
      <c r="T305" s="27">
        <v>55.6</v>
      </c>
      <c r="U305" s="27">
        <v>12.7</v>
      </c>
      <c r="V305" s="27">
        <v>476.4</v>
      </c>
      <c r="W305" s="27">
        <v>2.94</v>
      </c>
      <c r="X305" s="27">
        <v>15.4</v>
      </c>
      <c r="Y305" s="27">
        <v>316900</v>
      </c>
      <c r="Z305" s="27">
        <v>32530</v>
      </c>
      <c r="AA305" s="27">
        <v>24.7</v>
      </c>
      <c r="AB305" s="27">
        <v>7.91</v>
      </c>
      <c r="AC305" s="27">
        <v>10340</v>
      </c>
      <c r="AD305" s="27">
        <v>1990</v>
      </c>
      <c r="AE305" s="27">
        <v>12120</v>
      </c>
      <c r="AF305" s="27">
        <v>3096</v>
      </c>
      <c r="AG305" s="27">
        <v>0.89</v>
      </c>
      <c r="AH305" s="27">
        <v>11.2</v>
      </c>
      <c r="AI305" s="27">
        <v>25.3</v>
      </c>
      <c r="AJ305" s="27">
        <v>4131</v>
      </c>
      <c r="AK305" s="33">
        <v>521</v>
      </c>
    </row>
    <row r="306" spans="1:37" ht="14.25">
      <c r="A306" s="26" t="s">
        <v>383</v>
      </c>
      <c r="B306" s="27">
        <v>603</v>
      </c>
      <c r="C306" s="27">
        <v>324</v>
      </c>
      <c r="D306" s="27">
        <v>26.2</v>
      </c>
      <c r="E306" s="27">
        <v>50.5</v>
      </c>
      <c r="F306" s="27">
        <v>12.7</v>
      </c>
      <c r="G306" s="27">
        <v>476.6</v>
      </c>
      <c r="H306" s="27">
        <v>278900</v>
      </c>
      <c r="I306" s="27">
        <v>28710</v>
      </c>
      <c r="J306" s="27">
        <v>9250</v>
      </c>
      <c r="K306" s="27">
        <v>1772</v>
      </c>
      <c r="L306" s="27">
        <v>10720</v>
      </c>
      <c r="M306" s="27">
        <v>2739</v>
      </c>
      <c r="N306" s="33">
        <v>460</v>
      </c>
      <c r="O306" s="26" t="s">
        <v>383</v>
      </c>
      <c r="P306" s="27">
        <v>361.2</v>
      </c>
      <c r="Q306" s="27">
        <v>603</v>
      </c>
      <c r="R306" s="27">
        <v>324</v>
      </c>
      <c r="S306" s="27">
        <v>26.2</v>
      </c>
      <c r="T306" s="27">
        <v>50.5</v>
      </c>
      <c r="U306" s="27">
        <v>12.7</v>
      </c>
      <c r="V306" s="27">
        <v>476.6</v>
      </c>
      <c r="W306" s="27">
        <v>3.21</v>
      </c>
      <c r="X306" s="27">
        <v>18.2</v>
      </c>
      <c r="Y306" s="27">
        <v>278900</v>
      </c>
      <c r="Z306" s="27">
        <v>28710</v>
      </c>
      <c r="AA306" s="27">
        <v>24.6</v>
      </c>
      <c r="AB306" s="27">
        <v>7.9</v>
      </c>
      <c r="AC306" s="27">
        <v>9250</v>
      </c>
      <c r="AD306" s="27">
        <v>1772</v>
      </c>
      <c r="AE306" s="27">
        <v>10720</v>
      </c>
      <c r="AF306" s="27">
        <v>2739</v>
      </c>
      <c r="AG306" s="27">
        <v>0.89400000000000002</v>
      </c>
      <c r="AH306" s="27">
        <v>12.3</v>
      </c>
      <c r="AI306" s="27">
        <v>21.9</v>
      </c>
      <c r="AJ306" s="27">
        <v>2996</v>
      </c>
      <c r="AK306" s="33">
        <v>460</v>
      </c>
    </row>
    <row r="307" spans="1:37" ht="14.25">
      <c r="A307" s="26" t="s">
        <v>384</v>
      </c>
      <c r="B307" s="27">
        <v>593</v>
      </c>
      <c r="C307" s="27">
        <v>322</v>
      </c>
      <c r="D307" s="27">
        <v>25.4</v>
      </c>
      <c r="E307" s="27">
        <v>45.5</v>
      </c>
      <c r="F307" s="27">
        <v>12.7</v>
      </c>
      <c r="G307" s="27">
        <v>476.6</v>
      </c>
      <c r="H307" s="27">
        <v>247700</v>
      </c>
      <c r="I307" s="27">
        <v>25390</v>
      </c>
      <c r="J307" s="27">
        <v>8355</v>
      </c>
      <c r="K307" s="27">
        <v>1577</v>
      </c>
      <c r="L307" s="27">
        <v>9656</v>
      </c>
      <c r="M307" s="27">
        <v>2442</v>
      </c>
      <c r="N307" s="33">
        <v>422</v>
      </c>
      <c r="O307" s="26" t="s">
        <v>384</v>
      </c>
      <c r="P307" s="27">
        <v>331.2</v>
      </c>
      <c r="Q307" s="27">
        <v>593</v>
      </c>
      <c r="R307" s="27">
        <v>322</v>
      </c>
      <c r="S307" s="27">
        <v>25.4</v>
      </c>
      <c r="T307" s="27">
        <v>45.5</v>
      </c>
      <c r="U307" s="27">
        <v>12.7</v>
      </c>
      <c r="V307" s="27">
        <v>476.6</v>
      </c>
      <c r="W307" s="27">
        <v>3.54</v>
      </c>
      <c r="X307" s="27">
        <v>18.8</v>
      </c>
      <c r="Y307" s="27">
        <v>247700</v>
      </c>
      <c r="Z307" s="27">
        <v>25390</v>
      </c>
      <c r="AA307" s="27">
        <v>24.2</v>
      </c>
      <c r="AB307" s="27">
        <v>7.76</v>
      </c>
      <c r="AC307" s="27">
        <v>8355</v>
      </c>
      <c r="AD307" s="27">
        <v>1577</v>
      </c>
      <c r="AE307" s="27">
        <v>9656</v>
      </c>
      <c r="AF307" s="27">
        <v>2442</v>
      </c>
      <c r="AG307" s="27">
        <v>0.89</v>
      </c>
      <c r="AH307" s="27">
        <v>13.4</v>
      </c>
      <c r="AI307" s="27">
        <v>19</v>
      </c>
      <c r="AJ307" s="27">
        <v>2263</v>
      </c>
      <c r="AK307" s="33">
        <v>422</v>
      </c>
    </row>
    <row r="308" spans="1:37" ht="14.25">
      <c r="A308" s="26" t="s">
        <v>385</v>
      </c>
      <c r="B308" s="27">
        <v>585</v>
      </c>
      <c r="C308" s="27">
        <v>319</v>
      </c>
      <c r="D308" s="27">
        <v>23.1</v>
      </c>
      <c r="E308" s="27">
        <v>41.4</v>
      </c>
      <c r="F308" s="27">
        <v>12.7</v>
      </c>
      <c r="G308" s="27">
        <v>476.8</v>
      </c>
      <c r="H308" s="27">
        <v>220700</v>
      </c>
      <c r="I308" s="27">
        <v>22450</v>
      </c>
      <c r="J308" s="27">
        <v>7547</v>
      </c>
      <c r="K308" s="27">
        <v>1408</v>
      </c>
      <c r="L308" s="27">
        <v>8670</v>
      </c>
      <c r="M308" s="27">
        <v>2175</v>
      </c>
      <c r="N308" s="33">
        <v>382</v>
      </c>
      <c r="O308" s="26" t="s">
        <v>385</v>
      </c>
      <c r="P308" s="27">
        <v>299.5</v>
      </c>
      <c r="Q308" s="27">
        <v>585</v>
      </c>
      <c r="R308" s="27">
        <v>319</v>
      </c>
      <c r="S308" s="27">
        <v>23.1</v>
      </c>
      <c r="T308" s="27">
        <v>41.4</v>
      </c>
      <c r="U308" s="27">
        <v>12.7</v>
      </c>
      <c r="V308" s="27">
        <v>476.8</v>
      </c>
      <c r="W308" s="27">
        <v>3.85</v>
      </c>
      <c r="X308" s="27">
        <v>20.6</v>
      </c>
      <c r="Y308" s="27">
        <v>220700</v>
      </c>
      <c r="Z308" s="27">
        <v>22450</v>
      </c>
      <c r="AA308" s="27">
        <v>24.1</v>
      </c>
      <c r="AB308" s="27">
        <v>7.67</v>
      </c>
      <c r="AC308" s="27">
        <v>7547</v>
      </c>
      <c r="AD308" s="27">
        <v>1408</v>
      </c>
      <c r="AE308" s="27">
        <v>8670</v>
      </c>
      <c r="AF308" s="27">
        <v>2175</v>
      </c>
      <c r="AG308" s="27">
        <v>0.89</v>
      </c>
      <c r="AH308" s="27">
        <v>14.6</v>
      </c>
      <c r="AI308" s="27">
        <v>16.600000000000001</v>
      </c>
      <c r="AJ308" s="27">
        <v>1700</v>
      </c>
      <c r="AK308" s="33">
        <v>382</v>
      </c>
    </row>
    <row r="309" spans="1:37" ht="14.25">
      <c r="A309" s="26" t="s">
        <v>386</v>
      </c>
      <c r="B309" s="27">
        <v>577</v>
      </c>
      <c r="C309" s="27">
        <v>317</v>
      </c>
      <c r="D309" s="27">
        <v>21.1</v>
      </c>
      <c r="E309" s="27">
        <v>37.6</v>
      </c>
      <c r="F309" s="27">
        <v>12.7</v>
      </c>
      <c r="G309" s="27">
        <v>476.4</v>
      </c>
      <c r="H309" s="27">
        <v>196700</v>
      </c>
      <c r="I309" s="27">
        <v>20000</v>
      </c>
      <c r="J309" s="27">
        <v>6820</v>
      </c>
      <c r="K309" s="27">
        <v>1262</v>
      </c>
      <c r="L309" s="27">
        <v>7792</v>
      </c>
      <c r="M309" s="27">
        <v>1947</v>
      </c>
      <c r="N309" s="33">
        <v>346</v>
      </c>
      <c r="O309" s="26" t="s">
        <v>386</v>
      </c>
      <c r="P309" s="27">
        <v>271.3</v>
      </c>
      <c r="Q309" s="27">
        <v>577</v>
      </c>
      <c r="R309" s="27">
        <v>317</v>
      </c>
      <c r="S309" s="27">
        <v>21.1</v>
      </c>
      <c r="T309" s="27">
        <v>37.6</v>
      </c>
      <c r="U309" s="27">
        <v>12.7</v>
      </c>
      <c r="V309" s="27">
        <v>476.4</v>
      </c>
      <c r="W309" s="27">
        <v>4.22</v>
      </c>
      <c r="X309" s="27">
        <v>22.6</v>
      </c>
      <c r="Y309" s="27">
        <v>196700</v>
      </c>
      <c r="Z309" s="27">
        <v>20000</v>
      </c>
      <c r="AA309" s="27">
        <v>23.9</v>
      </c>
      <c r="AB309" s="27">
        <v>7.61</v>
      </c>
      <c r="AC309" s="27">
        <v>6820</v>
      </c>
      <c r="AD309" s="27">
        <v>1262</v>
      </c>
      <c r="AE309" s="27">
        <v>7792</v>
      </c>
      <c r="AF309" s="27">
        <v>1947</v>
      </c>
      <c r="AG309" s="27">
        <v>0.89</v>
      </c>
      <c r="AH309" s="27">
        <v>15.9</v>
      </c>
      <c r="AI309" s="27">
        <v>14.6</v>
      </c>
      <c r="AJ309" s="27">
        <v>1277</v>
      </c>
      <c r="AK309" s="33">
        <v>346</v>
      </c>
    </row>
    <row r="310" spans="1:37" ht="14.25">
      <c r="A310" s="26" t="s">
        <v>387</v>
      </c>
      <c r="B310" s="27">
        <v>571</v>
      </c>
      <c r="C310" s="27">
        <v>315.5</v>
      </c>
      <c r="D310" s="27">
        <v>19</v>
      </c>
      <c r="E310" s="27">
        <v>34.5</v>
      </c>
      <c r="F310" s="27">
        <v>12.7</v>
      </c>
      <c r="G310" s="27">
        <v>476.6</v>
      </c>
      <c r="H310" s="27">
        <v>177700</v>
      </c>
      <c r="I310" s="27">
        <v>18090</v>
      </c>
      <c r="J310" s="27">
        <v>6226</v>
      </c>
      <c r="K310" s="27">
        <v>1147</v>
      </c>
      <c r="L310" s="27">
        <v>7071</v>
      </c>
      <c r="M310" s="27">
        <v>1764</v>
      </c>
      <c r="N310" s="33">
        <v>314</v>
      </c>
      <c r="O310" s="26" t="s">
        <v>387</v>
      </c>
      <c r="P310" s="27">
        <v>246.9</v>
      </c>
      <c r="Q310" s="27">
        <v>571</v>
      </c>
      <c r="R310" s="27">
        <v>315.5</v>
      </c>
      <c r="S310" s="27">
        <v>19</v>
      </c>
      <c r="T310" s="27">
        <v>34.5</v>
      </c>
      <c r="U310" s="27">
        <v>12.7</v>
      </c>
      <c r="V310" s="27">
        <v>476.6</v>
      </c>
      <c r="W310" s="27">
        <v>4.57</v>
      </c>
      <c r="X310" s="27">
        <v>25.1</v>
      </c>
      <c r="Y310" s="27">
        <v>177700</v>
      </c>
      <c r="Z310" s="27">
        <v>18090</v>
      </c>
      <c r="AA310" s="27">
        <v>23.8</v>
      </c>
      <c r="AB310" s="27">
        <v>7.58</v>
      </c>
      <c r="AC310" s="27">
        <v>6226</v>
      </c>
      <c r="AD310" s="27">
        <v>1147</v>
      </c>
      <c r="AE310" s="27">
        <v>7071</v>
      </c>
      <c r="AF310" s="27">
        <v>1764</v>
      </c>
      <c r="AG310" s="27">
        <v>0.89100000000000001</v>
      </c>
      <c r="AH310" s="27">
        <v>17.2</v>
      </c>
      <c r="AI310" s="27">
        <v>13</v>
      </c>
      <c r="AJ310" s="27">
        <v>979</v>
      </c>
      <c r="AK310" s="33">
        <v>314</v>
      </c>
    </row>
    <row r="311" spans="1:37" ht="14.25">
      <c r="A311" s="26" t="s">
        <v>388</v>
      </c>
      <c r="B311" s="27">
        <v>560.29999999999995</v>
      </c>
      <c r="C311" s="27">
        <v>317.8</v>
      </c>
      <c r="D311" s="27">
        <v>18.3</v>
      </c>
      <c r="E311" s="27">
        <v>29.2</v>
      </c>
      <c r="F311" s="27">
        <v>12.7</v>
      </c>
      <c r="G311" s="27">
        <v>476.5</v>
      </c>
      <c r="H311" s="27">
        <v>151100</v>
      </c>
      <c r="I311" s="27">
        <v>15650</v>
      </c>
      <c r="J311" s="27">
        <v>5395</v>
      </c>
      <c r="K311" s="27">
        <v>985</v>
      </c>
      <c r="L311" s="27">
        <v>6115</v>
      </c>
      <c r="M311" s="27">
        <v>1518</v>
      </c>
      <c r="N311" s="33">
        <v>279</v>
      </c>
      <c r="O311" s="26" t="s">
        <v>388</v>
      </c>
      <c r="P311" s="27">
        <v>218.9</v>
      </c>
      <c r="Q311" s="27">
        <v>560.29999999999995</v>
      </c>
      <c r="R311" s="27">
        <v>317.8</v>
      </c>
      <c r="S311" s="27">
        <v>18.3</v>
      </c>
      <c r="T311" s="27">
        <v>29.2</v>
      </c>
      <c r="U311" s="27">
        <v>12.7</v>
      </c>
      <c r="V311" s="27">
        <v>476.5</v>
      </c>
      <c r="W311" s="27">
        <v>5.44</v>
      </c>
      <c r="X311" s="27">
        <v>26</v>
      </c>
      <c r="Y311" s="27">
        <v>151100</v>
      </c>
      <c r="Z311" s="27">
        <v>15650</v>
      </c>
      <c r="AA311" s="27">
        <v>23.3</v>
      </c>
      <c r="AB311" s="27">
        <v>7.49</v>
      </c>
      <c r="AC311" s="27">
        <v>5395</v>
      </c>
      <c r="AD311" s="27">
        <v>985</v>
      </c>
      <c r="AE311" s="27">
        <v>6115</v>
      </c>
      <c r="AF311" s="27">
        <v>1518</v>
      </c>
      <c r="AG311" s="27">
        <v>0.88400000000000001</v>
      </c>
      <c r="AH311" s="27">
        <v>19.8</v>
      </c>
      <c r="AI311" s="27">
        <v>11</v>
      </c>
      <c r="AJ311" s="27">
        <v>642</v>
      </c>
      <c r="AK311" s="33">
        <v>279</v>
      </c>
    </row>
    <row r="312" spans="1:37" ht="14.25">
      <c r="A312" s="26" t="s">
        <v>389</v>
      </c>
      <c r="B312" s="27">
        <v>554.5</v>
      </c>
      <c r="C312" s="27">
        <v>316</v>
      </c>
      <c r="D312" s="27">
        <v>16.5</v>
      </c>
      <c r="E312" s="27">
        <v>26.3</v>
      </c>
      <c r="F312" s="27">
        <v>12.7</v>
      </c>
      <c r="G312" s="27">
        <v>476.5</v>
      </c>
      <c r="H312" s="27">
        <v>134300</v>
      </c>
      <c r="I312" s="27">
        <v>13850</v>
      </c>
      <c r="J312" s="27">
        <v>4843</v>
      </c>
      <c r="K312" s="27">
        <v>877</v>
      </c>
      <c r="L312" s="27">
        <v>5463</v>
      </c>
      <c r="M312" s="27">
        <v>1349</v>
      </c>
      <c r="N312" s="33">
        <v>250</v>
      </c>
      <c r="O312" s="26" t="s">
        <v>389</v>
      </c>
      <c r="P312" s="27">
        <v>196.6</v>
      </c>
      <c r="Q312" s="27">
        <v>554.5</v>
      </c>
      <c r="R312" s="27">
        <v>316</v>
      </c>
      <c r="S312" s="27">
        <v>16.5</v>
      </c>
      <c r="T312" s="27">
        <v>26.3</v>
      </c>
      <c r="U312" s="27">
        <v>12.7</v>
      </c>
      <c r="V312" s="27">
        <v>476.5</v>
      </c>
      <c r="W312" s="27">
        <v>6.01</v>
      </c>
      <c r="X312" s="27">
        <v>28.9</v>
      </c>
      <c r="Y312" s="27">
        <v>134300</v>
      </c>
      <c r="Z312" s="27">
        <v>13850</v>
      </c>
      <c r="AA312" s="27">
        <v>23.2</v>
      </c>
      <c r="AB312" s="27">
        <v>7.44</v>
      </c>
      <c r="AC312" s="27">
        <v>4843</v>
      </c>
      <c r="AD312" s="27">
        <v>877</v>
      </c>
      <c r="AE312" s="27">
        <v>5463</v>
      </c>
      <c r="AF312" s="27">
        <v>1349</v>
      </c>
      <c r="AG312" s="27">
        <v>0.88400000000000001</v>
      </c>
      <c r="AH312" s="27">
        <v>21.8</v>
      </c>
      <c r="AI312" s="27">
        <v>9.66</v>
      </c>
      <c r="AJ312" s="27">
        <v>470</v>
      </c>
      <c r="AK312" s="33">
        <v>250</v>
      </c>
    </row>
    <row r="313" spans="1:37" ht="14.25">
      <c r="A313" s="26" t="s">
        <v>390</v>
      </c>
      <c r="B313" s="27">
        <v>550.70000000000005</v>
      </c>
      <c r="C313" s="27">
        <v>314.7</v>
      </c>
      <c r="D313" s="27">
        <v>15.2</v>
      </c>
      <c r="E313" s="27">
        <v>24.4</v>
      </c>
      <c r="F313" s="27">
        <v>12.7</v>
      </c>
      <c r="G313" s="27">
        <v>476.5</v>
      </c>
      <c r="H313" s="27">
        <v>123300</v>
      </c>
      <c r="I313" s="27">
        <v>12690</v>
      </c>
      <c r="J313" s="27">
        <v>4478</v>
      </c>
      <c r="K313" s="27">
        <v>807</v>
      </c>
      <c r="L313" s="27">
        <v>5033</v>
      </c>
      <c r="M313" s="27">
        <v>1239</v>
      </c>
      <c r="N313" s="33">
        <v>231</v>
      </c>
      <c r="O313" s="26" t="s">
        <v>390</v>
      </c>
      <c r="P313" s="27">
        <v>181.5</v>
      </c>
      <c r="Q313" s="27">
        <v>550.70000000000005</v>
      </c>
      <c r="R313" s="27">
        <v>314.7</v>
      </c>
      <c r="S313" s="27">
        <v>15.2</v>
      </c>
      <c r="T313" s="27">
        <v>24.4</v>
      </c>
      <c r="U313" s="27">
        <v>12.7</v>
      </c>
      <c r="V313" s="27">
        <v>476.5</v>
      </c>
      <c r="W313" s="27">
        <v>6.45</v>
      </c>
      <c r="X313" s="27">
        <v>31.3</v>
      </c>
      <c r="Y313" s="27">
        <v>123300</v>
      </c>
      <c r="Z313" s="27">
        <v>12690</v>
      </c>
      <c r="AA313" s="27">
        <v>23.1</v>
      </c>
      <c r="AB313" s="27">
        <v>7.41</v>
      </c>
      <c r="AC313" s="27">
        <v>4478</v>
      </c>
      <c r="AD313" s="27">
        <v>807</v>
      </c>
      <c r="AE313" s="27">
        <v>5033</v>
      </c>
      <c r="AF313" s="27">
        <v>1239</v>
      </c>
      <c r="AG313" s="27">
        <v>0.88500000000000001</v>
      </c>
      <c r="AH313" s="27">
        <v>23.4</v>
      </c>
      <c r="AI313" s="27">
        <v>8.7899999999999991</v>
      </c>
      <c r="AJ313" s="27">
        <v>374</v>
      </c>
      <c r="AK313" s="33">
        <v>231</v>
      </c>
    </row>
    <row r="314" spans="1:37" ht="14.25">
      <c r="A314" s="26" t="s">
        <v>391</v>
      </c>
      <c r="B314" s="27">
        <v>546.4</v>
      </c>
      <c r="C314" s="27">
        <v>313.39999999999998</v>
      </c>
      <c r="D314" s="27">
        <v>14</v>
      </c>
      <c r="E314" s="27">
        <v>22.2</v>
      </c>
      <c r="F314" s="27">
        <v>12.7</v>
      </c>
      <c r="G314" s="27">
        <v>476.6</v>
      </c>
      <c r="H314" s="27">
        <v>111300</v>
      </c>
      <c r="I314" s="27">
        <v>11400</v>
      </c>
      <c r="J314" s="27">
        <v>4072</v>
      </c>
      <c r="K314" s="27">
        <v>728</v>
      </c>
      <c r="L314" s="27">
        <v>4563</v>
      </c>
      <c r="M314" s="27">
        <v>1116</v>
      </c>
      <c r="N314" s="33">
        <v>211</v>
      </c>
      <c r="O314" s="26" t="s">
        <v>391</v>
      </c>
      <c r="P314" s="27">
        <v>165.5</v>
      </c>
      <c r="Q314" s="27">
        <v>546.4</v>
      </c>
      <c r="R314" s="27">
        <v>313.39999999999998</v>
      </c>
      <c r="S314" s="27">
        <v>14</v>
      </c>
      <c r="T314" s="27">
        <v>22.2</v>
      </c>
      <c r="U314" s="27">
        <v>12.7</v>
      </c>
      <c r="V314" s="27">
        <v>476.6</v>
      </c>
      <c r="W314" s="27">
        <v>7.06</v>
      </c>
      <c r="X314" s="27">
        <v>34</v>
      </c>
      <c r="Y314" s="27">
        <v>111300</v>
      </c>
      <c r="Z314" s="27">
        <v>11400</v>
      </c>
      <c r="AA314" s="27">
        <v>23</v>
      </c>
      <c r="AB314" s="27">
        <v>7.35</v>
      </c>
      <c r="AC314" s="27">
        <v>4072</v>
      </c>
      <c r="AD314" s="27">
        <v>728</v>
      </c>
      <c r="AE314" s="27">
        <v>4563</v>
      </c>
      <c r="AF314" s="27">
        <v>1116</v>
      </c>
      <c r="AG314" s="27">
        <v>0.88500000000000001</v>
      </c>
      <c r="AH314" s="27">
        <v>25.6</v>
      </c>
      <c r="AI314" s="27">
        <v>7.83</v>
      </c>
      <c r="AJ314" s="27">
        <v>284</v>
      </c>
      <c r="AK314" s="33">
        <v>211</v>
      </c>
    </row>
    <row r="315" spans="1:37" ht="14.25">
      <c r="A315" s="26" t="s">
        <v>392</v>
      </c>
      <c r="B315" s="27">
        <v>542.5</v>
      </c>
      <c r="C315" s="27">
        <v>312.2</v>
      </c>
      <c r="D315" s="27">
        <v>12.7</v>
      </c>
      <c r="E315" s="27">
        <v>20.3</v>
      </c>
      <c r="F315" s="27">
        <v>12.7</v>
      </c>
      <c r="G315" s="27">
        <v>476.5</v>
      </c>
      <c r="H315" s="27">
        <v>100700</v>
      </c>
      <c r="I315" s="27">
        <v>10310</v>
      </c>
      <c r="J315" s="27">
        <v>3712</v>
      </c>
      <c r="K315" s="27">
        <v>660</v>
      </c>
      <c r="L315" s="27">
        <v>4144</v>
      </c>
      <c r="M315" s="27">
        <v>1011</v>
      </c>
      <c r="N315" s="33">
        <v>192</v>
      </c>
      <c r="O315" s="26" t="s">
        <v>392</v>
      </c>
      <c r="P315" s="27">
        <v>150.6</v>
      </c>
      <c r="Q315" s="27">
        <v>542.5</v>
      </c>
      <c r="R315" s="27">
        <v>312.2</v>
      </c>
      <c r="S315" s="27">
        <v>12.7</v>
      </c>
      <c r="T315" s="27">
        <v>20.3</v>
      </c>
      <c r="U315" s="27">
        <v>12.7</v>
      </c>
      <c r="V315" s="27">
        <v>476.5</v>
      </c>
      <c r="W315" s="27">
        <v>7.69</v>
      </c>
      <c r="X315" s="27">
        <v>37.5</v>
      </c>
      <c r="Y315" s="27">
        <v>100700</v>
      </c>
      <c r="Z315" s="27">
        <v>10310</v>
      </c>
      <c r="AA315" s="27">
        <v>22.9</v>
      </c>
      <c r="AB315" s="27">
        <v>7.33</v>
      </c>
      <c r="AC315" s="27">
        <v>3712</v>
      </c>
      <c r="AD315" s="27">
        <v>660</v>
      </c>
      <c r="AE315" s="27">
        <v>4144</v>
      </c>
      <c r="AF315" s="27">
        <v>1011</v>
      </c>
      <c r="AG315" s="27">
        <v>0.88500000000000001</v>
      </c>
      <c r="AH315" s="27">
        <v>27.8</v>
      </c>
      <c r="AI315" s="27">
        <v>7.03</v>
      </c>
      <c r="AJ315" s="27">
        <v>216</v>
      </c>
      <c r="AK315" s="33">
        <v>192</v>
      </c>
    </row>
    <row r="316" spans="1:37" ht="14.25">
      <c r="A316" s="26" t="s">
        <v>393</v>
      </c>
      <c r="B316" s="27">
        <v>549.1</v>
      </c>
      <c r="C316" s="27">
        <v>213.9</v>
      </c>
      <c r="D316" s="27">
        <v>14.7</v>
      </c>
      <c r="E316" s="27">
        <v>23.6</v>
      </c>
      <c r="F316" s="27">
        <v>12.7</v>
      </c>
      <c r="G316" s="27">
        <v>476.5</v>
      </c>
      <c r="H316" s="27">
        <v>86090</v>
      </c>
      <c r="I316" s="27">
        <v>3864</v>
      </c>
      <c r="J316" s="27">
        <v>3136</v>
      </c>
      <c r="K316" s="27">
        <v>361</v>
      </c>
      <c r="L316" s="27">
        <v>3613</v>
      </c>
      <c r="M316" s="27">
        <v>568</v>
      </c>
      <c r="N316" s="33">
        <v>176</v>
      </c>
      <c r="O316" s="26" t="s">
        <v>393</v>
      </c>
      <c r="P316" s="27">
        <v>138.30000000000001</v>
      </c>
      <c r="Q316" s="27">
        <v>549.1</v>
      </c>
      <c r="R316" s="27">
        <v>213.9</v>
      </c>
      <c r="S316" s="27">
        <v>14.7</v>
      </c>
      <c r="T316" s="27">
        <v>23.6</v>
      </c>
      <c r="U316" s="27">
        <v>12.7</v>
      </c>
      <c r="V316" s="27">
        <v>476.5</v>
      </c>
      <c r="W316" s="27">
        <v>4.53</v>
      </c>
      <c r="X316" s="27">
        <v>32.4</v>
      </c>
      <c r="Y316" s="27">
        <v>86090</v>
      </c>
      <c r="Z316" s="27">
        <v>3864</v>
      </c>
      <c r="AA316" s="27">
        <v>22.1</v>
      </c>
      <c r="AB316" s="27">
        <v>4.68</v>
      </c>
      <c r="AC316" s="27">
        <v>3136</v>
      </c>
      <c r="AD316" s="27">
        <v>361</v>
      </c>
      <c r="AE316" s="27">
        <v>3613</v>
      </c>
      <c r="AF316" s="27">
        <v>568</v>
      </c>
      <c r="AG316" s="27">
        <v>0.873</v>
      </c>
      <c r="AH316" s="27">
        <v>25</v>
      </c>
      <c r="AI316" s="27">
        <v>2.67</v>
      </c>
      <c r="AJ316" s="27">
        <v>250</v>
      </c>
      <c r="AK316" s="33">
        <v>176</v>
      </c>
    </row>
    <row r="317" spans="1:37" ht="14.25">
      <c r="A317" s="26" t="s">
        <v>394</v>
      </c>
      <c r="B317" s="27">
        <v>544.29999999999995</v>
      </c>
      <c r="C317" s="27">
        <v>212.2</v>
      </c>
      <c r="D317" s="27">
        <v>13.1</v>
      </c>
      <c r="E317" s="27">
        <v>21.2</v>
      </c>
      <c r="F317" s="27">
        <v>12.7</v>
      </c>
      <c r="G317" s="27">
        <v>476.5</v>
      </c>
      <c r="H317" s="27">
        <v>76240</v>
      </c>
      <c r="I317" s="27">
        <v>3387</v>
      </c>
      <c r="J317" s="27">
        <v>2801</v>
      </c>
      <c r="K317" s="27">
        <v>319</v>
      </c>
      <c r="L317" s="27">
        <v>3213</v>
      </c>
      <c r="M317" s="27">
        <v>500</v>
      </c>
      <c r="N317" s="33">
        <v>157</v>
      </c>
      <c r="O317" s="26" t="s">
        <v>394</v>
      </c>
      <c r="P317" s="27">
        <v>123.3</v>
      </c>
      <c r="Q317" s="27">
        <v>544.29999999999995</v>
      </c>
      <c r="R317" s="27">
        <v>212.2</v>
      </c>
      <c r="S317" s="27">
        <v>13.1</v>
      </c>
      <c r="T317" s="27">
        <v>21.2</v>
      </c>
      <c r="U317" s="27">
        <v>12.7</v>
      </c>
      <c r="V317" s="27">
        <v>476.5</v>
      </c>
      <c r="W317" s="27">
        <v>5</v>
      </c>
      <c r="X317" s="27">
        <v>36.4</v>
      </c>
      <c r="Y317" s="27">
        <v>76240</v>
      </c>
      <c r="Z317" s="27">
        <v>3387</v>
      </c>
      <c r="AA317" s="27">
        <v>22</v>
      </c>
      <c r="AB317" s="27">
        <v>4.6399999999999997</v>
      </c>
      <c r="AC317" s="27">
        <v>2801</v>
      </c>
      <c r="AD317" s="27">
        <v>319</v>
      </c>
      <c r="AE317" s="27">
        <v>3213</v>
      </c>
      <c r="AF317" s="27">
        <v>500</v>
      </c>
      <c r="AG317" s="27">
        <v>0.874</v>
      </c>
      <c r="AH317" s="27">
        <v>27.6</v>
      </c>
      <c r="AI317" s="27">
        <v>2.3199999999999998</v>
      </c>
      <c r="AJ317" s="27">
        <v>181</v>
      </c>
      <c r="AK317" s="33">
        <v>157</v>
      </c>
    </row>
    <row r="318" spans="1:37" ht="14.25">
      <c r="A318" s="26" t="s">
        <v>395</v>
      </c>
      <c r="B318" s="27">
        <v>539.5</v>
      </c>
      <c r="C318" s="27">
        <v>210.7</v>
      </c>
      <c r="D318" s="27">
        <v>11.6</v>
      </c>
      <c r="E318" s="27">
        <v>18.8</v>
      </c>
      <c r="F318" s="27">
        <v>12.7</v>
      </c>
      <c r="G318" s="27">
        <v>476.5</v>
      </c>
      <c r="H318" s="27">
        <v>66800</v>
      </c>
      <c r="I318" s="27">
        <v>2939</v>
      </c>
      <c r="J318" s="27">
        <v>2476</v>
      </c>
      <c r="K318" s="27">
        <v>279</v>
      </c>
      <c r="L318" s="27">
        <v>2827</v>
      </c>
      <c r="M318" s="27">
        <v>435</v>
      </c>
      <c r="N318" s="33">
        <v>139</v>
      </c>
      <c r="O318" s="26" t="s">
        <v>395</v>
      </c>
      <c r="P318" s="27">
        <v>109</v>
      </c>
      <c r="Q318" s="27">
        <v>539.5</v>
      </c>
      <c r="R318" s="27">
        <v>210.7</v>
      </c>
      <c r="S318" s="27">
        <v>11.6</v>
      </c>
      <c r="T318" s="27">
        <v>18.8</v>
      </c>
      <c r="U318" s="27">
        <v>12.7</v>
      </c>
      <c r="V318" s="27">
        <v>476.5</v>
      </c>
      <c r="W318" s="27">
        <v>5.6</v>
      </c>
      <c r="X318" s="27">
        <v>41.1</v>
      </c>
      <c r="Y318" s="27">
        <v>66800</v>
      </c>
      <c r="Z318" s="27">
        <v>2939</v>
      </c>
      <c r="AA318" s="27">
        <v>21.9</v>
      </c>
      <c r="AB318" s="27">
        <v>4.5999999999999996</v>
      </c>
      <c r="AC318" s="27">
        <v>2476</v>
      </c>
      <c r="AD318" s="27">
        <v>279</v>
      </c>
      <c r="AE318" s="27">
        <v>2827</v>
      </c>
      <c r="AF318" s="27">
        <v>435</v>
      </c>
      <c r="AG318" s="27">
        <v>0.875</v>
      </c>
      <c r="AH318" s="27">
        <v>30.9</v>
      </c>
      <c r="AI318" s="27">
        <v>1.99</v>
      </c>
      <c r="AJ318" s="27">
        <v>126</v>
      </c>
      <c r="AK318" s="33">
        <v>139</v>
      </c>
    </row>
    <row r="319" spans="1:37" ht="14.25">
      <c r="A319" s="26" t="s">
        <v>396</v>
      </c>
      <c r="B319" s="27">
        <v>536.70000000000005</v>
      </c>
      <c r="C319" s="27">
        <v>210.1</v>
      </c>
      <c r="D319" s="27">
        <v>10.9</v>
      </c>
      <c r="E319" s="27">
        <v>17.399999999999999</v>
      </c>
      <c r="F319" s="27">
        <v>12.7</v>
      </c>
      <c r="G319" s="27">
        <v>476.5</v>
      </c>
      <c r="H319" s="27">
        <v>61650</v>
      </c>
      <c r="I319" s="27">
        <v>2696</v>
      </c>
      <c r="J319" s="27">
        <v>2297</v>
      </c>
      <c r="K319" s="27">
        <v>257</v>
      </c>
      <c r="L319" s="27">
        <v>2619</v>
      </c>
      <c r="M319" s="27">
        <v>400</v>
      </c>
      <c r="N319" s="33">
        <v>129</v>
      </c>
      <c r="O319" s="26" t="s">
        <v>396</v>
      </c>
      <c r="P319" s="27">
        <v>101.4</v>
      </c>
      <c r="Q319" s="27">
        <v>536.70000000000005</v>
      </c>
      <c r="R319" s="27">
        <v>210.1</v>
      </c>
      <c r="S319" s="27">
        <v>10.9</v>
      </c>
      <c r="T319" s="27">
        <v>17.399999999999999</v>
      </c>
      <c r="U319" s="27">
        <v>12.7</v>
      </c>
      <c r="V319" s="27">
        <v>476.5</v>
      </c>
      <c r="W319" s="27">
        <v>6.04</v>
      </c>
      <c r="X319" s="27">
        <v>43.7</v>
      </c>
      <c r="Y319" s="27">
        <v>61650</v>
      </c>
      <c r="Z319" s="27">
        <v>2696</v>
      </c>
      <c r="AA319" s="27">
        <v>21.8</v>
      </c>
      <c r="AB319" s="27">
        <v>4.57</v>
      </c>
      <c r="AC319" s="27">
        <v>2297</v>
      </c>
      <c r="AD319" s="27">
        <v>257</v>
      </c>
      <c r="AE319" s="27">
        <v>2619</v>
      </c>
      <c r="AF319" s="27">
        <v>400</v>
      </c>
      <c r="AG319" s="27">
        <v>0.874</v>
      </c>
      <c r="AH319" s="27">
        <v>33.1</v>
      </c>
      <c r="AI319" s="27">
        <v>1.82</v>
      </c>
      <c r="AJ319" s="27">
        <v>102</v>
      </c>
      <c r="AK319" s="33">
        <v>129</v>
      </c>
    </row>
    <row r="320" spans="1:37" ht="14.25">
      <c r="A320" s="26" t="s">
        <v>397</v>
      </c>
      <c r="B320" s="27">
        <v>533.1</v>
      </c>
      <c r="C320" s="27">
        <v>209.3</v>
      </c>
      <c r="D320" s="27">
        <v>10.199999999999999</v>
      </c>
      <c r="E320" s="27">
        <v>15.6</v>
      </c>
      <c r="F320" s="27">
        <v>12.7</v>
      </c>
      <c r="G320" s="27">
        <v>476.5</v>
      </c>
      <c r="H320" s="27">
        <v>55330</v>
      </c>
      <c r="I320" s="27">
        <v>2389</v>
      </c>
      <c r="J320" s="27">
        <v>2076</v>
      </c>
      <c r="K320" s="27">
        <v>228</v>
      </c>
      <c r="L320" s="27">
        <v>2366</v>
      </c>
      <c r="M320" s="27">
        <v>356</v>
      </c>
      <c r="N320" s="33">
        <v>118</v>
      </c>
      <c r="O320" s="26" t="s">
        <v>397</v>
      </c>
      <c r="P320" s="27">
        <v>92.5</v>
      </c>
      <c r="Q320" s="27">
        <v>533.1</v>
      </c>
      <c r="R320" s="27">
        <v>209.3</v>
      </c>
      <c r="S320" s="27">
        <v>10.199999999999999</v>
      </c>
      <c r="T320" s="27">
        <v>15.6</v>
      </c>
      <c r="U320" s="27">
        <v>12.7</v>
      </c>
      <c r="V320" s="27">
        <v>476.5</v>
      </c>
      <c r="W320" s="27">
        <v>6.71</v>
      </c>
      <c r="X320" s="27">
        <v>46.7</v>
      </c>
      <c r="Y320" s="27">
        <v>55330</v>
      </c>
      <c r="Z320" s="27">
        <v>2389</v>
      </c>
      <c r="AA320" s="27">
        <v>21.7</v>
      </c>
      <c r="AB320" s="27">
        <v>4.5</v>
      </c>
      <c r="AC320" s="27">
        <v>2076</v>
      </c>
      <c r="AD320" s="27">
        <v>228</v>
      </c>
      <c r="AE320" s="27">
        <v>2366</v>
      </c>
      <c r="AF320" s="27">
        <v>356</v>
      </c>
      <c r="AG320" s="27">
        <v>0.871</v>
      </c>
      <c r="AH320" s="27">
        <v>36.4</v>
      </c>
      <c r="AI320" s="27">
        <v>1.6</v>
      </c>
      <c r="AJ320" s="27">
        <v>76.3</v>
      </c>
      <c r="AK320" s="33">
        <v>118</v>
      </c>
    </row>
    <row r="321" spans="1:37" ht="14.25">
      <c r="A321" s="26" t="s">
        <v>398</v>
      </c>
      <c r="B321" s="27">
        <v>534.9</v>
      </c>
      <c r="C321" s="27">
        <v>166.5</v>
      </c>
      <c r="D321" s="27">
        <v>10.3</v>
      </c>
      <c r="E321" s="27">
        <v>16.5</v>
      </c>
      <c r="F321" s="27">
        <v>12.7</v>
      </c>
      <c r="G321" s="27">
        <v>476.5</v>
      </c>
      <c r="H321" s="27">
        <v>48630</v>
      </c>
      <c r="I321" s="27">
        <v>1275</v>
      </c>
      <c r="J321" s="27">
        <v>1818</v>
      </c>
      <c r="K321" s="27">
        <v>153</v>
      </c>
      <c r="L321" s="27">
        <v>2107</v>
      </c>
      <c r="M321" s="27">
        <v>243</v>
      </c>
      <c r="N321" s="33">
        <v>108</v>
      </c>
      <c r="O321" s="26" t="s">
        <v>398</v>
      </c>
      <c r="P321" s="27">
        <v>84.8</v>
      </c>
      <c r="Q321" s="27">
        <v>534.9</v>
      </c>
      <c r="R321" s="27">
        <v>166.5</v>
      </c>
      <c r="S321" s="27">
        <v>10.3</v>
      </c>
      <c r="T321" s="27">
        <v>16.5</v>
      </c>
      <c r="U321" s="27">
        <v>12.7</v>
      </c>
      <c r="V321" s="27">
        <v>476.5</v>
      </c>
      <c r="W321" s="27">
        <v>5.05</v>
      </c>
      <c r="X321" s="27">
        <v>46.3</v>
      </c>
      <c r="Y321" s="27">
        <v>48630</v>
      </c>
      <c r="Z321" s="27">
        <v>1275</v>
      </c>
      <c r="AA321" s="27">
        <v>21.2</v>
      </c>
      <c r="AB321" s="27">
        <v>3.44</v>
      </c>
      <c r="AC321" s="27">
        <v>1818</v>
      </c>
      <c r="AD321" s="27">
        <v>153</v>
      </c>
      <c r="AE321" s="27">
        <v>2107</v>
      </c>
      <c r="AF321" s="27">
        <v>243</v>
      </c>
      <c r="AG321" s="27">
        <v>0.86199999999999999</v>
      </c>
      <c r="AH321" s="27">
        <v>35.5</v>
      </c>
      <c r="AI321" s="27">
        <v>0.85699999999999998</v>
      </c>
      <c r="AJ321" s="27">
        <v>73.8</v>
      </c>
      <c r="AK321" s="33">
        <v>108</v>
      </c>
    </row>
    <row r="322" spans="1:37" ht="14.25">
      <c r="A322" s="26" t="s">
        <v>399</v>
      </c>
      <c r="B322" s="27">
        <v>529.1</v>
      </c>
      <c r="C322" s="27">
        <v>165.9</v>
      </c>
      <c r="D322" s="27">
        <v>9.6999999999999993</v>
      </c>
      <c r="E322" s="27">
        <v>13.6</v>
      </c>
      <c r="F322" s="27">
        <v>12.7</v>
      </c>
      <c r="G322" s="27">
        <v>476.5</v>
      </c>
      <c r="H322" s="27">
        <v>41060</v>
      </c>
      <c r="I322" s="27">
        <v>1040</v>
      </c>
      <c r="J322" s="27">
        <v>1552</v>
      </c>
      <c r="K322" s="27">
        <v>125</v>
      </c>
      <c r="L322" s="27">
        <v>1808</v>
      </c>
      <c r="M322" s="27">
        <v>200</v>
      </c>
      <c r="N322" s="33">
        <v>95.2</v>
      </c>
      <c r="O322" s="26" t="s">
        <v>399</v>
      </c>
      <c r="P322" s="27">
        <v>74.7</v>
      </c>
      <c r="Q322" s="27">
        <v>529.1</v>
      </c>
      <c r="R322" s="27">
        <v>165.9</v>
      </c>
      <c r="S322" s="27">
        <v>9.6999999999999993</v>
      </c>
      <c r="T322" s="27">
        <v>13.6</v>
      </c>
      <c r="U322" s="27">
        <v>12.7</v>
      </c>
      <c r="V322" s="27">
        <v>476.5</v>
      </c>
      <c r="W322" s="27">
        <v>6.1</v>
      </c>
      <c r="X322" s="27">
        <v>49.1</v>
      </c>
      <c r="Y322" s="27">
        <v>41060</v>
      </c>
      <c r="Z322" s="27">
        <v>1040</v>
      </c>
      <c r="AA322" s="27">
        <v>20.8</v>
      </c>
      <c r="AB322" s="27">
        <v>3.3</v>
      </c>
      <c r="AC322" s="27">
        <v>1552</v>
      </c>
      <c r="AD322" s="27">
        <v>125</v>
      </c>
      <c r="AE322" s="27">
        <v>1808</v>
      </c>
      <c r="AF322" s="27">
        <v>200</v>
      </c>
      <c r="AG322" s="27">
        <v>0.85299999999999998</v>
      </c>
      <c r="AH322" s="27">
        <v>41.1</v>
      </c>
      <c r="AI322" s="27">
        <v>0.69099999999999995</v>
      </c>
      <c r="AJ322" s="27">
        <v>47.9</v>
      </c>
      <c r="AK322" s="33">
        <v>95.2</v>
      </c>
    </row>
    <row r="323" spans="1:37" ht="14.25">
      <c r="A323" s="24" t="s">
        <v>400</v>
      </c>
      <c r="B323" s="25">
        <v>524.79999999999995</v>
      </c>
      <c r="C323" s="25">
        <v>165.1</v>
      </c>
      <c r="D323" s="25">
        <v>8.9</v>
      </c>
      <c r="E323" s="25">
        <v>11.4</v>
      </c>
      <c r="F323" s="25">
        <v>12.7</v>
      </c>
      <c r="G323" s="25">
        <v>476.6</v>
      </c>
      <c r="H323" s="25">
        <v>35040</v>
      </c>
      <c r="I323" s="25">
        <v>859</v>
      </c>
      <c r="J323" s="25">
        <v>1336</v>
      </c>
      <c r="K323" s="25">
        <v>104</v>
      </c>
      <c r="L323" s="25">
        <v>1561</v>
      </c>
      <c r="M323" s="25">
        <v>166</v>
      </c>
      <c r="N323" s="32">
        <v>83.7</v>
      </c>
      <c r="O323" s="24" t="s">
        <v>400</v>
      </c>
      <c r="P323" s="25">
        <v>65.7</v>
      </c>
      <c r="Q323" s="25">
        <v>524.79999999999995</v>
      </c>
      <c r="R323" s="25">
        <v>165.1</v>
      </c>
      <c r="S323" s="25">
        <v>8.9</v>
      </c>
      <c r="T323" s="25">
        <v>11.4</v>
      </c>
      <c r="U323" s="25">
        <v>12.7</v>
      </c>
      <c r="V323" s="25">
        <v>476.6</v>
      </c>
      <c r="W323" s="25">
        <v>7.24</v>
      </c>
      <c r="X323" s="25">
        <v>53.6</v>
      </c>
      <c r="Y323" s="25">
        <v>35040</v>
      </c>
      <c r="Z323" s="25">
        <v>859</v>
      </c>
      <c r="AA323" s="25">
        <v>20.5</v>
      </c>
      <c r="AB323" s="25">
        <v>3.2</v>
      </c>
      <c r="AC323" s="25">
        <v>1336</v>
      </c>
      <c r="AD323" s="25">
        <v>104</v>
      </c>
      <c r="AE323" s="25">
        <v>1561</v>
      </c>
      <c r="AF323" s="25">
        <v>166</v>
      </c>
      <c r="AG323" s="25">
        <v>0.84699999999999998</v>
      </c>
      <c r="AH323" s="25">
        <v>47</v>
      </c>
      <c r="AI323" s="25">
        <v>0.56599999999999995</v>
      </c>
      <c r="AJ323" s="25">
        <v>32</v>
      </c>
      <c r="AK323" s="32">
        <v>83.7</v>
      </c>
    </row>
    <row r="324" spans="1:37" ht="14.25">
      <c r="A324" s="26" t="s">
        <v>401</v>
      </c>
      <c r="B324" s="27">
        <v>469.1</v>
      </c>
      <c r="C324" s="27">
        <v>193.9</v>
      </c>
      <c r="D324" s="27">
        <v>12.6</v>
      </c>
      <c r="E324" s="27">
        <v>20.6</v>
      </c>
      <c r="F324" s="27">
        <v>12.7</v>
      </c>
      <c r="G324" s="27">
        <v>402.5</v>
      </c>
      <c r="H324" s="27">
        <v>49050</v>
      </c>
      <c r="I324" s="27">
        <v>2511</v>
      </c>
      <c r="J324" s="27">
        <v>2091</v>
      </c>
      <c r="K324" s="27">
        <v>259</v>
      </c>
      <c r="L324" s="27">
        <v>2397</v>
      </c>
      <c r="M324" s="27">
        <v>405</v>
      </c>
      <c r="N324" s="33">
        <v>135</v>
      </c>
      <c r="O324" s="26" t="s">
        <v>401</v>
      </c>
      <c r="P324" s="27">
        <v>106.1</v>
      </c>
      <c r="Q324" s="27">
        <v>469.1</v>
      </c>
      <c r="R324" s="27">
        <v>193.9</v>
      </c>
      <c r="S324" s="27">
        <v>12.6</v>
      </c>
      <c r="T324" s="27">
        <v>20.6</v>
      </c>
      <c r="U324" s="27">
        <v>12.7</v>
      </c>
      <c r="V324" s="27">
        <v>402.5</v>
      </c>
      <c r="W324" s="27">
        <v>4.71</v>
      </c>
      <c r="X324" s="27">
        <v>31.9</v>
      </c>
      <c r="Y324" s="27">
        <v>49050</v>
      </c>
      <c r="Z324" s="27">
        <v>2511</v>
      </c>
      <c r="AA324" s="27">
        <v>19</v>
      </c>
      <c r="AB324" s="27">
        <v>4.3099999999999996</v>
      </c>
      <c r="AC324" s="27">
        <v>2091</v>
      </c>
      <c r="AD324" s="27">
        <v>259</v>
      </c>
      <c r="AE324" s="27">
        <v>2397</v>
      </c>
      <c r="AF324" s="27">
        <v>405</v>
      </c>
      <c r="AG324" s="27">
        <v>0.878</v>
      </c>
      <c r="AH324" s="27">
        <v>24.2</v>
      </c>
      <c r="AI324" s="27">
        <v>1.26</v>
      </c>
      <c r="AJ324" s="27">
        <v>149</v>
      </c>
      <c r="AK324" s="33">
        <v>135</v>
      </c>
    </row>
    <row r="325" spans="1:37" ht="14.25">
      <c r="A325" s="26" t="s">
        <v>402</v>
      </c>
      <c r="B325" s="27">
        <v>466.4</v>
      </c>
      <c r="C325" s="27">
        <v>192.8</v>
      </c>
      <c r="D325" s="27">
        <v>11.4</v>
      </c>
      <c r="E325" s="27">
        <v>19</v>
      </c>
      <c r="F325" s="27">
        <v>12.7</v>
      </c>
      <c r="G325" s="27">
        <v>403</v>
      </c>
      <c r="H325" s="27">
        <v>44770</v>
      </c>
      <c r="I325" s="27">
        <v>2276</v>
      </c>
      <c r="J325" s="27">
        <v>1920</v>
      </c>
      <c r="K325" s="27">
        <v>236</v>
      </c>
      <c r="L325" s="27">
        <v>2191</v>
      </c>
      <c r="M325" s="27">
        <v>368</v>
      </c>
      <c r="N325" s="33">
        <v>123</v>
      </c>
      <c r="O325" s="26" t="s">
        <v>402</v>
      </c>
      <c r="P325" s="27">
        <v>96.9</v>
      </c>
      <c r="Q325" s="27">
        <v>466.4</v>
      </c>
      <c r="R325" s="27">
        <v>192.8</v>
      </c>
      <c r="S325" s="27">
        <v>11.4</v>
      </c>
      <c r="T325" s="27">
        <v>19</v>
      </c>
      <c r="U325" s="27">
        <v>12.7</v>
      </c>
      <c r="V325" s="27">
        <v>403</v>
      </c>
      <c r="W325" s="27">
        <v>5.07</v>
      </c>
      <c r="X325" s="27">
        <v>35.4</v>
      </c>
      <c r="Y325" s="27">
        <v>44770</v>
      </c>
      <c r="Z325" s="27">
        <v>2276</v>
      </c>
      <c r="AA325" s="27">
        <v>19</v>
      </c>
      <c r="AB325" s="27">
        <v>4.29</v>
      </c>
      <c r="AC325" s="27">
        <v>1920</v>
      </c>
      <c r="AD325" s="27">
        <v>236</v>
      </c>
      <c r="AE325" s="27">
        <v>2191</v>
      </c>
      <c r="AF325" s="27">
        <v>368</v>
      </c>
      <c r="AG325" s="27">
        <v>0.879</v>
      </c>
      <c r="AH325" s="27">
        <v>26.1</v>
      </c>
      <c r="AI325" s="27">
        <v>1.1399999999999999</v>
      </c>
      <c r="AJ325" s="27">
        <v>116</v>
      </c>
      <c r="AK325" s="33">
        <v>123</v>
      </c>
    </row>
    <row r="326" spans="1:37" ht="14.25">
      <c r="A326" s="26" t="s">
        <v>403</v>
      </c>
      <c r="B326" s="27">
        <v>463.2</v>
      </c>
      <c r="C326" s="27">
        <v>191.9</v>
      </c>
      <c r="D326" s="27">
        <v>10.5</v>
      </c>
      <c r="E326" s="27">
        <v>17.7</v>
      </c>
      <c r="F326" s="27">
        <v>12.7</v>
      </c>
      <c r="G326" s="27">
        <v>402.4</v>
      </c>
      <c r="H326" s="27">
        <v>41190</v>
      </c>
      <c r="I326" s="27">
        <v>2090</v>
      </c>
      <c r="J326" s="27">
        <v>1779</v>
      </c>
      <c r="K326" s="27">
        <v>218</v>
      </c>
      <c r="L326" s="27">
        <v>2023</v>
      </c>
      <c r="M326" s="27">
        <v>339</v>
      </c>
      <c r="N326" s="33">
        <v>114</v>
      </c>
      <c r="O326" s="26" t="s">
        <v>403</v>
      </c>
      <c r="P326" s="27">
        <v>89.7</v>
      </c>
      <c r="Q326" s="27">
        <v>463.2</v>
      </c>
      <c r="R326" s="27">
        <v>191.9</v>
      </c>
      <c r="S326" s="27">
        <v>10.5</v>
      </c>
      <c r="T326" s="27">
        <v>17.7</v>
      </c>
      <c r="U326" s="27">
        <v>12.7</v>
      </c>
      <c r="V326" s="27">
        <v>402.4</v>
      </c>
      <c r="W326" s="27">
        <v>5.42</v>
      </c>
      <c r="X326" s="27">
        <v>38.299999999999997</v>
      </c>
      <c r="Y326" s="27">
        <v>41190</v>
      </c>
      <c r="Z326" s="27">
        <v>2090</v>
      </c>
      <c r="AA326" s="27">
        <v>19</v>
      </c>
      <c r="AB326" s="27">
        <v>4.28</v>
      </c>
      <c r="AC326" s="27">
        <v>1779</v>
      </c>
      <c r="AD326" s="27">
        <v>218</v>
      </c>
      <c r="AE326" s="27">
        <v>2023</v>
      </c>
      <c r="AF326" s="27">
        <v>339</v>
      </c>
      <c r="AG326" s="27">
        <v>0.88</v>
      </c>
      <c r="AH326" s="27">
        <v>27.9</v>
      </c>
      <c r="AI326" s="27">
        <v>1.04</v>
      </c>
      <c r="AJ326" s="27">
        <v>93.3</v>
      </c>
      <c r="AK326" s="33">
        <v>114</v>
      </c>
    </row>
    <row r="327" spans="1:37" ht="14.25">
      <c r="A327" s="26" t="s">
        <v>404</v>
      </c>
      <c r="B327" s="27">
        <v>460</v>
      </c>
      <c r="C327" s="27">
        <v>191.3</v>
      </c>
      <c r="D327" s="27">
        <v>9.9</v>
      </c>
      <c r="E327" s="27">
        <v>16</v>
      </c>
      <c r="F327" s="27">
        <v>12.7</v>
      </c>
      <c r="G327" s="27">
        <v>402.6</v>
      </c>
      <c r="H327" s="27">
        <v>37270</v>
      </c>
      <c r="I327" s="27">
        <v>1871</v>
      </c>
      <c r="J327" s="27">
        <v>1620</v>
      </c>
      <c r="K327" s="27">
        <v>196</v>
      </c>
      <c r="L327" s="27">
        <v>1842</v>
      </c>
      <c r="M327" s="27">
        <v>304</v>
      </c>
      <c r="N327" s="33">
        <v>105</v>
      </c>
      <c r="O327" s="26" t="s">
        <v>404</v>
      </c>
      <c r="P327" s="27">
        <v>82.4</v>
      </c>
      <c r="Q327" s="27">
        <v>460</v>
      </c>
      <c r="R327" s="27">
        <v>191.3</v>
      </c>
      <c r="S327" s="27">
        <v>9.9</v>
      </c>
      <c r="T327" s="27">
        <v>16</v>
      </c>
      <c r="U327" s="27">
        <v>12.7</v>
      </c>
      <c r="V327" s="27">
        <v>402.6</v>
      </c>
      <c r="W327" s="27">
        <v>5.98</v>
      </c>
      <c r="X327" s="27">
        <v>40.700000000000003</v>
      </c>
      <c r="Y327" s="27">
        <v>37270</v>
      </c>
      <c r="Z327" s="27">
        <v>1871</v>
      </c>
      <c r="AA327" s="27">
        <v>18.8</v>
      </c>
      <c r="AB327" s="27">
        <v>4.22</v>
      </c>
      <c r="AC327" s="27">
        <v>1620</v>
      </c>
      <c r="AD327" s="27">
        <v>196</v>
      </c>
      <c r="AE327" s="27">
        <v>1842</v>
      </c>
      <c r="AF327" s="27">
        <v>304</v>
      </c>
      <c r="AG327" s="27">
        <v>0.878</v>
      </c>
      <c r="AH327" s="27">
        <v>30.5</v>
      </c>
      <c r="AI327" s="27">
        <v>0.92200000000000004</v>
      </c>
      <c r="AJ327" s="27">
        <v>71.400000000000006</v>
      </c>
      <c r="AK327" s="33">
        <v>105</v>
      </c>
    </row>
    <row r="328" spans="1:37" ht="14.25">
      <c r="A328" s="26" t="s">
        <v>405</v>
      </c>
      <c r="B328" s="27">
        <v>457</v>
      </c>
      <c r="C328" s="27">
        <v>190.4</v>
      </c>
      <c r="D328" s="27">
        <v>9</v>
      </c>
      <c r="E328" s="27">
        <v>14.5</v>
      </c>
      <c r="F328" s="27">
        <v>12.7</v>
      </c>
      <c r="G328" s="27">
        <v>402.6</v>
      </c>
      <c r="H328" s="27">
        <v>33540</v>
      </c>
      <c r="I328" s="27">
        <v>1672</v>
      </c>
      <c r="J328" s="27">
        <v>1468</v>
      </c>
      <c r="K328" s="27">
        <v>176</v>
      </c>
      <c r="L328" s="27">
        <v>1663</v>
      </c>
      <c r="M328" s="27">
        <v>273</v>
      </c>
      <c r="N328" s="33">
        <v>95.1</v>
      </c>
      <c r="O328" s="26" t="s">
        <v>405</v>
      </c>
      <c r="P328" s="27">
        <v>74.7</v>
      </c>
      <c r="Q328" s="27">
        <v>457</v>
      </c>
      <c r="R328" s="27">
        <v>190.4</v>
      </c>
      <c r="S328" s="27">
        <v>9</v>
      </c>
      <c r="T328" s="27">
        <v>14.5</v>
      </c>
      <c r="U328" s="27">
        <v>12.7</v>
      </c>
      <c r="V328" s="27">
        <v>402.6</v>
      </c>
      <c r="W328" s="27">
        <v>6.57</v>
      </c>
      <c r="X328" s="27">
        <v>44.7</v>
      </c>
      <c r="Y328" s="27">
        <v>33540</v>
      </c>
      <c r="Z328" s="27">
        <v>1672</v>
      </c>
      <c r="AA328" s="27">
        <v>18.8</v>
      </c>
      <c r="AB328" s="27">
        <v>4.1900000000000004</v>
      </c>
      <c r="AC328" s="27">
        <v>1468</v>
      </c>
      <c r="AD328" s="27">
        <v>176</v>
      </c>
      <c r="AE328" s="27">
        <v>1663</v>
      </c>
      <c r="AF328" s="27">
        <v>273</v>
      </c>
      <c r="AG328" s="27">
        <v>0.878</v>
      </c>
      <c r="AH328" s="27">
        <v>33.4</v>
      </c>
      <c r="AI328" s="27">
        <v>0.81799999999999995</v>
      </c>
      <c r="AJ328" s="27">
        <v>53.6</v>
      </c>
      <c r="AK328" s="33">
        <v>95.1</v>
      </c>
    </row>
    <row r="329" spans="1:37">
      <c r="A329" s="26" t="s">
        <v>406</v>
      </c>
      <c r="B329" s="27">
        <v>458.7</v>
      </c>
      <c r="C329" s="27">
        <v>153.9</v>
      </c>
      <c r="D329" s="27">
        <v>9.1</v>
      </c>
      <c r="E329" s="27">
        <v>15.4</v>
      </c>
      <c r="F329" s="27">
        <v>12.7</v>
      </c>
      <c r="G329" s="27">
        <v>402.5</v>
      </c>
      <c r="H329" s="27">
        <v>29860</v>
      </c>
      <c r="I329" s="27">
        <v>939</v>
      </c>
      <c r="J329" s="27">
        <v>1302</v>
      </c>
      <c r="K329" s="27">
        <v>122</v>
      </c>
      <c r="L329" s="27">
        <v>1496</v>
      </c>
      <c r="M329" s="27">
        <v>192</v>
      </c>
      <c r="N329" s="33">
        <v>87.7</v>
      </c>
      <c r="O329" s="26" t="s">
        <v>406</v>
      </c>
      <c r="P329" s="27">
        <v>68.900000000000006</v>
      </c>
      <c r="Q329" s="27">
        <v>458.7</v>
      </c>
      <c r="R329" s="27">
        <v>153.9</v>
      </c>
      <c r="S329" s="27">
        <v>9.1</v>
      </c>
      <c r="T329" s="27">
        <v>15.4</v>
      </c>
      <c r="U329" s="27">
        <v>12.7</v>
      </c>
      <c r="V329" s="27">
        <v>402.5</v>
      </c>
      <c r="W329" s="27">
        <v>5</v>
      </c>
      <c r="X329" s="27">
        <v>44.2</v>
      </c>
      <c r="Y329" s="27">
        <v>29860</v>
      </c>
      <c r="Z329" s="27">
        <v>939</v>
      </c>
      <c r="AA329" s="27">
        <v>18.399999999999999</v>
      </c>
      <c r="AB329" s="27">
        <v>3.27</v>
      </c>
      <c r="AC329" s="27">
        <v>1302</v>
      </c>
      <c r="AD329" s="27">
        <v>122</v>
      </c>
      <c r="AE329" s="27">
        <v>1496</v>
      </c>
      <c r="AF329" s="27">
        <v>192</v>
      </c>
      <c r="AG329" s="27">
        <v>0.87</v>
      </c>
      <c r="AH329" s="27">
        <v>32.299999999999997</v>
      </c>
      <c r="AI329" s="27">
        <v>0.46100000000000002</v>
      </c>
      <c r="AJ329" s="27">
        <v>52.9</v>
      </c>
      <c r="AK329" s="33">
        <v>87.7</v>
      </c>
    </row>
    <row r="330" spans="1:37">
      <c r="A330" s="26" t="s">
        <v>407</v>
      </c>
      <c r="B330" s="27">
        <v>454.7</v>
      </c>
      <c r="C330" s="27">
        <v>152.80000000000001</v>
      </c>
      <c r="D330" s="27">
        <v>8</v>
      </c>
      <c r="E330" s="27">
        <v>13.3</v>
      </c>
      <c r="F330" s="27">
        <v>12.7</v>
      </c>
      <c r="G330" s="27">
        <v>402.7</v>
      </c>
      <c r="H330" s="27">
        <v>25650</v>
      </c>
      <c r="I330" s="27">
        <v>793</v>
      </c>
      <c r="J330" s="27">
        <v>1128</v>
      </c>
      <c r="K330" s="27">
        <v>104</v>
      </c>
      <c r="L330" s="27">
        <v>1293</v>
      </c>
      <c r="M330" s="27">
        <v>163</v>
      </c>
      <c r="N330" s="33">
        <v>76.3</v>
      </c>
      <c r="O330" s="26" t="s">
        <v>407</v>
      </c>
      <c r="P330" s="27">
        <v>59.9</v>
      </c>
      <c r="Q330" s="27">
        <v>454.7</v>
      </c>
      <c r="R330" s="27">
        <v>152.80000000000001</v>
      </c>
      <c r="S330" s="27">
        <v>8</v>
      </c>
      <c r="T330" s="27">
        <v>13.3</v>
      </c>
      <c r="U330" s="27">
        <v>12.7</v>
      </c>
      <c r="V330" s="27">
        <v>402.7</v>
      </c>
      <c r="W330" s="27">
        <v>5.74</v>
      </c>
      <c r="X330" s="27">
        <v>50.3</v>
      </c>
      <c r="Y330" s="27">
        <v>25650</v>
      </c>
      <c r="Z330" s="27">
        <v>793</v>
      </c>
      <c r="AA330" s="27">
        <v>18.3</v>
      </c>
      <c r="AB330" s="27">
        <v>3.23</v>
      </c>
      <c r="AC330" s="27">
        <v>1128</v>
      </c>
      <c r="AD330" s="27">
        <v>104</v>
      </c>
      <c r="AE330" s="27">
        <v>1293</v>
      </c>
      <c r="AF330" s="27">
        <v>163</v>
      </c>
      <c r="AG330" s="27">
        <v>0.86899999999999999</v>
      </c>
      <c r="AH330" s="27">
        <v>36.9</v>
      </c>
      <c r="AI330" s="27">
        <v>0.38600000000000001</v>
      </c>
      <c r="AJ330" s="27">
        <v>35.1</v>
      </c>
      <c r="AK330" s="33">
        <v>76.3</v>
      </c>
    </row>
    <row r="331" spans="1:37">
      <c r="A331" s="24" t="s">
        <v>408</v>
      </c>
      <c r="B331" s="25">
        <v>449.6</v>
      </c>
      <c r="C331" s="25">
        <v>152.4</v>
      </c>
      <c r="D331" s="25">
        <v>7.6</v>
      </c>
      <c r="E331" s="25">
        <v>10.8</v>
      </c>
      <c r="F331" s="25">
        <v>12.7</v>
      </c>
      <c r="G331" s="25">
        <v>402.6</v>
      </c>
      <c r="H331" s="25">
        <v>21430</v>
      </c>
      <c r="I331" s="25">
        <v>639</v>
      </c>
      <c r="J331" s="25">
        <v>953</v>
      </c>
      <c r="K331" s="25">
        <v>83.9</v>
      </c>
      <c r="L331" s="25">
        <v>1100</v>
      </c>
      <c r="M331" s="25">
        <v>133</v>
      </c>
      <c r="N331" s="32">
        <v>66.8</v>
      </c>
      <c r="O331" s="24" t="s">
        <v>408</v>
      </c>
      <c r="P331" s="25">
        <v>52.5</v>
      </c>
      <c r="Q331" s="25">
        <v>449.6</v>
      </c>
      <c r="R331" s="25">
        <v>152.4</v>
      </c>
      <c r="S331" s="25">
        <v>7.6</v>
      </c>
      <c r="T331" s="25">
        <v>10.8</v>
      </c>
      <c r="U331" s="25">
        <v>12.7</v>
      </c>
      <c r="V331" s="25">
        <v>402.6</v>
      </c>
      <c r="W331" s="25">
        <v>7.06</v>
      </c>
      <c r="X331" s="25">
        <v>53</v>
      </c>
      <c r="Y331" s="25">
        <v>21430</v>
      </c>
      <c r="Z331" s="25">
        <v>639</v>
      </c>
      <c r="AA331" s="25">
        <v>17.899999999999999</v>
      </c>
      <c r="AB331" s="25">
        <v>3.09</v>
      </c>
      <c r="AC331" s="25">
        <v>953</v>
      </c>
      <c r="AD331" s="25">
        <v>83.9</v>
      </c>
      <c r="AE331" s="25">
        <v>1100</v>
      </c>
      <c r="AF331" s="25">
        <v>133</v>
      </c>
      <c r="AG331" s="25">
        <v>0.85899999999999999</v>
      </c>
      <c r="AH331" s="25">
        <v>43.1</v>
      </c>
      <c r="AI331" s="25">
        <v>0.308</v>
      </c>
      <c r="AJ331" s="25">
        <v>22.2</v>
      </c>
      <c r="AK331" s="32">
        <v>66.8</v>
      </c>
    </row>
    <row r="332" spans="1:37">
      <c r="A332" s="26" t="s">
        <v>409</v>
      </c>
      <c r="B332" s="27">
        <v>417.3</v>
      </c>
      <c r="C332" s="27">
        <v>180.8</v>
      </c>
      <c r="D332" s="27">
        <v>10.9</v>
      </c>
      <c r="E332" s="27">
        <v>18.2</v>
      </c>
      <c r="F332" s="27">
        <v>11.5</v>
      </c>
      <c r="G332" s="27">
        <v>357.9</v>
      </c>
      <c r="H332" s="27">
        <v>31640</v>
      </c>
      <c r="I332" s="27">
        <v>1798</v>
      </c>
      <c r="J332" s="27">
        <v>1517</v>
      </c>
      <c r="K332" s="27">
        <v>199</v>
      </c>
      <c r="L332" s="27">
        <v>1730</v>
      </c>
      <c r="M332" s="27">
        <v>310</v>
      </c>
      <c r="N332" s="33">
        <v>108</v>
      </c>
      <c r="O332" s="26" t="s">
        <v>409</v>
      </c>
      <c r="P332" s="27">
        <v>85.1</v>
      </c>
      <c r="Q332" s="27">
        <v>417.3</v>
      </c>
      <c r="R332" s="27">
        <v>180.8</v>
      </c>
      <c r="S332" s="27">
        <v>10.9</v>
      </c>
      <c r="T332" s="27">
        <v>18.2</v>
      </c>
      <c r="U332" s="27">
        <v>11.5</v>
      </c>
      <c r="V332" s="27">
        <v>357.9</v>
      </c>
      <c r="W332" s="27">
        <v>4.97</v>
      </c>
      <c r="X332" s="27">
        <v>32.799999999999997</v>
      </c>
      <c r="Y332" s="27">
        <v>31640</v>
      </c>
      <c r="Z332" s="27">
        <v>1798</v>
      </c>
      <c r="AA332" s="27">
        <v>17.100000000000001</v>
      </c>
      <c r="AB332" s="27">
        <v>4.07</v>
      </c>
      <c r="AC332" s="27">
        <v>1517</v>
      </c>
      <c r="AD332" s="27">
        <v>199</v>
      </c>
      <c r="AE332" s="27">
        <v>1730</v>
      </c>
      <c r="AF332" s="27">
        <v>310</v>
      </c>
      <c r="AG332" s="27">
        <v>0.88100000000000001</v>
      </c>
      <c r="AH332" s="27">
        <v>24.3</v>
      </c>
      <c r="AI332" s="27">
        <v>0.71599999999999997</v>
      </c>
      <c r="AJ332" s="27">
        <v>93.9</v>
      </c>
      <c r="AK332" s="33">
        <v>108</v>
      </c>
    </row>
    <row r="333" spans="1:37">
      <c r="A333" s="26" t="s">
        <v>410</v>
      </c>
      <c r="B333" s="27">
        <v>413</v>
      </c>
      <c r="C333" s="27">
        <v>179.6</v>
      </c>
      <c r="D333" s="27">
        <v>9.6999999999999993</v>
      </c>
      <c r="E333" s="27">
        <v>16</v>
      </c>
      <c r="F333" s="27">
        <v>11.5</v>
      </c>
      <c r="G333" s="27">
        <v>358</v>
      </c>
      <c r="H333" s="27">
        <v>27530</v>
      </c>
      <c r="I333" s="27">
        <v>1548</v>
      </c>
      <c r="J333" s="27">
        <v>1333</v>
      </c>
      <c r="K333" s="27">
        <v>172</v>
      </c>
      <c r="L333" s="27">
        <v>1514</v>
      </c>
      <c r="M333" s="27">
        <v>268</v>
      </c>
      <c r="N333" s="33">
        <v>95.6</v>
      </c>
      <c r="O333" s="26" t="s">
        <v>410</v>
      </c>
      <c r="P333" s="27">
        <v>75</v>
      </c>
      <c r="Q333" s="27">
        <v>413</v>
      </c>
      <c r="R333" s="27">
        <v>179.6</v>
      </c>
      <c r="S333" s="27">
        <v>9.6999999999999993</v>
      </c>
      <c r="T333" s="27">
        <v>16</v>
      </c>
      <c r="U333" s="27">
        <v>11.5</v>
      </c>
      <c r="V333" s="27">
        <v>358</v>
      </c>
      <c r="W333" s="27">
        <v>5.61</v>
      </c>
      <c r="X333" s="27">
        <v>36.9</v>
      </c>
      <c r="Y333" s="27">
        <v>27530</v>
      </c>
      <c r="Z333" s="27">
        <v>1548</v>
      </c>
      <c r="AA333" s="27">
        <v>17</v>
      </c>
      <c r="AB333" s="27">
        <v>4.03</v>
      </c>
      <c r="AC333" s="27">
        <v>1333</v>
      </c>
      <c r="AD333" s="27">
        <v>172</v>
      </c>
      <c r="AE333" s="27">
        <v>1514</v>
      </c>
      <c r="AF333" s="27">
        <v>268</v>
      </c>
      <c r="AG333" s="27">
        <v>0.88100000000000001</v>
      </c>
      <c r="AH333" s="27">
        <v>27.3</v>
      </c>
      <c r="AI333" s="27">
        <v>0.61</v>
      </c>
      <c r="AJ333" s="27">
        <v>64.7</v>
      </c>
      <c r="AK333" s="33">
        <v>95.6</v>
      </c>
    </row>
    <row r="334" spans="1:37">
      <c r="A334" s="26" t="s">
        <v>411</v>
      </c>
      <c r="B334" s="27">
        <v>409.7</v>
      </c>
      <c r="C334" s="27">
        <v>178.7</v>
      </c>
      <c r="D334" s="27">
        <v>8.8000000000000007</v>
      </c>
      <c r="E334" s="27">
        <v>14.4</v>
      </c>
      <c r="F334" s="27">
        <v>11.5</v>
      </c>
      <c r="G334" s="27">
        <v>357.9</v>
      </c>
      <c r="H334" s="27">
        <v>24570</v>
      </c>
      <c r="I334" s="27">
        <v>1372</v>
      </c>
      <c r="J334" s="27">
        <v>1199</v>
      </c>
      <c r="K334" s="27">
        <v>154</v>
      </c>
      <c r="L334" s="27">
        <v>1358</v>
      </c>
      <c r="M334" s="27">
        <v>238</v>
      </c>
      <c r="N334" s="33">
        <v>86.1</v>
      </c>
      <c r="O334" s="26" t="s">
        <v>411</v>
      </c>
      <c r="P334" s="27">
        <v>67.599999999999994</v>
      </c>
      <c r="Q334" s="27">
        <v>409.7</v>
      </c>
      <c r="R334" s="27">
        <v>178.7</v>
      </c>
      <c r="S334" s="27">
        <v>8.8000000000000007</v>
      </c>
      <c r="T334" s="27">
        <v>14.4</v>
      </c>
      <c r="U334" s="27">
        <v>11.5</v>
      </c>
      <c r="V334" s="27">
        <v>357.9</v>
      </c>
      <c r="W334" s="27">
        <v>6.2</v>
      </c>
      <c r="X334" s="27">
        <v>40.700000000000003</v>
      </c>
      <c r="Y334" s="27">
        <v>24570</v>
      </c>
      <c r="Z334" s="27">
        <v>1372</v>
      </c>
      <c r="AA334" s="27">
        <v>16.899999999999999</v>
      </c>
      <c r="AB334" s="27">
        <v>3.99</v>
      </c>
      <c r="AC334" s="27">
        <v>1199</v>
      </c>
      <c r="AD334" s="27">
        <v>154</v>
      </c>
      <c r="AE334" s="27">
        <v>1358</v>
      </c>
      <c r="AF334" s="27">
        <v>238</v>
      </c>
      <c r="AG334" s="27">
        <v>0.88</v>
      </c>
      <c r="AH334" s="27">
        <v>30.1</v>
      </c>
      <c r="AI334" s="27">
        <v>0.53600000000000003</v>
      </c>
      <c r="AJ334" s="27">
        <v>47.7</v>
      </c>
      <c r="AK334" s="33">
        <v>86.1</v>
      </c>
    </row>
    <row r="335" spans="1:37">
      <c r="A335" s="26" t="s">
        <v>412</v>
      </c>
      <c r="B335" s="27">
        <v>406.7</v>
      </c>
      <c r="C335" s="27">
        <v>177.7</v>
      </c>
      <c r="D335" s="27">
        <v>7.7</v>
      </c>
      <c r="E335" s="27">
        <v>12.8</v>
      </c>
      <c r="F335" s="27">
        <v>11.5</v>
      </c>
      <c r="G335" s="27">
        <v>358.1</v>
      </c>
      <c r="H335" s="27">
        <v>21600</v>
      </c>
      <c r="I335" s="27">
        <v>1199</v>
      </c>
      <c r="J335" s="27">
        <v>1062</v>
      </c>
      <c r="K335" s="27">
        <v>135</v>
      </c>
      <c r="L335" s="27">
        <v>1197</v>
      </c>
      <c r="M335" s="27">
        <v>208</v>
      </c>
      <c r="N335" s="33">
        <v>76</v>
      </c>
      <c r="O335" s="26" t="s">
        <v>412</v>
      </c>
      <c r="P335" s="27">
        <v>59.6</v>
      </c>
      <c r="Q335" s="27">
        <v>406.7</v>
      </c>
      <c r="R335" s="27">
        <v>177.7</v>
      </c>
      <c r="S335" s="27">
        <v>7.7</v>
      </c>
      <c r="T335" s="27">
        <v>12.8</v>
      </c>
      <c r="U335" s="27">
        <v>11.5</v>
      </c>
      <c r="V335" s="27">
        <v>358.1</v>
      </c>
      <c r="W335" s="27">
        <v>6.94</v>
      </c>
      <c r="X335" s="27">
        <v>46.5</v>
      </c>
      <c r="Y335" s="27">
        <v>21600</v>
      </c>
      <c r="Z335" s="27">
        <v>1199</v>
      </c>
      <c r="AA335" s="27">
        <v>16.899999999999999</v>
      </c>
      <c r="AB335" s="27">
        <v>3.97</v>
      </c>
      <c r="AC335" s="27">
        <v>1062</v>
      </c>
      <c r="AD335" s="27">
        <v>135</v>
      </c>
      <c r="AE335" s="27">
        <v>1197</v>
      </c>
      <c r="AF335" s="27">
        <v>208</v>
      </c>
      <c r="AG335" s="27">
        <v>0.88200000000000001</v>
      </c>
      <c r="AH335" s="27">
        <v>33.6</v>
      </c>
      <c r="AI335" s="27">
        <v>0.46500000000000002</v>
      </c>
      <c r="AJ335" s="27">
        <v>33.4</v>
      </c>
      <c r="AK335" s="33">
        <v>76</v>
      </c>
    </row>
    <row r="336" spans="1:37">
      <c r="A336" s="26" t="s">
        <v>413</v>
      </c>
      <c r="B336" s="27">
        <v>402.8</v>
      </c>
      <c r="C336" s="27">
        <v>177.4</v>
      </c>
      <c r="D336" s="27">
        <v>7.5</v>
      </c>
      <c r="E336" s="27">
        <v>10.9</v>
      </c>
      <c r="F336" s="27">
        <v>11.5</v>
      </c>
      <c r="G336" s="27">
        <v>358</v>
      </c>
      <c r="H336" s="27">
        <v>18710</v>
      </c>
      <c r="I336" s="27">
        <v>1016</v>
      </c>
      <c r="J336" s="27">
        <v>929</v>
      </c>
      <c r="K336" s="27">
        <v>115</v>
      </c>
      <c r="L336" s="27">
        <v>1051</v>
      </c>
      <c r="M336" s="27">
        <v>178</v>
      </c>
      <c r="N336" s="33">
        <v>68.400000000000006</v>
      </c>
      <c r="O336" s="26" t="s">
        <v>413</v>
      </c>
      <c r="P336" s="27">
        <v>53.7</v>
      </c>
      <c r="Q336" s="27">
        <v>402.8</v>
      </c>
      <c r="R336" s="27">
        <v>177.4</v>
      </c>
      <c r="S336" s="27">
        <v>7.5</v>
      </c>
      <c r="T336" s="27">
        <v>10.9</v>
      </c>
      <c r="U336" s="27">
        <v>11.5</v>
      </c>
      <c r="V336" s="27">
        <v>358</v>
      </c>
      <c r="W336" s="27">
        <v>8.14</v>
      </c>
      <c r="X336" s="27">
        <v>47.7</v>
      </c>
      <c r="Y336" s="27">
        <v>18710</v>
      </c>
      <c r="Z336" s="27">
        <v>1016</v>
      </c>
      <c r="AA336" s="27">
        <v>16.5</v>
      </c>
      <c r="AB336" s="27">
        <v>3.85</v>
      </c>
      <c r="AC336" s="27">
        <v>929</v>
      </c>
      <c r="AD336" s="27">
        <v>115</v>
      </c>
      <c r="AE336" s="27">
        <v>1051</v>
      </c>
      <c r="AF336" s="27">
        <v>178</v>
      </c>
      <c r="AG336" s="27">
        <v>0.873</v>
      </c>
      <c r="AH336" s="27">
        <v>38.1</v>
      </c>
      <c r="AI336" s="27">
        <v>0.39</v>
      </c>
      <c r="AJ336" s="27">
        <v>23.2</v>
      </c>
      <c r="AK336" s="33">
        <v>68.400000000000006</v>
      </c>
    </row>
    <row r="337" spans="1:37" ht="14.25">
      <c r="A337" s="26" t="s">
        <v>414</v>
      </c>
      <c r="B337" s="27">
        <v>403.4</v>
      </c>
      <c r="C337" s="27">
        <v>140.30000000000001</v>
      </c>
      <c r="D337" s="27">
        <v>7</v>
      </c>
      <c r="E337" s="27">
        <v>11.1</v>
      </c>
      <c r="F337" s="27">
        <v>12.7</v>
      </c>
      <c r="G337" s="27">
        <v>355.8</v>
      </c>
      <c r="H337" s="27">
        <v>15710</v>
      </c>
      <c r="I337" s="27">
        <v>513</v>
      </c>
      <c r="J337" s="27">
        <v>779</v>
      </c>
      <c r="K337" s="27">
        <v>73.099999999999994</v>
      </c>
      <c r="L337" s="27">
        <v>891</v>
      </c>
      <c r="M337" s="27">
        <v>115</v>
      </c>
      <c r="N337" s="33">
        <v>59.2</v>
      </c>
      <c r="O337" s="26" t="s">
        <v>414</v>
      </c>
      <c r="P337" s="27">
        <v>46.5</v>
      </c>
      <c r="Q337" s="27">
        <v>403.4</v>
      </c>
      <c r="R337" s="27">
        <v>140.30000000000001</v>
      </c>
      <c r="S337" s="27">
        <v>7</v>
      </c>
      <c r="T337" s="27">
        <v>11.1</v>
      </c>
      <c r="U337" s="27">
        <v>12.7</v>
      </c>
      <c r="V337" s="27">
        <v>355.8</v>
      </c>
      <c r="W337" s="27">
        <v>6.32</v>
      </c>
      <c r="X337" s="27">
        <v>50.8</v>
      </c>
      <c r="Y337" s="27">
        <v>15710</v>
      </c>
      <c r="Z337" s="27">
        <v>513</v>
      </c>
      <c r="AA337" s="27">
        <v>16.3</v>
      </c>
      <c r="AB337" s="27">
        <v>2.94</v>
      </c>
      <c r="AC337" s="27">
        <v>779</v>
      </c>
      <c r="AD337" s="27">
        <v>73.099999999999994</v>
      </c>
      <c r="AE337" s="27">
        <v>891</v>
      </c>
      <c r="AF337" s="27">
        <v>115</v>
      </c>
      <c r="AG337" s="27">
        <v>0.86899999999999999</v>
      </c>
      <c r="AH337" s="27">
        <v>38.1</v>
      </c>
      <c r="AI337" s="27">
        <v>0.19700000000000001</v>
      </c>
      <c r="AJ337" s="27">
        <v>20.100000000000001</v>
      </c>
      <c r="AK337" s="33">
        <v>59.2</v>
      </c>
    </row>
    <row r="338" spans="1:37" ht="14.25">
      <c r="A338" s="24" t="s">
        <v>415</v>
      </c>
      <c r="B338" s="25">
        <v>398.5</v>
      </c>
      <c r="C338" s="25">
        <v>139.69999999999999</v>
      </c>
      <c r="D338" s="25">
        <v>6.4</v>
      </c>
      <c r="E338" s="25">
        <v>8.8000000000000007</v>
      </c>
      <c r="F338" s="25">
        <v>12.7</v>
      </c>
      <c r="G338" s="25">
        <v>355.5</v>
      </c>
      <c r="H338" s="25">
        <v>12770</v>
      </c>
      <c r="I338" s="25">
        <v>401</v>
      </c>
      <c r="J338" s="25">
        <v>641</v>
      </c>
      <c r="K338" s="25">
        <v>57.4</v>
      </c>
      <c r="L338" s="25">
        <v>737</v>
      </c>
      <c r="M338" s="25">
        <v>90.6</v>
      </c>
      <c r="N338" s="32">
        <v>50.3</v>
      </c>
      <c r="O338" s="24" t="s">
        <v>415</v>
      </c>
      <c r="P338" s="25">
        <v>39.5</v>
      </c>
      <c r="Q338" s="25">
        <v>398.5</v>
      </c>
      <c r="R338" s="25">
        <v>139.69999999999999</v>
      </c>
      <c r="S338" s="25">
        <v>6.4</v>
      </c>
      <c r="T338" s="25">
        <v>8.8000000000000007</v>
      </c>
      <c r="U338" s="25">
        <v>12.7</v>
      </c>
      <c r="V338" s="25">
        <v>355.5</v>
      </c>
      <c r="W338" s="25">
        <v>7.94</v>
      </c>
      <c r="X338" s="25">
        <v>55.5</v>
      </c>
      <c r="Y338" s="25">
        <v>12770</v>
      </c>
      <c r="Z338" s="25">
        <v>401</v>
      </c>
      <c r="AA338" s="25">
        <v>15.9</v>
      </c>
      <c r="AB338" s="25">
        <v>2.82</v>
      </c>
      <c r="AC338" s="25">
        <v>641</v>
      </c>
      <c r="AD338" s="25">
        <v>57.4</v>
      </c>
      <c r="AE338" s="25">
        <v>737</v>
      </c>
      <c r="AF338" s="25">
        <v>90.6</v>
      </c>
      <c r="AG338" s="25">
        <v>0.86</v>
      </c>
      <c r="AH338" s="25">
        <v>45.3</v>
      </c>
      <c r="AI338" s="25">
        <v>0.152</v>
      </c>
      <c r="AJ338" s="25">
        <v>12</v>
      </c>
      <c r="AK338" s="32">
        <v>50.3</v>
      </c>
    </row>
    <row r="339" spans="1:37">
      <c r="A339" s="26" t="s">
        <v>416</v>
      </c>
      <c r="B339" s="27">
        <v>569.4</v>
      </c>
      <c r="C339" s="27">
        <v>454.4</v>
      </c>
      <c r="D339" s="27">
        <v>78</v>
      </c>
      <c r="E339" s="27">
        <v>125</v>
      </c>
      <c r="F339" s="27">
        <v>20</v>
      </c>
      <c r="G339" s="27">
        <v>279.39999999999998</v>
      </c>
      <c r="H339" s="27">
        <v>597700</v>
      </c>
      <c r="I339" s="27">
        <v>196800</v>
      </c>
      <c r="J339" s="27">
        <v>20990</v>
      </c>
      <c r="K339" s="27">
        <v>8662</v>
      </c>
      <c r="L339" s="27">
        <v>27280</v>
      </c>
      <c r="M339" s="27">
        <v>13410</v>
      </c>
      <c r="N339" s="33">
        <v>1389</v>
      </c>
      <c r="O339" s="26" t="s">
        <v>416</v>
      </c>
      <c r="P339" s="27">
        <v>1090</v>
      </c>
      <c r="Q339" s="27">
        <v>569.4</v>
      </c>
      <c r="R339" s="27">
        <v>454.4</v>
      </c>
      <c r="S339" s="27">
        <v>78</v>
      </c>
      <c r="T339" s="27">
        <v>125</v>
      </c>
      <c r="U339" s="27">
        <v>20</v>
      </c>
      <c r="V339" s="27">
        <v>279.39999999999998</v>
      </c>
      <c r="W339" s="27">
        <v>1.82</v>
      </c>
      <c r="X339" s="27">
        <v>3.58</v>
      </c>
      <c r="Y339" s="27">
        <v>597700</v>
      </c>
      <c r="Z339" s="27">
        <v>196800</v>
      </c>
      <c r="AA339" s="27">
        <v>20.7</v>
      </c>
      <c r="AB339" s="27">
        <v>11.9</v>
      </c>
      <c r="AC339" s="27">
        <v>20990</v>
      </c>
      <c r="AD339" s="27">
        <v>8662</v>
      </c>
      <c r="AE339" s="27">
        <v>27280</v>
      </c>
      <c r="AF339" s="27">
        <v>13410</v>
      </c>
      <c r="AG339" s="27">
        <v>0.85099999999999998</v>
      </c>
      <c r="AH339" s="27">
        <v>3.79</v>
      </c>
      <c r="AI339" s="27">
        <v>97.2</v>
      </c>
      <c r="AJ339" s="27">
        <v>61290</v>
      </c>
      <c r="AK339" s="33">
        <v>1389</v>
      </c>
    </row>
    <row r="340" spans="1:37">
      <c r="A340" s="26" t="s">
        <v>417</v>
      </c>
      <c r="B340" s="27">
        <v>549.70000000000005</v>
      </c>
      <c r="C340" s="27">
        <v>448.3</v>
      </c>
      <c r="D340" s="27">
        <v>71.900000000000006</v>
      </c>
      <c r="E340" s="27">
        <v>115</v>
      </c>
      <c r="F340" s="27">
        <v>20</v>
      </c>
      <c r="G340" s="27">
        <v>279.7</v>
      </c>
      <c r="H340" s="27">
        <v>518900</v>
      </c>
      <c r="I340" s="27">
        <v>173700</v>
      </c>
      <c r="J340" s="27">
        <v>18880</v>
      </c>
      <c r="K340" s="27">
        <v>7751</v>
      </c>
      <c r="L340" s="27">
        <v>24300</v>
      </c>
      <c r="M340" s="27">
        <v>11980</v>
      </c>
      <c r="N340" s="33">
        <v>1264</v>
      </c>
      <c r="O340" s="26" t="s">
        <v>417</v>
      </c>
      <c r="P340" s="27">
        <v>992.5</v>
      </c>
      <c r="Q340" s="27">
        <v>549.70000000000005</v>
      </c>
      <c r="R340" s="27">
        <v>448.3</v>
      </c>
      <c r="S340" s="27">
        <v>71.900000000000006</v>
      </c>
      <c r="T340" s="27">
        <v>115</v>
      </c>
      <c r="U340" s="27">
        <v>20</v>
      </c>
      <c r="V340" s="27">
        <v>279.7</v>
      </c>
      <c r="W340" s="27">
        <v>1.95</v>
      </c>
      <c r="X340" s="27">
        <v>3.89</v>
      </c>
      <c r="Y340" s="27">
        <v>518900</v>
      </c>
      <c r="Z340" s="27">
        <v>173700</v>
      </c>
      <c r="AA340" s="27">
        <v>20.3</v>
      </c>
      <c r="AB340" s="27">
        <v>11.7</v>
      </c>
      <c r="AC340" s="27">
        <v>18880</v>
      </c>
      <c r="AD340" s="27">
        <v>7751</v>
      </c>
      <c r="AE340" s="27">
        <v>24300</v>
      </c>
      <c r="AF340" s="27">
        <v>11980</v>
      </c>
      <c r="AG340" s="27">
        <v>0.84899999999999998</v>
      </c>
      <c r="AH340" s="27">
        <v>4.01</v>
      </c>
      <c r="AI340" s="27">
        <v>82.1</v>
      </c>
      <c r="AJ340" s="27">
        <v>47520</v>
      </c>
      <c r="AK340" s="33">
        <v>1264</v>
      </c>
    </row>
    <row r="341" spans="1:37">
      <c r="A341" s="26" t="s">
        <v>418</v>
      </c>
      <c r="B341" s="27">
        <v>531.4</v>
      </c>
      <c r="C341" s="27">
        <v>442.3</v>
      </c>
      <c r="D341" s="27">
        <v>65.900000000000006</v>
      </c>
      <c r="E341" s="27">
        <v>106</v>
      </c>
      <c r="F341" s="27">
        <v>20</v>
      </c>
      <c r="G341" s="27">
        <v>279.39999999999998</v>
      </c>
      <c r="H341" s="27">
        <v>451700</v>
      </c>
      <c r="I341" s="27">
        <v>153700</v>
      </c>
      <c r="J341" s="27">
        <v>17000</v>
      </c>
      <c r="K341" s="27">
        <v>6949</v>
      </c>
      <c r="L341" s="27">
        <v>21680</v>
      </c>
      <c r="M341" s="27">
        <v>10730</v>
      </c>
      <c r="N341" s="33">
        <v>1152</v>
      </c>
      <c r="O341" s="26" t="s">
        <v>418</v>
      </c>
      <c r="P341" s="27">
        <v>904</v>
      </c>
      <c r="Q341" s="27">
        <v>531.4</v>
      </c>
      <c r="R341" s="27">
        <v>442.3</v>
      </c>
      <c r="S341" s="27">
        <v>65.900000000000006</v>
      </c>
      <c r="T341" s="27">
        <v>106</v>
      </c>
      <c r="U341" s="27">
        <v>20</v>
      </c>
      <c r="V341" s="27">
        <v>279.39999999999998</v>
      </c>
      <c r="W341" s="27">
        <v>2.09</v>
      </c>
      <c r="X341" s="27">
        <v>4.24</v>
      </c>
      <c r="Y341" s="27">
        <v>451700</v>
      </c>
      <c r="Z341" s="27">
        <v>153700</v>
      </c>
      <c r="AA341" s="27">
        <v>19.8</v>
      </c>
      <c r="AB341" s="27">
        <v>11.6</v>
      </c>
      <c r="AC341" s="27">
        <v>17000</v>
      </c>
      <c r="AD341" s="27">
        <v>6949</v>
      </c>
      <c r="AE341" s="27">
        <v>21680</v>
      </c>
      <c r="AF341" s="27">
        <v>10730</v>
      </c>
      <c r="AG341" s="27">
        <v>0.84799999999999998</v>
      </c>
      <c r="AH341" s="27">
        <v>4.25</v>
      </c>
      <c r="AI341" s="27">
        <v>69.5</v>
      </c>
      <c r="AJ341" s="27">
        <v>36910</v>
      </c>
      <c r="AK341" s="33">
        <v>1152</v>
      </c>
    </row>
    <row r="342" spans="1:37">
      <c r="A342" s="26" t="s">
        <v>419</v>
      </c>
      <c r="B342" s="27">
        <v>514.1</v>
      </c>
      <c r="C342" s="27">
        <v>436.9</v>
      </c>
      <c r="D342" s="27">
        <v>60.5</v>
      </c>
      <c r="E342" s="27">
        <v>97</v>
      </c>
      <c r="F342" s="27">
        <v>20</v>
      </c>
      <c r="G342" s="27">
        <v>280.10000000000002</v>
      </c>
      <c r="H342" s="27">
        <v>392700</v>
      </c>
      <c r="I342" s="27">
        <v>135500</v>
      </c>
      <c r="J342" s="27">
        <v>15280</v>
      </c>
      <c r="K342" s="27">
        <v>6201</v>
      </c>
      <c r="L342" s="27">
        <v>19280</v>
      </c>
      <c r="M342" s="27">
        <v>9563</v>
      </c>
      <c r="N342" s="33">
        <v>1045</v>
      </c>
      <c r="O342" s="26" t="s">
        <v>419</v>
      </c>
      <c r="P342" s="27">
        <v>820.1</v>
      </c>
      <c r="Q342" s="27">
        <v>514.1</v>
      </c>
      <c r="R342" s="27">
        <v>436.9</v>
      </c>
      <c r="S342" s="27">
        <v>60.5</v>
      </c>
      <c r="T342" s="27">
        <v>97</v>
      </c>
      <c r="U342" s="27">
        <v>20</v>
      </c>
      <c r="V342" s="27">
        <v>280.10000000000002</v>
      </c>
      <c r="W342" s="27">
        <v>2.25</v>
      </c>
      <c r="X342" s="27">
        <v>4.63</v>
      </c>
      <c r="Y342" s="27">
        <v>392700</v>
      </c>
      <c r="Z342" s="27">
        <v>135500</v>
      </c>
      <c r="AA342" s="27">
        <v>19.399999999999999</v>
      </c>
      <c r="AB342" s="27">
        <v>11.4</v>
      </c>
      <c r="AC342" s="27">
        <v>15280</v>
      </c>
      <c r="AD342" s="27">
        <v>6201</v>
      </c>
      <c r="AE342" s="27">
        <v>19280</v>
      </c>
      <c r="AF342" s="27">
        <v>9563</v>
      </c>
      <c r="AG342" s="27">
        <v>0.84599999999999997</v>
      </c>
      <c r="AH342" s="27">
        <v>4.54</v>
      </c>
      <c r="AI342" s="27">
        <v>58.9</v>
      </c>
      <c r="AJ342" s="27">
        <v>28210</v>
      </c>
      <c r="AK342" s="33">
        <v>1045</v>
      </c>
    </row>
    <row r="343" spans="1:37">
      <c r="A343" s="26" t="s">
        <v>420</v>
      </c>
      <c r="B343" s="27">
        <v>497.8</v>
      </c>
      <c r="C343" s="27">
        <v>432.1</v>
      </c>
      <c r="D343" s="27">
        <v>55.6</v>
      </c>
      <c r="E343" s="27">
        <v>88.9</v>
      </c>
      <c r="F343" s="27">
        <v>20</v>
      </c>
      <c r="G343" s="27">
        <v>280</v>
      </c>
      <c r="H343" s="27">
        <v>342200</v>
      </c>
      <c r="I343" s="27">
        <v>120000</v>
      </c>
      <c r="J343" s="27">
        <v>13750</v>
      </c>
      <c r="K343" s="27">
        <v>5556</v>
      </c>
      <c r="L343" s="27">
        <v>17180</v>
      </c>
      <c r="M343" s="27">
        <v>8558</v>
      </c>
      <c r="N343" s="33">
        <v>950</v>
      </c>
      <c r="O343" s="26" t="s">
        <v>420</v>
      </c>
      <c r="P343" s="27">
        <v>745.5</v>
      </c>
      <c r="Q343" s="27">
        <v>497.8</v>
      </c>
      <c r="R343" s="27">
        <v>432.1</v>
      </c>
      <c r="S343" s="27">
        <v>55.6</v>
      </c>
      <c r="T343" s="27">
        <v>88.9</v>
      </c>
      <c r="U343" s="27">
        <v>20</v>
      </c>
      <c r="V343" s="27">
        <v>280</v>
      </c>
      <c r="W343" s="27">
        <v>2.4300000000000002</v>
      </c>
      <c r="X343" s="27">
        <v>5.04</v>
      </c>
      <c r="Y343" s="27">
        <v>342200</v>
      </c>
      <c r="Z343" s="27">
        <v>120000</v>
      </c>
      <c r="AA343" s="27">
        <v>19</v>
      </c>
      <c r="AB343" s="27">
        <v>11.2</v>
      </c>
      <c r="AC343" s="27">
        <v>13750</v>
      </c>
      <c r="AD343" s="27">
        <v>5556</v>
      </c>
      <c r="AE343" s="27">
        <v>17180</v>
      </c>
      <c r="AF343" s="27">
        <v>8558</v>
      </c>
      <c r="AG343" s="27">
        <v>0.84399999999999997</v>
      </c>
      <c r="AH343" s="27">
        <v>4.8499999999999996</v>
      </c>
      <c r="AI343" s="27">
        <v>50.2</v>
      </c>
      <c r="AJ343" s="27">
        <v>21670</v>
      </c>
      <c r="AK343" s="33">
        <v>950</v>
      </c>
    </row>
    <row r="344" spans="1:37">
      <c r="A344" s="26" t="s">
        <v>421</v>
      </c>
      <c r="B344" s="27">
        <v>483.1</v>
      </c>
      <c r="C344" s="27">
        <v>427.6</v>
      </c>
      <c r="D344" s="27">
        <v>51.2</v>
      </c>
      <c r="E344" s="27">
        <v>81.5</v>
      </c>
      <c r="F344" s="27">
        <v>20</v>
      </c>
      <c r="G344" s="27">
        <v>280.10000000000002</v>
      </c>
      <c r="H344" s="27">
        <v>299700</v>
      </c>
      <c r="I344" s="27">
        <v>106600</v>
      </c>
      <c r="J344" s="27">
        <v>12410</v>
      </c>
      <c r="K344" s="27">
        <v>4985</v>
      </c>
      <c r="L344" s="27">
        <v>15360</v>
      </c>
      <c r="M344" s="27">
        <v>7671</v>
      </c>
      <c r="N344" s="33">
        <v>864</v>
      </c>
      <c r="O344" s="26" t="s">
        <v>421</v>
      </c>
      <c r="P344" s="27">
        <v>678.5</v>
      </c>
      <c r="Q344" s="27">
        <v>483.1</v>
      </c>
      <c r="R344" s="27">
        <v>427.6</v>
      </c>
      <c r="S344" s="27">
        <v>51.2</v>
      </c>
      <c r="T344" s="27">
        <v>81.5</v>
      </c>
      <c r="U344" s="27">
        <v>20</v>
      </c>
      <c r="V344" s="27">
        <v>280.10000000000002</v>
      </c>
      <c r="W344" s="27">
        <v>2.62</v>
      </c>
      <c r="X344" s="27">
        <v>5.47</v>
      </c>
      <c r="Y344" s="27">
        <v>299700</v>
      </c>
      <c r="Z344" s="27">
        <v>106600</v>
      </c>
      <c r="AA344" s="27">
        <v>18.600000000000001</v>
      </c>
      <c r="AB344" s="27">
        <v>11.1</v>
      </c>
      <c r="AC344" s="27">
        <v>12410</v>
      </c>
      <c r="AD344" s="27">
        <v>4985</v>
      </c>
      <c r="AE344" s="27">
        <v>15360</v>
      </c>
      <c r="AF344" s="27">
        <v>7671</v>
      </c>
      <c r="AG344" s="27">
        <v>0.84299999999999997</v>
      </c>
      <c r="AH344" s="27">
        <v>5.18</v>
      </c>
      <c r="AI344" s="27">
        <v>43</v>
      </c>
      <c r="AJ344" s="27">
        <v>16670</v>
      </c>
      <c r="AK344" s="33">
        <v>864</v>
      </c>
    </row>
    <row r="345" spans="1:37">
      <c r="A345" s="26" t="s">
        <v>422</v>
      </c>
      <c r="B345" s="27">
        <v>474.2</v>
      </c>
      <c r="C345" s="27">
        <v>424.1</v>
      </c>
      <c r="D345" s="27">
        <v>47.6</v>
      </c>
      <c r="E345" s="27">
        <v>77.099999999999994</v>
      </c>
      <c r="F345" s="27">
        <v>20</v>
      </c>
      <c r="G345" s="27">
        <v>280</v>
      </c>
      <c r="H345" s="27">
        <v>274900</v>
      </c>
      <c r="I345" s="27">
        <v>98330</v>
      </c>
      <c r="J345" s="27">
        <v>11590</v>
      </c>
      <c r="K345" s="27">
        <v>4637</v>
      </c>
      <c r="L345" s="27">
        <v>14260</v>
      </c>
      <c r="M345" s="27">
        <v>7125</v>
      </c>
      <c r="N345" s="33">
        <v>810</v>
      </c>
      <c r="O345" s="26" t="s">
        <v>422</v>
      </c>
      <c r="P345" s="27">
        <v>635.6</v>
      </c>
      <c r="Q345" s="27">
        <v>474.2</v>
      </c>
      <c r="R345" s="27">
        <v>424.1</v>
      </c>
      <c r="S345" s="27">
        <v>47.6</v>
      </c>
      <c r="T345" s="27">
        <v>77.099999999999994</v>
      </c>
      <c r="U345" s="27">
        <v>20</v>
      </c>
      <c r="V345" s="27">
        <v>280</v>
      </c>
      <c r="W345" s="27">
        <v>2.75</v>
      </c>
      <c r="X345" s="27">
        <v>5.88</v>
      </c>
      <c r="Y345" s="27">
        <v>274900</v>
      </c>
      <c r="Z345" s="27">
        <v>98330</v>
      </c>
      <c r="AA345" s="27">
        <v>18.399999999999999</v>
      </c>
      <c r="AB345" s="27">
        <v>11</v>
      </c>
      <c r="AC345" s="27">
        <v>11590</v>
      </c>
      <c r="AD345" s="27">
        <v>4637</v>
      </c>
      <c r="AE345" s="27">
        <v>14260</v>
      </c>
      <c r="AF345" s="27">
        <v>7125</v>
      </c>
      <c r="AG345" s="27">
        <v>0.84299999999999997</v>
      </c>
      <c r="AH345" s="27">
        <v>5.41</v>
      </c>
      <c r="AI345" s="27">
        <v>38.799999999999997</v>
      </c>
      <c r="AJ345" s="27">
        <v>13960</v>
      </c>
      <c r="AK345" s="33">
        <v>810</v>
      </c>
    </row>
    <row r="346" spans="1:37">
      <c r="A346" s="26" t="s">
        <v>423</v>
      </c>
      <c r="B346" s="27">
        <v>464.6</v>
      </c>
      <c r="C346" s="27">
        <v>421.4</v>
      </c>
      <c r="D346" s="27">
        <v>45</v>
      </c>
      <c r="E346" s="27">
        <v>72.3</v>
      </c>
      <c r="F346" s="27">
        <v>20</v>
      </c>
      <c r="G346" s="27">
        <v>280</v>
      </c>
      <c r="H346" s="27">
        <v>250200</v>
      </c>
      <c r="I346" s="27">
        <v>90440</v>
      </c>
      <c r="J346" s="27">
        <v>10770</v>
      </c>
      <c r="K346" s="27">
        <v>4292</v>
      </c>
      <c r="L346" s="27">
        <v>13160</v>
      </c>
      <c r="M346" s="27">
        <v>6591</v>
      </c>
      <c r="N346" s="33">
        <v>757</v>
      </c>
      <c r="O346" s="26" t="s">
        <v>423</v>
      </c>
      <c r="P346" s="27">
        <v>594.1</v>
      </c>
      <c r="Q346" s="27">
        <v>464.6</v>
      </c>
      <c r="R346" s="27">
        <v>421.4</v>
      </c>
      <c r="S346" s="27">
        <v>45</v>
      </c>
      <c r="T346" s="27">
        <v>72.3</v>
      </c>
      <c r="U346" s="27">
        <v>20</v>
      </c>
      <c r="V346" s="27">
        <v>280</v>
      </c>
      <c r="W346" s="27">
        <v>2.91</v>
      </c>
      <c r="X346" s="27">
        <v>6.22</v>
      </c>
      <c r="Y346" s="27">
        <v>250200</v>
      </c>
      <c r="Z346" s="27">
        <v>90440</v>
      </c>
      <c r="AA346" s="27">
        <v>18.2</v>
      </c>
      <c r="AB346" s="27">
        <v>10.9</v>
      </c>
      <c r="AC346" s="27">
        <v>10770</v>
      </c>
      <c r="AD346" s="27">
        <v>4292</v>
      </c>
      <c r="AE346" s="27">
        <v>13160</v>
      </c>
      <c r="AF346" s="27">
        <v>6591</v>
      </c>
      <c r="AG346" s="27">
        <v>0.84199999999999997</v>
      </c>
      <c r="AH346" s="27">
        <v>5.69</v>
      </c>
      <c r="AI346" s="27">
        <v>34.799999999999997</v>
      </c>
      <c r="AJ346" s="27">
        <v>11540</v>
      </c>
      <c r="AK346" s="33">
        <v>757</v>
      </c>
    </row>
    <row r="347" spans="1:37">
      <c r="A347" s="26" t="s">
        <v>424</v>
      </c>
      <c r="B347" s="27">
        <v>455.2</v>
      </c>
      <c r="C347" s="27">
        <v>418.4</v>
      </c>
      <c r="D347" s="27">
        <v>42</v>
      </c>
      <c r="E347" s="27">
        <v>67.599999999999994</v>
      </c>
      <c r="F347" s="27">
        <v>20</v>
      </c>
      <c r="G347" s="27">
        <v>280</v>
      </c>
      <c r="H347" s="27">
        <v>226900</v>
      </c>
      <c r="I347" s="27">
        <v>82740</v>
      </c>
      <c r="J347" s="27">
        <v>9970</v>
      </c>
      <c r="K347" s="27">
        <v>3955</v>
      </c>
      <c r="L347" s="27">
        <v>12090</v>
      </c>
      <c r="M347" s="27">
        <v>6067</v>
      </c>
      <c r="N347" s="33">
        <v>704</v>
      </c>
      <c r="O347" s="26" t="s">
        <v>424</v>
      </c>
      <c r="P347" s="27">
        <v>552.29999999999995</v>
      </c>
      <c r="Q347" s="27">
        <v>455.2</v>
      </c>
      <c r="R347" s="27">
        <v>418.4</v>
      </c>
      <c r="S347" s="27">
        <v>42</v>
      </c>
      <c r="T347" s="27">
        <v>67.599999999999994</v>
      </c>
      <c r="U347" s="27">
        <v>20</v>
      </c>
      <c r="V347" s="27">
        <v>280</v>
      </c>
      <c r="W347" s="27">
        <v>3.09</v>
      </c>
      <c r="X347" s="27">
        <v>6.67</v>
      </c>
      <c r="Y347" s="27">
        <v>226900</v>
      </c>
      <c r="Z347" s="27">
        <v>82740</v>
      </c>
      <c r="AA347" s="27">
        <v>18</v>
      </c>
      <c r="AB347" s="27">
        <v>10.8</v>
      </c>
      <c r="AC347" s="27">
        <v>9970</v>
      </c>
      <c r="AD347" s="27">
        <v>3955</v>
      </c>
      <c r="AE347" s="27">
        <v>12090</v>
      </c>
      <c r="AF347" s="27">
        <v>6067</v>
      </c>
      <c r="AG347" s="27">
        <v>0.84099999999999997</v>
      </c>
      <c r="AH347" s="27">
        <v>6</v>
      </c>
      <c r="AI347" s="27">
        <v>31.1</v>
      </c>
      <c r="AJ347" s="27">
        <v>9404</v>
      </c>
      <c r="AK347" s="33">
        <v>704</v>
      </c>
    </row>
    <row r="348" spans="1:37">
      <c r="A348" s="26" t="s">
        <v>425</v>
      </c>
      <c r="B348" s="27">
        <v>445.5</v>
      </c>
      <c r="C348" s="27">
        <v>415.5</v>
      </c>
      <c r="D348" s="27">
        <v>39.1</v>
      </c>
      <c r="E348" s="27">
        <v>62.7</v>
      </c>
      <c r="F348" s="27">
        <v>20</v>
      </c>
      <c r="G348" s="27">
        <v>280.10000000000002</v>
      </c>
      <c r="H348" s="27">
        <v>204100</v>
      </c>
      <c r="I348" s="27">
        <v>75140</v>
      </c>
      <c r="J348" s="27">
        <v>9163</v>
      </c>
      <c r="K348" s="27">
        <v>3617</v>
      </c>
      <c r="L348" s="27">
        <v>11030</v>
      </c>
      <c r="M348" s="27">
        <v>5543</v>
      </c>
      <c r="N348" s="33">
        <v>650</v>
      </c>
      <c r="O348" s="26" t="s">
        <v>425</v>
      </c>
      <c r="P348" s="27">
        <v>510</v>
      </c>
      <c r="Q348" s="27">
        <v>445.5</v>
      </c>
      <c r="R348" s="27">
        <v>415.5</v>
      </c>
      <c r="S348" s="27">
        <v>39.1</v>
      </c>
      <c r="T348" s="27">
        <v>62.7</v>
      </c>
      <c r="U348" s="27">
        <v>20</v>
      </c>
      <c r="V348" s="27">
        <v>280.10000000000002</v>
      </c>
      <c r="W348" s="27">
        <v>3.31</v>
      </c>
      <c r="X348" s="27">
        <v>7.16</v>
      </c>
      <c r="Y348" s="27">
        <v>204100</v>
      </c>
      <c r="Z348" s="27">
        <v>75140</v>
      </c>
      <c r="AA348" s="27">
        <v>17.7</v>
      </c>
      <c r="AB348" s="27">
        <v>10.8</v>
      </c>
      <c r="AC348" s="27">
        <v>9163</v>
      </c>
      <c r="AD348" s="27">
        <v>3617</v>
      </c>
      <c r="AE348" s="27">
        <v>11030</v>
      </c>
      <c r="AF348" s="27">
        <v>5543</v>
      </c>
      <c r="AG348" s="27">
        <v>0.84</v>
      </c>
      <c r="AH348" s="27">
        <v>6.37</v>
      </c>
      <c r="AI348" s="27">
        <v>27.5</v>
      </c>
      <c r="AJ348" s="27">
        <v>7505</v>
      </c>
      <c r="AK348" s="33">
        <v>650</v>
      </c>
    </row>
    <row r="349" spans="1:37">
      <c r="A349" s="26" t="s">
        <v>426</v>
      </c>
      <c r="B349" s="27">
        <v>436.6</v>
      </c>
      <c r="C349" s="27">
        <v>412.2</v>
      </c>
      <c r="D349" s="27">
        <v>35.799999999999997</v>
      </c>
      <c r="E349" s="27">
        <v>57.4</v>
      </c>
      <c r="F349" s="27">
        <v>20</v>
      </c>
      <c r="G349" s="27">
        <v>281.8</v>
      </c>
      <c r="H349" s="27">
        <v>182200</v>
      </c>
      <c r="I349" s="27">
        <v>67140</v>
      </c>
      <c r="J349" s="27">
        <v>8346</v>
      </c>
      <c r="K349" s="27">
        <v>3258</v>
      </c>
      <c r="L349" s="27">
        <v>9953</v>
      </c>
      <c r="M349" s="27">
        <v>4987</v>
      </c>
      <c r="N349" s="33">
        <v>592</v>
      </c>
      <c r="O349" s="26" t="s">
        <v>426</v>
      </c>
      <c r="P349" s="27">
        <v>464.6</v>
      </c>
      <c r="Q349" s="27">
        <v>436.6</v>
      </c>
      <c r="R349" s="27">
        <v>412.2</v>
      </c>
      <c r="S349" s="27">
        <v>35.799999999999997</v>
      </c>
      <c r="T349" s="27">
        <v>57.4</v>
      </c>
      <c r="U349" s="27">
        <v>20</v>
      </c>
      <c r="V349" s="27">
        <v>281.8</v>
      </c>
      <c r="W349" s="27">
        <v>3.59</v>
      </c>
      <c r="X349" s="27">
        <v>7.87</v>
      </c>
      <c r="Y349" s="27">
        <v>182200</v>
      </c>
      <c r="Z349" s="27">
        <v>67140</v>
      </c>
      <c r="AA349" s="27">
        <v>17.5</v>
      </c>
      <c r="AB349" s="27">
        <v>10.7</v>
      </c>
      <c r="AC349" s="27">
        <v>8346</v>
      </c>
      <c r="AD349" s="27">
        <v>3258</v>
      </c>
      <c r="AE349" s="27">
        <v>9953</v>
      </c>
      <c r="AF349" s="27">
        <v>4987</v>
      </c>
      <c r="AG349" s="27">
        <v>0.84</v>
      </c>
      <c r="AH349" s="27">
        <v>6.88</v>
      </c>
      <c r="AI349" s="27">
        <v>24.1</v>
      </c>
      <c r="AJ349" s="27">
        <v>5752</v>
      </c>
      <c r="AK349" s="33">
        <v>592</v>
      </c>
    </row>
    <row r="350" spans="1:37">
      <c r="A350" s="26" t="s">
        <v>427</v>
      </c>
      <c r="B350" s="27">
        <v>425.2</v>
      </c>
      <c r="C350" s="27">
        <v>409.2</v>
      </c>
      <c r="D350" s="27">
        <v>32.799999999999997</v>
      </c>
      <c r="E350" s="27">
        <v>52.6</v>
      </c>
      <c r="F350" s="27">
        <v>20</v>
      </c>
      <c r="G350" s="27">
        <v>280</v>
      </c>
      <c r="H350" s="27">
        <v>160200</v>
      </c>
      <c r="I350" s="27">
        <v>60180</v>
      </c>
      <c r="J350" s="27">
        <v>7535</v>
      </c>
      <c r="K350" s="27">
        <v>2941</v>
      </c>
      <c r="L350" s="27">
        <v>8913</v>
      </c>
      <c r="M350" s="27">
        <v>4497</v>
      </c>
      <c r="N350" s="33">
        <v>539</v>
      </c>
      <c r="O350" s="26" t="s">
        <v>427</v>
      </c>
      <c r="P350" s="27">
        <v>423</v>
      </c>
      <c r="Q350" s="27">
        <v>425.2</v>
      </c>
      <c r="R350" s="27">
        <v>409.2</v>
      </c>
      <c r="S350" s="27">
        <v>32.799999999999997</v>
      </c>
      <c r="T350" s="27">
        <v>52.6</v>
      </c>
      <c r="U350" s="27">
        <v>20</v>
      </c>
      <c r="V350" s="27">
        <v>280</v>
      </c>
      <c r="W350" s="27">
        <v>3.89</v>
      </c>
      <c r="X350" s="27">
        <v>8.5399999999999991</v>
      </c>
      <c r="Y350" s="27">
        <v>160200</v>
      </c>
      <c r="Z350" s="27">
        <v>60180</v>
      </c>
      <c r="AA350" s="27">
        <v>17.2</v>
      </c>
      <c r="AB350" s="27">
        <v>10.6</v>
      </c>
      <c r="AC350" s="27">
        <v>7535</v>
      </c>
      <c r="AD350" s="27">
        <v>2941</v>
      </c>
      <c r="AE350" s="27">
        <v>8913</v>
      </c>
      <c r="AF350" s="27">
        <v>4497</v>
      </c>
      <c r="AG350" s="27">
        <v>0.83799999999999997</v>
      </c>
      <c r="AH350" s="27">
        <v>7.36</v>
      </c>
      <c r="AI350" s="27">
        <v>20.9</v>
      </c>
      <c r="AJ350" s="27">
        <v>4419</v>
      </c>
      <c r="AK350" s="33">
        <v>539</v>
      </c>
    </row>
    <row r="351" spans="1:37">
      <c r="A351" s="26" t="s">
        <v>428</v>
      </c>
      <c r="B351" s="27">
        <v>416.1</v>
      </c>
      <c r="C351" s="27">
        <v>406.3</v>
      </c>
      <c r="D351" s="27">
        <v>29.8</v>
      </c>
      <c r="E351" s="27">
        <v>48</v>
      </c>
      <c r="F351" s="27">
        <v>20</v>
      </c>
      <c r="G351" s="27">
        <v>280.10000000000002</v>
      </c>
      <c r="H351" s="27">
        <v>141900</v>
      </c>
      <c r="I351" s="27">
        <v>53740</v>
      </c>
      <c r="J351" s="27">
        <v>6818</v>
      </c>
      <c r="K351" s="27">
        <v>2645</v>
      </c>
      <c r="L351" s="27">
        <v>7996</v>
      </c>
      <c r="M351" s="27">
        <v>4040</v>
      </c>
      <c r="N351" s="33">
        <v>489</v>
      </c>
      <c r="O351" s="26" t="s">
        <v>428</v>
      </c>
      <c r="P351" s="27">
        <v>383.8</v>
      </c>
      <c r="Q351" s="27">
        <v>416.1</v>
      </c>
      <c r="R351" s="27">
        <v>406.3</v>
      </c>
      <c r="S351" s="27">
        <v>29.8</v>
      </c>
      <c r="T351" s="27">
        <v>48</v>
      </c>
      <c r="U351" s="27">
        <v>20</v>
      </c>
      <c r="V351" s="27">
        <v>280.10000000000002</v>
      </c>
      <c r="W351" s="27">
        <v>4.2300000000000004</v>
      </c>
      <c r="X351" s="27">
        <v>9.4</v>
      </c>
      <c r="Y351" s="27">
        <v>141900</v>
      </c>
      <c r="Z351" s="27">
        <v>53740</v>
      </c>
      <c r="AA351" s="27">
        <v>17</v>
      </c>
      <c r="AB351" s="27">
        <v>10.5</v>
      </c>
      <c r="AC351" s="27">
        <v>6818</v>
      </c>
      <c r="AD351" s="27">
        <v>2645</v>
      </c>
      <c r="AE351" s="27">
        <v>7996</v>
      </c>
      <c r="AF351" s="27">
        <v>4040</v>
      </c>
      <c r="AG351" s="27">
        <v>0.83699999999999997</v>
      </c>
      <c r="AH351" s="27">
        <v>7.96</v>
      </c>
      <c r="AI351" s="27">
        <v>18.2</v>
      </c>
      <c r="AJ351" s="27">
        <v>3350</v>
      </c>
      <c r="AK351" s="33">
        <v>489</v>
      </c>
    </row>
    <row r="352" spans="1:37">
      <c r="A352" s="26" t="s">
        <v>429</v>
      </c>
      <c r="B352" s="27">
        <v>407.4</v>
      </c>
      <c r="C352" s="27">
        <v>403.6</v>
      </c>
      <c r="D352" s="27">
        <v>27.2</v>
      </c>
      <c r="E352" s="27">
        <v>43.7</v>
      </c>
      <c r="F352" s="27">
        <v>20</v>
      </c>
      <c r="G352" s="27">
        <v>280</v>
      </c>
      <c r="H352" s="27">
        <v>125500</v>
      </c>
      <c r="I352" s="27">
        <v>47950</v>
      </c>
      <c r="J352" s="27">
        <v>6160</v>
      </c>
      <c r="K352" s="27">
        <v>2376</v>
      </c>
      <c r="L352" s="27">
        <v>7164</v>
      </c>
      <c r="M352" s="27">
        <v>3625</v>
      </c>
      <c r="N352" s="33">
        <v>443</v>
      </c>
      <c r="O352" s="26" t="s">
        <v>429</v>
      </c>
      <c r="P352" s="27">
        <v>347.9</v>
      </c>
      <c r="Q352" s="27">
        <v>407.4</v>
      </c>
      <c r="R352" s="27">
        <v>403.6</v>
      </c>
      <c r="S352" s="27">
        <v>27.2</v>
      </c>
      <c r="T352" s="27">
        <v>43.7</v>
      </c>
      <c r="U352" s="27">
        <v>20</v>
      </c>
      <c r="V352" s="27">
        <v>280</v>
      </c>
      <c r="W352" s="27">
        <v>4.62</v>
      </c>
      <c r="X352" s="27">
        <v>10.3</v>
      </c>
      <c r="Y352" s="27">
        <v>125500</v>
      </c>
      <c r="Z352" s="27">
        <v>47950</v>
      </c>
      <c r="AA352" s="27">
        <v>16.8</v>
      </c>
      <c r="AB352" s="27">
        <v>10.4</v>
      </c>
      <c r="AC352" s="27">
        <v>6160</v>
      </c>
      <c r="AD352" s="27">
        <v>2376</v>
      </c>
      <c r="AE352" s="27">
        <v>7164</v>
      </c>
      <c r="AF352" s="27">
        <v>3625</v>
      </c>
      <c r="AG352" s="27">
        <v>0.83599999999999997</v>
      </c>
      <c r="AH352" s="27">
        <v>8.6199999999999992</v>
      </c>
      <c r="AI352" s="27">
        <v>15.9</v>
      </c>
      <c r="AJ352" s="27">
        <v>2530</v>
      </c>
      <c r="AK352" s="33">
        <v>443</v>
      </c>
    </row>
    <row r="353" spans="1:37">
      <c r="A353" s="26" t="s">
        <v>430</v>
      </c>
      <c r="B353" s="27">
        <v>403.1</v>
      </c>
      <c r="C353" s="27">
        <v>402</v>
      </c>
      <c r="D353" s="27">
        <v>25.5</v>
      </c>
      <c r="E353" s="27">
        <v>41.2</v>
      </c>
      <c r="F353" s="27">
        <v>20</v>
      </c>
      <c r="G353" s="27">
        <v>280.7</v>
      </c>
      <c r="H353" s="27">
        <v>116800</v>
      </c>
      <c r="I353" s="27">
        <v>44660</v>
      </c>
      <c r="J353" s="27">
        <v>5794</v>
      </c>
      <c r="K353" s="27">
        <v>2222</v>
      </c>
      <c r="L353" s="27">
        <v>6703</v>
      </c>
      <c r="M353" s="27">
        <v>3387</v>
      </c>
      <c r="N353" s="33">
        <v>416</v>
      </c>
      <c r="O353" s="26" t="s">
        <v>430</v>
      </c>
      <c r="P353" s="27">
        <v>326.89999999999998</v>
      </c>
      <c r="Q353" s="27">
        <v>403.1</v>
      </c>
      <c r="R353" s="27">
        <v>402</v>
      </c>
      <c r="S353" s="27">
        <v>25.5</v>
      </c>
      <c r="T353" s="27">
        <v>41.2</v>
      </c>
      <c r="U353" s="27">
        <v>20</v>
      </c>
      <c r="V353" s="27">
        <v>280.7</v>
      </c>
      <c r="W353" s="27">
        <v>4.88</v>
      </c>
      <c r="X353" s="27">
        <v>11</v>
      </c>
      <c r="Y353" s="27">
        <v>116800</v>
      </c>
      <c r="Z353" s="27">
        <v>44660</v>
      </c>
      <c r="AA353" s="27">
        <v>16.7</v>
      </c>
      <c r="AB353" s="27">
        <v>10.4</v>
      </c>
      <c r="AC353" s="27">
        <v>5794</v>
      </c>
      <c r="AD353" s="27">
        <v>2222</v>
      </c>
      <c r="AE353" s="27">
        <v>6703</v>
      </c>
      <c r="AF353" s="27">
        <v>3387</v>
      </c>
      <c r="AG353" s="27">
        <v>0.83599999999999997</v>
      </c>
      <c r="AH353" s="27">
        <v>9.09</v>
      </c>
      <c r="AI353" s="27">
        <v>14.6</v>
      </c>
      <c r="AJ353" s="27">
        <v>2117</v>
      </c>
      <c r="AK353" s="33">
        <v>416</v>
      </c>
    </row>
    <row r="354" spans="1:37">
      <c r="A354" s="26" t="s">
        <v>431</v>
      </c>
      <c r="B354" s="27">
        <v>399.3</v>
      </c>
      <c r="C354" s="27">
        <v>401.3</v>
      </c>
      <c r="D354" s="27">
        <v>24.9</v>
      </c>
      <c r="E354" s="27">
        <v>39.5</v>
      </c>
      <c r="F354" s="27">
        <v>20</v>
      </c>
      <c r="G354" s="27">
        <v>280.3</v>
      </c>
      <c r="H354" s="27">
        <v>110700</v>
      </c>
      <c r="I354" s="27">
        <v>42600</v>
      </c>
      <c r="J354" s="27">
        <v>5543</v>
      </c>
      <c r="K354" s="27">
        <v>2123</v>
      </c>
      <c r="L354" s="27">
        <v>6395</v>
      </c>
      <c r="M354" s="27">
        <v>3236</v>
      </c>
      <c r="N354" s="33">
        <v>400</v>
      </c>
      <c r="O354" s="26" t="s">
        <v>431</v>
      </c>
      <c r="P354" s="27">
        <v>314.2</v>
      </c>
      <c r="Q354" s="27">
        <v>399.3</v>
      </c>
      <c r="R354" s="27">
        <v>401.3</v>
      </c>
      <c r="S354" s="27">
        <v>24.9</v>
      </c>
      <c r="T354" s="27">
        <v>39.5</v>
      </c>
      <c r="U354" s="27">
        <v>20</v>
      </c>
      <c r="V354" s="27">
        <v>280.3</v>
      </c>
      <c r="W354" s="27">
        <v>5.08</v>
      </c>
      <c r="X354" s="27">
        <v>11.3</v>
      </c>
      <c r="Y354" s="27">
        <v>110700</v>
      </c>
      <c r="Z354" s="27">
        <v>42600</v>
      </c>
      <c r="AA354" s="27">
        <v>16.600000000000001</v>
      </c>
      <c r="AB354" s="27">
        <v>10.3</v>
      </c>
      <c r="AC354" s="27">
        <v>5543</v>
      </c>
      <c r="AD354" s="27">
        <v>2123</v>
      </c>
      <c r="AE354" s="27">
        <v>6395</v>
      </c>
      <c r="AF354" s="27">
        <v>3236</v>
      </c>
      <c r="AG354" s="27">
        <v>0.83499999999999996</v>
      </c>
      <c r="AH354" s="27">
        <v>9.4</v>
      </c>
      <c r="AI354" s="27">
        <v>13.8</v>
      </c>
      <c r="AJ354" s="27">
        <v>1880</v>
      </c>
      <c r="AK354" s="33">
        <v>400</v>
      </c>
    </row>
    <row r="355" spans="1:37">
      <c r="A355" s="26" t="s">
        <v>432</v>
      </c>
      <c r="B355" s="27">
        <v>393.2</v>
      </c>
      <c r="C355" s="27">
        <v>399</v>
      </c>
      <c r="D355" s="27">
        <v>22.6</v>
      </c>
      <c r="E355" s="27">
        <v>36.5</v>
      </c>
      <c r="F355" s="27">
        <v>20</v>
      </c>
      <c r="G355" s="27">
        <v>280.2</v>
      </c>
      <c r="H355" s="27">
        <v>99990</v>
      </c>
      <c r="I355" s="27">
        <v>38680</v>
      </c>
      <c r="J355" s="27">
        <v>5086</v>
      </c>
      <c r="K355" s="27">
        <v>1939</v>
      </c>
      <c r="L355" s="27">
        <v>5828</v>
      </c>
      <c r="M355" s="27">
        <v>2952</v>
      </c>
      <c r="N355" s="33">
        <v>367</v>
      </c>
      <c r="O355" s="26" t="s">
        <v>432</v>
      </c>
      <c r="P355" s="27">
        <v>288.10000000000002</v>
      </c>
      <c r="Q355" s="27">
        <v>393.2</v>
      </c>
      <c r="R355" s="27">
        <v>399</v>
      </c>
      <c r="S355" s="27">
        <v>22.6</v>
      </c>
      <c r="T355" s="27">
        <v>36.5</v>
      </c>
      <c r="U355" s="27">
        <v>20</v>
      </c>
      <c r="V355" s="27">
        <v>280.2</v>
      </c>
      <c r="W355" s="27">
        <v>5.47</v>
      </c>
      <c r="X355" s="27">
        <v>12.4</v>
      </c>
      <c r="Y355" s="27">
        <v>99990</v>
      </c>
      <c r="Z355" s="27">
        <v>38680</v>
      </c>
      <c r="AA355" s="27">
        <v>16.5</v>
      </c>
      <c r="AB355" s="27">
        <v>10.3</v>
      </c>
      <c r="AC355" s="27">
        <v>5086</v>
      </c>
      <c r="AD355" s="27">
        <v>1939</v>
      </c>
      <c r="AE355" s="27">
        <v>5828</v>
      </c>
      <c r="AF355" s="27">
        <v>2952</v>
      </c>
      <c r="AG355" s="27">
        <v>0.83499999999999996</v>
      </c>
      <c r="AH355" s="27">
        <v>10.1</v>
      </c>
      <c r="AI355" s="27">
        <v>12.3</v>
      </c>
      <c r="AJ355" s="27">
        <v>1474</v>
      </c>
      <c r="AK355" s="33">
        <v>367</v>
      </c>
    </row>
    <row r="356" spans="1:37">
      <c r="A356" s="26" t="s">
        <v>433</v>
      </c>
      <c r="B356" s="27">
        <v>386.6</v>
      </c>
      <c r="C356" s="27">
        <v>397.5</v>
      </c>
      <c r="D356" s="27">
        <v>21.1</v>
      </c>
      <c r="E356" s="27">
        <v>33.299999999999997</v>
      </c>
      <c r="F356" s="27">
        <v>20</v>
      </c>
      <c r="G356" s="27">
        <v>280</v>
      </c>
      <c r="H356" s="27">
        <v>89450</v>
      </c>
      <c r="I356" s="27">
        <v>34890</v>
      </c>
      <c r="J356" s="27">
        <v>4627</v>
      </c>
      <c r="K356" s="27">
        <v>1756</v>
      </c>
      <c r="L356" s="27">
        <v>5270</v>
      </c>
      <c r="M356" s="27">
        <v>2672</v>
      </c>
      <c r="N356" s="33">
        <v>336</v>
      </c>
      <c r="O356" s="26" t="s">
        <v>433</v>
      </c>
      <c r="P356" s="27">
        <v>263.5</v>
      </c>
      <c r="Q356" s="27">
        <v>386.6</v>
      </c>
      <c r="R356" s="27">
        <v>397.5</v>
      </c>
      <c r="S356" s="27">
        <v>21.1</v>
      </c>
      <c r="T356" s="27">
        <v>33.299999999999997</v>
      </c>
      <c r="U356" s="27">
        <v>20</v>
      </c>
      <c r="V356" s="27">
        <v>280</v>
      </c>
      <c r="W356" s="27">
        <v>5.97</v>
      </c>
      <c r="X356" s="27">
        <v>13.3</v>
      </c>
      <c r="Y356" s="27">
        <v>89450</v>
      </c>
      <c r="Z356" s="27">
        <v>34890</v>
      </c>
      <c r="AA356" s="27">
        <v>16.3</v>
      </c>
      <c r="AB356" s="27">
        <v>10.199999999999999</v>
      </c>
      <c r="AC356" s="27">
        <v>4627</v>
      </c>
      <c r="AD356" s="27">
        <v>1756</v>
      </c>
      <c r="AE356" s="27">
        <v>5270</v>
      </c>
      <c r="AF356" s="27">
        <v>2672</v>
      </c>
      <c r="AG356" s="27">
        <v>0.83299999999999996</v>
      </c>
      <c r="AH356" s="27">
        <v>10.9</v>
      </c>
      <c r="AI356" s="27">
        <v>10.9</v>
      </c>
      <c r="AJ356" s="27">
        <v>1132</v>
      </c>
      <c r="AK356" s="33">
        <v>336</v>
      </c>
    </row>
    <row r="357" spans="1:37">
      <c r="A357" s="26" t="s">
        <v>434</v>
      </c>
      <c r="B357" s="27">
        <v>380.4</v>
      </c>
      <c r="C357" s="27">
        <v>395.4</v>
      </c>
      <c r="D357" s="27">
        <v>18.899999999999999</v>
      </c>
      <c r="E357" s="27">
        <v>30.2</v>
      </c>
      <c r="F357" s="27">
        <v>20</v>
      </c>
      <c r="G357" s="27">
        <v>280</v>
      </c>
      <c r="H357" s="27">
        <v>79400</v>
      </c>
      <c r="I357" s="27">
        <v>31140</v>
      </c>
      <c r="J357" s="27">
        <v>4174</v>
      </c>
      <c r="K357" s="27">
        <v>1575</v>
      </c>
      <c r="L357" s="27">
        <v>4719</v>
      </c>
      <c r="M357" s="27">
        <v>2394</v>
      </c>
      <c r="N357" s="33">
        <v>303</v>
      </c>
      <c r="O357" s="26" t="s">
        <v>434</v>
      </c>
      <c r="P357" s="27">
        <v>237.6</v>
      </c>
      <c r="Q357" s="27">
        <v>380.4</v>
      </c>
      <c r="R357" s="27">
        <v>395.4</v>
      </c>
      <c r="S357" s="27">
        <v>18.899999999999999</v>
      </c>
      <c r="T357" s="27">
        <v>30.2</v>
      </c>
      <c r="U357" s="27">
        <v>20</v>
      </c>
      <c r="V357" s="27">
        <v>280</v>
      </c>
      <c r="W357" s="27">
        <v>6.55</v>
      </c>
      <c r="X357" s="27">
        <v>14.8</v>
      </c>
      <c r="Y357" s="27">
        <v>79400</v>
      </c>
      <c r="Z357" s="27">
        <v>31140</v>
      </c>
      <c r="AA357" s="27">
        <v>16.2</v>
      </c>
      <c r="AB357" s="27">
        <v>10.1</v>
      </c>
      <c r="AC357" s="27">
        <v>4174</v>
      </c>
      <c r="AD357" s="27">
        <v>1575</v>
      </c>
      <c r="AE357" s="27">
        <v>4719</v>
      </c>
      <c r="AF357" s="27">
        <v>2394</v>
      </c>
      <c r="AG357" s="27">
        <v>0.83299999999999996</v>
      </c>
      <c r="AH357" s="27">
        <v>11.9</v>
      </c>
      <c r="AI357" s="27">
        <v>9.5500000000000007</v>
      </c>
      <c r="AJ357" s="27">
        <v>843</v>
      </c>
      <c r="AK357" s="33">
        <v>303</v>
      </c>
    </row>
    <row r="358" spans="1:37">
      <c r="A358" s="26" t="s">
        <v>435</v>
      </c>
      <c r="B358" s="27">
        <v>375.4</v>
      </c>
      <c r="C358" s="27">
        <v>393.7</v>
      </c>
      <c r="D358" s="27">
        <v>17.3</v>
      </c>
      <c r="E358" s="27">
        <v>27.7</v>
      </c>
      <c r="F358" s="27">
        <v>20</v>
      </c>
      <c r="G358" s="27">
        <v>280</v>
      </c>
      <c r="H358" s="27">
        <v>71620</v>
      </c>
      <c r="I358" s="27">
        <v>28190</v>
      </c>
      <c r="J358" s="27">
        <v>3815</v>
      </c>
      <c r="K358" s="27">
        <v>1432</v>
      </c>
      <c r="L358" s="27">
        <v>4288</v>
      </c>
      <c r="M358" s="27">
        <v>2175</v>
      </c>
      <c r="N358" s="33">
        <v>277</v>
      </c>
      <c r="O358" s="26" t="s">
        <v>435</v>
      </c>
      <c r="P358" s="27">
        <v>217.4</v>
      </c>
      <c r="Q358" s="27">
        <v>375.4</v>
      </c>
      <c r="R358" s="27">
        <v>393.7</v>
      </c>
      <c r="S358" s="27">
        <v>17.3</v>
      </c>
      <c r="T358" s="27">
        <v>27.7</v>
      </c>
      <c r="U358" s="27">
        <v>20</v>
      </c>
      <c r="V358" s="27">
        <v>280</v>
      </c>
      <c r="W358" s="27">
        <v>7.11</v>
      </c>
      <c r="X358" s="27">
        <v>16.2</v>
      </c>
      <c r="Y358" s="27">
        <v>71620</v>
      </c>
      <c r="Z358" s="27">
        <v>28190</v>
      </c>
      <c r="AA358" s="27">
        <v>16.100000000000001</v>
      </c>
      <c r="AB358" s="27">
        <v>10.1</v>
      </c>
      <c r="AC358" s="27">
        <v>3815</v>
      </c>
      <c r="AD358" s="27">
        <v>1432</v>
      </c>
      <c r="AE358" s="27">
        <v>4288</v>
      </c>
      <c r="AF358" s="27">
        <v>2175</v>
      </c>
      <c r="AG358" s="27">
        <v>0.83299999999999996</v>
      </c>
      <c r="AH358" s="27">
        <v>12.8</v>
      </c>
      <c r="AI358" s="27">
        <v>8.52</v>
      </c>
      <c r="AJ358" s="27">
        <v>652</v>
      </c>
      <c r="AK358" s="33">
        <v>277</v>
      </c>
    </row>
    <row r="359" spans="1:37" ht="14.25">
      <c r="A359" s="26" t="s">
        <v>436</v>
      </c>
      <c r="B359" s="27">
        <v>372.4</v>
      </c>
      <c r="C359" s="27">
        <v>374</v>
      </c>
      <c r="D359" s="27">
        <v>16.399999999999999</v>
      </c>
      <c r="E359" s="27">
        <v>26.2</v>
      </c>
      <c r="F359" s="27">
        <v>20</v>
      </c>
      <c r="G359" s="27">
        <v>280</v>
      </c>
      <c r="H359" s="27">
        <v>64140</v>
      </c>
      <c r="I359" s="27">
        <v>22860</v>
      </c>
      <c r="J359" s="27">
        <v>3445</v>
      </c>
      <c r="K359" s="27">
        <v>1223</v>
      </c>
      <c r="L359" s="27">
        <v>3866</v>
      </c>
      <c r="M359" s="27">
        <v>1858</v>
      </c>
      <c r="N359" s="33">
        <v>252</v>
      </c>
      <c r="O359" s="26" t="s">
        <v>436</v>
      </c>
      <c r="P359" s="27">
        <v>197.7</v>
      </c>
      <c r="Q359" s="27">
        <v>372.4</v>
      </c>
      <c r="R359" s="27">
        <v>374</v>
      </c>
      <c r="S359" s="27">
        <v>16.399999999999999</v>
      </c>
      <c r="T359" s="27">
        <v>26.2</v>
      </c>
      <c r="U359" s="27">
        <v>20</v>
      </c>
      <c r="V359" s="27">
        <v>280</v>
      </c>
      <c r="W359" s="27">
        <v>7.14</v>
      </c>
      <c r="X359" s="27">
        <v>17.100000000000001</v>
      </c>
      <c r="Y359" s="27">
        <v>64140</v>
      </c>
      <c r="Z359" s="27">
        <v>22860</v>
      </c>
      <c r="AA359" s="27">
        <v>16</v>
      </c>
      <c r="AB359" s="27">
        <v>9.5299999999999994</v>
      </c>
      <c r="AC359" s="27">
        <v>3445</v>
      </c>
      <c r="AD359" s="27">
        <v>1223</v>
      </c>
      <c r="AE359" s="27">
        <v>3866</v>
      </c>
      <c r="AF359" s="27">
        <v>1858</v>
      </c>
      <c r="AG359" s="27">
        <v>0.84299999999999997</v>
      </c>
      <c r="AH359" s="27">
        <v>13.5</v>
      </c>
      <c r="AI359" s="27">
        <v>6.85</v>
      </c>
      <c r="AJ359" s="27">
        <v>531</v>
      </c>
      <c r="AK359" s="33">
        <v>252</v>
      </c>
    </row>
    <row r="360" spans="1:37" ht="14.25">
      <c r="A360" s="26" t="s">
        <v>437</v>
      </c>
      <c r="B360" s="27">
        <v>367.8</v>
      </c>
      <c r="C360" s="27">
        <v>372.6</v>
      </c>
      <c r="D360" s="27">
        <v>15</v>
      </c>
      <c r="E360" s="27">
        <v>23.9</v>
      </c>
      <c r="F360" s="27">
        <v>20</v>
      </c>
      <c r="G360" s="27">
        <v>280</v>
      </c>
      <c r="H360" s="27">
        <v>57670</v>
      </c>
      <c r="I360" s="27">
        <v>20620</v>
      </c>
      <c r="J360" s="27">
        <v>3136</v>
      </c>
      <c r="K360" s="27">
        <v>1107</v>
      </c>
      <c r="L360" s="27">
        <v>3500</v>
      </c>
      <c r="M360" s="27">
        <v>1681</v>
      </c>
      <c r="N360" s="33">
        <v>230</v>
      </c>
      <c r="O360" s="26" t="s">
        <v>437</v>
      </c>
      <c r="P360" s="27">
        <v>180.2</v>
      </c>
      <c r="Q360" s="27">
        <v>367.8</v>
      </c>
      <c r="R360" s="27">
        <v>372.6</v>
      </c>
      <c r="S360" s="27">
        <v>15</v>
      </c>
      <c r="T360" s="27">
        <v>23.9</v>
      </c>
      <c r="U360" s="27">
        <v>20</v>
      </c>
      <c r="V360" s="27">
        <v>280</v>
      </c>
      <c r="W360" s="27">
        <v>7.79</v>
      </c>
      <c r="X360" s="27">
        <v>18.7</v>
      </c>
      <c r="Y360" s="27">
        <v>57670</v>
      </c>
      <c r="Z360" s="27">
        <v>20620</v>
      </c>
      <c r="AA360" s="27">
        <v>15.9</v>
      </c>
      <c r="AB360" s="27">
        <v>9.48</v>
      </c>
      <c r="AC360" s="27">
        <v>3136</v>
      </c>
      <c r="AD360" s="27">
        <v>1107</v>
      </c>
      <c r="AE360" s="27">
        <v>3500</v>
      </c>
      <c r="AF360" s="27">
        <v>1681</v>
      </c>
      <c r="AG360" s="27">
        <v>0.84299999999999997</v>
      </c>
      <c r="AH360" s="27">
        <v>14.6</v>
      </c>
      <c r="AI360" s="27">
        <v>6.1</v>
      </c>
      <c r="AJ360" s="27">
        <v>406</v>
      </c>
      <c r="AK360" s="33">
        <v>230</v>
      </c>
    </row>
    <row r="361" spans="1:37" ht="14.25">
      <c r="A361" s="26" t="s">
        <v>438</v>
      </c>
      <c r="B361" s="27">
        <v>363.7</v>
      </c>
      <c r="C361" s="27">
        <v>371</v>
      </c>
      <c r="D361" s="27">
        <v>13.3</v>
      </c>
      <c r="E361" s="27">
        <v>21.8</v>
      </c>
      <c r="F361" s="27">
        <v>20</v>
      </c>
      <c r="G361" s="27">
        <v>280.10000000000002</v>
      </c>
      <c r="H361" s="27">
        <v>51800</v>
      </c>
      <c r="I361" s="27">
        <v>18560</v>
      </c>
      <c r="J361" s="27">
        <v>2849</v>
      </c>
      <c r="K361" s="27">
        <v>1001</v>
      </c>
      <c r="L361" s="27">
        <v>3159</v>
      </c>
      <c r="M361" s="27">
        <v>1518</v>
      </c>
      <c r="N361" s="33">
        <v>208</v>
      </c>
      <c r="O361" s="26" t="s">
        <v>438</v>
      </c>
      <c r="P361" s="27">
        <v>163.1</v>
      </c>
      <c r="Q361" s="27">
        <v>363.7</v>
      </c>
      <c r="R361" s="27">
        <v>371</v>
      </c>
      <c r="S361" s="27">
        <v>13.3</v>
      </c>
      <c r="T361" s="27">
        <v>21.8</v>
      </c>
      <c r="U361" s="27">
        <v>20</v>
      </c>
      <c r="V361" s="27">
        <v>280.10000000000002</v>
      </c>
      <c r="W361" s="27">
        <v>8.51</v>
      </c>
      <c r="X361" s="27">
        <v>21.1</v>
      </c>
      <c r="Y361" s="27">
        <v>51800</v>
      </c>
      <c r="Z361" s="27">
        <v>18560</v>
      </c>
      <c r="AA361" s="27">
        <v>15.8</v>
      </c>
      <c r="AB361" s="27">
        <v>9.4499999999999993</v>
      </c>
      <c r="AC361" s="27">
        <v>2849</v>
      </c>
      <c r="AD361" s="27">
        <v>1001</v>
      </c>
      <c r="AE361" s="27">
        <v>3159</v>
      </c>
      <c r="AF361" s="27">
        <v>1518</v>
      </c>
      <c r="AG361" s="27">
        <v>0.84399999999999997</v>
      </c>
      <c r="AH361" s="27">
        <v>15.9</v>
      </c>
      <c r="AI361" s="27">
        <v>5.43</v>
      </c>
      <c r="AJ361" s="27">
        <v>307</v>
      </c>
      <c r="AK361" s="33">
        <v>208</v>
      </c>
    </row>
    <row r="362" spans="1:37" ht="14.25">
      <c r="A362" s="26" t="s">
        <v>439</v>
      </c>
      <c r="B362" s="27">
        <v>360</v>
      </c>
      <c r="C362" s="27">
        <v>370</v>
      </c>
      <c r="D362" s="27">
        <v>12.3</v>
      </c>
      <c r="E362" s="27">
        <v>19.8</v>
      </c>
      <c r="F362" s="27">
        <v>20</v>
      </c>
      <c r="G362" s="27">
        <v>280.39999999999998</v>
      </c>
      <c r="H362" s="27">
        <v>46650</v>
      </c>
      <c r="I362" s="27">
        <v>16720</v>
      </c>
      <c r="J362" s="27">
        <v>2591</v>
      </c>
      <c r="K362" s="27">
        <v>904</v>
      </c>
      <c r="L362" s="27">
        <v>2861</v>
      </c>
      <c r="M362" s="27">
        <v>1371</v>
      </c>
      <c r="N362" s="33">
        <v>189</v>
      </c>
      <c r="O362" s="26" t="s">
        <v>439</v>
      </c>
      <c r="P362" s="27">
        <v>148.6</v>
      </c>
      <c r="Q362" s="27">
        <v>360</v>
      </c>
      <c r="R362" s="27">
        <v>370</v>
      </c>
      <c r="S362" s="27">
        <v>12.3</v>
      </c>
      <c r="T362" s="27">
        <v>19.8</v>
      </c>
      <c r="U362" s="27">
        <v>20</v>
      </c>
      <c r="V362" s="27">
        <v>280.39999999999998</v>
      </c>
      <c r="W362" s="27">
        <v>9.34</v>
      </c>
      <c r="X362" s="27">
        <v>22.8</v>
      </c>
      <c r="Y362" s="27">
        <v>46650</v>
      </c>
      <c r="Z362" s="27">
        <v>16720</v>
      </c>
      <c r="AA362" s="27">
        <v>15.7</v>
      </c>
      <c r="AB362" s="27">
        <v>9.4</v>
      </c>
      <c r="AC362" s="27">
        <v>2591</v>
      </c>
      <c r="AD362" s="27">
        <v>904</v>
      </c>
      <c r="AE362" s="27">
        <v>2861</v>
      </c>
      <c r="AF362" s="27">
        <v>1371</v>
      </c>
      <c r="AG362" s="27">
        <v>0.84299999999999997</v>
      </c>
      <c r="AH362" s="27">
        <v>17.3</v>
      </c>
      <c r="AI362" s="27">
        <v>4.84</v>
      </c>
      <c r="AJ362" s="27">
        <v>233</v>
      </c>
      <c r="AK362" s="33">
        <v>189</v>
      </c>
    </row>
    <row r="363" spans="1:37" ht="14.25">
      <c r="A363" s="26" t="s">
        <v>440</v>
      </c>
      <c r="B363" s="27">
        <v>356.1</v>
      </c>
      <c r="C363" s="27">
        <v>368.8</v>
      </c>
      <c r="D363" s="27">
        <v>11.2</v>
      </c>
      <c r="E363" s="27">
        <v>18</v>
      </c>
      <c r="F363" s="27">
        <v>20</v>
      </c>
      <c r="G363" s="27">
        <v>280.10000000000002</v>
      </c>
      <c r="H363" s="27">
        <v>41870</v>
      </c>
      <c r="I363" s="27">
        <v>15060</v>
      </c>
      <c r="J363" s="27">
        <v>2352</v>
      </c>
      <c r="K363" s="27">
        <v>816</v>
      </c>
      <c r="L363" s="27">
        <v>2585</v>
      </c>
      <c r="M363" s="27">
        <v>1238</v>
      </c>
      <c r="N363" s="33">
        <v>172</v>
      </c>
      <c r="O363" s="26" t="s">
        <v>440</v>
      </c>
      <c r="P363" s="27">
        <v>135.1</v>
      </c>
      <c r="Q363" s="27">
        <v>356.1</v>
      </c>
      <c r="R363" s="27">
        <v>368.8</v>
      </c>
      <c r="S363" s="27">
        <v>11.2</v>
      </c>
      <c r="T363" s="27">
        <v>18</v>
      </c>
      <c r="U363" s="27">
        <v>20</v>
      </c>
      <c r="V363" s="27">
        <v>280.10000000000002</v>
      </c>
      <c r="W363" s="27">
        <v>10.199999999999999</v>
      </c>
      <c r="X363" s="27">
        <v>25</v>
      </c>
      <c r="Y363" s="27">
        <v>41870</v>
      </c>
      <c r="Z363" s="27">
        <v>15060</v>
      </c>
      <c r="AA363" s="27">
        <v>15.6</v>
      </c>
      <c r="AB363" s="27">
        <v>9.35</v>
      </c>
      <c r="AC363" s="27">
        <v>2352</v>
      </c>
      <c r="AD363" s="27">
        <v>816</v>
      </c>
      <c r="AE363" s="27">
        <v>2585</v>
      </c>
      <c r="AF363" s="27">
        <v>1238</v>
      </c>
      <c r="AG363" s="27">
        <v>0.84299999999999997</v>
      </c>
      <c r="AH363" s="27">
        <v>18.899999999999999</v>
      </c>
      <c r="AI363" s="27">
        <v>4.3</v>
      </c>
      <c r="AJ363" s="27">
        <v>177</v>
      </c>
      <c r="AK363" s="33">
        <v>172</v>
      </c>
    </row>
    <row r="364" spans="1:37" ht="14.25">
      <c r="A364" s="26" t="s">
        <v>441</v>
      </c>
      <c r="B364" s="27">
        <v>358.1</v>
      </c>
      <c r="C364" s="27">
        <v>172.1</v>
      </c>
      <c r="D364" s="27">
        <v>7.9</v>
      </c>
      <c r="E364" s="27">
        <v>13.1</v>
      </c>
      <c r="F364" s="27">
        <v>16</v>
      </c>
      <c r="G364" s="27">
        <v>299.89999999999998</v>
      </c>
      <c r="H364" s="27">
        <v>16410</v>
      </c>
      <c r="I364" s="27">
        <v>1116</v>
      </c>
      <c r="J364" s="27">
        <v>917</v>
      </c>
      <c r="K364" s="27">
        <v>130</v>
      </c>
      <c r="L364" s="27">
        <v>1031</v>
      </c>
      <c r="M364" s="27">
        <v>201</v>
      </c>
      <c r="N364" s="33">
        <v>73.5</v>
      </c>
      <c r="O364" s="26" t="s">
        <v>441</v>
      </c>
      <c r="P364" s="27">
        <v>57.7</v>
      </c>
      <c r="Q364" s="27">
        <v>358.1</v>
      </c>
      <c r="R364" s="27">
        <v>172.1</v>
      </c>
      <c r="S364" s="27">
        <v>7.9</v>
      </c>
      <c r="T364" s="27">
        <v>13.1</v>
      </c>
      <c r="U364" s="27">
        <v>16</v>
      </c>
      <c r="V364" s="27">
        <v>299.89999999999998</v>
      </c>
      <c r="W364" s="27">
        <v>6.57</v>
      </c>
      <c r="X364" s="27">
        <v>38</v>
      </c>
      <c r="Y364" s="27">
        <v>16410</v>
      </c>
      <c r="Z364" s="27">
        <v>1116</v>
      </c>
      <c r="AA364" s="27">
        <v>14.9</v>
      </c>
      <c r="AB364" s="27">
        <v>3.9</v>
      </c>
      <c r="AC364" s="27">
        <v>917</v>
      </c>
      <c r="AD364" s="27">
        <v>130</v>
      </c>
      <c r="AE364" s="27">
        <v>1031</v>
      </c>
      <c r="AF364" s="27">
        <v>201</v>
      </c>
      <c r="AG364" s="27">
        <v>0.88600000000000001</v>
      </c>
      <c r="AH364" s="27">
        <v>27.3</v>
      </c>
      <c r="AI364" s="27">
        <v>0.33200000000000002</v>
      </c>
      <c r="AJ364" s="27">
        <v>37.700000000000003</v>
      </c>
      <c r="AK364" s="33">
        <v>73.5</v>
      </c>
    </row>
    <row r="365" spans="1:37" ht="14.25">
      <c r="A365" s="26" t="s">
        <v>442</v>
      </c>
      <c r="B365" s="27">
        <v>355.1</v>
      </c>
      <c r="C365" s="27">
        <v>171.3</v>
      </c>
      <c r="D365" s="27">
        <v>7.2</v>
      </c>
      <c r="E365" s="27">
        <v>11.6</v>
      </c>
      <c r="F365" s="27">
        <v>16</v>
      </c>
      <c r="G365" s="27">
        <v>299.98</v>
      </c>
      <c r="H365" s="27">
        <v>14460</v>
      </c>
      <c r="I365" s="27">
        <v>971</v>
      </c>
      <c r="J365" s="27">
        <v>815</v>
      </c>
      <c r="K365" s="27">
        <v>113</v>
      </c>
      <c r="L365" s="27">
        <v>914</v>
      </c>
      <c r="M365" s="27">
        <v>175</v>
      </c>
      <c r="N365" s="33">
        <v>65.7</v>
      </c>
      <c r="O365" s="26" t="s">
        <v>442</v>
      </c>
      <c r="P365" s="27">
        <v>51.6</v>
      </c>
      <c r="Q365" s="27">
        <v>355.1</v>
      </c>
      <c r="R365" s="27">
        <v>171.3</v>
      </c>
      <c r="S365" s="27">
        <v>7.2</v>
      </c>
      <c r="T365" s="27">
        <v>11.6</v>
      </c>
      <c r="U365" s="27">
        <v>16</v>
      </c>
      <c r="V365" s="27">
        <v>299.98</v>
      </c>
      <c r="W365" s="27">
        <v>7.41</v>
      </c>
      <c r="X365" s="27">
        <v>41.7</v>
      </c>
      <c r="Y365" s="27">
        <v>14460</v>
      </c>
      <c r="Z365" s="27">
        <v>971</v>
      </c>
      <c r="AA365" s="27">
        <v>14.8</v>
      </c>
      <c r="AB365" s="27">
        <v>3.84</v>
      </c>
      <c r="AC365" s="27">
        <v>815</v>
      </c>
      <c r="AD365" s="27">
        <v>113</v>
      </c>
      <c r="AE365" s="27">
        <v>914</v>
      </c>
      <c r="AF365" s="27">
        <v>175</v>
      </c>
      <c r="AG365" s="27">
        <v>0.88500000000000001</v>
      </c>
      <c r="AH365" s="27">
        <v>30.2</v>
      </c>
      <c r="AI365" s="27">
        <v>0.28599999999999998</v>
      </c>
      <c r="AJ365" s="27">
        <v>27.2</v>
      </c>
      <c r="AK365" s="33">
        <v>65.7</v>
      </c>
    </row>
    <row r="366" spans="1:37" ht="14.25">
      <c r="A366" s="26" t="s">
        <v>443</v>
      </c>
      <c r="B366" s="27">
        <v>351.5</v>
      </c>
      <c r="C366" s="27">
        <v>170.9</v>
      </c>
      <c r="D366" s="27">
        <v>6.9</v>
      </c>
      <c r="E366" s="27">
        <v>9.8000000000000007</v>
      </c>
      <c r="F366" s="27">
        <v>16</v>
      </c>
      <c r="G366" s="27">
        <v>299.89999999999998</v>
      </c>
      <c r="H366" s="27">
        <v>12460</v>
      </c>
      <c r="I366" s="27">
        <v>817</v>
      </c>
      <c r="J366" s="27">
        <v>709</v>
      </c>
      <c r="K366" s="27">
        <v>95.7</v>
      </c>
      <c r="L366" s="27">
        <v>798</v>
      </c>
      <c r="M366" s="27">
        <v>149</v>
      </c>
      <c r="N366" s="33">
        <v>58.6</v>
      </c>
      <c r="O366" s="26" t="s">
        <v>443</v>
      </c>
      <c r="P366" s="27">
        <v>46</v>
      </c>
      <c r="Q366" s="27">
        <v>351.5</v>
      </c>
      <c r="R366" s="27">
        <v>170.9</v>
      </c>
      <c r="S366" s="27">
        <v>6.9</v>
      </c>
      <c r="T366" s="27">
        <v>9.8000000000000007</v>
      </c>
      <c r="U366" s="27">
        <v>16</v>
      </c>
      <c r="V366" s="27">
        <v>299.89999999999998</v>
      </c>
      <c r="W366" s="27">
        <v>8.7200000000000006</v>
      </c>
      <c r="X366" s="27">
        <v>43.5</v>
      </c>
      <c r="Y366" s="27">
        <v>12460</v>
      </c>
      <c r="Z366" s="27">
        <v>817</v>
      </c>
      <c r="AA366" s="27">
        <v>14.6</v>
      </c>
      <c r="AB366" s="27">
        <v>3.74</v>
      </c>
      <c r="AC366" s="27">
        <v>709</v>
      </c>
      <c r="AD366" s="27">
        <v>95.7</v>
      </c>
      <c r="AE366" s="27">
        <v>798</v>
      </c>
      <c r="AF366" s="27">
        <v>149</v>
      </c>
      <c r="AG366" s="27">
        <v>0.878</v>
      </c>
      <c r="AH366" s="27">
        <v>34</v>
      </c>
      <c r="AI366" s="27">
        <v>0.23899999999999999</v>
      </c>
      <c r="AJ366" s="27">
        <v>19</v>
      </c>
      <c r="AK366" s="33">
        <v>58.6</v>
      </c>
    </row>
    <row r="367" spans="1:37">
      <c r="A367" s="26" t="s">
        <v>444</v>
      </c>
      <c r="B367" s="27">
        <v>353.3</v>
      </c>
      <c r="C367" s="27">
        <v>127.6</v>
      </c>
      <c r="D367" s="27">
        <v>6.5</v>
      </c>
      <c r="E367" s="27">
        <v>10.7</v>
      </c>
      <c r="F367" s="27">
        <v>16</v>
      </c>
      <c r="G367" s="27">
        <v>299.89999999999998</v>
      </c>
      <c r="H367" s="27">
        <v>10580</v>
      </c>
      <c r="I367" s="27">
        <v>372</v>
      </c>
      <c r="J367" s="27">
        <v>599</v>
      </c>
      <c r="K367" s="27">
        <v>58.4</v>
      </c>
      <c r="L367" s="27">
        <v>682</v>
      </c>
      <c r="M367" s="27">
        <v>92.1</v>
      </c>
      <c r="N367" s="33">
        <v>51.1</v>
      </c>
      <c r="O367" s="26" t="s">
        <v>444</v>
      </c>
      <c r="P367" s="27">
        <v>40.1</v>
      </c>
      <c r="Q367" s="27">
        <v>353.3</v>
      </c>
      <c r="R367" s="27">
        <v>127.6</v>
      </c>
      <c r="S367" s="27">
        <v>6.5</v>
      </c>
      <c r="T367" s="27">
        <v>10.7</v>
      </c>
      <c r="U367" s="27">
        <v>16</v>
      </c>
      <c r="V367" s="27">
        <v>299.89999999999998</v>
      </c>
      <c r="W367" s="27">
        <v>5.96</v>
      </c>
      <c r="X367" s="27">
        <v>46.1</v>
      </c>
      <c r="Y367" s="27">
        <v>10580</v>
      </c>
      <c r="Z367" s="27">
        <v>372</v>
      </c>
      <c r="AA367" s="27">
        <v>14.4</v>
      </c>
      <c r="AB367" s="27">
        <v>2.7</v>
      </c>
      <c r="AC367" s="27">
        <v>599</v>
      </c>
      <c r="AD367" s="27">
        <v>58.4</v>
      </c>
      <c r="AE367" s="27">
        <v>682</v>
      </c>
      <c r="AF367" s="27">
        <v>92.1</v>
      </c>
      <c r="AG367" s="27">
        <v>0.875</v>
      </c>
      <c r="AH367" s="27">
        <v>32.4</v>
      </c>
      <c r="AI367" s="27">
        <v>0.109</v>
      </c>
      <c r="AJ367" s="27">
        <v>18.2</v>
      </c>
      <c r="AK367" s="33">
        <v>51.1</v>
      </c>
    </row>
    <row r="368" spans="1:37">
      <c r="A368" s="24" t="s">
        <v>445</v>
      </c>
      <c r="B368" s="25">
        <v>349</v>
      </c>
      <c r="C368" s="25">
        <v>127</v>
      </c>
      <c r="D368" s="25">
        <v>5.8</v>
      </c>
      <c r="E368" s="25">
        <v>8.5</v>
      </c>
      <c r="F368" s="25">
        <v>16</v>
      </c>
      <c r="G368" s="25">
        <v>300</v>
      </c>
      <c r="H368" s="25">
        <v>8608</v>
      </c>
      <c r="I368" s="25">
        <v>292</v>
      </c>
      <c r="J368" s="25">
        <v>493</v>
      </c>
      <c r="K368" s="25">
        <v>46</v>
      </c>
      <c r="L368" s="25">
        <v>563</v>
      </c>
      <c r="M368" s="25">
        <v>72.8</v>
      </c>
      <c r="N368" s="32">
        <v>43</v>
      </c>
      <c r="O368" s="24" t="s">
        <v>445</v>
      </c>
      <c r="P368" s="25">
        <v>33.799999999999997</v>
      </c>
      <c r="Q368" s="25">
        <v>349</v>
      </c>
      <c r="R368" s="25">
        <v>127</v>
      </c>
      <c r="S368" s="25">
        <v>5.8</v>
      </c>
      <c r="T368" s="25">
        <v>8.5</v>
      </c>
      <c r="U368" s="25">
        <v>16</v>
      </c>
      <c r="V368" s="25">
        <v>300</v>
      </c>
      <c r="W368" s="25">
        <v>7.47</v>
      </c>
      <c r="X368" s="25">
        <v>51.7</v>
      </c>
      <c r="Y368" s="25">
        <v>8608</v>
      </c>
      <c r="Z368" s="25">
        <v>292</v>
      </c>
      <c r="AA368" s="25">
        <v>14.1</v>
      </c>
      <c r="AB368" s="25">
        <v>2.6</v>
      </c>
      <c r="AC368" s="25">
        <v>493</v>
      </c>
      <c r="AD368" s="25">
        <v>46</v>
      </c>
      <c r="AE368" s="25">
        <v>563</v>
      </c>
      <c r="AF368" s="25">
        <v>72.8</v>
      </c>
      <c r="AG368" s="25">
        <v>0.86899999999999999</v>
      </c>
      <c r="AH368" s="25">
        <v>38</v>
      </c>
      <c r="AI368" s="25">
        <v>8.5000000000000006E-2</v>
      </c>
      <c r="AJ368" s="25">
        <v>11.1</v>
      </c>
      <c r="AK368" s="32">
        <v>43</v>
      </c>
    </row>
    <row r="369" spans="1:37">
      <c r="A369" s="26" t="s">
        <v>446</v>
      </c>
      <c r="B369" s="27">
        <v>427.2</v>
      </c>
      <c r="C369" s="27">
        <v>340</v>
      </c>
      <c r="D369" s="27">
        <v>45.1</v>
      </c>
      <c r="E369" s="27">
        <v>75.099999999999994</v>
      </c>
      <c r="F369" s="27">
        <v>20</v>
      </c>
      <c r="G369" s="27">
        <v>237</v>
      </c>
      <c r="H369" s="27">
        <v>169300</v>
      </c>
      <c r="I369" s="27">
        <v>49430</v>
      </c>
      <c r="J369" s="27">
        <v>7925</v>
      </c>
      <c r="K369" s="27">
        <v>2908</v>
      </c>
      <c r="L369" s="27">
        <v>9902</v>
      </c>
      <c r="M369" s="27">
        <v>4491</v>
      </c>
      <c r="N369" s="33">
        <v>639</v>
      </c>
      <c r="O369" s="26" t="s">
        <v>446</v>
      </c>
      <c r="P369" s="27">
        <v>501.6</v>
      </c>
      <c r="Q369" s="27">
        <v>427.2</v>
      </c>
      <c r="R369" s="27">
        <v>340</v>
      </c>
      <c r="S369" s="27">
        <v>45.1</v>
      </c>
      <c r="T369" s="27">
        <v>75.099999999999994</v>
      </c>
      <c r="U369" s="27">
        <v>20</v>
      </c>
      <c r="V369" s="27">
        <v>237</v>
      </c>
      <c r="W369" s="27">
        <v>2.2599999999999998</v>
      </c>
      <c r="X369" s="27">
        <v>5.25</v>
      </c>
      <c r="Y369" s="27">
        <v>169300</v>
      </c>
      <c r="Z369" s="27">
        <v>49430</v>
      </c>
      <c r="AA369" s="27">
        <v>16.3</v>
      </c>
      <c r="AB369" s="27">
        <v>8.8000000000000007</v>
      </c>
      <c r="AC369" s="27">
        <v>7925</v>
      </c>
      <c r="AD369" s="27">
        <v>2908</v>
      </c>
      <c r="AE369" s="27">
        <v>9902</v>
      </c>
      <c r="AF369" s="27">
        <v>4491</v>
      </c>
      <c r="AG369" s="27">
        <v>0.86099999999999999</v>
      </c>
      <c r="AH369" s="27">
        <v>4.97</v>
      </c>
      <c r="AI369" s="27">
        <v>15.3</v>
      </c>
      <c r="AJ369" s="27">
        <v>10290</v>
      </c>
      <c r="AK369" s="33">
        <v>639</v>
      </c>
    </row>
    <row r="370" spans="1:37">
      <c r="A370" s="26" t="s">
        <v>447</v>
      </c>
      <c r="B370" s="27">
        <v>414.5</v>
      </c>
      <c r="C370" s="27">
        <v>336.2</v>
      </c>
      <c r="D370" s="27">
        <v>41.3</v>
      </c>
      <c r="E370" s="27">
        <v>68.7</v>
      </c>
      <c r="F370" s="27">
        <v>20</v>
      </c>
      <c r="G370" s="27">
        <v>237.1</v>
      </c>
      <c r="H370" s="27">
        <v>147900</v>
      </c>
      <c r="I370" s="27">
        <v>43700</v>
      </c>
      <c r="J370" s="27">
        <v>7134</v>
      </c>
      <c r="K370" s="27">
        <v>2599</v>
      </c>
      <c r="L370" s="27">
        <v>8826</v>
      </c>
      <c r="M370" s="27">
        <v>4009</v>
      </c>
      <c r="N370" s="33">
        <v>580</v>
      </c>
      <c r="O370" s="26" t="s">
        <v>447</v>
      </c>
      <c r="P370" s="27">
        <v>455.2</v>
      </c>
      <c r="Q370" s="27">
        <v>414.5</v>
      </c>
      <c r="R370" s="27">
        <v>336.2</v>
      </c>
      <c r="S370" s="27">
        <v>41.3</v>
      </c>
      <c r="T370" s="27">
        <v>68.7</v>
      </c>
      <c r="U370" s="27">
        <v>20</v>
      </c>
      <c r="V370" s="27">
        <v>237.1</v>
      </c>
      <c r="W370" s="27">
        <v>2.4500000000000002</v>
      </c>
      <c r="X370" s="27">
        <v>5.74</v>
      </c>
      <c r="Y370" s="27">
        <v>147900</v>
      </c>
      <c r="Z370" s="27">
        <v>43700</v>
      </c>
      <c r="AA370" s="27">
        <v>16</v>
      </c>
      <c r="AB370" s="27">
        <v>8.68</v>
      </c>
      <c r="AC370" s="27">
        <v>7134</v>
      </c>
      <c r="AD370" s="27">
        <v>2599</v>
      </c>
      <c r="AE370" s="27">
        <v>8826</v>
      </c>
      <c r="AF370" s="27">
        <v>4009</v>
      </c>
      <c r="AG370" s="27">
        <v>0.86</v>
      </c>
      <c r="AH370" s="27">
        <v>5.32</v>
      </c>
      <c r="AI370" s="27">
        <v>13.1</v>
      </c>
      <c r="AJ370" s="27">
        <v>7861</v>
      </c>
      <c r="AK370" s="33">
        <v>580</v>
      </c>
    </row>
    <row r="371" spans="1:37">
      <c r="A371" s="26" t="s">
        <v>448</v>
      </c>
      <c r="B371" s="27">
        <v>402.6</v>
      </c>
      <c r="C371" s="27">
        <v>333.8</v>
      </c>
      <c r="D371" s="27">
        <v>38.9</v>
      </c>
      <c r="E371" s="27">
        <v>62.7</v>
      </c>
      <c r="F371" s="27">
        <v>20</v>
      </c>
      <c r="G371" s="27">
        <v>237.2</v>
      </c>
      <c r="H371" s="27">
        <v>129800</v>
      </c>
      <c r="I371" s="27">
        <v>39020</v>
      </c>
      <c r="J371" s="27">
        <v>6448</v>
      </c>
      <c r="K371" s="27">
        <v>2338</v>
      </c>
      <c r="L371" s="27">
        <v>7907</v>
      </c>
      <c r="M371" s="27">
        <v>3606</v>
      </c>
      <c r="N371" s="33">
        <v>530</v>
      </c>
      <c r="O371" s="26" t="s">
        <v>448</v>
      </c>
      <c r="P371" s="27">
        <v>415.9</v>
      </c>
      <c r="Q371" s="27">
        <v>402.6</v>
      </c>
      <c r="R371" s="27">
        <v>333.8</v>
      </c>
      <c r="S371" s="27">
        <v>38.9</v>
      </c>
      <c r="T371" s="27">
        <v>62.7</v>
      </c>
      <c r="U371" s="27">
        <v>20</v>
      </c>
      <c r="V371" s="27">
        <v>237.2</v>
      </c>
      <c r="W371" s="27">
        <v>2.66</v>
      </c>
      <c r="X371" s="27">
        <v>6.1</v>
      </c>
      <c r="Y371" s="27">
        <v>129800</v>
      </c>
      <c r="Z371" s="27">
        <v>39020</v>
      </c>
      <c r="AA371" s="27">
        <v>15.7</v>
      </c>
      <c r="AB371" s="27">
        <v>8.58</v>
      </c>
      <c r="AC371" s="27">
        <v>6448</v>
      </c>
      <c r="AD371" s="27">
        <v>2338</v>
      </c>
      <c r="AE371" s="27">
        <v>7907</v>
      </c>
      <c r="AF371" s="27">
        <v>3606</v>
      </c>
      <c r="AG371" s="27">
        <v>0.85699999999999998</v>
      </c>
      <c r="AH371" s="27">
        <v>5.69</v>
      </c>
      <c r="AI371" s="27">
        <v>11.3</v>
      </c>
      <c r="AJ371" s="27">
        <v>6063</v>
      </c>
      <c r="AK371" s="33">
        <v>530</v>
      </c>
    </row>
    <row r="372" spans="1:37">
      <c r="A372" s="26" t="s">
        <v>449</v>
      </c>
      <c r="B372" s="27">
        <v>391.4</v>
      </c>
      <c r="C372" s="27">
        <v>330.3</v>
      </c>
      <c r="D372" s="27">
        <v>35.4</v>
      </c>
      <c r="E372" s="27">
        <v>57.2</v>
      </c>
      <c r="F372" s="27">
        <v>20</v>
      </c>
      <c r="G372" s="27">
        <v>237</v>
      </c>
      <c r="H372" s="27">
        <v>113400</v>
      </c>
      <c r="I372" s="27">
        <v>34470</v>
      </c>
      <c r="J372" s="27">
        <v>5796</v>
      </c>
      <c r="K372" s="27">
        <v>2087</v>
      </c>
      <c r="L372" s="27">
        <v>7039</v>
      </c>
      <c r="M372" s="27">
        <v>3215</v>
      </c>
      <c r="N372" s="33">
        <v>479</v>
      </c>
      <c r="O372" s="26" t="s">
        <v>449</v>
      </c>
      <c r="P372" s="27">
        <v>376.3</v>
      </c>
      <c r="Q372" s="27">
        <v>391.4</v>
      </c>
      <c r="R372" s="27">
        <v>330.3</v>
      </c>
      <c r="S372" s="27">
        <v>35.4</v>
      </c>
      <c r="T372" s="27">
        <v>57.2</v>
      </c>
      <c r="U372" s="27">
        <v>20</v>
      </c>
      <c r="V372" s="27">
        <v>237</v>
      </c>
      <c r="W372" s="27">
        <v>2.89</v>
      </c>
      <c r="X372" s="27">
        <v>6.69</v>
      </c>
      <c r="Y372" s="27">
        <v>113400</v>
      </c>
      <c r="Z372" s="27">
        <v>34470</v>
      </c>
      <c r="AA372" s="27">
        <v>15.4</v>
      </c>
      <c r="AB372" s="27">
        <v>8.48</v>
      </c>
      <c r="AC372" s="27">
        <v>5796</v>
      </c>
      <c r="AD372" s="27">
        <v>2087</v>
      </c>
      <c r="AE372" s="27">
        <v>7039</v>
      </c>
      <c r="AF372" s="27">
        <v>3215</v>
      </c>
      <c r="AG372" s="27">
        <v>0.85599999999999998</v>
      </c>
      <c r="AH372" s="27">
        <v>6.11</v>
      </c>
      <c r="AI372" s="27">
        <v>9.6300000000000008</v>
      </c>
      <c r="AJ372" s="27">
        <v>4588</v>
      </c>
      <c r="AK372" s="33">
        <v>479</v>
      </c>
    </row>
    <row r="373" spans="1:37">
      <c r="A373" s="26" t="s">
        <v>450</v>
      </c>
      <c r="B373" s="27">
        <v>382.3</v>
      </c>
      <c r="C373" s="27">
        <v>327.5</v>
      </c>
      <c r="D373" s="27">
        <v>32.6</v>
      </c>
      <c r="E373" s="27">
        <v>52.6</v>
      </c>
      <c r="F373" s="27">
        <v>20</v>
      </c>
      <c r="G373" s="27">
        <v>237.1</v>
      </c>
      <c r="H373" s="27">
        <v>100800</v>
      </c>
      <c r="I373" s="27">
        <v>30890</v>
      </c>
      <c r="J373" s="27">
        <v>5274</v>
      </c>
      <c r="K373" s="27">
        <v>1886</v>
      </c>
      <c r="L373" s="27">
        <v>6351</v>
      </c>
      <c r="M373" s="27">
        <v>2902</v>
      </c>
      <c r="N373" s="33">
        <v>438</v>
      </c>
      <c r="O373" s="26" t="s">
        <v>450</v>
      </c>
      <c r="P373" s="27">
        <v>344.1</v>
      </c>
      <c r="Q373" s="27">
        <v>382.3</v>
      </c>
      <c r="R373" s="27">
        <v>327.5</v>
      </c>
      <c r="S373" s="27">
        <v>32.6</v>
      </c>
      <c r="T373" s="27">
        <v>52.6</v>
      </c>
      <c r="U373" s="27">
        <v>20</v>
      </c>
      <c r="V373" s="27">
        <v>237.1</v>
      </c>
      <c r="W373" s="27">
        <v>3.11</v>
      </c>
      <c r="X373" s="27">
        <v>7.27</v>
      </c>
      <c r="Y373" s="27">
        <v>100800</v>
      </c>
      <c r="Z373" s="27">
        <v>30890</v>
      </c>
      <c r="AA373" s="27">
        <v>15.2</v>
      </c>
      <c r="AB373" s="27">
        <v>8.39</v>
      </c>
      <c r="AC373" s="27">
        <v>5274</v>
      </c>
      <c r="AD373" s="27">
        <v>1886</v>
      </c>
      <c r="AE373" s="27">
        <v>6351</v>
      </c>
      <c r="AF373" s="27">
        <v>2902</v>
      </c>
      <c r="AG373" s="27">
        <v>0.85599999999999998</v>
      </c>
      <c r="AH373" s="27">
        <v>6.54</v>
      </c>
      <c r="AI373" s="27">
        <v>8.39</v>
      </c>
      <c r="AJ373" s="27">
        <v>3566</v>
      </c>
      <c r="AK373" s="33">
        <v>438</v>
      </c>
    </row>
    <row r="374" spans="1:37">
      <c r="A374" s="26" t="s">
        <v>451</v>
      </c>
      <c r="B374" s="27">
        <v>373.6</v>
      </c>
      <c r="C374" s="27">
        <v>324.89999999999998</v>
      </c>
      <c r="D374" s="27">
        <v>30</v>
      </c>
      <c r="E374" s="27">
        <v>48.3</v>
      </c>
      <c r="F374" s="27">
        <v>20</v>
      </c>
      <c r="G374" s="27">
        <v>237</v>
      </c>
      <c r="H374" s="27">
        <v>89570</v>
      </c>
      <c r="I374" s="27">
        <v>27680</v>
      </c>
      <c r="J374" s="27">
        <v>4795</v>
      </c>
      <c r="K374" s="27">
        <v>1704</v>
      </c>
      <c r="L374" s="27">
        <v>5726</v>
      </c>
      <c r="M374" s="27">
        <v>2618</v>
      </c>
      <c r="N374" s="33">
        <v>400</v>
      </c>
      <c r="O374" s="26" t="s">
        <v>451</v>
      </c>
      <c r="P374" s="27">
        <v>314.3</v>
      </c>
      <c r="Q374" s="27">
        <v>373.6</v>
      </c>
      <c r="R374" s="27">
        <v>324.89999999999998</v>
      </c>
      <c r="S374" s="27">
        <v>30</v>
      </c>
      <c r="T374" s="27">
        <v>48.3</v>
      </c>
      <c r="U374" s="27">
        <v>20</v>
      </c>
      <c r="V374" s="27">
        <v>237</v>
      </c>
      <c r="W374" s="27">
        <v>3.36</v>
      </c>
      <c r="X374" s="27">
        <v>7.9</v>
      </c>
      <c r="Y374" s="27">
        <v>89570</v>
      </c>
      <c r="Z374" s="27">
        <v>27680</v>
      </c>
      <c r="AA374" s="27">
        <v>15</v>
      </c>
      <c r="AB374" s="27">
        <v>8.32</v>
      </c>
      <c r="AC374" s="27">
        <v>4795</v>
      </c>
      <c r="AD374" s="27">
        <v>1704</v>
      </c>
      <c r="AE374" s="27">
        <v>5726</v>
      </c>
      <c r="AF374" s="27">
        <v>2618</v>
      </c>
      <c r="AG374" s="27">
        <v>0.85499999999999998</v>
      </c>
      <c r="AH374" s="27">
        <v>7.01</v>
      </c>
      <c r="AI374" s="27">
        <v>7.32</v>
      </c>
      <c r="AJ374" s="27">
        <v>2763</v>
      </c>
      <c r="AK374" s="33">
        <v>400</v>
      </c>
    </row>
    <row r="375" spans="1:37">
      <c r="A375" s="26" t="s">
        <v>452</v>
      </c>
      <c r="B375" s="27">
        <v>365.3</v>
      </c>
      <c r="C375" s="27">
        <v>321.8</v>
      </c>
      <c r="D375" s="27">
        <v>26.9</v>
      </c>
      <c r="E375" s="27">
        <v>44.1</v>
      </c>
      <c r="F375" s="27">
        <v>20</v>
      </c>
      <c r="G375" s="27">
        <v>237.1</v>
      </c>
      <c r="H375" s="27">
        <v>79050</v>
      </c>
      <c r="I375" s="27">
        <v>24550</v>
      </c>
      <c r="J375" s="27">
        <v>4328</v>
      </c>
      <c r="K375" s="27">
        <v>1526</v>
      </c>
      <c r="L375" s="27">
        <v>5121</v>
      </c>
      <c r="M375" s="27">
        <v>2340</v>
      </c>
      <c r="N375" s="33">
        <v>362</v>
      </c>
      <c r="O375" s="26" t="s">
        <v>452</v>
      </c>
      <c r="P375" s="27">
        <v>284</v>
      </c>
      <c r="Q375" s="27">
        <v>365.3</v>
      </c>
      <c r="R375" s="27">
        <v>321.8</v>
      </c>
      <c r="S375" s="27">
        <v>26.9</v>
      </c>
      <c r="T375" s="27">
        <v>44.1</v>
      </c>
      <c r="U375" s="27">
        <v>20</v>
      </c>
      <c r="V375" s="27">
        <v>237.1</v>
      </c>
      <c r="W375" s="27">
        <v>3.65</v>
      </c>
      <c r="X375" s="27">
        <v>8.81</v>
      </c>
      <c r="Y375" s="27">
        <v>79050</v>
      </c>
      <c r="Z375" s="27">
        <v>24550</v>
      </c>
      <c r="AA375" s="27">
        <v>14.8</v>
      </c>
      <c r="AB375" s="27">
        <v>8.24</v>
      </c>
      <c r="AC375" s="27">
        <v>4328</v>
      </c>
      <c r="AD375" s="27">
        <v>1526</v>
      </c>
      <c r="AE375" s="27">
        <v>5121</v>
      </c>
      <c r="AF375" s="27">
        <v>2340</v>
      </c>
      <c r="AG375" s="27">
        <v>0.85499999999999998</v>
      </c>
      <c r="AH375" s="27">
        <v>7.57</v>
      </c>
      <c r="AI375" s="27">
        <v>6.33</v>
      </c>
      <c r="AJ375" s="27">
        <v>2085</v>
      </c>
      <c r="AK375" s="33">
        <v>362</v>
      </c>
    </row>
    <row r="376" spans="1:37">
      <c r="A376" s="26" t="s">
        <v>453</v>
      </c>
      <c r="B376" s="27">
        <v>356.4</v>
      </c>
      <c r="C376" s="27">
        <v>319.3</v>
      </c>
      <c r="D376" s="27">
        <v>24.4</v>
      </c>
      <c r="E376" s="27">
        <v>39.6</v>
      </c>
      <c r="F376" s="27">
        <v>20</v>
      </c>
      <c r="G376" s="27">
        <v>237.2</v>
      </c>
      <c r="H376" s="27">
        <v>68730</v>
      </c>
      <c r="I376" s="27">
        <v>21530</v>
      </c>
      <c r="J376" s="27">
        <v>3857</v>
      </c>
      <c r="K376" s="27">
        <v>1349</v>
      </c>
      <c r="L376" s="27">
        <v>4520</v>
      </c>
      <c r="M376" s="27">
        <v>2066</v>
      </c>
      <c r="N376" s="33">
        <v>324</v>
      </c>
      <c r="O376" s="26" t="s">
        <v>453</v>
      </c>
      <c r="P376" s="27">
        <v>254.3</v>
      </c>
      <c r="Q376" s="27">
        <v>356.4</v>
      </c>
      <c r="R376" s="27">
        <v>319.3</v>
      </c>
      <c r="S376" s="27">
        <v>24.4</v>
      </c>
      <c r="T376" s="27">
        <v>39.6</v>
      </c>
      <c r="U376" s="27">
        <v>20</v>
      </c>
      <c r="V376" s="27">
        <v>237.2</v>
      </c>
      <c r="W376" s="27">
        <v>4.03</v>
      </c>
      <c r="X376" s="27">
        <v>9.7200000000000006</v>
      </c>
      <c r="Y376" s="27">
        <v>68730</v>
      </c>
      <c r="Z376" s="27">
        <v>21530</v>
      </c>
      <c r="AA376" s="27">
        <v>14.6</v>
      </c>
      <c r="AB376" s="27">
        <v>8.15</v>
      </c>
      <c r="AC376" s="27">
        <v>3857</v>
      </c>
      <c r="AD376" s="27">
        <v>1349</v>
      </c>
      <c r="AE376" s="27">
        <v>4520</v>
      </c>
      <c r="AF376" s="27">
        <v>2066</v>
      </c>
      <c r="AG376" s="27">
        <v>0.85399999999999998</v>
      </c>
      <c r="AH376" s="27">
        <v>8.2799999999999994</v>
      </c>
      <c r="AI376" s="27">
        <v>5.4</v>
      </c>
      <c r="AJ376" s="27">
        <v>1518</v>
      </c>
      <c r="AK376" s="33">
        <v>324</v>
      </c>
    </row>
    <row r="377" spans="1:37">
      <c r="A377" s="26" t="s">
        <v>454</v>
      </c>
      <c r="B377" s="27">
        <v>348.2</v>
      </c>
      <c r="C377" s="27">
        <v>317</v>
      </c>
      <c r="D377" s="27">
        <v>22.1</v>
      </c>
      <c r="E377" s="27">
        <v>35.6</v>
      </c>
      <c r="F377" s="27">
        <v>20</v>
      </c>
      <c r="G377" s="27">
        <v>237</v>
      </c>
      <c r="H377" s="27">
        <v>59910</v>
      </c>
      <c r="I377" s="27">
        <v>18930</v>
      </c>
      <c r="J377" s="27">
        <v>3441</v>
      </c>
      <c r="K377" s="27">
        <v>1195</v>
      </c>
      <c r="L377" s="27">
        <v>3998</v>
      </c>
      <c r="M377" s="27">
        <v>1828</v>
      </c>
      <c r="N377" s="33">
        <v>290</v>
      </c>
      <c r="O377" s="26" t="s">
        <v>454</v>
      </c>
      <c r="P377" s="27">
        <v>227.9</v>
      </c>
      <c r="Q377" s="27">
        <v>348.2</v>
      </c>
      <c r="R377" s="27">
        <v>317</v>
      </c>
      <c r="S377" s="27">
        <v>22.1</v>
      </c>
      <c r="T377" s="27">
        <v>35.6</v>
      </c>
      <c r="U377" s="27">
        <v>20</v>
      </c>
      <c r="V377" s="27">
        <v>237</v>
      </c>
      <c r="W377" s="27">
        <v>4.45</v>
      </c>
      <c r="X377" s="27">
        <v>10.7</v>
      </c>
      <c r="Y377" s="27">
        <v>59910</v>
      </c>
      <c r="Z377" s="27">
        <v>18930</v>
      </c>
      <c r="AA377" s="27">
        <v>14.4</v>
      </c>
      <c r="AB377" s="27">
        <v>8.08</v>
      </c>
      <c r="AC377" s="27">
        <v>3441</v>
      </c>
      <c r="AD377" s="27">
        <v>1195</v>
      </c>
      <c r="AE377" s="27">
        <v>3998</v>
      </c>
      <c r="AF377" s="27">
        <v>1828</v>
      </c>
      <c r="AG377" s="27">
        <v>0.85399999999999998</v>
      </c>
      <c r="AH377" s="27">
        <v>9.0500000000000007</v>
      </c>
      <c r="AI377" s="27">
        <v>4.63</v>
      </c>
      <c r="AJ377" s="27">
        <v>1109</v>
      </c>
      <c r="AK377" s="33">
        <v>290</v>
      </c>
    </row>
    <row r="378" spans="1:37">
      <c r="A378" s="26" t="s">
        <v>455</v>
      </c>
      <c r="B378" s="27">
        <v>340.6</v>
      </c>
      <c r="C378" s="27">
        <v>315</v>
      </c>
      <c r="D378" s="27">
        <v>20.100000000000001</v>
      </c>
      <c r="E378" s="27">
        <v>31.8</v>
      </c>
      <c r="F378" s="27">
        <v>20</v>
      </c>
      <c r="G378" s="27">
        <v>237</v>
      </c>
      <c r="H378" s="27">
        <v>52110</v>
      </c>
      <c r="I378" s="27">
        <v>16590</v>
      </c>
      <c r="J378" s="27">
        <v>3060</v>
      </c>
      <c r="K378" s="27">
        <v>1053</v>
      </c>
      <c r="L378" s="27">
        <v>3525</v>
      </c>
      <c r="M378" s="27">
        <v>1611</v>
      </c>
      <c r="N378" s="33">
        <v>259</v>
      </c>
      <c r="O378" s="26" t="s">
        <v>455</v>
      </c>
      <c r="P378" s="27">
        <v>203.7</v>
      </c>
      <c r="Q378" s="27">
        <v>340.6</v>
      </c>
      <c r="R378" s="27">
        <v>315</v>
      </c>
      <c r="S378" s="27">
        <v>20.100000000000001</v>
      </c>
      <c r="T378" s="27">
        <v>31.8</v>
      </c>
      <c r="U378" s="27">
        <v>20</v>
      </c>
      <c r="V378" s="27">
        <v>237</v>
      </c>
      <c r="W378" s="27">
        <v>4.95</v>
      </c>
      <c r="X378" s="27">
        <v>11.8</v>
      </c>
      <c r="Y378" s="27">
        <v>52110</v>
      </c>
      <c r="Z378" s="27">
        <v>16590</v>
      </c>
      <c r="AA378" s="27">
        <v>14.2</v>
      </c>
      <c r="AB378" s="27">
        <v>8</v>
      </c>
      <c r="AC378" s="27">
        <v>3060</v>
      </c>
      <c r="AD378" s="27">
        <v>1053</v>
      </c>
      <c r="AE378" s="27">
        <v>3525</v>
      </c>
      <c r="AF378" s="27">
        <v>1611</v>
      </c>
      <c r="AG378" s="27">
        <v>0.85199999999999998</v>
      </c>
      <c r="AH378" s="27">
        <v>9.9499999999999993</v>
      </c>
      <c r="AI378" s="27">
        <v>3.96</v>
      </c>
      <c r="AJ378" s="27">
        <v>800</v>
      </c>
      <c r="AK378" s="33">
        <v>259</v>
      </c>
    </row>
    <row r="379" spans="1:37">
      <c r="A379" s="26" t="s">
        <v>456</v>
      </c>
      <c r="B379" s="27">
        <v>333.2</v>
      </c>
      <c r="C379" s="27">
        <v>312.89999999999998</v>
      </c>
      <c r="D379" s="27">
        <v>18</v>
      </c>
      <c r="E379" s="27">
        <v>28.1</v>
      </c>
      <c r="F379" s="27">
        <v>20</v>
      </c>
      <c r="G379" s="27">
        <v>237</v>
      </c>
      <c r="H379" s="27">
        <v>44840</v>
      </c>
      <c r="I379" s="27">
        <v>14370</v>
      </c>
      <c r="J379" s="27">
        <v>2692</v>
      </c>
      <c r="K379" s="27">
        <v>918</v>
      </c>
      <c r="L379" s="27">
        <v>3074</v>
      </c>
      <c r="M379" s="27">
        <v>1403</v>
      </c>
      <c r="N379" s="33">
        <v>229</v>
      </c>
      <c r="O379" s="26" t="s">
        <v>456</v>
      </c>
      <c r="P379" s="27">
        <v>179.9</v>
      </c>
      <c r="Q379" s="27">
        <v>333.2</v>
      </c>
      <c r="R379" s="27">
        <v>312.89999999999998</v>
      </c>
      <c r="S379" s="27">
        <v>18</v>
      </c>
      <c r="T379" s="27">
        <v>28.1</v>
      </c>
      <c r="U379" s="27">
        <v>20</v>
      </c>
      <c r="V379" s="27">
        <v>237</v>
      </c>
      <c r="W379" s="27">
        <v>5.57</v>
      </c>
      <c r="X379" s="27">
        <v>13.2</v>
      </c>
      <c r="Y379" s="27">
        <v>44840</v>
      </c>
      <c r="Z379" s="27">
        <v>14370</v>
      </c>
      <c r="AA379" s="27">
        <v>14</v>
      </c>
      <c r="AB379" s="27">
        <v>7.92</v>
      </c>
      <c r="AC379" s="27">
        <v>2692</v>
      </c>
      <c r="AD379" s="27">
        <v>918</v>
      </c>
      <c r="AE379" s="27">
        <v>3074</v>
      </c>
      <c r="AF379" s="27">
        <v>1403</v>
      </c>
      <c r="AG379" s="27">
        <v>0.85099999999999998</v>
      </c>
      <c r="AH379" s="27">
        <v>11.1</v>
      </c>
      <c r="AI379" s="27">
        <v>3.34</v>
      </c>
      <c r="AJ379" s="27">
        <v>558</v>
      </c>
      <c r="AK379" s="33">
        <v>229</v>
      </c>
    </row>
    <row r="380" spans="1:37">
      <c r="A380" s="26" t="s">
        <v>457</v>
      </c>
      <c r="B380" s="27">
        <v>327.2</v>
      </c>
      <c r="C380" s="27">
        <v>310.60000000000002</v>
      </c>
      <c r="D380" s="27">
        <v>15.5</v>
      </c>
      <c r="E380" s="27">
        <v>25.1</v>
      </c>
      <c r="F380" s="27">
        <v>20</v>
      </c>
      <c r="G380" s="27">
        <v>237</v>
      </c>
      <c r="H380" s="27">
        <v>39020</v>
      </c>
      <c r="I380" s="27">
        <v>12550</v>
      </c>
      <c r="J380" s="27">
        <v>2385</v>
      </c>
      <c r="K380" s="27">
        <v>808</v>
      </c>
      <c r="L380" s="27">
        <v>2699</v>
      </c>
      <c r="M380" s="27">
        <v>1232</v>
      </c>
      <c r="N380" s="33">
        <v>202</v>
      </c>
      <c r="O380" s="26" t="s">
        <v>457</v>
      </c>
      <c r="P380" s="27">
        <v>158.80000000000001</v>
      </c>
      <c r="Q380" s="27">
        <v>327.2</v>
      </c>
      <c r="R380" s="27">
        <v>310.60000000000002</v>
      </c>
      <c r="S380" s="27">
        <v>15.5</v>
      </c>
      <c r="T380" s="27">
        <v>25.1</v>
      </c>
      <c r="U380" s="27">
        <v>20</v>
      </c>
      <c r="V380" s="27">
        <v>237</v>
      </c>
      <c r="W380" s="27">
        <v>6.19</v>
      </c>
      <c r="X380" s="27">
        <v>15.3</v>
      </c>
      <c r="Y380" s="27">
        <v>39020</v>
      </c>
      <c r="Z380" s="27">
        <v>12550</v>
      </c>
      <c r="AA380" s="27">
        <v>13.9</v>
      </c>
      <c r="AB380" s="27">
        <v>7.88</v>
      </c>
      <c r="AC380" s="27">
        <v>2385</v>
      </c>
      <c r="AD380" s="27">
        <v>808</v>
      </c>
      <c r="AE380" s="27">
        <v>2699</v>
      </c>
      <c r="AF380" s="27">
        <v>1232</v>
      </c>
      <c r="AG380" s="27">
        <v>0.85299999999999998</v>
      </c>
      <c r="AH380" s="27">
        <v>12.2</v>
      </c>
      <c r="AI380" s="27">
        <v>2.86</v>
      </c>
      <c r="AJ380" s="27">
        <v>394</v>
      </c>
      <c r="AK380" s="33">
        <v>202</v>
      </c>
    </row>
    <row r="381" spans="1:37">
      <c r="A381" s="26" t="s">
        <v>458</v>
      </c>
      <c r="B381" s="27">
        <v>322.8</v>
      </c>
      <c r="C381" s="27">
        <v>308.89999999999998</v>
      </c>
      <c r="D381" s="27">
        <v>14</v>
      </c>
      <c r="E381" s="27">
        <v>22.9</v>
      </c>
      <c r="F381" s="27">
        <v>20</v>
      </c>
      <c r="G381" s="27">
        <v>237</v>
      </c>
      <c r="H381" s="27">
        <v>34970</v>
      </c>
      <c r="I381" s="27">
        <v>11260</v>
      </c>
      <c r="J381" s="27">
        <v>2167</v>
      </c>
      <c r="K381" s="27">
        <v>729</v>
      </c>
      <c r="L381" s="27">
        <v>2436</v>
      </c>
      <c r="M381" s="27">
        <v>1110</v>
      </c>
      <c r="N381" s="33">
        <v>184</v>
      </c>
      <c r="O381" s="26" t="s">
        <v>458</v>
      </c>
      <c r="P381" s="27">
        <v>144.19999999999999</v>
      </c>
      <c r="Q381" s="27">
        <v>322.8</v>
      </c>
      <c r="R381" s="27">
        <v>308.89999999999998</v>
      </c>
      <c r="S381" s="27">
        <v>14</v>
      </c>
      <c r="T381" s="27">
        <v>22.9</v>
      </c>
      <c r="U381" s="27">
        <v>20</v>
      </c>
      <c r="V381" s="27">
        <v>237</v>
      </c>
      <c r="W381" s="27">
        <v>6.74</v>
      </c>
      <c r="X381" s="27">
        <v>16.899999999999999</v>
      </c>
      <c r="Y381" s="27">
        <v>34970</v>
      </c>
      <c r="Z381" s="27">
        <v>11260</v>
      </c>
      <c r="AA381" s="27">
        <v>13.8</v>
      </c>
      <c r="AB381" s="27">
        <v>7.83</v>
      </c>
      <c r="AC381" s="27">
        <v>2167</v>
      </c>
      <c r="AD381" s="27">
        <v>729</v>
      </c>
      <c r="AE381" s="27">
        <v>2436</v>
      </c>
      <c r="AF381" s="27">
        <v>1110</v>
      </c>
      <c r="AG381" s="27">
        <v>0.85299999999999998</v>
      </c>
      <c r="AH381" s="27">
        <v>13.3</v>
      </c>
      <c r="AI381" s="27">
        <v>2.5299999999999998</v>
      </c>
      <c r="AJ381" s="27">
        <v>300</v>
      </c>
      <c r="AK381" s="33">
        <v>184</v>
      </c>
    </row>
    <row r="382" spans="1:37">
      <c r="A382" s="26" t="s">
        <v>459</v>
      </c>
      <c r="B382" s="27">
        <v>318.3</v>
      </c>
      <c r="C382" s="27">
        <v>308</v>
      </c>
      <c r="D382" s="27">
        <v>13.1</v>
      </c>
      <c r="E382" s="27">
        <v>20.6</v>
      </c>
      <c r="F382" s="27">
        <v>20</v>
      </c>
      <c r="G382" s="27">
        <v>237.1</v>
      </c>
      <c r="H382" s="27">
        <v>31100</v>
      </c>
      <c r="I382" s="27">
        <v>10040</v>
      </c>
      <c r="J382" s="27">
        <v>1954</v>
      </c>
      <c r="K382" s="27">
        <v>652</v>
      </c>
      <c r="L382" s="27">
        <v>2186</v>
      </c>
      <c r="M382" s="27">
        <v>993</v>
      </c>
      <c r="N382" s="33">
        <v>167</v>
      </c>
      <c r="O382" s="26" t="s">
        <v>459</v>
      </c>
      <c r="P382" s="27">
        <v>130.80000000000001</v>
      </c>
      <c r="Q382" s="27">
        <v>318.3</v>
      </c>
      <c r="R382" s="27">
        <v>308</v>
      </c>
      <c r="S382" s="27">
        <v>13.1</v>
      </c>
      <c r="T382" s="27">
        <v>20.6</v>
      </c>
      <c r="U382" s="27">
        <v>20</v>
      </c>
      <c r="V382" s="27">
        <v>237.1</v>
      </c>
      <c r="W382" s="27">
        <v>7.48</v>
      </c>
      <c r="X382" s="27">
        <v>18.100000000000001</v>
      </c>
      <c r="Y382" s="27">
        <v>31100</v>
      </c>
      <c r="Z382" s="27">
        <v>10040</v>
      </c>
      <c r="AA382" s="27">
        <v>13.7</v>
      </c>
      <c r="AB382" s="27">
        <v>7.76</v>
      </c>
      <c r="AC382" s="27">
        <v>1954</v>
      </c>
      <c r="AD382" s="27">
        <v>652</v>
      </c>
      <c r="AE382" s="27">
        <v>2186</v>
      </c>
      <c r="AF382" s="27">
        <v>993</v>
      </c>
      <c r="AG382" s="27">
        <v>0.85199999999999998</v>
      </c>
      <c r="AH382" s="27">
        <v>14.5</v>
      </c>
      <c r="AI382" s="27">
        <v>2.2200000000000002</v>
      </c>
      <c r="AJ382" s="27">
        <v>224</v>
      </c>
      <c r="AK382" s="33">
        <v>167</v>
      </c>
    </row>
    <row r="383" spans="1:37">
      <c r="A383" s="26" t="s">
        <v>460</v>
      </c>
      <c r="B383" s="27">
        <v>314.5</v>
      </c>
      <c r="C383" s="27">
        <v>306.8</v>
      </c>
      <c r="D383" s="27">
        <v>11.9</v>
      </c>
      <c r="E383" s="27">
        <v>18.7</v>
      </c>
      <c r="F383" s="27">
        <v>20</v>
      </c>
      <c r="G383" s="27">
        <v>237.1</v>
      </c>
      <c r="H383" s="27">
        <v>27860</v>
      </c>
      <c r="I383" s="27">
        <v>9008</v>
      </c>
      <c r="J383" s="27">
        <v>1772</v>
      </c>
      <c r="K383" s="27">
        <v>587</v>
      </c>
      <c r="L383" s="27">
        <v>1972</v>
      </c>
      <c r="M383" s="27">
        <v>893</v>
      </c>
      <c r="N383" s="33">
        <v>151</v>
      </c>
      <c r="O383" s="26" t="s">
        <v>460</v>
      </c>
      <c r="P383" s="27">
        <v>118.7</v>
      </c>
      <c r="Q383" s="27">
        <v>314.5</v>
      </c>
      <c r="R383" s="27">
        <v>306.8</v>
      </c>
      <c r="S383" s="27">
        <v>11.9</v>
      </c>
      <c r="T383" s="27">
        <v>18.7</v>
      </c>
      <c r="U383" s="27">
        <v>20</v>
      </c>
      <c r="V383" s="27">
        <v>237.1</v>
      </c>
      <c r="W383" s="27">
        <v>8.1999999999999993</v>
      </c>
      <c r="X383" s="27">
        <v>19.899999999999999</v>
      </c>
      <c r="Y383" s="27">
        <v>27860</v>
      </c>
      <c r="Z383" s="27">
        <v>9008</v>
      </c>
      <c r="AA383" s="27">
        <v>13.6</v>
      </c>
      <c r="AB383" s="27">
        <v>7.72</v>
      </c>
      <c r="AC383" s="27">
        <v>1772</v>
      </c>
      <c r="AD383" s="27">
        <v>587</v>
      </c>
      <c r="AE383" s="27">
        <v>1972</v>
      </c>
      <c r="AF383" s="27">
        <v>893</v>
      </c>
      <c r="AG383" s="27">
        <v>0.85199999999999998</v>
      </c>
      <c r="AH383" s="27">
        <v>15.8</v>
      </c>
      <c r="AI383" s="27">
        <v>1.97</v>
      </c>
      <c r="AJ383" s="27">
        <v>170</v>
      </c>
      <c r="AK383" s="33">
        <v>151</v>
      </c>
    </row>
    <row r="384" spans="1:37">
      <c r="A384" s="26" t="s">
        <v>461</v>
      </c>
      <c r="B384" s="27">
        <v>311.2</v>
      </c>
      <c r="C384" s="27">
        <v>305.8</v>
      </c>
      <c r="D384" s="27">
        <v>10.9</v>
      </c>
      <c r="E384" s="27">
        <v>17</v>
      </c>
      <c r="F384" s="27">
        <v>20</v>
      </c>
      <c r="G384" s="27">
        <v>237.2</v>
      </c>
      <c r="H384" s="27">
        <v>25080</v>
      </c>
      <c r="I384" s="27">
        <v>8109</v>
      </c>
      <c r="J384" s="27">
        <v>1612</v>
      </c>
      <c r="K384" s="27">
        <v>530</v>
      </c>
      <c r="L384" s="27">
        <v>1785</v>
      </c>
      <c r="M384" s="27">
        <v>807</v>
      </c>
      <c r="N384" s="33">
        <v>138</v>
      </c>
      <c r="O384" s="26" t="s">
        <v>461</v>
      </c>
      <c r="P384" s="27">
        <v>108</v>
      </c>
      <c r="Q384" s="27">
        <v>311.2</v>
      </c>
      <c r="R384" s="27">
        <v>305.8</v>
      </c>
      <c r="S384" s="27">
        <v>10.9</v>
      </c>
      <c r="T384" s="27">
        <v>17</v>
      </c>
      <c r="U384" s="27">
        <v>20</v>
      </c>
      <c r="V384" s="27">
        <v>237.2</v>
      </c>
      <c r="W384" s="27">
        <v>8.99</v>
      </c>
      <c r="X384" s="27">
        <v>21.8</v>
      </c>
      <c r="Y384" s="27">
        <v>25080</v>
      </c>
      <c r="Z384" s="27">
        <v>8109</v>
      </c>
      <c r="AA384" s="27">
        <v>13.5</v>
      </c>
      <c r="AB384" s="27">
        <v>7.68</v>
      </c>
      <c r="AC384" s="27">
        <v>1612</v>
      </c>
      <c r="AD384" s="27">
        <v>530</v>
      </c>
      <c r="AE384" s="27">
        <v>1785</v>
      </c>
      <c r="AF384" s="27">
        <v>807</v>
      </c>
      <c r="AG384" s="27">
        <v>0.85199999999999998</v>
      </c>
      <c r="AH384" s="27">
        <v>17.100000000000001</v>
      </c>
      <c r="AI384" s="27">
        <v>1.75</v>
      </c>
      <c r="AJ384" s="27">
        <v>130</v>
      </c>
      <c r="AK384" s="33">
        <v>138</v>
      </c>
    </row>
    <row r="385" spans="1:37">
      <c r="A385" s="26" t="s">
        <v>462</v>
      </c>
      <c r="B385" s="27">
        <v>307.8</v>
      </c>
      <c r="C385" s="27">
        <v>304.8</v>
      </c>
      <c r="D385" s="27">
        <v>9.9</v>
      </c>
      <c r="E385" s="27">
        <v>15.4</v>
      </c>
      <c r="F385" s="27">
        <v>20</v>
      </c>
      <c r="G385" s="27">
        <v>237</v>
      </c>
      <c r="H385" s="27">
        <v>22460</v>
      </c>
      <c r="I385" s="27">
        <v>7274</v>
      </c>
      <c r="J385" s="27">
        <v>1459</v>
      </c>
      <c r="K385" s="27">
        <v>477</v>
      </c>
      <c r="L385" s="27">
        <v>1608</v>
      </c>
      <c r="M385" s="27">
        <v>725</v>
      </c>
      <c r="N385" s="33">
        <v>125</v>
      </c>
      <c r="O385" s="26" t="s">
        <v>462</v>
      </c>
      <c r="P385" s="27">
        <v>97.9</v>
      </c>
      <c r="Q385" s="27">
        <v>307.8</v>
      </c>
      <c r="R385" s="27">
        <v>304.8</v>
      </c>
      <c r="S385" s="27">
        <v>9.9</v>
      </c>
      <c r="T385" s="27">
        <v>15.4</v>
      </c>
      <c r="U385" s="27">
        <v>20</v>
      </c>
      <c r="V385" s="27">
        <v>237</v>
      </c>
      <c r="W385" s="27">
        <v>9.9</v>
      </c>
      <c r="X385" s="27">
        <v>23.9</v>
      </c>
      <c r="Y385" s="27">
        <v>22460</v>
      </c>
      <c r="Z385" s="27">
        <v>7274</v>
      </c>
      <c r="AA385" s="27">
        <v>13.4</v>
      </c>
      <c r="AB385" s="27">
        <v>7.64</v>
      </c>
      <c r="AC385" s="27">
        <v>1459</v>
      </c>
      <c r="AD385" s="27">
        <v>477</v>
      </c>
      <c r="AE385" s="27">
        <v>1608</v>
      </c>
      <c r="AF385" s="27">
        <v>725</v>
      </c>
      <c r="AG385" s="27">
        <v>0.85199999999999998</v>
      </c>
      <c r="AH385" s="27">
        <v>18.600000000000001</v>
      </c>
      <c r="AI385" s="27">
        <v>1.55</v>
      </c>
      <c r="AJ385" s="27">
        <v>98.3</v>
      </c>
      <c r="AK385" s="33">
        <v>125</v>
      </c>
    </row>
    <row r="386" spans="1:37">
      <c r="A386" s="26" t="s">
        <v>463</v>
      </c>
      <c r="B386" s="27">
        <v>312.7</v>
      </c>
      <c r="C386" s="27">
        <v>102.4</v>
      </c>
      <c r="D386" s="27">
        <v>6.6</v>
      </c>
      <c r="E386" s="27">
        <v>10.8</v>
      </c>
      <c r="F386" s="27">
        <v>20</v>
      </c>
      <c r="G386" s="27">
        <v>251.1</v>
      </c>
      <c r="H386" s="27">
        <v>7083</v>
      </c>
      <c r="I386" s="27">
        <v>197</v>
      </c>
      <c r="J386" s="27">
        <v>453</v>
      </c>
      <c r="K386" s="27">
        <v>38.4</v>
      </c>
      <c r="L386" s="27">
        <v>522</v>
      </c>
      <c r="M386" s="27">
        <v>62.5</v>
      </c>
      <c r="N386" s="33">
        <v>44.8</v>
      </c>
      <c r="O386" s="26" t="s">
        <v>463</v>
      </c>
      <c r="P386" s="27">
        <v>35.1</v>
      </c>
      <c r="Q386" s="27">
        <v>312.7</v>
      </c>
      <c r="R386" s="27">
        <v>102.4</v>
      </c>
      <c r="S386" s="27">
        <v>6.6</v>
      </c>
      <c r="T386" s="27">
        <v>10.8</v>
      </c>
      <c r="U386" s="27">
        <v>20</v>
      </c>
      <c r="V386" s="27">
        <v>251.1</v>
      </c>
      <c r="W386" s="27">
        <v>4.74</v>
      </c>
      <c r="X386" s="27">
        <v>38</v>
      </c>
      <c r="Y386" s="27">
        <v>7083</v>
      </c>
      <c r="Z386" s="27">
        <v>197</v>
      </c>
      <c r="AA386" s="27">
        <v>12.6</v>
      </c>
      <c r="AB386" s="27">
        <v>2.1</v>
      </c>
      <c r="AC386" s="27">
        <v>453</v>
      </c>
      <c r="AD386" s="27">
        <v>38.4</v>
      </c>
      <c r="AE386" s="27">
        <v>522</v>
      </c>
      <c r="AF386" s="27">
        <v>62.5</v>
      </c>
      <c r="AG386" s="27">
        <v>0.873</v>
      </c>
      <c r="AH386" s="27">
        <v>25.5</v>
      </c>
      <c r="AI386" s="27">
        <v>4.4999999999999998E-2</v>
      </c>
      <c r="AJ386" s="27">
        <v>20.100000000000001</v>
      </c>
      <c r="AK386" s="33">
        <v>44.8</v>
      </c>
    </row>
    <row r="387" spans="1:37">
      <c r="A387" s="26" t="s">
        <v>464</v>
      </c>
      <c r="B387" s="27">
        <v>308.89999999999998</v>
      </c>
      <c r="C387" s="27">
        <v>101.7</v>
      </c>
      <c r="D387" s="27">
        <v>6</v>
      </c>
      <c r="E387" s="27">
        <v>8.9</v>
      </c>
      <c r="F387" s="27">
        <v>20</v>
      </c>
      <c r="G387" s="27">
        <v>251.1</v>
      </c>
      <c r="H387" s="27">
        <v>5992</v>
      </c>
      <c r="I387" s="27">
        <v>159</v>
      </c>
      <c r="J387" s="27">
        <v>388</v>
      </c>
      <c r="K387" s="27">
        <v>31.3</v>
      </c>
      <c r="L387" s="27">
        <v>447</v>
      </c>
      <c r="M387" s="27">
        <v>51.2</v>
      </c>
      <c r="N387" s="33">
        <v>39</v>
      </c>
      <c r="O387" s="26" t="s">
        <v>464</v>
      </c>
      <c r="P387" s="27">
        <v>30.6</v>
      </c>
      <c r="Q387" s="27">
        <v>308.89999999999998</v>
      </c>
      <c r="R387" s="27">
        <v>101.7</v>
      </c>
      <c r="S387" s="27">
        <v>6</v>
      </c>
      <c r="T387" s="27">
        <v>8.9</v>
      </c>
      <c r="U387" s="27">
        <v>20</v>
      </c>
      <c r="V387" s="27">
        <v>251.1</v>
      </c>
      <c r="W387" s="27">
        <v>5.71</v>
      </c>
      <c r="X387" s="27">
        <v>41.8</v>
      </c>
      <c r="Y387" s="27">
        <v>5992</v>
      </c>
      <c r="Z387" s="27">
        <v>159</v>
      </c>
      <c r="AA387" s="27">
        <v>12.4</v>
      </c>
      <c r="AB387" s="27">
        <v>2.02</v>
      </c>
      <c r="AC387" s="27">
        <v>388</v>
      </c>
      <c r="AD387" s="27">
        <v>31.3</v>
      </c>
      <c r="AE387" s="27">
        <v>447</v>
      </c>
      <c r="AF387" s="27">
        <v>51.2</v>
      </c>
      <c r="AG387" s="27">
        <v>0.86799999999999999</v>
      </c>
      <c r="AH387" s="27">
        <v>28.3</v>
      </c>
      <c r="AI387" s="27">
        <v>3.5999999999999997E-2</v>
      </c>
      <c r="AJ387" s="27">
        <v>14.1</v>
      </c>
      <c r="AK387" s="33">
        <v>39</v>
      </c>
    </row>
    <row r="388" spans="1:37">
      <c r="A388" s="24" t="s">
        <v>465</v>
      </c>
      <c r="B388" s="25">
        <v>304.5</v>
      </c>
      <c r="C388" s="25">
        <v>101.3</v>
      </c>
      <c r="D388" s="25">
        <v>5.6</v>
      </c>
      <c r="E388" s="25">
        <v>6.7</v>
      </c>
      <c r="F388" s="25">
        <v>20</v>
      </c>
      <c r="G388" s="25">
        <v>251.1</v>
      </c>
      <c r="H388" s="25">
        <v>4845</v>
      </c>
      <c r="I388" s="25">
        <v>119</v>
      </c>
      <c r="J388" s="25">
        <v>318</v>
      </c>
      <c r="K388" s="25">
        <v>23.5</v>
      </c>
      <c r="L388" s="25">
        <v>369</v>
      </c>
      <c r="M388" s="25">
        <v>39.200000000000003</v>
      </c>
      <c r="N388" s="32">
        <v>33.299999999999997</v>
      </c>
      <c r="O388" s="24" t="s">
        <v>465</v>
      </c>
      <c r="P388" s="25">
        <v>26.1</v>
      </c>
      <c r="Q388" s="25">
        <v>304.5</v>
      </c>
      <c r="R388" s="25">
        <v>101.3</v>
      </c>
      <c r="S388" s="25">
        <v>5.6</v>
      </c>
      <c r="T388" s="25">
        <v>6.7</v>
      </c>
      <c r="U388" s="25">
        <v>20</v>
      </c>
      <c r="V388" s="25">
        <v>251.1</v>
      </c>
      <c r="W388" s="25">
        <v>7.56</v>
      </c>
      <c r="X388" s="25">
        <v>44.8</v>
      </c>
      <c r="Y388" s="25">
        <v>4845</v>
      </c>
      <c r="Z388" s="25">
        <v>119</v>
      </c>
      <c r="AA388" s="25">
        <v>12.1</v>
      </c>
      <c r="AB388" s="25">
        <v>1.89</v>
      </c>
      <c r="AC388" s="25">
        <v>318</v>
      </c>
      <c r="AD388" s="25">
        <v>23.5</v>
      </c>
      <c r="AE388" s="25">
        <v>369</v>
      </c>
      <c r="AF388" s="25">
        <v>39.200000000000003</v>
      </c>
      <c r="AG388" s="25">
        <v>0.85699999999999998</v>
      </c>
      <c r="AH388" s="25">
        <v>31.9</v>
      </c>
      <c r="AI388" s="25">
        <v>2.5999999999999999E-2</v>
      </c>
      <c r="AJ388" s="25">
        <v>9.32</v>
      </c>
      <c r="AK388" s="32">
        <v>33.299999999999997</v>
      </c>
    </row>
    <row r="389" spans="1:37">
      <c r="A389" s="26" t="s">
        <v>466</v>
      </c>
      <c r="B389" s="27">
        <v>289</v>
      </c>
      <c r="C389" s="27">
        <v>264.5</v>
      </c>
      <c r="D389" s="27">
        <v>19.2</v>
      </c>
      <c r="E389" s="27">
        <v>31.8</v>
      </c>
      <c r="F389" s="27">
        <v>20</v>
      </c>
      <c r="G389" s="27">
        <v>185.4</v>
      </c>
      <c r="H389" s="27">
        <v>30200</v>
      </c>
      <c r="I389" s="27">
        <v>9828</v>
      </c>
      <c r="J389" s="27">
        <v>2090</v>
      </c>
      <c r="K389" s="27">
        <v>743</v>
      </c>
      <c r="L389" s="27">
        <v>2444</v>
      </c>
      <c r="M389" s="27">
        <v>1138</v>
      </c>
      <c r="N389" s="33">
        <v>215</v>
      </c>
      <c r="O389" s="26" t="s">
        <v>466</v>
      </c>
      <c r="P389" s="27">
        <v>168.7</v>
      </c>
      <c r="Q389" s="27">
        <v>289</v>
      </c>
      <c r="R389" s="27">
        <v>264.5</v>
      </c>
      <c r="S389" s="27">
        <v>19.2</v>
      </c>
      <c r="T389" s="27">
        <v>31.8</v>
      </c>
      <c r="U389" s="27">
        <v>20</v>
      </c>
      <c r="V389" s="27">
        <v>185.4</v>
      </c>
      <c r="W389" s="27">
        <v>4.16</v>
      </c>
      <c r="X389" s="27">
        <v>9.66</v>
      </c>
      <c r="Y389" s="27">
        <v>30200</v>
      </c>
      <c r="Z389" s="27">
        <v>9828</v>
      </c>
      <c r="AA389" s="27">
        <v>11.9</v>
      </c>
      <c r="AB389" s="27">
        <v>6.76</v>
      </c>
      <c r="AC389" s="27">
        <v>2090</v>
      </c>
      <c r="AD389" s="27">
        <v>743</v>
      </c>
      <c r="AE389" s="27">
        <v>2444</v>
      </c>
      <c r="AF389" s="27">
        <v>1138</v>
      </c>
      <c r="AG389" s="27">
        <v>0.85199999999999998</v>
      </c>
      <c r="AH389" s="27">
        <v>8.2799999999999994</v>
      </c>
      <c r="AI389" s="27">
        <v>1.63</v>
      </c>
      <c r="AJ389" s="27">
        <v>665</v>
      </c>
      <c r="AK389" s="33">
        <v>215</v>
      </c>
    </row>
    <row r="390" spans="1:37">
      <c r="A390" s="26" t="s">
        <v>467</v>
      </c>
      <c r="B390" s="27">
        <v>282</v>
      </c>
      <c r="C390" s="27">
        <v>262.60000000000002</v>
      </c>
      <c r="D390" s="27">
        <v>17.3</v>
      </c>
      <c r="E390" s="27">
        <v>28.4</v>
      </c>
      <c r="F390" s="27">
        <v>20</v>
      </c>
      <c r="G390" s="27">
        <v>185.2</v>
      </c>
      <c r="H390" s="27">
        <v>26130</v>
      </c>
      <c r="I390" s="27">
        <v>8587</v>
      </c>
      <c r="J390" s="27">
        <v>1853</v>
      </c>
      <c r="K390" s="27">
        <v>654</v>
      </c>
      <c r="L390" s="27">
        <v>2148</v>
      </c>
      <c r="M390" s="27">
        <v>1001</v>
      </c>
      <c r="N390" s="33">
        <v>192</v>
      </c>
      <c r="O390" s="26" t="s">
        <v>467</v>
      </c>
      <c r="P390" s="27">
        <v>150.4</v>
      </c>
      <c r="Q390" s="27">
        <v>282</v>
      </c>
      <c r="R390" s="27">
        <v>262.60000000000002</v>
      </c>
      <c r="S390" s="27">
        <v>17.3</v>
      </c>
      <c r="T390" s="27">
        <v>28.4</v>
      </c>
      <c r="U390" s="27">
        <v>20</v>
      </c>
      <c r="V390" s="27">
        <v>185.2</v>
      </c>
      <c r="W390" s="27">
        <v>4.62</v>
      </c>
      <c r="X390" s="27">
        <v>10.7</v>
      </c>
      <c r="Y390" s="27">
        <v>26130</v>
      </c>
      <c r="Z390" s="27">
        <v>8587</v>
      </c>
      <c r="AA390" s="27">
        <v>11.7</v>
      </c>
      <c r="AB390" s="27">
        <v>6.7</v>
      </c>
      <c r="AC390" s="27">
        <v>1853</v>
      </c>
      <c r="AD390" s="27">
        <v>654</v>
      </c>
      <c r="AE390" s="27">
        <v>2148</v>
      </c>
      <c r="AF390" s="27">
        <v>1001</v>
      </c>
      <c r="AG390" s="27">
        <v>0.85099999999999998</v>
      </c>
      <c r="AH390" s="27">
        <v>9.08</v>
      </c>
      <c r="AI390" s="27">
        <v>1.38</v>
      </c>
      <c r="AJ390" s="27">
        <v>478</v>
      </c>
      <c r="AK390" s="33">
        <v>192</v>
      </c>
    </row>
    <row r="391" spans="1:37">
      <c r="A391" s="26" t="s">
        <v>468</v>
      </c>
      <c r="B391" s="27">
        <v>275.3</v>
      </c>
      <c r="C391" s="27">
        <v>260.7</v>
      </c>
      <c r="D391" s="27">
        <v>15.4</v>
      </c>
      <c r="E391" s="27">
        <v>25.1</v>
      </c>
      <c r="F391" s="27">
        <v>20</v>
      </c>
      <c r="G391" s="27">
        <v>185.1</v>
      </c>
      <c r="H391" s="27">
        <v>22420</v>
      </c>
      <c r="I391" s="27">
        <v>7425</v>
      </c>
      <c r="J391" s="27">
        <v>1628</v>
      </c>
      <c r="K391" s="27">
        <v>570</v>
      </c>
      <c r="L391" s="27">
        <v>1869</v>
      </c>
      <c r="M391" s="27">
        <v>870</v>
      </c>
      <c r="N391" s="33">
        <v>169</v>
      </c>
      <c r="O391" s="26" t="s">
        <v>468</v>
      </c>
      <c r="P391" s="27">
        <v>132.6</v>
      </c>
      <c r="Q391" s="27">
        <v>275.3</v>
      </c>
      <c r="R391" s="27">
        <v>260.7</v>
      </c>
      <c r="S391" s="27">
        <v>15.4</v>
      </c>
      <c r="T391" s="27">
        <v>25.1</v>
      </c>
      <c r="U391" s="27">
        <v>20</v>
      </c>
      <c r="V391" s="27">
        <v>185.1</v>
      </c>
      <c r="W391" s="27">
        <v>5.19</v>
      </c>
      <c r="X391" s="27">
        <v>12</v>
      </c>
      <c r="Y391" s="27">
        <v>22420</v>
      </c>
      <c r="Z391" s="27">
        <v>7425</v>
      </c>
      <c r="AA391" s="27">
        <v>11.5</v>
      </c>
      <c r="AB391" s="27">
        <v>6.63</v>
      </c>
      <c r="AC391" s="27">
        <v>1628</v>
      </c>
      <c r="AD391" s="27">
        <v>570</v>
      </c>
      <c r="AE391" s="27">
        <v>1869</v>
      </c>
      <c r="AF391" s="27">
        <v>870</v>
      </c>
      <c r="AG391" s="27">
        <v>0.85</v>
      </c>
      <c r="AH391" s="27">
        <v>10.1</v>
      </c>
      <c r="AI391" s="27">
        <v>1.1599999999999999</v>
      </c>
      <c r="AJ391" s="27">
        <v>334</v>
      </c>
      <c r="AK391" s="33">
        <v>169</v>
      </c>
    </row>
    <row r="392" spans="1:37">
      <c r="A392" s="26" t="s">
        <v>469</v>
      </c>
      <c r="B392" s="27">
        <v>269.3</v>
      </c>
      <c r="C392" s="27">
        <v>258.8</v>
      </c>
      <c r="D392" s="27">
        <v>13.5</v>
      </c>
      <c r="E392" s="27">
        <v>22.1</v>
      </c>
      <c r="F392" s="27">
        <v>20</v>
      </c>
      <c r="G392" s="27">
        <v>185.1</v>
      </c>
      <c r="H392" s="27">
        <v>19210</v>
      </c>
      <c r="I392" s="27">
        <v>6394</v>
      </c>
      <c r="J392" s="27">
        <v>1426</v>
      </c>
      <c r="K392" s="27">
        <v>494</v>
      </c>
      <c r="L392" s="27">
        <v>1622</v>
      </c>
      <c r="M392" s="27">
        <v>754</v>
      </c>
      <c r="N392" s="33">
        <v>148</v>
      </c>
      <c r="O392" s="26" t="s">
        <v>469</v>
      </c>
      <c r="P392" s="27">
        <v>116.3</v>
      </c>
      <c r="Q392" s="27">
        <v>269.3</v>
      </c>
      <c r="R392" s="27">
        <v>258.8</v>
      </c>
      <c r="S392" s="27">
        <v>13.5</v>
      </c>
      <c r="T392" s="27">
        <v>22.1</v>
      </c>
      <c r="U392" s="27">
        <v>20</v>
      </c>
      <c r="V392" s="27">
        <v>185.1</v>
      </c>
      <c r="W392" s="27">
        <v>5.86</v>
      </c>
      <c r="X392" s="27">
        <v>13.7</v>
      </c>
      <c r="Y392" s="27">
        <v>19210</v>
      </c>
      <c r="Z392" s="27">
        <v>6394</v>
      </c>
      <c r="AA392" s="27">
        <v>11.4</v>
      </c>
      <c r="AB392" s="27">
        <v>6.57</v>
      </c>
      <c r="AC392" s="27">
        <v>1426</v>
      </c>
      <c r="AD392" s="27">
        <v>494</v>
      </c>
      <c r="AE392" s="27">
        <v>1622</v>
      </c>
      <c r="AF392" s="27">
        <v>754</v>
      </c>
      <c r="AG392" s="27">
        <v>0.85</v>
      </c>
      <c r="AH392" s="27">
        <v>11.2</v>
      </c>
      <c r="AI392" s="27">
        <v>0.97699999999999998</v>
      </c>
      <c r="AJ392" s="27">
        <v>231</v>
      </c>
      <c r="AK392" s="33">
        <v>148</v>
      </c>
    </row>
    <row r="393" spans="1:37">
      <c r="A393" s="26" t="s">
        <v>470</v>
      </c>
      <c r="B393" s="27">
        <v>264.2</v>
      </c>
      <c r="C393" s="27">
        <v>257.3</v>
      </c>
      <c r="D393" s="27">
        <v>11.9</v>
      </c>
      <c r="E393" s="27">
        <v>19.600000000000001</v>
      </c>
      <c r="F393" s="27">
        <v>20</v>
      </c>
      <c r="G393" s="27">
        <v>185</v>
      </c>
      <c r="H393" s="27">
        <v>16650</v>
      </c>
      <c r="I393" s="27">
        <v>5572</v>
      </c>
      <c r="J393" s="27">
        <v>1260</v>
      </c>
      <c r="K393" s="27">
        <v>433</v>
      </c>
      <c r="L393" s="27">
        <v>1421</v>
      </c>
      <c r="M393" s="27">
        <v>660</v>
      </c>
      <c r="N393" s="33">
        <v>131</v>
      </c>
      <c r="O393" s="26" t="s">
        <v>470</v>
      </c>
      <c r="P393" s="27">
        <v>102.9</v>
      </c>
      <c r="Q393" s="27">
        <v>264.2</v>
      </c>
      <c r="R393" s="27">
        <v>257.3</v>
      </c>
      <c r="S393" s="27">
        <v>11.9</v>
      </c>
      <c r="T393" s="27">
        <v>19.600000000000001</v>
      </c>
      <c r="U393" s="27">
        <v>20</v>
      </c>
      <c r="V393" s="27">
        <v>185</v>
      </c>
      <c r="W393" s="27">
        <v>6.56</v>
      </c>
      <c r="X393" s="27">
        <v>15.5</v>
      </c>
      <c r="Y393" s="27">
        <v>16650</v>
      </c>
      <c r="Z393" s="27">
        <v>5572</v>
      </c>
      <c r="AA393" s="27">
        <v>11.3</v>
      </c>
      <c r="AB393" s="27">
        <v>6.52</v>
      </c>
      <c r="AC393" s="27">
        <v>1260</v>
      </c>
      <c r="AD393" s="27">
        <v>433</v>
      </c>
      <c r="AE393" s="27">
        <v>1421</v>
      </c>
      <c r="AF393" s="27">
        <v>660</v>
      </c>
      <c r="AG393" s="27">
        <v>0.85</v>
      </c>
      <c r="AH393" s="27">
        <v>12.4</v>
      </c>
      <c r="AI393" s="27">
        <v>0.83299999999999996</v>
      </c>
      <c r="AJ393" s="27">
        <v>163</v>
      </c>
      <c r="AK393" s="33">
        <v>131</v>
      </c>
    </row>
    <row r="394" spans="1:37">
      <c r="A394" s="26" t="s">
        <v>471</v>
      </c>
      <c r="B394" s="27">
        <v>259.60000000000002</v>
      </c>
      <c r="C394" s="27">
        <v>256</v>
      </c>
      <c r="D394" s="27">
        <v>10.7</v>
      </c>
      <c r="E394" s="27">
        <v>17.3</v>
      </c>
      <c r="F394" s="27">
        <v>20</v>
      </c>
      <c r="G394" s="27">
        <v>185</v>
      </c>
      <c r="H394" s="27">
        <v>14440</v>
      </c>
      <c r="I394" s="27">
        <v>4844</v>
      </c>
      <c r="J394" s="27">
        <v>1112</v>
      </c>
      <c r="K394" s="27">
        <v>378</v>
      </c>
      <c r="L394" s="27">
        <v>1246</v>
      </c>
      <c r="M394" s="27">
        <v>577</v>
      </c>
      <c r="N394" s="33">
        <v>116</v>
      </c>
      <c r="O394" s="26" t="s">
        <v>471</v>
      </c>
      <c r="P394" s="27">
        <v>91.1</v>
      </c>
      <c r="Q394" s="27">
        <v>259.60000000000002</v>
      </c>
      <c r="R394" s="27">
        <v>256</v>
      </c>
      <c r="S394" s="27">
        <v>10.7</v>
      </c>
      <c r="T394" s="27">
        <v>17.3</v>
      </c>
      <c r="U394" s="27">
        <v>20</v>
      </c>
      <c r="V394" s="27">
        <v>185</v>
      </c>
      <c r="W394" s="27">
        <v>7.4</v>
      </c>
      <c r="X394" s="27">
        <v>17.3</v>
      </c>
      <c r="Y394" s="27">
        <v>14440</v>
      </c>
      <c r="Z394" s="27">
        <v>4844</v>
      </c>
      <c r="AA394" s="27">
        <v>11.2</v>
      </c>
      <c r="AB394" s="27">
        <v>6.46</v>
      </c>
      <c r="AC394" s="27">
        <v>1112</v>
      </c>
      <c r="AD394" s="27">
        <v>378</v>
      </c>
      <c r="AE394" s="27">
        <v>1246</v>
      </c>
      <c r="AF394" s="27">
        <v>577</v>
      </c>
      <c r="AG394" s="27">
        <v>0.85</v>
      </c>
      <c r="AH394" s="27">
        <v>13.8</v>
      </c>
      <c r="AI394" s="27">
        <v>0.71099999999999997</v>
      </c>
      <c r="AJ394" s="27">
        <v>115</v>
      </c>
      <c r="AK394" s="33">
        <v>116</v>
      </c>
    </row>
    <row r="395" spans="1:37">
      <c r="A395" s="26" t="s">
        <v>472</v>
      </c>
      <c r="B395" s="27">
        <v>256.3</v>
      </c>
      <c r="C395" s="27">
        <v>254.8</v>
      </c>
      <c r="D395" s="27">
        <v>9.4</v>
      </c>
      <c r="E395" s="27">
        <v>15.6</v>
      </c>
      <c r="F395" s="27">
        <v>20</v>
      </c>
      <c r="G395" s="27">
        <v>185.1</v>
      </c>
      <c r="H395" s="27">
        <v>12830</v>
      </c>
      <c r="I395" s="27">
        <v>4306</v>
      </c>
      <c r="J395" s="27">
        <v>1001</v>
      </c>
      <c r="K395" s="27">
        <v>338</v>
      </c>
      <c r="L395" s="27">
        <v>1113</v>
      </c>
      <c r="M395" s="27">
        <v>515</v>
      </c>
      <c r="N395" s="33">
        <v>104</v>
      </c>
      <c r="O395" s="26" t="s">
        <v>472</v>
      </c>
      <c r="P395" s="27">
        <v>81.7</v>
      </c>
      <c r="Q395" s="27">
        <v>256.3</v>
      </c>
      <c r="R395" s="27">
        <v>254.8</v>
      </c>
      <c r="S395" s="27">
        <v>9.4</v>
      </c>
      <c r="T395" s="27">
        <v>15.6</v>
      </c>
      <c r="U395" s="27">
        <v>20</v>
      </c>
      <c r="V395" s="27">
        <v>185.1</v>
      </c>
      <c r="W395" s="27">
        <v>8.17</v>
      </c>
      <c r="X395" s="27">
        <v>19.7</v>
      </c>
      <c r="Y395" s="27">
        <v>12830</v>
      </c>
      <c r="Z395" s="27">
        <v>4306</v>
      </c>
      <c r="AA395" s="27">
        <v>11.1</v>
      </c>
      <c r="AB395" s="27">
        <v>6.43</v>
      </c>
      <c r="AC395" s="27">
        <v>1001</v>
      </c>
      <c r="AD395" s="27">
        <v>338</v>
      </c>
      <c r="AE395" s="27">
        <v>1113</v>
      </c>
      <c r="AF395" s="27">
        <v>515</v>
      </c>
      <c r="AG395" s="27">
        <v>0.85099999999999998</v>
      </c>
      <c r="AH395" s="27">
        <v>15</v>
      </c>
      <c r="AI395" s="27">
        <v>0.624</v>
      </c>
      <c r="AJ395" s="27">
        <v>85.3</v>
      </c>
      <c r="AK395" s="33">
        <v>104</v>
      </c>
    </row>
    <row r="396" spans="1:37">
      <c r="A396" s="26" t="s">
        <v>473</v>
      </c>
      <c r="B396" s="27">
        <v>253.5</v>
      </c>
      <c r="C396" s="27">
        <v>254</v>
      </c>
      <c r="D396" s="27">
        <v>8.6</v>
      </c>
      <c r="E396" s="27">
        <v>14.2</v>
      </c>
      <c r="F396" s="27">
        <v>20</v>
      </c>
      <c r="G396" s="27">
        <v>185.1</v>
      </c>
      <c r="H396" s="27">
        <v>11560</v>
      </c>
      <c r="I396" s="27">
        <v>3883</v>
      </c>
      <c r="J396" s="27">
        <v>912</v>
      </c>
      <c r="K396" s="27">
        <v>306</v>
      </c>
      <c r="L396" s="27">
        <v>1009</v>
      </c>
      <c r="M396" s="27">
        <v>465</v>
      </c>
      <c r="N396" s="33">
        <v>94.9</v>
      </c>
      <c r="O396" s="26" t="s">
        <v>473</v>
      </c>
      <c r="P396" s="27">
        <v>74.5</v>
      </c>
      <c r="Q396" s="27">
        <v>253.5</v>
      </c>
      <c r="R396" s="27">
        <v>254</v>
      </c>
      <c r="S396" s="27">
        <v>8.6</v>
      </c>
      <c r="T396" s="27">
        <v>14.2</v>
      </c>
      <c r="U396" s="27">
        <v>20</v>
      </c>
      <c r="V396" s="27">
        <v>185.1</v>
      </c>
      <c r="W396" s="27">
        <v>8.94</v>
      </c>
      <c r="X396" s="27">
        <v>21.5</v>
      </c>
      <c r="Y396" s="27">
        <v>11560</v>
      </c>
      <c r="Z396" s="27">
        <v>3883</v>
      </c>
      <c r="AA396" s="27">
        <v>11</v>
      </c>
      <c r="AB396" s="27">
        <v>6.4</v>
      </c>
      <c r="AC396" s="27">
        <v>912</v>
      </c>
      <c r="AD396" s="27">
        <v>306</v>
      </c>
      <c r="AE396" s="27">
        <v>1009</v>
      </c>
      <c r="AF396" s="27">
        <v>465</v>
      </c>
      <c r="AG396" s="27">
        <v>0.85099999999999998</v>
      </c>
      <c r="AH396" s="27">
        <v>16.2</v>
      </c>
      <c r="AI396" s="27">
        <v>0.55600000000000005</v>
      </c>
      <c r="AJ396" s="27">
        <v>66</v>
      </c>
      <c r="AK396" s="33">
        <v>94.9</v>
      </c>
    </row>
    <row r="397" spans="1:37" ht="14.25">
      <c r="A397" s="26" t="s">
        <v>474</v>
      </c>
      <c r="B397" s="27">
        <v>265.89999999999998</v>
      </c>
      <c r="C397" s="27">
        <v>147.6</v>
      </c>
      <c r="D397" s="27">
        <v>7.6</v>
      </c>
      <c r="E397" s="27">
        <v>13</v>
      </c>
      <c r="F397" s="27">
        <v>12.7</v>
      </c>
      <c r="G397" s="27">
        <v>214.5</v>
      </c>
      <c r="H397" s="27">
        <v>7206</v>
      </c>
      <c r="I397" s="27">
        <v>698</v>
      </c>
      <c r="J397" s="27">
        <v>542</v>
      </c>
      <c r="K397" s="27">
        <v>94.6</v>
      </c>
      <c r="L397" s="27">
        <v>611</v>
      </c>
      <c r="M397" s="27">
        <v>146</v>
      </c>
      <c r="N397" s="33">
        <v>58</v>
      </c>
      <c r="O397" s="26" t="s">
        <v>474</v>
      </c>
      <c r="P397" s="27">
        <v>45.5</v>
      </c>
      <c r="Q397" s="27">
        <v>265.89999999999998</v>
      </c>
      <c r="R397" s="27">
        <v>147.6</v>
      </c>
      <c r="S397" s="27">
        <v>7.6</v>
      </c>
      <c r="T397" s="27">
        <v>13</v>
      </c>
      <c r="U397" s="27">
        <v>12.7</v>
      </c>
      <c r="V397" s="27">
        <v>214.5</v>
      </c>
      <c r="W397" s="27">
        <v>5.68</v>
      </c>
      <c r="X397" s="27">
        <v>28.2</v>
      </c>
      <c r="Y397" s="27">
        <v>7206</v>
      </c>
      <c r="Z397" s="27">
        <v>698</v>
      </c>
      <c r="AA397" s="27">
        <v>11.1</v>
      </c>
      <c r="AB397" s="27">
        <v>3.47</v>
      </c>
      <c r="AC397" s="27">
        <v>542</v>
      </c>
      <c r="AD397" s="27">
        <v>94.6</v>
      </c>
      <c r="AE397" s="27">
        <v>611</v>
      </c>
      <c r="AF397" s="27">
        <v>146</v>
      </c>
      <c r="AG397" s="27">
        <v>0.89</v>
      </c>
      <c r="AH397" s="27">
        <v>20.399999999999999</v>
      </c>
      <c r="AI397" s="27">
        <v>0.112</v>
      </c>
      <c r="AJ397" s="27">
        <v>28.7</v>
      </c>
      <c r="AK397" s="33">
        <v>58</v>
      </c>
    </row>
    <row r="398" spans="1:37" ht="14.25">
      <c r="A398" s="26" t="s">
        <v>475</v>
      </c>
      <c r="B398" s="27">
        <v>262.39999999999998</v>
      </c>
      <c r="C398" s="27">
        <v>146.6</v>
      </c>
      <c r="D398" s="27">
        <v>6.6</v>
      </c>
      <c r="E398" s="27">
        <v>11.2</v>
      </c>
      <c r="F398" s="27">
        <v>12.7</v>
      </c>
      <c r="G398" s="27">
        <v>214.6</v>
      </c>
      <c r="H398" s="27">
        <v>6134</v>
      </c>
      <c r="I398" s="27">
        <v>589</v>
      </c>
      <c r="J398" s="27">
        <v>468</v>
      </c>
      <c r="K398" s="27">
        <v>80.400000000000006</v>
      </c>
      <c r="L398" s="27">
        <v>524</v>
      </c>
      <c r="M398" s="27">
        <v>124</v>
      </c>
      <c r="N398" s="33">
        <v>50.1</v>
      </c>
      <c r="O398" s="26" t="s">
        <v>475</v>
      </c>
      <c r="P398" s="27">
        <v>39.299999999999997</v>
      </c>
      <c r="Q398" s="27">
        <v>262.39999999999998</v>
      </c>
      <c r="R398" s="27">
        <v>146.6</v>
      </c>
      <c r="S398" s="27">
        <v>6.6</v>
      </c>
      <c r="T398" s="27">
        <v>11.2</v>
      </c>
      <c r="U398" s="27">
        <v>12.7</v>
      </c>
      <c r="V398" s="27">
        <v>214.6</v>
      </c>
      <c r="W398" s="27">
        <v>6.54</v>
      </c>
      <c r="X398" s="27">
        <v>32.5</v>
      </c>
      <c r="Y398" s="27">
        <v>6134</v>
      </c>
      <c r="Z398" s="27">
        <v>589</v>
      </c>
      <c r="AA398" s="27">
        <v>11.1</v>
      </c>
      <c r="AB398" s="27">
        <v>3.43</v>
      </c>
      <c r="AC398" s="27">
        <v>468</v>
      </c>
      <c r="AD398" s="27">
        <v>80.400000000000006</v>
      </c>
      <c r="AE398" s="27">
        <v>524</v>
      </c>
      <c r="AF398" s="27">
        <v>124</v>
      </c>
      <c r="AG398" s="27">
        <v>0.89</v>
      </c>
      <c r="AH398" s="27">
        <v>23.2</v>
      </c>
      <c r="AI398" s="27">
        <v>9.2999999999999999E-2</v>
      </c>
      <c r="AJ398" s="27">
        <v>18.8</v>
      </c>
      <c r="AK398" s="33">
        <v>50.1</v>
      </c>
    </row>
    <row r="399" spans="1:37" ht="14.25">
      <c r="A399" s="24" t="s">
        <v>476</v>
      </c>
      <c r="B399" s="25">
        <v>258.3</v>
      </c>
      <c r="C399" s="25">
        <v>146.1</v>
      </c>
      <c r="D399" s="25">
        <v>6.1</v>
      </c>
      <c r="E399" s="25">
        <v>9.1</v>
      </c>
      <c r="F399" s="25">
        <v>12.7</v>
      </c>
      <c r="G399" s="25">
        <v>214.7</v>
      </c>
      <c r="H399" s="25">
        <v>5024</v>
      </c>
      <c r="I399" s="25">
        <v>474</v>
      </c>
      <c r="J399" s="25">
        <v>389</v>
      </c>
      <c r="K399" s="25">
        <v>64.900000000000006</v>
      </c>
      <c r="L399" s="25">
        <v>435</v>
      </c>
      <c r="M399" s="25">
        <v>100</v>
      </c>
      <c r="N399" s="32">
        <v>42.6</v>
      </c>
      <c r="O399" s="24" t="s">
        <v>476</v>
      </c>
      <c r="P399" s="25">
        <v>33.5</v>
      </c>
      <c r="Q399" s="25">
        <v>258.3</v>
      </c>
      <c r="R399" s="25">
        <v>146.1</v>
      </c>
      <c r="S399" s="25">
        <v>6.1</v>
      </c>
      <c r="T399" s="25">
        <v>9.1</v>
      </c>
      <c r="U399" s="25">
        <v>12.7</v>
      </c>
      <c r="V399" s="25">
        <v>214.7</v>
      </c>
      <c r="W399" s="25">
        <v>8.0299999999999994</v>
      </c>
      <c r="X399" s="25">
        <v>35.200000000000003</v>
      </c>
      <c r="Y399" s="25">
        <v>5024</v>
      </c>
      <c r="Z399" s="25">
        <v>474</v>
      </c>
      <c r="AA399" s="25">
        <v>10.9</v>
      </c>
      <c r="AB399" s="25">
        <v>3.33</v>
      </c>
      <c r="AC399" s="25">
        <v>389</v>
      </c>
      <c r="AD399" s="25">
        <v>64.900000000000006</v>
      </c>
      <c r="AE399" s="25">
        <v>435</v>
      </c>
      <c r="AF399" s="25">
        <v>100</v>
      </c>
      <c r="AG399" s="25">
        <v>0.88300000000000001</v>
      </c>
      <c r="AH399" s="25">
        <v>27.2</v>
      </c>
      <c r="AI399" s="25">
        <v>7.3999999999999996E-2</v>
      </c>
      <c r="AJ399" s="25">
        <v>11.4</v>
      </c>
      <c r="AK399" s="32">
        <v>42.6</v>
      </c>
    </row>
    <row r="400" spans="1:37">
      <c r="A400" s="26" t="s">
        <v>477</v>
      </c>
      <c r="B400" s="27">
        <v>260.10000000000002</v>
      </c>
      <c r="C400" s="27">
        <v>102.1</v>
      </c>
      <c r="D400" s="27">
        <v>6.4</v>
      </c>
      <c r="E400" s="27">
        <v>10</v>
      </c>
      <c r="F400" s="27">
        <v>12.7</v>
      </c>
      <c r="G400" s="27">
        <v>214.7</v>
      </c>
      <c r="H400" s="27">
        <v>4123</v>
      </c>
      <c r="I400" s="27">
        <v>178</v>
      </c>
      <c r="J400" s="27">
        <v>317</v>
      </c>
      <c r="K400" s="27">
        <v>35</v>
      </c>
      <c r="L400" s="27">
        <v>364</v>
      </c>
      <c r="M400" s="27">
        <v>55.4</v>
      </c>
      <c r="N400" s="33">
        <v>37.200000000000003</v>
      </c>
      <c r="O400" s="26" t="s">
        <v>477</v>
      </c>
      <c r="P400" s="27">
        <v>29.2</v>
      </c>
      <c r="Q400" s="27">
        <v>260.10000000000002</v>
      </c>
      <c r="R400" s="27">
        <v>102.1</v>
      </c>
      <c r="S400" s="27">
        <v>6.4</v>
      </c>
      <c r="T400" s="27">
        <v>10</v>
      </c>
      <c r="U400" s="27">
        <v>12.7</v>
      </c>
      <c r="V400" s="27">
        <v>214.7</v>
      </c>
      <c r="W400" s="27">
        <v>5.0999999999999996</v>
      </c>
      <c r="X400" s="27">
        <v>33.5</v>
      </c>
      <c r="Y400" s="27">
        <v>4123</v>
      </c>
      <c r="Z400" s="27">
        <v>178</v>
      </c>
      <c r="AA400" s="27">
        <v>10.5</v>
      </c>
      <c r="AB400" s="27">
        <v>2.19</v>
      </c>
      <c r="AC400" s="27">
        <v>317</v>
      </c>
      <c r="AD400" s="27">
        <v>35</v>
      </c>
      <c r="AE400" s="27">
        <v>364</v>
      </c>
      <c r="AF400" s="27">
        <v>55.4</v>
      </c>
      <c r="AG400" s="27">
        <v>0.875</v>
      </c>
      <c r="AH400" s="27">
        <v>25.5</v>
      </c>
      <c r="AI400" s="27">
        <v>2.8000000000000001E-2</v>
      </c>
      <c r="AJ400" s="27">
        <v>11.4</v>
      </c>
      <c r="AK400" s="33">
        <v>37.200000000000003</v>
      </c>
    </row>
    <row r="401" spans="1:37">
      <c r="A401" s="26" t="s">
        <v>478</v>
      </c>
      <c r="B401" s="27">
        <v>256.8</v>
      </c>
      <c r="C401" s="27">
        <v>101.9</v>
      </c>
      <c r="D401" s="27">
        <v>6.1</v>
      </c>
      <c r="E401" s="27">
        <v>8.4</v>
      </c>
      <c r="F401" s="27">
        <v>12.7</v>
      </c>
      <c r="G401" s="27">
        <v>214.6</v>
      </c>
      <c r="H401" s="27">
        <v>3535</v>
      </c>
      <c r="I401" s="27">
        <v>149</v>
      </c>
      <c r="J401" s="27">
        <v>275</v>
      </c>
      <c r="K401" s="27">
        <v>29.3</v>
      </c>
      <c r="L401" s="27">
        <v>317</v>
      </c>
      <c r="M401" s="27">
        <v>46.7</v>
      </c>
      <c r="N401" s="33">
        <v>33.1</v>
      </c>
      <c r="O401" s="26" t="s">
        <v>478</v>
      </c>
      <c r="P401" s="27">
        <v>26</v>
      </c>
      <c r="Q401" s="27">
        <v>256.8</v>
      </c>
      <c r="R401" s="27">
        <v>101.9</v>
      </c>
      <c r="S401" s="27">
        <v>6.1</v>
      </c>
      <c r="T401" s="27">
        <v>8.4</v>
      </c>
      <c r="U401" s="27">
        <v>12.7</v>
      </c>
      <c r="V401" s="27">
        <v>214.6</v>
      </c>
      <c r="W401" s="27">
        <v>6.07</v>
      </c>
      <c r="X401" s="27">
        <v>35.200000000000003</v>
      </c>
      <c r="Y401" s="27">
        <v>3535</v>
      </c>
      <c r="Z401" s="27">
        <v>149</v>
      </c>
      <c r="AA401" s="27">
        <v>10.3</v>
      </c>
      <c r="AB401" s="27">
        <v>2.12</v>
      </c>
      <c r="AC401" s="27">
        <v>275</v>
      </c>
      <c r="AD401" s="27">
        <v>29.3</v>
      </c>
      <c r="AE401" s="27">
        <v>317</v>
      </c>
      <c r="AF401" s="27">
        <v>46.7</v>
      </c>
      <c r="AG401" s="27">
        <v>0.86799999999999999</v>
      </c>
      <c r="AH401" s="27">
        <v>28.7</v>
      </c>
      <c r="AI401" s="27">
        <v>2.3E-2</v>
      </c>
      <c r="AJ401" s="27">
        <v>7.96</v>
      </c>
      <c r="AK401" s="33">
        <v>33.1</v>
      </c>
    </row>
    <row r="402" spans="1:37">
      <c r="A402" s="24" t="s">
        <v>479</v>
      </c>
      <c r="B402" s="25">
        <v>253.7</v>
      </c>
      <c r="C402" s="25">
        <v>101.6</v>
      </c>
      <c r="D402" s="25">
        <v>5.8</v>
      </c>
      <c r="E402" s="25">
        <v>6.9</v>
      </c>
      <c r="F402" s="25">
        <v>12.7</v>
      </c>
      <c r="G402" s="25">
        <v>214.5</v>
      </c>
      <c r="H402" s="25">
        <v>2993</v>
      </c>
      <c r="I402" s="25">
        <v>122</v>
      </c>
      <c r="J402" s="25">
        <v>236</v>
      </c>
      <c r="K402" s="25">
        <v>23.9</v>
      </c>
      <c r="L402" s="25">
        <v>273</v>
      </c>
      <c r="M402" s="25">
        <v>38.4</v>
      </c>
      <c r="N402" s="32">
        <v>29.3</v>
      </c>
      <c r="O402" s="24" t="s">
        <v>479</v>
      </c>
      <c r="P402" s="25">
        <v>23</v>
      </c>
      <c r="Q402" s="25">
        <v>253.7</v>
      </c>
      <c r="R402" s="25">
        <v>101.6</v>
      </c>
      <c r="S402" s="25">
        <v>5.8</v>
      </c>
      <c r="T402" s="25">
        <v>6.9</v>
      </c>
      <c r="U402" s="25">
        <v>12.7</v>
      </c>
      <c r="V402" s="25">
        <v>214.5</v>
      </c>
      <c r="W402" s="25">
        <v>7.36</v>
      </c>
      <c r="X402" s="25">
        <v>37</v>
      </c>
      <c r="Y402" s="25">
        <v>2993</v>
      </c>
      <c r="Z402" s="25">
        <v>122</v>
      </c>
      <c r="AA402" s="25">
        <v>10.1</v>
      </c>
      <c r="AB402" s="25">
        <v>2.04</v>
      </c>
      <c r="AC402" s="25">
        <v>236</v>
      </c>
      <c r="AD402" s="25">
        <v>23.9</v>
      </c>
      <c r="AE402" s="25">
        <v>273</v>
      </c>
      <c r="AF402" s="25">
        <v>38.4</v>
      </c>
      <c r="AG402" s="25">
        <v>0.85899999999999999</v>
      </c>
      <c r="AH402" s="25">
        <v>32.299999999999997</v>
      </c>
      <c r="AI402" s="25">
        <v>1.9E-2</v>
      </c>
      <c r="AJ402" s="25">
        <v>5.49</v>
      </c>
      <c r="AK402" s="32">
        <v>29.3</v>
      </c>
    </row>
    <row r="403" spans="1:37">
      <c r="A403" s="26" t="s">
        <v>480</v>
      </c>
      <c r="B403" s="27">
        <v>228.6</v>
      </c>
      <c r="C403" s="27">
        <v>210.3</v>
      </c>
      <c r="D403" s="27">
        <v>14.5</v>
      </c>
      <c r="E403" s="27">
        <v>23.7</v>
      </c>
      <c r="F403" s="27">
        <v>16</v>
      </c>
      <c r="G403" s="27">
        <v>149.19999999999999</v>
      </c>
      <c r="H403" s="27">
        <v>11390</v>
      </c>
      <c r="I403" s="27">
        <v>3681</v>
      </c>
      <c r="J403" s="27">
        <v>997</v>
      </c>
      <c r="K403" s="27">
        <v>350</v>
      </c>
      <c r="L403" s="27">
        <v>1159</v>
      </c>
      <c r="M403" s="27">
        <v>536</v>
      </c>
      <c r="N403" s="33">
        <v>128</v>
      </c>
      <c r="O403" s="26" t="s">
        <v>480</v>
      </c>
      <c r="P403" s="27">
        <v>100.6</v>
      </c>
      <c r="Q403" s="27">
        <v>228.6</v>
      </c>
      <c r="R403" s="27">
        <v>210.3</v>
      </c>
      <c r="S403" s="27">
        <v>14.5</v>
      </c>
      <c r="T403" s="27">
        <v>23.7</v>
      </c>
      <c r="U403" s="27">
        <v>16</v>
      </c>
      <c r="V403" s="27">
        <v>149.19999999999999</v>
      </c>
      <c r="W403" s="27">
        <v>4.4400000000000004</v>
      </c>
      <c r="X403" s="27">
        <v>10.3</v>
      </c>
      <c r="Y403" s="27">
        <v>11390</v>
      </c>
      <c r="Z403" s="27">
        <v>3681</v>
      </c>
      <c r="AA403" s="27">
        <v>9.43</v>
      </c>
      <c r="AB403" s="27">
        <v>5.36</v>
      </c>
      <c r="AC403" s="27">
        <v>997</v>
      </c>
      <c r="AD403" s="27">
        <v>350</v>
      </c>
      <c r="AE403" s="27">
        <v>1159</v>
      </c>
      <c r="AF403" s="27">
        <v>536</v>
      </c>
      <c r="AG403" s="27">
        <v>0.85199999999999998</v>
      </c>
      <c r="AH403" s="27">
        <v>8.81</v>
      </c>
      <c r="AI403" s="27">
        <v>0.38600000000000001</v>
      </c>
      <c r="AJ403" s="27">
        <v>222</v>
      </c>
      <c r="AK403" s="33">
        <v>128</v>
      </c>
    </row>
    <row r="404" spans="1:37">
      <c r="A404" s="26" t="s">
        <v>481</v>
      </c>
      <c r="B404" s="27">
        <v>222.3</v>
      </c>
      <c r="C404" s="27">
        <v>208.8</v>
      </c>
      <c r="D404" s="27">
        <v>13</v>
      </c>
      <c r="E404" s="27">
        <v>20.6</v>
      </c>
      <c r="F404" s="27">
        <v>16</v>
      </c>
      <c r="G404" s="27">
        <v>149.1</v>
      </c>
      <c r="H404" s="27">
        <v>9590</v>
      </c>
      <c r="I404" s="27">
        <v>3131</v>
      </c>
      <c r="J404" s="27">
        <v>863</v>
      </c>
      <c r="K404" s="27">
        <v>300</v>
      </c>
      <c r="L404" s="27">
        <v>993</v>
      </c>
      <c r="M404" s="27">
        <v>459</v>
      </c>
      <c r="N404" s="33">
        <v>112</v>
      </c>
      <c r="O404" s="26" t="s">
        <v>481</v>
      </c>
      <c r="P404" s="27">
        <v>87.7</v>
      </c>
      <c r="Q404" s="27">
        <v>222.3</v>
      </c>
      <c r="R404" s="27">
        <v>208.8</v>
      </c>
      <c r="S404" s="27">
        <v>13</v>
      </c>
      <c r="T404" s="27">
        <v>20.6</v>
      </c>
      <c r="U404" s="27">
        <v>16</v>
      </c>
      <c r="V404" s="27">
        <v>149.1</v>
      </c>
      <c r="W404" s="27">
        <v>5.07</v>
      </c>
      <c r="X404" s="27">
        <v>11.5</v>
      </c>
      <c r="Y404" s="27">
        <v>9590</v>
      </c>
      <c r="Z404" s="27">
        <v>3131</v>
      </c>
      <c r="AA404" s="27">
        <v>9.26</v>
      </c>
      <c r="AB404" s="27">
        <v>5.29</v>
      </c>
      <c r="AC404" s="27">
        <v>863</v>
      </c>
      <c r="AD404" s="27">
        <v>300</v>
      </c>
      <c r="AE404" s="27">
        <v>993</v>
      </c>
      <c r="AF404" s="27">
        <v>459</v>
      </c>
      <c r="AG404" s="27">
        <v>0.85</v>
      </c>
      <c r="AH404" s="27">
        <v>9.8800000000000008</v>
      </c>
      <c r="AI404" s="27">
        <v>0.318</v>
      </c>
      <c r="AJ404" s="27">
        <v>149</v>
      </c>
      <c r="AK404" s="33">
        <v>112</v>
      </c>
    </row>
    <row r="405" spans="1:37">
      <c r="A405" s="26" t="s">
        <v>482</v>
      </c>
      <c r="B405" s="27">
        <v>215.9</v>
      </c>
      <c r="C405" s="27">
        <v>206</v>
      </c>
      <c r="D405" s="27">
        <v>10.199999999999999</v>
      </c>
      <c r="E405" s="27">
        <v>17.399999999999999</v>
      </c>
      <c r="F405" s="27">
        <v>16</v>
      </c>
      <c r="G405" s="27">
        <v>149.1</v>
      </c>
      <c r="H405" s="27">
        <v>7751</v>
      </c>
      <c r="I405" s="27">
        <v>2539</v>
      </c>
      <c r="J405" s="27">
        <v>718</v>
      </c>
      <c r="K405" s="27">
        <v>246</v>
      </c>
      <c r="L405" s="27">
        <v>814</v>
      </c>
      <c r="M405" s="27">
        <v>376</v>
      </c>
      <c r="N405" s="33">
        <v>92.4</v>
      </c>
      <c r="O405" s="26" t="s">
        <v>482</v>
      </c>
      <c r="P405" s="27">
        <v>72.5</v>
      </c>
      <c r="Q405" s="27">
        <v>215.9</v>
      </c>
      <c r="R405" s="27">
        <v>206</v>
      </c>
      <c r="S405" s="27">
        <v>10.199999999999999</v>
      </c>
      <c r="T405" s="27">
        <v>17.399999999999999</v>
      </c>
      <c r="U405" s="27">
        <v>16</v>
      </c>
      <c r="V405" s="27">
        <v>149.1</v>
      </c>
      <c r="W405" s="27">
        <v>5.92</v>
      </c>
      <c r="X405" s="27">
        <v>14.6</v>
      </c>
      <c r="Y405" s="27">
        <v>7751</v>
      </c>
      <c r="Z405" s="27">
        <v>2539</v>
      </c>
      <c r="AA405" s="27">
        <v>9.16</v>
      </c>
      <c r="AB405" s="27">
        <v>5.24</v>
      </c>
      <c r="AC405" s="27">
        <v>718</v>
      </c>
      <c r="AD405" s="27">
        <v>246</v>
      </c>
      <c r="AE405" s="27">
        <v>814</v>
      </c>
      <c r="AF405" s="27">
        <v>376</v>
      </c>
      <c r="AG405" s="27">
        <v>0.85299999999999998</v>
      </c>
      <c r="AH405" s="27">
        <v>11.5</v>
      </c>
      <c r="AI405" s="27">
        <v>0.25</v>
      </c>
      <c r="AJ405" s="27">
        <v>88.6</v>
      </c>
      <c r="AK405" s="33">
        <v>92.4</v>
      </c>
    </row>
    <row r="406" spans="1:37">
      <c r="A406" s="26" t="s">
        <v>483</v>
      </c>
      <c r="B406" s="27">
        <v>209.6</v>
      </c>
      <c r="C406" s="27">
        <v>205</v>
      </c>
      <c r="D406" s="27">
        <v>9.1</v>
      </c>
      <c r="E406" s="27">
        <v>14.2</v>
      </c>
      <c r="F406" s="27">
        <v>16</v>
      </c>
      <c r="G406" s="27">
        <v>149.19999999999999</v>
      </c>
      <c r="H406" s="27">
        <v>6185</v>
      </c>
      <c r="I406" s="27">
        <v>2042</v>
      </c>
      <c r="J406" s="27">
        <v>590</v>
      </c>
      <c r="K406" s="27">
        <v>199</v>
      </c>
      <c r="L406" s="27">
        <v>663</v>
      </c>
      <c r="M406" s="27">
        <v>304</v>
      </c>
      <c r="N406" s="33">
        <v>76.900000000000006</v>
      </c>
      <c r="O406" s="26" t="s">
        <v>483</v>
      </c>
      <c r="P406" s="27">
        <v>60.4</v>
      </c>
      <c r="Q406" s="27">
        <v>209.6</v>
      </c>
      <c r="R406" s="27">
        <v>205</v>
      </c>
      <c r="S406" s="27">
        <v>9.1</v>
      </c>
      <c r="T406" s="27">
        <v>14.2</v>
      </c>
      <c r="U406" s="27">
        <v>16</v>
      </c>
      <c r="V406" s="27">
        <v>149.19999999999999</v>
      </c>
      <c r="W406" s="27">
        <v>7.22</v>
      </c>
      <c r="X406" s="27">
        <v>16.399999999999999</v>
      </c>
      <c r="Y406" s="27">
        <v>6185</v>
      </c>
      <c r="Z406" s="27">
        <v>2042</v>
      </c>
      <c r="AA406" s="27">
        <v>8.9700000000000006</v>
      </c>
      <c r="AB406" s="27">
        <v>5.15</v>
      </c>
      <c r="AC406" s="27">
        <v>590</v>
      </c>
      <c r="AD406" s="27">
        <v>199</v>
      </c>
      <c r="AE406" s="27">
        <v>663</v>
      </c>
      <c r="AF406" s="27">
        <v>304</v>
      </c>
      <c r="AG406" s="27">
        <v>0.85</v>
      </c>
      <c r="AH406" s="27">
        <v>13.5</v>
      </c>
      <c r="AI406" s="27">
        <v>0.19500000000000001</v>
      </c>
      <c r="AJ406" s="27">
        <v>51.5</v>
      </c>
      <c r="AK406" s="33">
        <v>76.900000000000006</v>
      </c>
    </row>
    <row r="407" spans="1:37">
      <c r="A407" s="26" t="s">
        <v>484</v>
      </c>
      <c r="B407" s="27">
        <v>206.2</v>
      </c>
      <c r="C407" s="27">
        <v>203.7</v>
      </c>
      <c r="D407" s="27">
        <v>7.9</v>
      </c>
      <c r="E407" s="27">
        <v>12.6</v>
      </c>
      <c r="F407" s="27">
        <v>16</v>
      </c>
      <c r="G407" s="27">
        <v>149</v>
      </c>
      <c r="H407" s="27">
        <v>5373</v>
      </c>
      <c r="I407" s="27">
        <v>1777</v>
      </c>
      <c r="J407" s="27">
        <v>521</v>
      </c>
      <c r="K407" s="27">
        <v>174</v>
      </c>
      <c r="L407" s="27">
        <v>581</v>
      </c>
      <c r="M407" s="27">
        <v>266</v>
      </c>
      <c r="N407" s="33">
        <v>67.8</v>
      </c>
      <c r="O407" s="26" t="s">
        <v>484</v>
      </c>
      <c r="P407" s="27">
        <v>53.2</v>
      </c>
      <c r="Q407" s="27">
        <v>206.2</v>
      </c>
      <c r="R407" s="27">
        <v>203.7</v>
      </c>
      <c r="S407" s="27">
        <v>7.9</v>
      </c>
      <c r="T407" s="27">
        <v>12.6</v>
      </c>
      <c r="U407" s="27">
        <v>16</v>
      </c>
      <c r="V407" s="27">
        <v>149</v>
      </c>
      <c r="W407" s="27">
        <v>8.08</v>
      </c>
      <c r="X407" s="27">
        <v>18.899999999999999</v>
      </c>
      <c r="Y407" s="27">
        <v>5373</v>
      </c>
      <c r="Z407" s="27">
        <v>1777</v>
      </c>
      <c r="AA407" s="27">
        <v>8.9</v>
      </c>
      <c r="AB407" s="27">
        <v>5.12</v>
      </c>
      <c r="AC407" s="27">
        <v>521</v>
      </c>
      <c r="AD407" s="27">
        <v>174</v>
      </c>
      <c r="AE407" s="27">
        <v>581</v>
      </c>
      <c r="AF407" s="27">
        <v>266</v>
      </c>
      <c r="AG407" s="27">
        <v>0.85099999999999998</v>
      </c>
      <c r="AH407" s="27">
        <v>15</v>
      </c>
      <c r="AI407" s="27">
        <v>0.16700000000000001</v>
      </c>
      <c r="AJ407" s="27">
        <v>36.4</v>
      </c>
      <c r="AK407" s="33">
        <v>67.8</v>
      </c>
    </row>
    <row r="408" spans="1:37">
      <c r="A408" s="26" t="s">
        <v>485</v>
      </c>
      <c r="B408" s="27">
        <v>203.2</v>
      </c>
      <c r="C408" s="27">
        <v>203.2</v>
      </c>
      <c r="D408" s="27">
        <v>7.2</v>
      </c>
      <c r="E408" s="27">
        <v>11</v>
      </c>
      <c r="F408" s="27">
        <v>16</v>
      </c>
      <c r="G408" s="27">
        <v>149.19999999999999</v>
      </c>
      <c r="H408" s="27">
        <v>4657</v>
      </c>
      <c r="I408" s="27">
        <v>1540</v>
      </c>
      <c r="J408" s="27">
        <v>458</v>
      </c>
      <c r="K408" s="27">
        <v>152</v>
      </c>
      <c r="L408" s="27">
        <v>508</v>
      </c>
      <c r="M408" s="27">
        <v>231</v>
      </c>
      <c r="N408" s="33">
        <v>59.9</v>
      </c>
      <c r="O408" s="26" t="s">
        <v>485</v>
      </c>
      <c r="P408" s="27">
        <v>47.1</v>
      </c>
      <c r="Q408" s="27">
        <v>203.2</v>
      </c>
      <c r="R408" s="27">
        <v>203.2</v>
      </c>
      <c r="S408" s="27">
        <v>7.2</v>
      </c>
      <c r="T408" s="27">
        <v>11</v>
      </c>
      <c r="U408" s="27">
        <v>16</v>
      </c>
      <c r="V408" s="27">
        <v>149.19999999999999</v>
      </c>
      <c r="W408" s="27">
        <v>9.24</v>
      </c>
      <c r="X408" s="27">
        <v>20.7</v>
      </c>
      <c r="Y408" s="27">
        <v>4657</v>
      </c>
      <c r="Z408" s="27">
        <v>1540</v>
      </c>
      <c r="AA408" s="27">
        <v>8.81</v>
      </c>
      <c r="AB408" s="27">
        <v>5.07</v>
      </c>
      <c r="AC408" s="27">
        <v>458</v>
      </c>
      <c r="AD408" s="27">
        <v>152</v>
      </c>
      <c r="AE408" s="27">
        <v>508</v>
      </c>
      <c r="AF408" s="27">
        <v>231</v>
      </c>
      <c r="AG408" s="27">
        <v>0.84899999999999998</v>
      </c>
      <c r="AH408" s="27">
        <v>16.7</v>
      </c>
      <c r="AI408" s="27">
        <v>0.14199999999999999</v>
      </c>
      <c r="AJ408" s="27">
        <v>25.5</v>
      </c>
      <c r="AK408" s="33">
        <v>59.9</v>
      </c>
    </row>
    <row r="409" spans="1:37" ht="14.25">
      <c r="A409" s="26" t="s">
        <v>486</v>
      </c>
      <c r="B409" s="27">
        <v>210.3</v>
      </c>
      <c r="C409" s="27">
        <v>133.9</v>
      </c>
      <c r="D409" s="27">
        <v>6.4</v>
      </c>
      <c r="E409" s="27">
        <v>10.199999999999999</v>
      </c>
      <c r="F409" s="27">
        <v>12.7</v>
      </c>
      <c r="G409" s="27">
        <v>164.5</v>
      </c>
      <c r="H409" s="27">
        <v>3219</v>
      </c>
      <c r="I409" s="27">
        <v>409</v>
      </c>
      <c r="J409" s="27">
        <v>306</v>
      </c>
      <c r="K409" s="27">
        <v>61.1</v>
      </c>
      <c r="L409" s="27">
        <v>344</v>
      </c>
      <c r="M409" s="27">
        <v>94.2</v>
      </c>
      <c r="N409" s="33">
        <v>40.9</v>
      </c>
      <c r="O409" s="26" t="s">
        <v>486</v>
      </c>
      <c r="P409" s="27">
        <v>32.1</v>
      </c>
      <c r="Q409" s="27">
        <v>210.3</v>
      </c>
      <c r="R409" s="27">
        <v>133.9</v>
      </c>
      <c r="S409" s="27">
        <v>6.4</v>
      </c>
      <c r="T409" s="27">
        <v>10.199999999999999</v>
      </c>
      <c r="U409" s="27">
        <v>12.7</v>
      </c>
      <c r="V409" s="27">
        <v>164.5</v>
      </c>
      <c r="W409" s="27">
        <v>6.56</v>
      </c>
      <c r="X409" s="27">
        <v>25.7</v>
      </c>
      <c r="Y409" s="27">
        <v>3219</v>
      </c>
      <c r="Z409" s="27">
        <v>409</v>
      </c>
      <c r="AA409" s="27">
        <v>8.8800000000000008</v>
      </c>
      <c r="AB409" s="27">
        <v>3.16</v>
      </c>
      <c r="AC409" s="27">
        <v>306</v>
      </c>
      <c r="AD409" s="27">
        <v>61.1</v>
      </c>
      <c r="AE409" s="27">
        <v>344</v>
      </c>
      <c r="AF409" s="27">
        <v>94.2</v>
      </c>
      <c r="AG409" s="27">
        <v>0.88600000000000001</v>
      </c>
      <c r="AH409" s="27">
        <v>19.600000000000001</v>
      </c>
      <c r="AI409" s="27">
        <v>4.1000000000000002E-2</v>
      </c>
      <c r="AJ409" s="27">
        <v>13.7</v>
      </c>
      <c r="AK409" s="33">
        <v>40.9</v>
      </c>
    </row>
    <row r="410" spans="1:37" ht="14.25">
      <c r="A410" s="24" t="s">
        <v>487</v>
      </c>
      <c r="B410" s="25">
        <v>206.8</v>
      </c>
      <c r="C410" s="25">
        <v>133.4</v>
      </c>
      <c r="D410" s="25">
        <v>5.8</v>
      </c>
      <c r="E410" s="25">
        <v>8.4</v>
      </c>
      <c r="F410" s="25">
        <v>12.7</v>
      </c>
      <c r="G410" s="25">
        <v>164.6</v>
      </c>
      <c r="H410" s="25">
        <v>2656</v>
      </c>
      <c r="I410" s="25">
        <v>333</v>
      </c>
      <c r="J410" s="25">
        <v>257</v>
      </c>
      <c r="K410" s="25">
        <v>50</v>
      </c>
      <c r="L410" s="25">
        <v>287</v>
      </c>
      <c r="M410" s="25">
        <v>77.099999999999994</v>
      </c>
      <c r="N410" s="32">
        <v>34.799999999999997</v>
      </c>
      <c r="O410" s="24" t="s">
        <v>487</v>
      </c>
      <c r="P410" s="25">
        <v>27.3</v>
      </c>
      <c r="Q410" s="25">
        <v>206.8</v>
      </c>
      <c r="R410" s="25">
        <v>133.4</v>
      </c>
      <c r="S410" s="25">
        <v>5.8</v>
      </c>
      <c r="T410" s="25">
        <v>8.4</v>
      </c>
      <c r="U410" s="25">
        <v>12.7</v>
      </c>
      <c r="V410" s="25">
        <v>164.6</v>
      </c>
      <c r="W410" s="25">
        <v>7.94</v>
      </c>
      <c r="X410" s="25">
        <v>28.4</v>
      </c>
      <c r="Y410" s="25">
        <v>2656</v>
      </c>
      <c r="Z410" s="25">
        <v>333</v>
      </c>
      <c r="AA410" s="25">
        <v>8.73</v>
      </c>
      <c r="AB410" s="25">
        <v>3.09</v>
      </c>
      <c r="AC410" s="25">
        <v>257</v>
      </c>
      <c r="AD410" s="25">
        <v>50</v>
      </c>
      <c r="AE410" s="25">
        <v>287</v>
      </c>
      <c r="AF410" s="25">
        <v>77.099999999999994</v>
      </c>
      <c r="AG410" s="25">
        <v>0.88200000000000001</v>
      </c>
      <c r="AH410" s="25">
        <v>22.7</v>
      </c>
      <c r="AI410" s="25">
        <v>3.3000000000000002E-2</v>
      </c>
      <c r="AJ410" s="25">
        <v>8.5500000000000007</v>
      </c>
      <c r="AK410" s="32">
        <v>34.799999999999997</v>
      </c>
    </row>
    <row r="411" spans="1:37">
      <c r="A411" s="26" t="s">
        <v>488</v>
      </c>
      <c r="B411" s="27">
        <v>162.1</v>
      </c>
      <c r="C411" s="27">
        <v>154.4</v>
      </c>
      <c r="D411" s="27">
        <v>8.1</v>
      </c>
      <c r="E411" s="27">
        <v>11.6</v>
      </c>
      <c r="F411" s="27">
        <v>12.7</v>
      </c>
      <c r="G411" s="27">
        <v>113.5</v>
      </c>
      <c r="H411" s="27">
        <v>2275</v>
      </c>
      <c r="I411" s="27">
        <v>713</v>
      </c>
      <c r="J411" s="27">
        <v>281</v>
      </c>
      <c r="K411" s="27">
        <v>92.4</v>
      </c>
      <c r="L411" s="27">
        <v>318</v>
      </c>
      <c r="M411" s="27">
        <v>142</v>
      </c>
      <c r="N411" s="33">
        <v>48.5</v>
      </c>
      <c r="O411" s="26" t="s">
        <v>488</v>
      </c>
      <c r="P411" s="27">
        <v>38</v>
      </c>
      <c r="Q411" s="27">
        <v>162.1</v>
      </c>
      <c r="R411" s="27">
        <v>154.4</v>
      </c>
      <c r="S411" s="27">
        <v>8.1</v>
      </c>
      <c r="T411" s="27">
        <v>11.6</v>
      </c>
      <c r="U411" s="27">
        <v>12.7</v>
      </c>
      <c r="V411" s="27">
        <v>113.5</v>
      </c>
      <c r="W411" s="27">
        <v>6.66</v>
      </c>
      <c r="X411" s="27">
        <v>14</v>
      </c>
      <c r="Y411" s="27">
        <v>2275</v>
      </c>
      <c r="Z411" s="27">
        <v>713</v>
      </c>
      <c r="AA411" s="27">
        <v>6.85</v>
      </c>
      <c r="AB411" s="27">
        <v>3.84</v>
      </c>
      <c r="AC411" s="27">
        <v>281</v>
      </c>
      <c r="AD411" s="27">
        <v>92.4</v>
      </c>
      <c r="AE411" s="27">
        <v>318</v>
      </c>
      <c r="AF411" s="27">
        <v>142</v>
      </c>
      <c r="AG411" s="27">
        <v>0.85</v>
      </c>
      <c r="AH411" s="27">
        <v>12.6</v>
      </c>
      <c r="AI411" s="27">
        <v>0.04</v>
      </c>
      <c r="AJ411" s="27">
        <v>22.1</v>
      </c>
      <c r="AK411" s="33">
        <v>48.5</v>
      </c>
    </row>
    <row r="412" spans="1:37">
      <c r="A412" s="26" t="s">
        <v>489</v>
      </c>
      <c r="B412" s="27">
        <v>157.5</v>
      </c>
      <c r="C412" s="27">
        <v>152.9</v>
      </c>
      <c r="D412" s="27">
        <v>6.6</v>
      </c>
      <c r="E412" s="27">
        <v>9.3000000000000007</v>
      </c>
      <c r="F412" s="27">
        <v>12.7</v>
      </c>
      <c r="G412" s="27">
        <v>113.5</v>
      </c>
      <c r="H412" s="27">
        <v>1773</v>
      </c>
      <c r="I412" s="27">
        <v>555</v>
      </c>
      <c r="J412" s="27">
        <v>225</v>
      </c>
      <c r="K412" s="27">
        <v>72.599999999999994</v>
      </c>
      <c r="L412" s="27">
        <v>252</v>
      </c>
      <c r="M412" s="27">
        <v>111</v>
      </c>
      <c r="N412" s="33">
        <v>39</v>
      </c>
      <c r="O412" s="26" t="s">
        <v>489</v>
      </c>
      <c r="P412" s="27">
        <v>30.6</v>
      </c>
      <c r="Q412" s="27">
        <v>157.5</v>
      </c>
      <c r="R412" s="27">
        <v>152.9</v>
      </c>
      <c r="S412" s="27">
        <v>6.6</v>
      </c>
      <c r="T412" s="27">
        <v>9.3000000000000007</v>
      </c>
      <c r="U412" s="27">
        <v>12.7</v>
      </c>
      <c r="V412" s="27">
        <v>113.5</v>
      </c>
      <c r="W412" s="27">
        <v>8.2200000000000006</v>
      </c>
      <c r="X412" s="27">
        <v>17.2</v>
      </c>
      <c r="Y412" s="27">
        <v>1773</v>
      </c>
      <c r="Z412" s="27">
        <v>555</v>
      </c>
      <c r="AA412" s="27">
        <v>6.74</v>
      </c>
      <c r="AB412" s="27">
        <v>3.77</v>
      </c>
      <c r="AC412" s="27">
        <v>225</v>
      </c>
      <c r="AD412" s="27">
        <v>72.599999999999994</v>
      </c>
      <c r="AE412" s="27">
        <v>252</v>
      </c>
      <c r="AF412" s="27">
        <v>111</v>
      </c>
      <c r="AG412" s="27">
        <v>0.85</v>
      </c>
      <c r="AH412" s="27">
        <v>15.1</v>
      </c>
      <c r="AI412" s="27">
        <v>0.03</v>
      </c>
      <c r="AJ412" s="27">
        <v>12</v>
      </c>
      <c r="AK412" s="33">
        <v>39</v>
      </c>
    </row>
    <row r="413" spans="1:37">
      <c r="A413" s="26" t="s">
        <v>491</v>
      </c>
      <c r="B413" s="27">
        <v>528.32000000000005</v>
      </c>
      <c r="C413" s="27">
        <v>208.78800000000001</v>
      </c>
      <c r="D413" s="27">
        <v>9.5250000000000004</v>
      </c>
      <c r="E413" s="27">
        <v>13.258800000000001</v>
      </c>
      <c r="F413" s="27">
        <f>25.908-E413</f>
        <v>12.6492</v>
      </c>
      <c r="G413" s="27"/>
      <c r="H413" s="27"/>
      <c r="I413" s="27"/>
      <c r="J413" s="27"/>
      <c r="K413" s="27"/>
      <c r="L413" s="27">
        <f>2064770.064/1000</f>
        <v>2064.7700639999998</v>
      </c>
      <c r="M413" s="27"/>
      <c r="N413" s="33">
        <v>104.32</v>
      </c>
      <c r="O413" s="26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33"/>
    </row>
    <row r="414" spans="1:37">
      <c r="A414" s="24" t="s">
        <v>490</v>
      </c>
      <c r="B414" s="25">
        <v>152.1</v>
      </c>
      <c r="C414" s="25">
        <v>152.1</v>
      </c>
      <c r="D414" s="25">
        <v>5.8</v>
      </c>
      <c r="E414" s="25">
        <v>6.6</v>
      </c>
      <c r="F414" s="25">
        <v>12.7</v>
      </c>
      <c r="G414" s="25">
        <v>113.5</v>
      </c>
      <c r="H414" s="25">
        <v>1254</v>
      </c>
      <c r="I414" s="25">
        <v>388</v>
      </c>
      <c r="J414" s="25">
        <v>165</v>
      </c>
      <c r="K414" s="25">
        <v>51</v>
      </c>
      <c r="L414" s="25">
        <v>183</v>
      </c>
      <c r="M414" s="25">
        <v>78.3</v>
      </c>
      <c r="N414" s="32">
        <v>29.5</v>
      </c>
      <c r="O414" s="24" t="s">
        <v>490</v>
      </c>
      <c r="P414" s="25">
        <v>23.2</v>
      </c>
      <c r="Q414" s="25">
        <v>152.1</v>
      </c>
      <c r="R414" s="25">
        <v>152.1</v>
      </c>
      <c r="S414" s="25">
        <v>5.8</v>
      </c>
      <c r="T414" s="25">
        <v>6.6</v>
      </c>
      <c r="U414" s="25">
        <v>12.7</v>
      </c>
      <c r="V414" s="25">
        <v>113.5</v>
      </c>
      <c r="W414" s="25">
        <v>11.5</v>
      </c>
      <c r="X414" s="25">
        <v>19.600000000000001</v>
      </c>
      <c r="Y414" s="25">
        <v>1254</v>
      </c>
      <c r="Z414" s="25">
        <v>388</v>
      </c>
      <c r="AA414" s="25">
        <v>6.52</v>
      </c>
      <c r="AB414" s="25">
        <v>3.62</v>
      </c>
      <c r="AC414" s="25">
        <v>165</v>
      </c>
      <c r="AD414" s="25">
        <v>51</v>
      </c>
      <c r="AE414" s="25">
        <v>183</v>
      </c>
      <c r="AF414" s="25">
        <v>78.3</v>
      </c>
      <c r="AG414" s="25">
        <v>0.84199999999999997</v>
      </c>
      <c r="AH414" s="25">
        <v>19.2</v>
      </c>
      <c r="AI414" s="25">
        <v>2.1000000000000001E-2</v>
      </c>
      <c r="AJ414" s="25">
        <v>5.45</v>
      </c>
      <c r="AK414" s="32">
        <v>29.5</v>
      </c>
    </row>
    <row r="415" spans="1:37">
      <c r="A415" s="51" t="s">
        <v>690</v>
      </c>
      <c r="B415">
        <v>1000</v>
      </c>
      <c r="C415">
        <v>300</v>
      </c>
      <c r="D415">
        <v>10</v>
      </c>
      <c r="E415">
        <v>14</v>
      </c>
      <c r="F415" s="25">
        <v>8</v>
      </c>
      <c r="G415" s="27"/>
      <c r="H415" s="27"/>
      <c r="I415" s="27"/>
      <c r="J415" s="27"/>
      <c r="K415" s="27"/>
      <c r="L415" s="27"/>
      <c r="M415" s="27"/>
      <c r="N415" s="33"/>
      <c r="O415" s="26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33"/>
    </row>
    <row r="416" spans="1:37">
      <c r="A416" s="51" t="s">
        <v>691</v>
      </c>
      <c r="B416">
        <v>1000</v>
      </c>
      <c r="C416">
        <v>300</v>
      </c>
      <c r="D416">
        <v>12</v>
      </c>
      <c r="E416">
        <v>16</v>
      </c>
      <c r="F416" s="25">
        <v>8</v>
      </c>
      <c r="G416" s="25"/>
      <c r="H416" s="25"/>
      <c r="I416" s="27"/>
      <c r="J416" s="25"/>
      <c r="K416" s="25"/>
      <c r="L416" s="25"/>
      <c r="M416" s="25"/>
      <c r="N416" s="32"/>
      <c r="O416" s="24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32"/>
    </row>
    <row r="417" spans="1:37">
      <c r="A417" s="51" t="s">
        <v>692</v>
      </c>
      <c r="B417">
        <v>1000</v>
      </c>
      <c r="C417">
        <v>300</v>
      </c>
      <c r="D417">
        <v>12</v>
      </c>
      <c r="E417">
        <v>18</v>
      </c>
      <c r="F417" s="25">
        <v>8</v>
      </c>
      <c r="G417" s="27"/>
      <c r="H417" s="27"/>
      <c r="I417" s="27"/>
      <c r="J417" s="27"/>
      <c r="K417" s="27"/>
      <c r="L417" s="27"/>
      <c r="M417" s="27"/>
      <c r="N417" s="33"/>
      <c r="O417" s="26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33"/>
    </row>
    <row r="418" spans="1:37">
      <c r="A418" s="51" t="s">
        <v>693</v>
      </c>
      <c r="B418">
        <v>1000</v>
      </c>
      <c r="C418">
        <v>300</v>
      </c>
      <c r="D418">
        <v>12</v>
      </c>
      <c r="E418">
        <v>20</v>
      </c>
      <c r="F418" s="25">
        <v>8</v>
      </c>
      <c r="G418" s="27"/>
      <c r="H418" s="27"/>
      <c r="I418" s="27"/>
      <c r="J418" s="27"/>
      <c r="K418" s="27"/>
      <c r="L418" s="27"/>
      <c r="M418" s="27"/>
      <c r="N418" s="33"/>
      <c r="O418" s="26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33"/>
    </row>
    <row r="419" spans="1:37">
      <c r="A419" s="51" t="s">
        <v>694</v>
      </c>
      <c r="B419">
        <v>1000</v>
      </c>
      <c r="C419">
        <v>300</v>
      </c>
      <c r="D419">
        <v>12</v>
      </c>
      <c r="E419">
        <v>24</v>
      </c>
      <c r="F419" s="25">
        <v>8</v>
      </c>
      <c r="G419" s="27"/>
      <c r="H419" s="27"/>
      <c r="I419" s="27"/>
      <c r="J419" s="27"/>
      <c r="K419" s="27"/>
      <c r="L419" s="27"/>
      <c r="M419" s="27"/>
      <c r="N419" s="33"/>
      <c r="O419" s="26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33"/>
    </row>
    <row r="420" spans="1:37">
      <c r="A420" s="51" t="s">
        <v>695</v>
      </c>
      <c r="B420">
        <v>1000</v>
      </c>
      <c r="C420">
        <v>350</v>
      </c>
      <c r="D420">
        <v>10</v>
      </c>
      <c r="E420">
        <v>22</v>
      </c>
      <c r="F420" s="25">
        <v>8</v>
      </c>
      <c r="G420" s="27"/>
      <c r="H420" s="27"/>
      <c r="I420" s="27"/>
      <c r="J420" s="27"/>
      <c r="K420" s="27"/>
      <c r="L420" s="27"/>
      <c r="M420" s="27"/>
      <c r="N420" s="33"/>
      <c r="O420" s="26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33"/>
    </row>
    <row r="421" spans="1:37">
      <c r="A421" s="51" t="s">
        <v>696</v>
      </c>
      <c r="B421">
        <v>1000</v>
      </c>
      <c r="C421">
        <v>350</v>
      </c>
      <c r="D421">
        <v>12</v>
      </c>
      <c r="E421">
        <v>20</v>
      </c>
      <c r="F421" s="25">
        <v>8</v>
      </c>
      <c r="G421" s="27"/>
      <c r="H421" s="27"/>
      <c r="I421" s="27"/>
      <c r="J421" s="27"/>
      <c r="K421" s="27"/>
      <c r="L421" s="27"/>
      <c r="M421" s="27"/>
      <c r="N421" s="33"/>
      <c r="O421" s="26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33"/>
    </row>
    <row r="422" spans="1:37">
      <c r="A422" s="51" t="s">
        <v>697</v>
      </c>
      <c r="B422">
        <v>1000</v>
      </c>
      <c r="C422">
        <v>400</v>
      </c>
      <c r="D422">
        <v>12</v>
      </c>
      <c r="E422">
        <v>20</v>
      </c>
      <c r="F422" s="25">
        <v>8</v>
      </c>
      <c r="G422" s="27"/>
      <c r="H422" s="27"/>
      <c r="I422" s="27"/>
      <c r="J422" s="27"/>
      <c r="K422" s="27"/>
      <c r="L422" s="27"/>
      <c r="M422" s="27"/>
      <c r="N422" s="33"/>
      <c r="O422" s="26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33"/>
    </row>
    <row r="423" spans="1:37">
      <c r="A423" s="51" t="s">
        <v>698</v>
      </c>
      <c r="B423">
        <v>1000</v>
      </c>
      <c r="C423">
        <v>400</v>
      </c>
      <c r="D423">
        <v>16</v>
      </c>
      <c r="E423">
        <v>20</v>
      </c>
      <c r="F423" s="25">
        <v>8</v>
      </c>
      <c r="G423" s="27"/>
      <c r="H423" s="27"/>
      <c r="I423" s="27"/>
      <c r="J423" s="27"/>
      <c r="K423" s="27"/>
      <c r="L423" s="27"/>
      <c r="M423" s="27"/>
      <c r="N423" s="33"/>
      <c r="O423" s="26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33"/>
    </row>
    <row r="424" spans="1:37">
      <c r="A424" s="51" t="s">
        <v>699</v>
      </c>
      <c r="B424">
        <v>1000</v>
      </c>
      <c r="C424">
        <v>450</v>
      </c>
      <c r="D424">
        <v>12</v>
      </c>
      <c r="E424">
        <v>22</v>
      </c>
      <c r="F424" s="25">
        <v>8</v>
      </c>
      <c r="G424" s="27"/>
      <c r="H424" s="27"/>
      <c r="I424" s="27"/>
      <c r="J424" s="27"/>
      <c r="K424" s="27"/>
      <c r="L424" s="27"/>
      <c r="M424" s="27"/>
      <c r="N424" s="33"/>
      <c r="O424" s="26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33"/>
    </row>
    <row r="425" spans="1:37">
      <c r="A425" s="51" t="s">
        <v>700</v>
      </c>
      <c r="B425">
        <v>1100</v>
      </c>
      <c r="C425">
        <v>400</v>
      </c>
      <c r="D425">
        <v>16</v>
      </c>
      <c r="E425">
        <v>20</v>
      </c>
      <c r="F425" s="25">
        <v>8</v>
      </c>
      <c r="G425" s="27"/>
      <c r="H425" s="27"/>
      <c r="I425" s="27"/>
      <c r="J425" s="27"/>
      <c r="K425" s="27"/>
      <c r="L425" s="27"/>
      <c r="M425" s="27"/>
      <c r="N425" s="33"/>
      <c r="O425" s="26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33"/>
    </row>
    <row r="426" spans="1:37">
      <c r="A426" s="51" t="s">
        <v>701</v>
      </c>
      <c r="B426">
        <v>1100</v>
      </c>
      <c r="C426">
        <v>450</v>
      </c>
      <c r="D426">
        <v>16</v>
      </c>
      <c r="E426">
        <v>24</v>
      </c>
      <c r="F426" s="25">
        <v>8</v>
      </c>
      <c r="G426" s="27"/>
      <c r="H426" s="27"/>
      <c r="I426" s="27"/>
      <c r="J426" s="27"/>
      <c r="K426" s="27"/>
      <c r="L426" s="27"/>
      <c r="M426" s="27"/>
      <c r="N426" s="33"/>
      <c r="O426" s="26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33"/>
    </row>
    <row r="427" spans="1:37">
      <c r="A427" s="51" t="s">
        <v>702</v>
      </c>
      <c r="B427">
        <v>1100</v>
      </c>
      <c r="C427">
        <v>550</v>
      </c>
      <c r="D427">
        <v>16</v>
      </c>
      <c r="E427">
        <v>36</v>
      </c>
      <c r="F427" s="25">
        <v>8</v>
      </c>
      <c r="G427" s="25"/>
      <c r="H427" s="25"/>
      <c r="I427" s="27"/>
      <c r="J427" s="25"/>
      <c r="K427" s="25"/>
      <c r="L427" s="25"/>
      <c r="M427" s="25"/>
      <c r="N427" s="32"/>
      <c r="O427" s="24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32"/>
    </row>
    <row r="428" spans="1:37">
      <c r="A428" s="51" t="s">
        <v>703</v>
      </c>
      <c r="B428">
        <v>1200</v>
      </c>
      <c r="C428">
        <v>300</v>
      </c>
      <c r="D428">
        <v>12</v>
      </c>
      <c r="E428">
        <v>18</v>
      </c>
      <c r="F428" s="25">
        <v>8</v>
      </c>
      <c r="G428" s="27"/>
      <c r="H428" s="27"/>
      <c r="I428" s="27"/>
      <c r="J428" s="27"/>
      <c r="K428" s="27"/>
      <c r="L428" s="27"/>
      <c r="M428" s="27"/>
      <c r="N428" s="33"/>
      <c r="O428" s="26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33"/>
    </row>
    <row r="429" spans="1:37">
      <c r="A429" s="51" t="s">
        <v>704</v>
      </c>
      <c r="B429">
        <v>1200</v>
      </c>
      <c r="C429">
        <v>350</v>
      </c>
      <c r="D429">
        <v>12</v>
      </c>
      <c r="E429">
        <v>22</v>
      </c>
      <c r="F429" s="25">
        <v>8</v>
      </c>
      <c r="G429" s="27"/>
      <c r="H429" s="27"/>
      <c r="I429" s="27"/>
      <c r="J429" s="27"/>
      <c r="K429" s="27"/>
      <c r="L429" s="27"/>
      <c r="M429" s="27"/>
      <c r="N429" s="33"/>
      <c r="O429" s="26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33"/>
    </row>
    <row r="430" spans="1:37">
      <c r="A430" s="51" t="s">
        <v>705</v>
      </c>
      <c r="B430">
        <v>1200</v>
      </c>
      <c r="C430">
        <v>400</v>
      </c>
      <c r="D430">
        <v>12</v>
      </c>
      <c r="E430">
        <v>25</v>
      </c>
      <c r="F430" s="25">
        <v>8</v>
      </c>
      <c r="G430" s="25"/>
      <c r="H430" s="25"/>
      <c r="I430" s="27"/>
      <c r="J430" s="25"/>
      <c r="K430" s="25"/>
      <c r="L430" s="25"/>
      <c r="M430" s="25"/>
      <c r="N430" s="32"/>
      <c r="O430" s="24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32"/>
    </row>
    <row r="431" spans="1:37">
      <c r="A431" s="56" t="s">
        <v>823</v>
      </c>
      <c r="B431">
        <v>1200</v>
      </c>
      <c r="C431">
        <v>450</v>
      </c>
      <c r="D431">
        <v>14</v>
      </c>
      <c r="E431">
        <v>20</v>
      </c>
      <c r="F431" s="25">
        <v>8</v>
      </c>
      <c r="G431" s="27"/>
      <c r="H431" s="27"/>
      <c r="I431" s="27"/>
      <c r="J431" s="27"/>
      <c r="K431" s="27"/>
      <c r="L431" s="27"/>
      <c r="M431" s="27"/>
      <c r="N431" s="33"/>
      <c r="O431" s="26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33"/>
    </row>
    <row r="432" spans="1:37">
      <c r="A432" s="51" t="s">
        <v>706</v>
      </c>
      <c r="B432">
        <v>1300</v>
      </c>
      <c r="C432">
        <v>350</v>
      </c>
      <c r="D432">
        <v>14</v>
      </c>
      <c r="E432">
        <v>16</v>
      </c>
      <c r="F432" s="25">
        <v>8</v>
      </c>
      <c r="G432" s="27"/>
      <c r="H432" s="27"/>
      <c r="I432" s="27"/>
      <c r="J432" s="27"/>
      <c r="K432" s="27"/>
      <c r="L432" s="27"/>
      <c r="M432" s="27"/>
      <c r="N432" s="33"/>
      <c r="O432" s="26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33"/>
    </row>
    <row r="433" spans="1:37">
      <c r="A433" s="51" t="s">
        <v>707</v>
      </c>
      <c r="B433">
        <v>1300</v>
      </c>
      <c r="C433">
        <v>350</v>
      </c>
      <c r="D433">
        <v>14</v>
      </c>
      <c r="E433">
        <v>20</v>
      </c>
      <c r="F433" s="25">
        <v>8</v>
      </c>
      <c r="G433" s="27"/>
      <c r="H433" s="27"/>
      <c r="I433" s="27"/>
      <c r="J433" s="27"/>
      <c r="K433" s="27"/>
      <c r="L433" s="27"/>
      <c r="M433" s="27"/>
      <c r="N433" s="33"/>
      <c r="O433" s="26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33"/>
    </row>
    <row r="434" spans="1:37">
      <c r="A434" s="51" t="s">
        <v>708</v>
      </c>
      <c r="B434">
        <v>1300</v>
      </c>
      <c r="C434">
        <v>400</v>
      </c>
      <c r="D434">
        <v>16</v>
      </c>
      <c r="E434">
        <v>20</v>
      </c>
      <c r="F434" s="25">
        <v>8</v>
      </c>
      <c r="G434" s="27"/>
      <c r="H434" s="27"/>
      <c r="I434" s="27"/>
      <c r="J434" s="27"/>
      <c r="K434" s="27"/>
      <c r="L434" s="27"/>
      <c r="M434" s="27"/>
      <c r="N434" s="33"/>
      <c r="O434" s="26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33"/>
    </row>
    <row r="435" spans="1:37">
      <c r="A435" s="51" t="s">
        <v>709</v>
      </c>
      <c r="B435">
        <v>1300</v>
      </c>
      <c r="C435">
        <v>400</v>
      </c>
      <c r="D435">
        <v>16</v>
      </c>
      <c r="E435">
        <v>22</v>
      </c>
      <c r="F435" s="25">
        <v>8</v>
      </c>
      <c r="G435" s="27"/>
      <c r="H435" s="27"/>
      <c r="I435" s="27"/>
      <c r="J435" s="27"/>
      <c r="K435" s="27"/>
      <c r="L435" s="27"/>
      <c r="M435" s="27"/>
      <c r="N435" s="33"/>
      <c r="O435" s="26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33"/>
    </row>
    <row r="436" spans="1:37">
      <c r="A436" s="51" t="s">
        <v>710</v>
      </c>
      <c r="B436">
        <v>1400</v>
      </c>
      <c r="C436">
        <v>350</v>
      </c>
      <c r="D436">
        <v>14</v>
      </c>
      <c r="E436">
        <v>20</v>
      </c>
      <c r="F436" s="25">
        <v>8</v>
      </c>
      <c r="G436" s="27"/>
      <c r="H436" s="27"/>
      <c r="I436" s="27"/>
      <c r="J436" s="27"/>
      <c r="K436" s="27"/>
      <c r="L436" s="27"/>
      <c r="M436" s="27"/>
      <c r="N436" s="33"/>
      <c r="O436" s="26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33"/>
    </row>
    <row r="437" spans="1:37">
      <c r="A437" s="51" t="s">
        <v>711</v>
      </c>
      <c r="B437">
        <v>1400</v>
      </c>
      <c r="C437">
        <v>450</v>
      </c>
      <c r="D437">
        <v>14</v>
      </c>
      <c r="E437">
        <v>22</v>
      </c>
      <c r="F437" s="25">
        <v>8</v>
      </c>
      <c r="G437" s="27"/>
      <c r="H437" s="27"/>
      <c r="I437" s="27"/>
      <c r="J437" s="27"/>
      <c r="K437" s="27"/>
      <c r="L437" s="27"/>
      <c r="M437" s="27"/>
      <c r="N437" s="33"/>
      <c r="O437" s="26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33"/>
    </row>
    <row r="438" spans="1:37">
      <c r="A438" s="51" t="s">
        <v>712</v>
      </c>
      <c r="B438">
        <v>1400</v>
      </c>
      <c r="C438">
        <v>500</v>
      </c>
      <c r="D438">
        <v>14</v>
      </c>
      <c r="E438">
        <v>20</v>
      </c>
      <c r="F438" s="25">
        <v>8</v>
      </c>
      <c r="G438" s="25"/>
      <c r="H438" s="25"/>
      <c r="I438" s="27"/>
      <c r="J438" s="25"/>
      <c r="K438" s="25"/>
      <c r="L438" s="25"/>
      <c r="M438" s="25"/>
      <c r="N438" s="32"/>
      <c r="O438" s="24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32"/>
    </row>
    <row r="439" spans="1:37">
      <c r="A439" s="51" t="s">
        <v>713</v>
      </c>
      <c r="B439">
        <v>1400</v>
      </c>
      <c r="C439">
        <v>500</v>
      </c>
      <c r="D439">
        <v>16</v>
      </c>
      <c r="E439">
        <v>20</v>
      </c>
      <c r="F439" s="25">
        <v>8</v>
      </c>
      <c r="G439" s="27"/>
      <c r="H439" s="27"/>
      <c r="I439" s="27"/>
      <c r="J439" s="27"/>
      <c r="K439" s="27"/>
      <c r="L439" s="27"/>
      <c r="M439" s="27"/>
      <c r="N439" s="33"/>
      <c r="O439" s="26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33"/>
    </row>
    <row r="440" spans="1:37">
      <c r="A440" s="51" t="s">
        <v>714</v>
      </c>
      <c r="B440">
        <v>1400</v>
      </c>
      <c r="C440">
        <v>500</v>
      </c>
      <c r="D440">
        <v>16</v>
      </c>
      <c r="E440">
        <v>24</v>
      </c>
      <c r="F440" s="25">
        <v>8</v>
      </c>
      <c r="G440" s="27"/>
      <c r="H440" s="27"/>
      <c r="I440" s="27"/>
      <c r="J440" s="27"/>
      <c r="K440" s="27"/>
      <c r="L440" s="27"/>
      <c r="M440" s="27"/>
      <c r="N440" s="33"/>
      <c r="O440" s="26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33"/>
    </row>
    <row r="441" spans="1:37">
      <c r="A441" s="51" t="s">
        <v>715</v>
      </c>
      <c r="B441">
        <v>250</v>
      </c>
      <c r="C441">
        <v>100</v>
      </c>
      <c r="D441">
        <v>5</v>
      </c>
      <c r="E441">
        <v>10</v>
      </c>
      <c r="F441" s="25">
        <v>8</v>
      </c>
      <c r="G441" s="27"/>
      <c r="H441" s="27"/>
      <c r="I441" s="27"/>
      <c r="J441" s="27"/>
      <c r="K441" s="27"/>
      <c r="L441" s="27"/>
      <c r="M441" s="27"/>
      <c r="N441" s="33"/>
      <c r="O441" s="26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33"/>
    </row>
    <row r="442" spans="1:37">
      <c r="A442" s="51" t="s">
        <v>716</v>
      </c>
      <c r="B442">
        <v>250</v>
      </c>
      <c r="C442">
        <v>100</v>
      </c>
      <c r="D442">
        <v>5</v>
      </c>
      <c r="E442">
        <v>8</v>
      </c>
      <c r="F442" s="25">
        <v>8</v>
      </c>
      <c r="G442" s="25"/>
      <c r="H442" s="25"/>
      <c r="I442" s="27"/>
      <c r="J442" s="25"/>
      <c r="K442" s="25"/>
      <c r="L442" s="25"/>
      <c r="M442" s="25"/>
      <c r="N442" s="32"/>
      <c r="O442" s="24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32"/>
    </row>
    <row r="443" spans="1:37">
      <c r="A443" s="51" t="s">
        <v>717</v>
      </c>
      <c r="B443">
        <v>250</v>
      </c>
      <c r="C443">
        <v>200</v>
      </c>
      <c r="D443">
        <v>5</v>
      </c>
      <c r="E443">
        <v>8</v>
      </c>
      <c r="F443" s="25">
        <v>8</v>
      </c>
      <c r="G443" s="25"/>
      <c r="H443" s="25"/>
      <c r="I443" s="27"/>
      <c r="J443" s="25"/>
      <c r="K443" s="25"/>
      <c r="L443" s="25"/>
      <c r="M443" s="25"/>
      <c r="N443" s="32"/>
      <c r="O443" s="24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32"/>
    </row>
    <row r="444" spans="1:37">
      <c r="A444" s="51" t="s">
        <v>718</v>
      </c>
      <c r="B444">
        <v>300</v>
      </c>
      <c r="C444">
        <v>150</v>
      </c>
      <c r="D444">
        <v>5</v>
      </c>
      <c r="E444">
        <v>8</v>
      </c>
      <c r="F444" s="25">
        <v>8</v>
      </c>
      <c r="I444" s="27"/>
    </row>
    <row r="445" spans="1:37">
      <c r="A445" s="51" t="s">
        <v>719</v>
      </c>
      <c r="B445">
        <v>300</v>
      </c>
      <c r="C445">
        <v>200</v>
      </c>
      <c r="D445">
        <v>5</v>
      </c>
      <c r="E445">
        <v>10</v>
      </c>
      <c r="F445" s="25">
        <v>8</v>
      </c>
      <c r="I445" s="27"/>
    </row>
    <row r="446" spans="1:37">
      <c r="A446" s="51" t="s">
        <v>720</v>
      </c>
      <c r="B446">
        <v>300</v>
      </c>
      <c r="C446">
        <v>200</v>
      </c>
      <c r="D446">
        <v>6</v>
      </c>
      <c r="E446">
        <v>10</v>
      </c>
      <c r="F446" s="25">
        <v>8</v>
      </c>
      <c r="I446" s="27"/>
    </row>
    <row r="447" spans="1:37">
      <c r="A447" s="51" t="s">
        <v>721</v>
      </c>
      <c r="B447">
        <v>300</v>
      </c>
      <c r="C447">
        <v>300</v>
      </c>
      <c r="D447">
        <v>10</v>
      </c>
      <c r="E447">
        <v>15</v>
      </c>
      <c r="F447" s="25">
        <v>8</v>
      </c>
      <c r="I447" s="27"/>
    </row>
    <row r="448" spans="1:37">
      <c r="A448" s="51" t="s">
        <v>722</v>
      </c>
      <c r="B448">
        <v>400</v>
      </c>
      <c r="C448">
        <v>160</v>
      </c>
      <c r="D448">
        <v>6</v>
      </c>
      <c r="E448">
        <v>10</v>
      </c>
      <c r="F448" s="25">
        <v>8</v>
      </c>
      <c r="I448" s="27"/>
    </row>
    <row r="449" spans="1:9">
      <c r="A449" s="51" t="s">
        <v>723</v>
      </c>
      <c r="B449">
        <v>400</v>
      </c>
      <c r="C449">
        <v>180</v>
      </c>
      <c r="D449">
        <v>6</v>
      </c>
      <c r="E449">
        <v>10</v>
      </c>
      <c r="F449" s="25">
        <v>8</v>
      </c>
      <c r="I449" s="27"/>
    </row>
    <row r="450" spans="1:9">
      <c r="A450" s="51" t="s">
        <v>724</v>
      </c>
      <c r="B450">
        <v>400</v>
      </c>
      <c r="C450">
        <v>200</v>
      </c>
      <c r="D450">
        <v>6</v>
      </c>
      <c r="E450">
        <v>10</v>
      </c>
      <c r="F450" s="25">
        <v>8</v>
      </c>
      <c r="I450" s="27"/>
    </row>
    <row r="451" spans="1:9">
      <c r="A451" s="51" t="s">
        <v>725</v>
      </c>
      <c r="B451">
        <v>400</v>
      </c>
      <c r="C451">
        <v>250</v>
      </c>
      <c r="D451">
        <v>8</v>
      </c>
      <c r="E451">
        <v>12</v>
      </c>
      <c r="F451" s="25">
        <v>8</v>
      </c>
      <c r="I451" s="27"/>
    </row>
    <row r="452" spans="1:9">
      <c r="A452" s="51" t="s">
        <v>726</v>
      </c>
      <c r="B452">
        <v>400</v>
      </c>
      <c r="C452">
        <v>250</v>
      </c>
      <c r="D452">
        <v>8</v>
      </c>
      <c r="E452">
        <v>14</v>
      </c>
      <c r="F452" s="25">
        <v>8</v>
      </c>
      <c r="I452" s="27"/>
    </row>
    <row r="453" spans="1:9">
      <c r="A453" s="51" t="s">
        <v>727</v>
      </c>
      <c r="B453">
        <v>500</v>
      </c>
      <c r="C453">
        <v>200</v>
      </c>
      <c r="D453">
        <v>6</v>
      </c>
      <c r="E453">
        <v>10</v>
      </c>
      <c r="F453" s="25">
        <v>8</v>
      </c>
      <c r="I453" s="27"/>
    </row>
    <row r="454" spans="1:9">
      <c r="A454" s="51" t="s">
        <v>728</v>
      </c>
      <c r="B454">
        <v>500</v>
      </c>
      <c r="C454">
        <v>250</v>
      </c>
      <c r="D454">
        <v>10</v>
      </c>
      <c r="E454">
        <v>16</v>
      </c>
      <c r="F454" s="25">
        <v>8</v>
      </c>
      <c r="I454" s="27"/>
    </row>
    <row r="455" spans="1:9">
      <c r="A455" s="51" t="s">
        <v>729</v>
      </c>
      <c r="B455">
        <v>500</v>
      </c>
      <c r="C455">
        <v>250</v>
      </c>
      <c r="D455">
        <v>8</v>
      </c>
      <c r="E455">
        <v>12</v>
      </c>
      <c r="F455" s="25">
        <v>8</v>
      </c>
      <c r="I455" s="27"/>
    </row>
    <row r="456" spans="1:9">
      <c r="A456" s="51" t="s">
        <v>730</v>
      </c>
      <c r="B456">
        <v>500</v>
      </c>
      <c r="C456">
        <v>300</v>
      </c>
      <c r="D456">
        <v>8</v>
      </c>
      <c r="E456">
        <v>16</v>
      </c>
      <c r="F456" s="25">
        <v>8</v>
      </c>
      <c r="I456" s="27"/>
    </row>
    <row r="457" spans="1:9">
      <c r="A457" s="51" t="s">
        <v>731</v>
      </c>
      <c r="B457">
        <v>500</v>
      </c>
      <c r="C457">
        <v>350</v>
      </c>
      <c r="D457">
        <v>12</v>
      </c>
      <c r="E457">
        <v>16</v>
      </c>
      <c r="F457" s="25">
        <v>8</v>
      </c>
      <c r="I457" s="27"/>
    </row>
    <row r="458" spans="1:9">
      <c r="A458" s="51" t="s">
        <v>732</v>
      </c>
      <c r="B458">
        <v>600</v>
      </c>
      <c r="C458">
        <v>220</v>
      </c>
      <c r="D458">
        <v>10</v>
      </c>
      <c r="E458">
        <v>14</v>
      </c>
      <c r="F458" s="25">
        <v>8</v>
      </c>
      <c r="I458" s="27"/>
    </row>
    <row r="459" spans="1:9">
      <c r="A459" s="51" t="s">
        <v>733</v>
      </c>
      <c r="B459">
        <v>600</v>
      </c>
      <c r="C459">
        <v>250</v>
      </c>
      <c r="D459">
        <v>10</v>
      </c>
      <c r="E459">
        <v>12</v>
      </c>
      <c r="F459" s="25">
        <v>8</v>
      </c>
      <c r="I459" s="27"/>
    </row>
    <row r="460" spans="1:9">
      <c r="A460" s="51" t="s">
        <v>734</v>
      </c>
      <c r="B460">
        <v>600</v>
      </c>
      <c r="C460">
        <v>250</v>
      </c>
      <c r="D460">
        <v>6</v>
      </c>
      <c r="E460">
        <v>12</v>
      </c>
      <c r="F460" s="25">
        <v>8</v>
      </c>
      <c r="I460" s="27"/>
    </row>
    <row r="461" spans="1:9">
      <c r="A461" s="51" t="s">
        <v>735</v>
      </c>
      <c r="B461">
        <v>600</v>
      </c>
      <c r="C461">
        <v>250</v>
      </c>
      <c r="D461">
        <v>8</v>
      </c>
      <c r="E461">
        <v>12</v>
      </c>
      <c r="F461" s="25">
        <v>8</v>
      </c>
      <c r="I461" s="27"/>
    </row>
    <row r="462" spans="1:9">
      <c r="A462" s="51" t="s">
        <v>736</v>
      </c>
      <c r="B462">
        <v>600</v>
      </c>
      <c r="C462">
        <v>250</v>
      </c>
      <c r="D462">
        <v>8</v>
      </c>
      <c r="E462">
        <v>14</v>
      </c>
      <c r="F462" s="25">
        <v>8</v>
      </c>
      <c r="I462" s="27"/>
    </row>
    <row r="463" spans="1:9">
      <c r="A463" s="51" t="s">
        <v>737</v>
      </c>
      <c r="B463">
        <v>600</v>
      </c>
      <c r="C463">
        <v>250</v>
      </c>
      <c r="D463">
        <v>8</v>
      </c>
      <c r="E463">
        <v>16</v>
      </c>
      <c r="F463" s="25">
        <v>8</v>
      </c>
      <c r="I463" s="27"/>
    </row>
    <row r="464" spans="1:9">
      <c r="A464" s="51" t="s">
        <v>738</v>
      </c>
      <c r="B464">
        <v>600</v>
      </c>
      <c r="C464">
        <v>300</v>
      </c>
      <c r="D464">
        <v>10</v>
      </c>
      <c r="E464">
        <v>12</v>
      </c>
      <c r="F464" s="25">
        <v>8</v>
      </c>
      <c r="I464" s="27"/>
    </row>
    <row r="465" spans="1:9">
      <c r="A465" s="51" t="s">
        <v>739</v>
      </c>
      <c r="B465">
        <v>600</v>
      </c>
      <c r="C465">
        <v>300</v>
      </c>
      <c r="D465">
        <v>10</v>
      </c>
      <c r="E465">
        <v>14</v>
      </c>
      <c r="F465" s="25">
        <v>8</v>
      </c>
      <c r="I465" s="27"/>
    </row>
    <row r="466" spans="1:9">
      <c r="A466" s="51" t="s">
        <v>740</v>
      </c>
      <c r="B466">
        <v>600</v>
      </c>
      <c r="C466">
        <v>300</v>
      </c>
      <c r="D466">
        <v>10</v>
      </c>
      <c r="E466">
        <v>18</v>
      </c>
      <c r="F466" s="25">
        <v>8</v>
      </c>
      <c r="I466" s="27"/>
    </row>
    <row r="467" spans="1:9">
      <c r="A467" s="51" t="s">
        <v>741</v>
      </c>
      <c r="B467">
        <v>600</v>
      </c>
      <c r="C467">
        <v>300</v>
      </c>
      <c r="D467">
        <v>10</v>
      </c>
      <c r="E467">
        <v>22</v>
      </c>
      <c r="F467" s="25">
        <v>8</v>
      </c>
      <c r="I467" s="27"/>
    </row>
    <row r="468" spans="1:9">
      <c r="A468" s="51" t="s">
        <v>742</v>
      </c>
      <c r="B468">
        <v>600</v>
      </c>
      <c r="C468">
        <v>300</v>
      </c>
      <c r="D468">
        <v>8</v>
      </c>
      <c r="E468">
        <v>14</v>
      </c>
      <c r="F468" s="25">
        <v>8</v>
      </c>
      <c r="I468" s="27"/>
    </row>
    <row r="469" spans="1:9">
      <c r="A469" s="51" t="s">
        <v>743</v>
      </c>
      <c r="B469">
        <v>600</v>
      </c>
      <c r="C469">
        <v>300</v>
      </c>
      <c r="D469">
        <v>8</v>
      </c>
      <c r="E469">
        <v>15</v>
      </c>
      <c r="F469" s="25">
        <v>8</v>
      </c>
      <c r="I469" s="27"/>
    </row>
    <row r="470" spans="1:9">
      <c r="A470" s="51" t="s">
        <v>744</v>
      </c>
      <c r="B470">
        <v>600</v>
      </c>
      <c r="C470">
        <v>300</v>
      </c>
      <c r="D470">
        <v>8</v>
      </c>
      <c r="E470">
        <v>16</v>
      </c>
      <c r="F470" s="25">
        <v>8</v>
      </c>
      <c r="I470" s="27"/>
    </row>
    <row r="471" spans="1:9">
      <c r="A471" s="51" t="s">
        <v>745</v>
      </c>
      <c r="B471">
        <v>900</v>
      </c>
      <c r="C471">
        <v>350</v>
      </c>
      <c r="D471">
        <v>12</v>
      </c>
      <c r="E471">
        <v>24</v>
      </c>
      <c r="F471" s="25">
        <v>8</v>
      </c>
      <c r="I471" s="27"/>
    </row>
    <row r="472" spans="1:9">
      <c r="A472" s="51" t="s">
        <v>746</v>
      </c>
      <c r="B472">
        <v>600</v>
      </c>
      <c r="C472">
        <v>350</v>
      </c>
      <c r="D472">
        <v>16</v>
      </c>
      <c r="E472">
        <v>24</v>
      </c>
      <c r="F472" s="25">
        <v>8</v>
      </c>
      <c r="I472" s="27"/>
    </row>
    <row r="473" spans="1:9">
      <c r="A473" s="51" t="s">
        <v>747</v>
      </c>
      <c r="B473">
        <v>600</v>
      </c>
      <c r="C473">
        <v>350</v>
      </c>
      <c r="D473">
        <v>8</v>
      </c>
      <c r="E473">
        <v>14</v>
      </c>
      <c r="F473" s="25">
        <v>8</v>
      </c>
      <c r="I473" s="27"/>
    </row>
    <row r="474" spans="1:9">
      <c r="A474" s="51" t="s">
        <v>748</v>
      </c>
      <c r="B474">
        <v>600</v>
      </c>
      <c r="C474">
        <v>350</v>
      </c>
      <c r="D474">
        <v>8</v>
      </c>
      <c r="E474">
        <v>16</v>
      </c>
      <c r="F474" s="25">
        <v>8</v>
      </c>
      <c r="I474" s="27"/>
    </row>
    <row r="475" spans="1:9">
      <c r="A475" s="51" t="s">
        <v>749</v>
      </c>
      <c r="B475">
        <v>600</v>
      </c>
      <c r="C475">
        <v>400</v>
      </c>
      <c r="D475">
        <v>10</v>
      </c>
      <c r="E475">
        <v>18</v>
      </c>
      <c r="F475" s="25">
        <v>8</v>
      </c>
      <c r="I475" s="27"/>
    </row>
    <row r="476" spans="1:9">
      <c r="A476" s="51" t="s">
        <v>750</v>
      </c>
      <c r="B476">
        <v>600</v>
      </c>
      <c r="C476">
        <v>400</v>
      </c>
      <c r="D476">
        <v>10</v>
      </c>
      <c r="E476">
        <v>24</v>
      </c>
      <c r="F476" s="25">
        <v>8</v>
      </c>
      <c r="I476" s="27"/>
    </row>
    <row r="477" spans="1:9">
      <c r="A477" s="51" t="s">
        <v>751</v>
      </c>
      <c r="B477">
        <v>600</v>
      </c>
      <c r="C477">
        <v>500</v>
      </c>
      <c r="D477">
        <v>12</v>
      </c>
      <c r="E477">
        <v>30</v>
      </c>
      <c r="F477" s="25">
        <v>8</v>
      </c>
      <c r="I477" s="27"/>
    </row>
    <row r="478" spans="1:9">
      <c r="A478" s="51" t="s">
        <v>752</v>
      </c>
      <c r="B478">
        <v>700</v>
      </c>
      <c r="C478">
        <v>220</v>
      </c>
      <c r="D478">
        <v>10</v>
      </c>
      <c r="E478">
        <v>14</v>
      </c>
      <c r="F478" s="25">
        <v>8</v>
      </c>
      <c r="I478" s="27"/>
    </row>
    <row r="479" spans="1:9">
      <c r="A479" s="51" t="s">
        <v>753</v>
      </c>
      <c r="B479">
        <v>700</v>
      </c>
      <c r="C479">
        <v>250</v>
      </c>
      <c r="D479">
        <v>10</v>
      </c>
      <c r="E479">
        <v>14</v>
      </c>
      <c r="F479" s="25">
        <v>8</v>
      </c>
      <c r="I479" s="27"/>
    </row>
    <row r="480" spans="1:9">
      <c r="A480" s="51" t="s">
        <v>754</v>
      </c>
      <c r="B480">
        <v>700</v>
      </c>
      <c r="C480">
        <v>250</v>
      </c>
      <c r="D480">
        <v>8</v>
      </c>
      <c r="E480">
        <v>12</v>
      </c>
      <c r="F480" s="25">
        <v>8</v>
      </c>
      <c r="I480" s="27"/>
    </row>
    <row r="481" spans="1:9">
      <c r="A481" s="51" t="s">
        <v>755</v>
      </c>
      <c r="B481">
        <v>700</v>
      </c>
      <c r="C481">
        <v>250</v>
      </c>
      <c r="D481">
        <v>8</v>
      </c>
      <c r="E481">
        <v>14</v>
      </c>
      <c r="F481" s="25">
        <v>8</v>
      </c>
      <c r="I481" s="27"/>
    </row>
    <row r="482" spans="1:9">
      <c r="A482" s="51" t="s">
        <v>756</v>
      </c>
      <c r="B482">
        <v>700</v>
      </c>
      <c r="C482">
        <v>300</v>
      </c>
      <c r="D482">
        <v>10</v>
      </c>
      <c r="E482">
        <v>14</v>
      </c>
      <c r="F482" s="25">
        <v>8</v>
      </c>
      <c r="I482" s="27"/>
    </row>
    <row r="483" spans="1:9">
      <c r="A483" s="51" t="s">
        <v>757</v>
      </c>
      <c r="B483">
        <v>700</v>
      </c>
      <c r="C483">
        <v>300</v>
      </c>
      <c r="D483">
        <v>10</v>
      </c>
      <c r="E483">
        <v>20</v>
      </c>
      <c r="F483" s="25">
        <v>8</v>
      </c>
      <c r="I483" s="27"/>
    </row>
    <row r="484" spans="1:9">
      <c r="A484" s="51" t="s">
        <v>758</v>
      </c>
      <c r="B484">
        <v>700</v>
      </c>
      <c r="C484">
        <v>300</v>
      </c>
      <c r="D484">
        <v>8</v>
      </c>
      <c r="E484">
        <v>14</v>
      </c>
      <c r="F484" s="25">
        <v>8</v>
      </c>
      <c r="I484" s="27"/>
    </row>
    <row r="485" spans="1:9">
      <c r="A485" s="51" t="s">
        <v>759</v>
      </c>
      <c r="B485">
        <v>700</v>
      </c>
      <c r="C485">
        <v>300</v>
      </c>
      <c r="D485">
        <v>8</v>
      </c>
      <c r="E485">
        <v>16</v>
      </c>
      <c r="F485" s="25">
        <v>8</v>
      </c>
      <c r="I485" s="27"/>
    </row>
    <row r="486" spans="1:9">
      <c r="A486" s="51" t="s">
        <v>760</v>
      </c>
      <c r="B486">
        <v>700</v>
      </c>
      <c r="C486">
        <v>300</v>
      </c>
      <c r="D486">
        <v>8</v>
      </c>
      <c r="E486">
        <v>18</v>
      </c>
      <c r="F486" s="25">
        <v>8</v>
      </c>
      <c r="I486" s="27"/>
    </row>
    <row r="487" spans="1:9">
      <c r="A487" s="51" t="s">
        <v>761</v>
      </c>
      <c r="B487">
        <v>700</v>
      </c>
      <c r="C487">
        <v>350</v>
      </c>
      <c r="D487">
        <v>10</v>
      </c>
      <c r="E487">
        <v>16</v>
      </c>
      <c r="F487" s="25">
        <v>8</v>
      </c>
      <c r="I487" s="27"/>
    </row>
    <row r="488" spans="1:9">
      <c r="A488" s="51" t="s">
        <v>762</v>
      </c>
      <c r="B488">
        <v>700</v>
      </c>
      <c r="C488">
        <v>350</v>
      </c>
      <c r="D488">
        <v>10</v>
      </c>
      <c r="E488">
        <v>18</v>
      </c>
      <c r="F488" s="25">
        <v>8</v>
      </c>
      <c r="I488" s="27"/>
    </row>
    <row r="489" spans="1:9">
      <c r="A489" s="51" t="s">
        <v>763</v>
      </c>
      <c r="B489">
        <v>700</v>
      </c>
      <c r="C489">
        <v>350</v>
      </c>
      <c r="D489">
        <v>10</v>
      </c>
      <c r="E489">
        <v>20</v>
      </c>
      <c r="F489" s="25">
        <v>8</v>
      </c>
      <c r="I489" s="27"/>
    </row>
    <row r="490" spans="1:9">
      <c r="A490" s="51" t="s">
        <v>764</v>
      </c>
      <c r="B490">
        <v>700</v>
      </c>
      <c r="C490">
        <v>350</v>
      </c>
      <c r="D490">
        <v>12</v>
      </c>
      <c r="E490">
        <v>20</v>
      </c>
      <c r="F490" s="25">
        <v>8</v>
      </c>
      <c r="I490" s="27"/>
    </row>
    <row r="491" spans="1:9">
      <c r="A491" s="51" t="s">
        <v>765</v>
      </c>
      <c r="B491">
        <v>700</v>
      </c>
      <c r="C491">
        <v>400</v>
      </c>
      <c r="D491">
        <v>10</v>
      </c>
      <c r="E491">
        <v>20</v>
      </c>
      <c r="F491" s="25">
        <v>8</v>
      </c>
      <c r="I491" s="27"/>
    </row>
    <row r="492" spans="1:9">
      <c r="A492" s="51" t="s">
        <v>766</v>
      </c>
      <c r="B492">
        <v>700</v>
      </c>
      <c r="C492">
        <v>500</v>
      </c>
      <c r="D492">
        <v>16</v>
      </c>
      <c r="E492">
        <v>30</v>
      </c>
      <c r="F492" s="25">
        <v>8</v>
      </c>
      <c r="I492" s="27"/>
    </row>
    <row r="493" spans="1:9">
      <c r="A493" s="51" t="s">
        <v>767</v>
      </c>
      <c r="B493">
        <v>800</v>
      </c>
      <c r="C493">
        <v>250</v>
      </c>
      <c r="D493">
        <v>8</v>
      </c>
      <c r="E493">
        <v>12</v>
      </c>
      <c r="F493" s="25">
        <v>8</v>
      </c>
      <c r="I493" s="27"/>
    </row>
    <row r="494" spans="1:9">
      <c r="A494" s="51" t="s">
        <v>768</v>
      </c>
      <c r="B494">
        <v>800</v>
      </c>
      <c r="C494">
        <v>250</v>
      </c>
      <c r="D494">
        <v>8</v>
      </c>
      <c r="E494">
        <v>14</v>
      </c>
      <c r="F494" s="25">
        <v>8</v>
      </c>
      <c r="I494" s="27"/>
    </row>
    <row r="495" spans="1:9">
      <c r="A495" s="51" t="s">
        <v>769</v>
      </c>
      <c r="B495">
        <v>800</v>
      </c>
      <c r="C495">
        <v>300</v>
      </c>
      <c r="D495">
        <v>10</v>
      </c>
      <c r="E495">
        <v>14</v>
      </c>
      <c r="F495" s="25">
        <v>8</v>
      </c>
      <c r="I495" s="27"/>
    </row>
    <row r="496" spans="1:9">
      <c r="A496" s="51" t="s">
        <v>770</v>
      </c>
      <c r="B496">
        <v>800</v>
      </c>
      <c r="C496">
        <v>300</v>
      </c>
      <c r="D496">
        <v>12</v>
      </c>
      <c r="E496">
        <v>22</v>
      </c>
      <c r="F496" s="25">
        <v>8</v>
      </c>
      <c r="I496" s="27"/>
    </row>
    <row r="497" spans="1:9">
      <c r="A497" s="51" t="s">
        <v>771</v>
      </c>
      <c r="B497">
        <v>800</v>
      </c>
      <c r="C497">
        <v>300</v>
      </c>
      <c r="D497">
        <v>12</v>
      </c>
      <c r="E497">
        <v>26</v>
      </c>
      <c r="F497" s="25">
        <v>8</v>
      </c>
      <c r="I497" s="27"/>
    </row>
    <row r="498" spans="1:9">
      <c r="A498" s="51" t="s">
        <v>772</v>
      </c>
      <c r="B498">
        <v>800</v>
      </c>
      <c r="C498">
        <v>350</v>
      </c>
      <c r="D498">
        <v>12</v>
      </c>
      <c r="E498">
        <v>22</v>
      </c>
      <c r="F498" s="25">
        <v>8</v>
      </c>
      <c r="I498" s="27"/>
    </row>
    <row r="499" spans="1:9">
      <c r="A499" s="51" t="s">
        <v>773</v>
      </c>
      <c r="B499">
        <v>800</v>
      </c>
      <c r="C499">
        <v>400</v>
      </c>
      <c r="D499">
        <v>16</v>
      </c>
      <c r="E499">
        <v>25</v>
      </c>
      <c r="F499" s="25">
        <v>8</v>
      </c>
      <c r="I499" s="27"/>
    </row>
    <row r="500" spans="1:9">
      <c r="A500" s="51" t="s">
        <v>774</v>
      </c>
      <c r="B500">
        <v>900</v>
      </c>
      <c r="C500">
        <v>300</v>
      </c>
      <c r="D500">
        <v>10</v>
      </c>
      <c r="E500">
        <v>14</v>
      </c>
      <c r="F500" s="25">
        <v>8</v>
      </c>
      <c r="I500" s="27"/>
    </row>
    <row r="501" spans="1:9">
      <c r="A501" s="51" t="s">
        <v>775</v>
      </c>
      <c r="B501">
        <v>900</v>
      </c>
      <c r="C501">
        <v>300</v>
      </c>
      <c r="D501">
        <v>10</v>
      </c>
      <c r="E501">
        <v>16</v>
      </c>
      <c r="F501" s="25">
        <v>8</v>
      </c>
      <c r="I501" s="27"/>
    </row>
    <row r="502" spans="1:9">
      <c r="A502" s="51" t="s">
        <v>776</v>
      </c>
      <c r="B502">
        <v>900</v>
      </c>
      <c r="C502">
        <v>300</v>
      </c>
      <c r="D502">
        <v>10</v>
      </c>
      <c r="E502">
        <v>20</v>
      </c>
      <c r="F502" s="25">
        <v>8</v>
      </c>
      <c r="I502" s="27"/>
    </row>
    <row r="503" spans="1:9">
      <c r="A503" s="51" t="s">
        <v>777</v>
      </c>
      <c r="B503">
        <v>900</v>
      </c>
      <c r="C503">
        <v>300</v>
      </c>
      <c r="D503">
        <v>12</v>
      </c>
      <c r="E503">
        <v>14</v>
      </c>
      <c r="F503" s="25">
        <v>8</v>
      </c>
      <c r="I503" s="27"/>
    </row>
    <row r="504" spans="1:9">
      <c r="A504" s="51" t="s">
        <v>778</v>
      </c>
      <c r="B504">
        <v>900</v>
      </c>
      <c r="C504">
        <v>300</v>
      </c>
      <c r="D504">
        <v>12</v>
      </c>
      <c r="E504">
        <v>20</v>
      </c>
      <c r="F504" s="25">
        <v>8</v>
      </c>
      <c r="I504" s="27"/>
    </row>
    <row r="505" spans="1:9">
      <c r="A505" s="51" t="s">
        <v>779</v>
      </c>
      <c r="B505">
        <v>900</v>
      </c>
      <c r="C505">
        <v>300</v>
      </c>
      <c r="D505">
        <v>12</v>
      </c>
      <c r="E505">
        <v>22</v>
      </c>
      <c r="F505" s="25">
        <v>8</v>
      </c>
      <c r="I505" s="27"/>
    </row>
    <row r="506" spans="1:9">
      <c r="A506" s="56" t="s">
        <v>822</v>
      </c>
      <c r="B506">
        <v>900</v>
      </c>
      <c r="C506">
        <v>450</v>
      </c>
      <c r="D506">
        <v>10</v>
      </c>
      <c r="E506">
        <v>20</v>
      </c>
      <c r="F506" s="25">
        <v>8</v>
      </c>
      <c r="I506" s="27"/>
    </row>
    <row r="507" spans="1:9">
      <c r="A507" s="51" t="s">
        <v>780</v>
      </c>
      <c r="B507">
        <v>900</v>
      </c>
      <c r="C507">
        <v>350</v>
      </c>
      <c r="D507">
        <v>10</v>
      </c>
      <c r="E507">
        <v>20</v>
      </c>
      <c r="F507" s="25">
        <v>8</v>
      </c>
      <c r="I507" s="27"/>
    </row>
    <row r="508" spans="1:9">
      <c r="A508" s="51" t="s">
        <v>781</v>
      </c>
      <c r="B508">
        <v>900</v>
      </c>
      <c r="C508">
        <v>350</v>
      </c>
      <c r="D508">
        <v>12</v>
      </c>
      <c r="E508">
        <v>16</v>
      </c>
      <c r="F508" s="25">
        <v>8</v>
      </c>
      <c r="I508" s="27"/>
    </row>
    <row r="509" spans="1:9">
      <c r="A509" s="51" t="s">
        <v>782</v>
      </c>
      <c r="B509">
        <v>900</v>
      </c>
      <c r="C509">
        <v>350</v>
      </c>
      <c r="D509">
        <v>12</v>
      </c>
      <c r="E509">
        <v>20</v>
      </c>
      <c r="F509" s="25">
        <v>8</v>
      </c>
      <c r="I509" s="27"/>
    </row>
    <row r="510" spans="1:9">
      <c r="A510" s="51" t="s">
        <v>783</v>
      </c>
      <c r="B510">
        <v>900</v>
      </c>
      <c r="C510">
        <v>350</v>
      </c>
      <c r="D510">
        <v>12</v>
      </c>
      <c r="E510">
        <v>22</v>
      </c>
      <c r="F510" s="25">
        <v>8</v>
      </c>
      <c r="I510" s="27"/>
    </row>
    <row r="511" spans="1:9">
      <c r="A511" s="51" t="s">
        <v>784</v>
      </c>
      <c r="B511">
        <v>900</v>
      </c>
      <c r="C511">
        <v>400</v>
      </c>
      <c r="D511">
        <v>10</v>
      </c>
      <c r="E511">
        <v>20</v>
      </c>
      <c r="F511" s="25">
        <v>8</v>
      </c>
      <c r="I511" s="27"/>
    </row>
    <row r="512" spans="1:9">
      <c r="A512" s="51" t="s">
        <v>785</v>
      </c>
      <c r="B512">
        <v>900</v>
      </c>
      <c r="C512">
        <v>400</v>
      </c>
      <c r="D512">
        <v>10</v>
      </c>
      <c r="E512">
        <v>24</v>
      </c>
      <c r="F512" s="25">
        <v>8</v>
      </c>
      <c r="I512" s="27"/>
    </row>
    <row r="513" spans="1:9">
      <c r="A513" s="51" t="s">
        <v>786</v>
      </c>
      <c r="B513">
        <v>900</v>
      </c>
      <c r="C513">
        <v>400</v>
      </c>
      <c r="D513">
        <v>12</v>
      </c>
      <c r="E513">
        <v>22</v>
      </c>
      <c r="F513" s="25">
        <v>8</v>
      </c>
      <c r="I513" s="27"/>
    </row>
    <row r="514" spans="1:9">
      <c r="A514" s="51" t="s">
        <v>787</v>
      </c>
      <c r="B514">
        <v>900</v>
      </c>
      <c r="C514">
        <v>450</v>
      </c>
      <c r="D514">
        <v>10</v>
      </c>
      <c r="E514">
        <v>25</v>
      </c>
      <c r="F514" s="25">
        <v>8</v>
      </c>
      <c r="I514" s="27"/>
    </row>
    <row r="515" spans="1:9">
      <c r="A515" s="51" t="s">
        <v>788</v>
      </c>
      <c r="B515">
        <v>160</v>
      </c>
      <c r="C515">
        <v>82</v>
      </c>
      <c r="D515">
        <v>5</v>
      </c>
      <c r="E515">
        <v>7.4</v>
      </c>
      <c r="F515" s="25">
        <v>8</v>
      </c>
      <c r="I515" s="27"/>
    </row>
    <row r="516" spans="1:9">
      <c r="A516" s="51" t="s">
        <v>789</v>
      </c>
      <c r="B516">
        <v>180</v>
      </c>
      <c r="C516">
        <v>91</v>
      </c>
      <c r="D516">
        <v>5.3</v>
      </c>
      <c r="E516">
        <v>8</v>
      </c>
      <c r="F516" s="25">
        <v>8</v>
      </c>
      <c r="I516" s="27"/>
    </row>
    <row r="517" spans="1:9">
      <c r="A517" s="51" t="s">
        <v>790</v>
      </c>
      <c r="B517">
        <v>200</v>
      </c>
      <c r="C517">
        <v>100</v>
      </c>
      <c r="D517">
        <v>5.6</v>
      </c>
      <c r="E517">
        <v>8.5</v>
      </c>
      <c r="F517" s="25">
        <v>8</v>
      </c>
      <c r="I517" s="27"/>
    </row>
    <row r="518" spans="1:9">
      <c r="A518" s="51" t="s">
        <v>791</v>
      </c>
      <c r="B518">
        <v>220</v>
      </c>
      <c r="C518">
        <v>110</v>
      </c>
      <c r="D518">
        <v>5.9</v>
      </c>
      <c r="E518">
        <v>9.1999999999999993</v>
      </c>
      <c r="F518" s="25">
        <v>8</v>
      </c>
      <c r="I518" s="27"/>
    </row>
    <row r="519" spans="1:9">
      <c r="A519" s="56" t="s">
        <v>886</v>
      </c>
      <c r="B519">
        <v>330</v>
      </c>
      <c r="C519">
        <v>150</v>
      </c>
      <c r="D519">
        <v>5</v>
      </c>
      <c r="E519">
        <v>6</v>
      </c>
      <c r="F519" s="25">
        <v>5</v>
      </c>
      <c r="I519" s="27"/>
    </row>
    <row r="520" spans="1:9">
      <c r="A520" s="56" t="s">
        <v>885</v>
      </c>
      <c r="B520" s="51">
        <v>1250</v>
      </c>
      <c r="C520" s="51">
        <v>300</v>
      </c>
      <c r="D520">
        <v>15</v>
      </c>
      <c r="E520" s="60">
        <v>25</v>
      </c>
      <c r="F520" s="61">
        <v>8</v>
      </c>
    </row>
    <row r="521" spans="1:9">
      <c r="B521" s="51"/>
      <c r="C521" s="51"/>
    </row>
    <row r="539" spans="2:6">
      <c r="B539" s="51"/>
      <c r="C539" s="51"/>
      <c r="D539" s="51"/>
      <c r="E539" s="51"/>
      <c r="F539" s="51"/>
    </row>
    <row r="540" spans="2:6">
      <c r="B540" s="51"/>
      <c r="C540" s="51"/>
      <c r="D540" s="51"/>
      <c r="E540" s="51"/>
      <c r="F540" s="51"/>
    </row>
    <row r="541" spans="2:6">
      <c r="B541" s="51"/>
      <c r="C541" s="51"/>
      <c r="D541" s="51"/>
      <c r="E541" s="51"/>
      <c r="F541" s="51"/>
    </row>
    <row r="542" spans="2:6">
      <c r="B542" s="51"/>
      <c r="C542" s="51"/>
      <c r="D542" s="51"/>
      <c r="E542" s="51"/>
      <c r="F542" s="51"/>
    </row>
    <row r="543" spans="2:6">
      <c r="B543" s="51"/>
      <c r="C543" s="51"/>
      <c r="D543" s="51"/>
      <c r="E543" s="51"/>
      <c r="F543" s="51"/>
    </row>
    <row r="544" spans="2:6">
      <c r="B544" s="51"/>
      <c r="C544" s="51"/>
      <c r="D544" s="51"/>
      <c r="E544" s="51"/>
      <c r="F544" s="51"/>
    </row>
    <row r="545" spans="2:6">
      <c r="B545" s="51"/>
      <c r="C545" s="51"/>
      <c r="D545" s="51"/>
      <c r="E545" s="51"/>
      <c r="F545" s="51"/>
    </row>
    <row r="546" spans="2:6">
      <c r="B546" s="51"/>
      <c r="C546" s="51"/>
      <c r="D546" s="51"/>
      <c r="E546" s="51"/>
      <c r="F546" s="51"/>
    </row>
    <row r="547" spans="2:6">
      <c r="B547" s="51"/>
      <c r="C547" s="51"/>
      <c r="D547" s="51"/>
      <c r="E547" s="51"/>
      <c r="F547" s="51"/>
    </row>
    <row r="548" spans="2:6">
      <c r="B548" s="51"/>
      <c r="C548" s="51"/>
      <c r="D548" s="51"/>
      <c r="E548" s="51"/>
      <c r="F548" s="51"/>
    </row>
    <row r="549" spans="2:6">
      <c r="B549" s="51"/>
      <c r="C549" s="51"/>
      <c r="D549" s="51"/>
      <c r="E549" s="51"/>
      <c r="F549" s="51"/>
    </row>
    <row r="550" spans="2:6">
      <c r="B550" s="51"/>
      <c r="C550" s="51"/>
      <c r="D550" s="51"/>
      <c r="E550" s="51"/>
      <c r="F550" s="51"/>
    </row>
    <row r="551" spans="2:6">
      <c r="B551" s="51"/>
      <c r="C551" s="51"/>
      <c r="D551" s="51"/>
      <c r="E551" s="51"/>
      <c r="F551" s="51"/>
    </row>
    <row r="552" spans="2:6">
      <c r="B552" s="51"/>
      <c r="C552" s="51"/>
      <c r="D552" s="51"/>
      <c r="E552" s="51"/>
      <c r="F552" s="51"/>
    </row>
    <row r="553" spans="2:6">
      <c r="B553" s="51"/>
      <c r="C553" s="51"/>
      <c r="D553" s="51"/>
      <c r="E553" s="51"/>
      <c r="F553" s="51"/>
    </row>
    <row r="554" spans="2:6">
      <c r="B554" s="51"/>
      <c r="C554" s="51"/>
      <c r="D554" s="51"/>
      <c r="E554" s="51"/>
      <c r="F554" s="51"/>
    </row>
    <row r="555" spans="2:6">
      <c r="B555" s="51"/>
      <c r="C555" s="51"/>
      <c r="D555" s="51"/>
      <c r="E555" s="51"/>
      <c r="F555" s="51"/>
    </row>
    <row r="556" spans="2:6">
      <c r="B556" s="51"/>
      <c r="C556" s="51"/>
      <c r="D556" s="51"/>
      <c r="E556" s="51"/>
      <c r="F556" s="51"/>
    </row>
    <row r="557" spans="2:6">
      <c r="B557" s="51"/>
      <c r="C557" s="51"/>
      <c r="D557" s="51"/>
      <c r="E557" s="51"/>
      <c r="F557" s="51"/>
    </row>
    <row r="558" spans="2:6">
      <c r="B558" s="51"/>
      <c r="C558" s="51"/>
      <c r="D558" s="51"/>
      <c r="E558" s="51"/>
      <c r="F558" s="51"/>
    </row>
    <row r="559" spans="2:6">
      <c r="B559" s="51"/>
      <c r="C559" s="51"/>
      <c r="D559" s="51"/>
      <c r="E559" s="51"/>
      <c r="F559" s="51"/>
    </row>
    <row r="560" spans="2:6">
      <c r="B560" s="51"/>
      <c r="C560" s="51"/>
      <c r="D560" s="51"/>
      <c r="E560" s="51"/>
      <c r="F560" s="51"/>
    </row>
    <row r="561" spans="2:6">
      <c r="B561" s="51"/>
      <c r="C561" s="51"/>
      <c r="D561" s="51"/>
      <c r="E561" s="51"/>
      <c r="F561" s="51"/>
    </row>
    <row r="562" spans="2:6">
      <c r="B562" s="51"/>
      <c r="C562" s="51"/>
      <c r="D562" s="51"/>
      <c r="E562" s="51"/>
      <c r="F562" s="51"/>
    </row>
    <row r="563" spans="2:6">
      <c r="B563" s="51"/>
      <c r="C563" s="51"/>
      <c r="D563" s="51"/>
      <c r="E563" s="51"/>
      <c r="F563" s="51"/>
    </row>
    <row r="564" spans="2:6">
      <c r="B564" s="51"/>
      <c r="C564" s="51"/>
      <c r="D564" s="51"/>
      <c r="E564" s="51"/>
      <c r="F564" s="51"/>
    </row>
    <row r="565" spans="2:6">
      <c r="B565" s="51"/>
      <c r="C565" s="51"/>
      <c r="D565" s="51"/>
      <c r="E565" s="51"/>
      <c r="F565" s="51"/>
    </row>
    <row r="566" spans="2:6">
      <c r="B566" s="51"/>
      <c r="C566" s="51"/>
      <c r="D566" s="51"/>
      <c r="E566" s="51"/>
      <c r="F566" s="51"/>
    </row>
    <row r="567" spans="2:6">
      <c r="B567" s="51"/>
      <c r="C567" s="51"/>
      <c r="D567" s="51"/>
      <c r="E567" s="51"/>
      <c r="F567" s="51"/>
    </row>
    <row r="568" spans="2:6">
      <c r="B568" s="51"/>
      <c r="C568" s="51"/>
      <c r="D568" s="51"/>
      <c r="E568" s="51"/>
      <c r="F568" s="51"/>
    </row>
    <row r="569" spans="2:6">
      <c r="B569" s="51"/>
      <c r="C569" s="51"/>
      <c r="D569" s="51"/>
      <c r="E569" s="51"/>
      <c r="F569" s="51"/>
    </row>
    <row r="570" spans="2:6">
      <c r="B570" s="51"/>
      <c r="C570" s="51"/>
      <c r="D570" s="51"/>
      <c r="E570" s="51"/>
      <c r="F570" s="51"/>
    </row>
    <row r="571" spans="2:6">
      <c r="B571" s="51"/>
      <c r="C571" s="51"/>
      <c r="D571" s="51"/>
      <c r="E571" s="51"/>
      <c r="F571" s="51"/>
    </row>
    <row r="572" spans="2:6">
      <c r="B572" s="51"/>
      <c r="C572" s="51"/>
      <c r="D572" s="51"/>
      <c r="E572" s="51"/>
      <c r="F572" s="51"/>
    </row>
    <row r="573" spans="2:6">
      <c r="B573" s="51"/>
      <c r="C573" s="51"/>
      <c r="D573" s="51"/>
      <c r="E573" s="51"/>
      <c r="F573" s="51"/>
    </row>
    <row r="574" spans="2:6">
      <c r="B574" s="51"/>
      <c r="C574" s="51"/>
      <c r="D574" s="51"/>
      <c r="E574" s="51"/>
      <c r="F574" s="51"/>
    </row>
    <row r="575" spans="2:6">
      <c r="B575" s="51"/>
      <c r="C575" s="51"/>
      <c r="D575" s="51"/>
      <c r="E575" s="51"/>
      <c r="F575" s="51"/>
    </row>
    <row r="576" spans="2:6">
      <c r="B576" s="51"/>
      <c r="C576" s="51"/>
      <c r="D576" s="51"/>
      <c r="E576" s="51"/>
      <c r="F576" s="51"/>
    </row>
    <row r="577" spans="2:6">
      <c r="B577" s="51"/>
      <c r="C577" s="51"/>
      <c r="D577" s="51"/>
      <c r="E577" s="51"/>
      <c r="F577" s="51"/>
    </row>
    <row r="578" spans="2:6">
      <c r="B578" s="51"/>
      <c r="C578" s="51"/>
      <c r="D578" s="51"/>
      <c r="E578" s="51"/>
      <c r="F578" s="51"/>
    </row>
    <row r="579" spans="2:6">
      <c r="B579" s="51"/>
      <c r="C579" s="51"/>
      <c r="D579" s="51"/>
      <c r="E579" s="51"/>
      <c r="F579" s="51"/>
    </row>
    <row r="580" spans="2:6">
      <c r="B580" s="51"/>
      <c r="C580" s="51"/>
      <c r="D580" s="51"/>
      <c r="E580" s="51"/>
      <c r="F580" s="51"/>
    </row>
    <row r="581" spans="2:6">
      <c r="B581" s="51"/>
      <c r="C581" s="51"/>
      <c r="D581" s="51"/>
      <c r="E581" s="51"/>
      <c r="F581" s="51"/>
    </row>
    <row r="582" spans="2:6">
      <c r="B582" s="51"/>
      <c r="C582" s="51"/>
      <c r="D582" s="51"/>
      <c r="E582" s="51"/>
      <c r="F582" s="51"/>
    </row>
    <row r="583" spans="2:6">
      <c r="B583" s="51"/>
      <c r="C583" s="51"/>
      <c r="D583" s="51"/>
      <c r="E583" s="51"/>
      <c r="F583" s="51"/>
    </row>
    <row r="584" spans="2:6">
      <c r="B584" s="51"/>
      <c r="C584" s="51"/>
      <c r="D584" s="51"/>
      <c r="E584" s="51"/>
      <c r="F584" s="51"/>
    </row>
    <row r="585" spans="2:6">
      <c r="B585" s="51"/>
      <c r="C585" s="51"/>
      <c r="D585" s="51"/>
      <c r="E585" s="51"/>
      <c r="F585" s="51"/>
    </row>
    <row r="586" spans="2:6">
      <c r="B586" s="51"/>
      <c r="C586" s="51"/>
      <c r="D586" s="51"/>
      <c r="E586" s="51"/>
      <c r="F586" s="51"/>
    </row>
    <row r="587" spans="2:6">
      <c r="B587" s="51"/>
      <c r="C587" s="51"/>
      <c r="D587" s="51"/>
      <c r="E587" s="51"/>
      <c r="F587" s="51"/>
    </row>
    <row r="588" spans="2:6">
      <c r="B588" s="51"/>
      <c r="C588" s="51"/>
      <c r="D588" s="51"/>
      <c r="E588" s="51"/>
      <c r="F588" s="51"/>
    </row>
    <row r="589" spans="2:6">
      <c r="B589" s="51"/>
      <c r="C589" s="51"/>
      <c r="D589" s="51"/>
      <c r="E589" s="51"/>
      <c r="F589" s="51"/>
    </row>
    <row r="590" spans="2:6">
      <c r="B590" s="51"/>
      <c r="C590" s="51"/>
      <c r="D590" s="51"/>
      <c r="E590" s="51"/>
      <c r="F590" s="51"/>
    </row>
    <row r="591" spans="2:6">
      <c r="B591" s="51"/>
      <c r="C591" s="51"/>
      <c r="D591" s="51"/>
      <c r="E591" s="51"/>
      <c r="F591" s="51"/>
    </row>
    <row r="592" spans="2:6">
      <c r="B592" s="51"/>
      <c r="C592" s="51"/>
      <c r="D592" s="51"/>
      <c r="E592" s="51"/>
      <c r="F592" s="51"/>
    </row>
    <row r="593" spans="2:6">
      <c r="B593" s="51"/>
      <c r="C593" s="51"/>
      <c r="D593" s="51"/>
      <c r="E593" s="51"/>
      <c r="F593" s="51"/>
    </row>
    <row r="594" spans="2:6">
      <c r="B594" s="51"/>
      <c r="C594" s="51"/>
      <c r="D594" s="51"/>
      <c r="E594" s="51"/>
      <c r="F594" s="51"/>
    </row>
    <row r="595" spans="2:6">
      <c r="B595" s="51"/>
      <c r="C595" s="51"/>
      <c r="D595" s="51"/>
      <c r="E595" s="51"/>
      <c r="F595" s="51"/>
    </row>
    <row r="596" spans="2:6">
      <c r="B596" s="51"/>
      <c r="C596" s="51"/>
      <c r="D596" s="51"/>
      <c r="E596" s="51"/>
      <c r="F596" s="51"/>
    </row>
    <row r="597" spans="2:6">
      <c r="B597" s="51"/>
      <c r="C597" s="51"/>
      <c r="D597" s="51"/>
      <c r="E597" s="51"/>
      <c r="F597" s="51"/>
    </row>
    <row r="598" spans="2:6">
      <c r="B598" s="51"/>
      <c r="C598" s="51"/>
      <c r="D598" s="51"/>
      <c r="E598" s="51"/>
      <c r="F598" s="51"/>
    </row>
    <row r="599" spans="2:6">
      <c r="B599" s="51"/>
      <c r="C599" s="51"/>
      <c r="D599" s="51"/>
      <c r="E599" s="51"/>
      <c r="F599" s="51"/>
    </row>
    <row r="600" spans="2:6">
      <c r="B600" s="51"/>
      <c r="C600" s="51"/>
      <c r="D600" s="51"/>
      <c r="E600" s="51"/>
      <c r="F600" s="51"/>
    </row>
    <row r="601" spans="2:6">
      <c r="B601" s="51"/>
      <c r="C601" s="51"/>
      <c r="D601" s="51"/>
      <c r="E601" s="51"/>
      <c r="F601" s="51"/>
    </row>
    <row r="602" spans="2:6">
      <c r="B602" s="51"/>
      <c r="C602" s="51"/>
      <c r="D602" s="51"/>
      <c r="E602" s="51"/>
      <c r="F602" s="51"/>
    </row>
    <row r="603" spans="2:6">
      <c r="B603" s="51"/>
      <c r="C603" s="51"/>
      <c r="D603" s="51"/>
      <c r="E603" s="51"/>
      <c r="F603" s="51"/>
    </row>
    <row r="604" spans="2:6">
      <c r="B604" s="51"/>
      <c r="C604" s="51"/>
      <c r="D604" s="51"/>
      <c r="E604" s="51"/>
      <c r="F604" s="51"/>
    </row>
    <row r="605" spans="2:6">
      <c r="B605" s="51"/>
      <c r="C605" s="51"/>
      <c r="D605" s="51"/>
      <c r="E605" s="51"/>
      <c r="F605" s="51"/>
    </row>
    <row r="606" spans="2:6">
      <c r="B606" s="51"/>
      <c r="C606" s="51"/>
      <c r="D606" s="51"/>
      <c r="E606" s="51"/>
      <c r="F606" s="51"/>
    </row>
    <row r="607" spans="2:6">
      <c r="B607" s="51"/>
      <c r="C607" s="51"/>
      <c r="D607" s="51"/>
      <c r="E607" s="51"/>
      <c r="F607" s="51"/>
    </row>
    <row r="608" spans="2:6">
      <c r="B608" s="51"/>
      <c r="C608" s="51"/>
      <c r="D608" s="51"/>
      <c r="E608" s="51"/>
      <c r="F608" s="51"/>
    </row>
    <row r="609" spans="2:6">
      <c r="B609" s="51"/>
      <c r="C609" s="51"/>
      <c r="D609" s="51"/>
      <c r="E609" s="51"/>
      <c r="F609" s="51"/>
    </row>
    <row r="610" spans="2:6">
      <c r="B610" s="51"/>
      <c r="C610" s="51"/>
      <c r="D610" s="51"/>
      <c r="E610" s="51"/>
      <c r="F610" s="51"/>
    </row>
    <row r="611" spans="2:6">
      <c r="B611" s="51"/>
      <c r="C611" s="51"/>
      <c r="D611" s="51"/>
      <c r="E611" s="51"/>
      <c r="F611" s="51"/>
    </row>
    <row r="612" spans="2:6">
      <c r="B612" s="51"/>
      <c r="C612" s="51"/>
      <c r="D612" s="51"/>
      <c r="E612" s="51"/>
      <c r="F612" s="51"/>
    </row>
    <row r="613" spans="2:6">
      <c r="B613" s="51"/>
      <c r="C613" s="51"/>
      <c r="D613" s="51"/>
      <c r="E613" s="51"/>
      <c r="F613" s="51"/>
    </row>
    <row r="614" spans="2:6">
      <c r="B614" s="51"/>
      <c r="C614" s="51"/>
      <c r="D614" s="51"/>
      <c r="E614" s="51"/>
      <c r="F614" s="51"/>
    </row>
    <row r="615" spans="2:6">
      <c r="B615" s="51"/>
      <c r="C615" s="51"/>
      <c r="D615" s="51"/>
      <c r="E615" s="51"/>
      <c r="F615" s="51"/>
    </row>
    <row r="616" spans="2:6">
      <c r="B616" s="51"/>
      <c r="C616" s="51"/>
      <c r="D616" s="51"/>
      <c r="E616" s="51"/>
      <c r="F616" s="51"/>
    </row>
    <row r="617" spans="2:6">
      <c r="B617" s="51"/>
      <c r="C617" s="51"/>
      <c r="D617" s="51"/>
      <c r="E617" s="51"/>
      <c r="F617" s="51"/>
    </row>
    <row r="618" spans="2:6">
      <c r="B618" s="51"/>
      <c r="C618" s="51"/>
      <c r="D618" s="51"/>
      <c r="E618" s="51"/>
      <c r="F618" s="51"/>
    </row>
    <row r="619" spans="2:6">
      <c r="B619" s="51"/>
      <c r="C619" s="51"/>
      <c r="D619" s="51"/>
      <c r="E619" s="51"/>
      <c r="F619" s="51"/>
    </row>
    <row r="620" spans="2:6">
      <c r="B620" s="51"/>
      <c r="C620" s="51"/>
      <c r="D620" s="51"/>
      <c r="E620" s="51"/>
      <c r="F620" s="51"/>
    </row>
    <row r="621" spans="2:6">
      <c r="B621" s="51"/>
      <c r="C621" s="51"/>
      <c r="D621" s="51"/>
      <c r="E621" s="51"/>
      <c r="F621" s="51"/>
    </row>
    <row r="622" spans="2:6">
      <c r="B622" s="51"/>
      <c r="C622" s="51"/>
      <c r="D622" s="51"/>
      <c r="E622" s="51"/>
      <c r="F622" s="51"/>
    </row>
    <row r="623" spans="2:6">
      <c r="B623" s="51"/>
      <c r="C623" s="51"/>
      <c r="D623" s="51"/>
      <c r="E623" s="51"/>
      <c r="F623" s="51"/>
    </row>
    <row r="624" spans="2:6">
      <c r="B624" s="51"/>
      <c r="C624" s="51"/>
      <c r="D624" s="51"/>
      <c r="E624" s="51"/>
      <c r="F624" s="51"/>
    </row>
    <row r="625" spans="2:6">
      <c r="B625" s="51"/>
      <c r="C625" s="51"/>
      <c r="D625" s="51"/>
      <c r="E625" s="51"/>
      <c r="F625" s="51"/>
    </row>
    <row r="626" spans="2:6">
      <c r="B626" s="51"/>
      <c r="C626" s="51"/>
      <c r="D626" s="51"/>
      <c r="E626" s="51"/>
      <c r="F626" s="51"/>
    </row>
    <row r="627" spans="2:6">
      <c r="B627" s="51"/>
      <c r="C627" s="51"/>
      <c r="D627" s="51"/>
      <c r="E627" s="51"/>
      <c r="F627" s="51"/>
    </row>
    <row r="628" spans="2:6">
      <c r="B628" s="51"/>
      <c r="C628" s="51"/>
      <c r="D628" s="51"/>
      <c r="E628" s="51"/>
      <c r="F628" s="51"/>
    </row>
    <row r="629" spans="2:6">
      <c r="B629" s="51"/>
      <c r="C629" s="51"/>
      <c r="D629" s="51"/>
      <c r="E629" s="51"/>
      <c r="F629" s="51"/>
    </row>
    <row r="630" spans="2:6">
      <c r="B630" s="51"/>
      <c r="C630" s="51"/>
      <c r="D630" s="51"/>
      <c r="E630" s="51"/>
      <c r="F630" s="51"/>
    </row>
    <row r="631" spans="2:6">
      <c r="B631" s="51"/>
      <c r="C631" s="51"/>
      <c r="D631" s="51"/>
      <c r="E631" s="51"/>
      <c r="F631" s="51"/>
    </row>
    <row r="632" spans="2:6">
      <c r="B632" s="51"/>
      <c r="C632" s="51"/>
      <c r="D632" s="51"/>
      <c r="E632" s="51"/>
      <c r="F632" s="51"/>
    </row>
    <row r="633" spans="2:6">
      <c r="B633" s="51"/>
      <c r="C633" s="51"/>
      <c r="D633" s="51"/>
      <c r="E633" s="51"/>
      <c r="F633" s="51"/>
    </row>
    <row r="634" spans="2:6">
      <c r="B634" s="51"/>
      <c r="C634" s="51"/>
      <c r="D634" s="51"/>
      <c r="E634" s="51"/>
      <c r="F634" s="51"/>
    </row>
    <row r="635" spans="2:6">
      <c r="B635" s="51"/>
      <c r="C635" s="51"/>
      <c r="D635" s="51"/>
      <c r="E635" s="51"/>
      <c r="F635" s="51"/>
    </row>
    <row r="636" spans="2:6">
      <c r="B636" s="51"/>
      <c r="C636" s="51"/>
      <c r="D636" s="51"/>
      <c r="E636" s="51"/>
      <c r="F636" s="51"/>
    </row>
    <row r="637" spans="2:6">
      <c r="B637" s="51"/>
      <c r="C637" s="51"/>
      <c r="D637" s="51"/>
      <c r="E637" s="51"/>
      <c r="F637" s="51"/>
    </row>
    <row r="638" spans="2:6">
      <c r="B638" s="51"/>
      <c r="C638" s="51"/>
      <c r="D638" s="51"/>
      <c r="E638" s="51"/>
      <c r="F638" s="51"/>
    </row>
    <row r="639" spans="2:6">
      <c r="B639" s="51"/>
      <c r="C639" s="51"/>
      <c r="D639" s="51"/>
      <c r="E639" s="51"/>
      <c r="F639" s="51"/>
    </row>
    <row r="640" spans="2:6">
      <c r="B640" s="51"/>
      <c r="C640" s="51"/>
      <c r="D640" s="51"/>
      <c r="E640" s="51"/>
      <c r="F640" s="51"/>
    </row>
    <row r="641" spans="2:6">
      <c r="B641" s="51"/>
      <c r="C641" s="51"/>
      <c r="D641" s="51"/>
      <c r="E641" s="51"/>
      <c r="F641" s="51"/>
    </row>
    <row r="642" spans="2:6">
      <c r="B642" s="51"/>
      <c r="C642" s="51"/>
      <c r="D642" s="51"/>
      <c r="E642" s="51"/>
      <c r="F642" s="51"/>
    </row>
    <row r="643" spans="2:6">
      <c r="B643" s="51"/>
      <c r="C643" s="51"/>
      <c r="D643" s="51"/>
      <c r="E643" s="51"/>
      <c r="F643" s="51"/>
    </row>
  </sheetData>
  <customSheetViews>
    <customSheetView guid="{4C47D3AA-B81B-446B-A336-E8EB64E8766E}" showRuler="0" topLeftCell="A397">
      <selection activeCell="F417" sqref="F417"/>
      <pageMargins left="0.75" right="0.75" top="1" bottom="1" header="0.5" footer="0.5"/>
      <headerFooter alignWithMargins="0"/>
    </customSheetView>
    <customSheetView guid="{4E0995C2-F4BF-4EBE-942E-FAA93D921566}">
      <pane ySplit="5" topLeftCell="A502" activePane="bottomLeft" state="frozen"/>
      <selection pane="bottomLeft" activeCell="A521" sqref="A521"/>
      <pageMargins left="0.75" right="0.75" top="1" bottom="1" header="0.5" footer="0.5"/>
      <headerFooter alignWithMargins="0"/>
    </customSheetView>
    <customSheetView guid="{7DA3F3CC-1588-489F-B8A9-3FAFF8097049}">
      <pane ySplit="5" topLeftCell="A27" activePane="bottomLeft" state="frozen"/>
      <selection pane="bottomLeft" activeCell="A37" sqref="A37"/>
      <pageMargins left="0.75" right="0.75" top="1" bottom="1" header="0.5" footer="0.5"/>
      <headerFooter alignWithMargins="0"/>
    </customSheetView>
    <customSheetView guid="{6034D056-81D7-49B7-9FD6-B49DF2C1DBFE}">
      <pane ySplit="5" topLeftCell="A27" activePane="bottomLeft" state="frozen"/>
      <selection pane="bottomLeft" activeCell="A37" sqref="A37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W88"/>
  <sheetViews>
    <sheetView workbookViewId="0">
      <selection activeCell="H6" sqref="H6"/>
    </sheetView>
  </sheetViews>
  <sheetFormatPr defaultRowHeight="12.75"/>
  <cols>
    <col min="1" max="1" width="15.140625" customWidth="1"/>
    <col min="2" max="5" width="8" customWidth="1"/>
  </cols>
  <sheetData>
    <row r="1" spans="1:23">
      <c r="A1" s="1" t="s">
        <v>15</v>
      </c>
      <c r="B1" s="1"/>
      <c r="C1" s="1"/>
      <c r="D1" s="1"/>
      <c r="E1" s="1"/>
      <c r="F1" s="1" t="s">
        <v>505</v>
      </c>
      <c r="G1" s="1" t="s">
        <v>4</v>
      </c>
      <c r="H1" s="1"/>
      <c r="I1" s="1" t="s">
        <v>496</v>
      </c>
      <c r="J1" s="1" t="s">
        <v>506</v>
      </c>
      <c r="K1" s="1" t="s">
        <v>506</v>
      </c>
      <c r="L1" s="8" t="s">
        <v>507</v>
      </c>
      <c r="M1" s="4" t="s">
        <v>5</v>
      </c>
      <c r="N1" s="35"/>
      <c r="O1" s="35"/>
      <c r="P1" s="3"/>
      <c r="Q1" s="4" t="s">
        <v>6</v>
      </c>
      <c r="R1" s="35"/>
      <c r="S1" s="35"/>
      <c r="T1" s="3"/>
      <c r="U1" s="4" t="s">
        <v>7</v>
      </c>
      <c r="V1" s="3"/>
      <c r="W1" s="28" t="s">
        <v>230</v>
      </c>
    </row>
    <row r="2" spans="1:23">
      <c r="A2" s="5"/>
      <c r="B2" s="5"/>
      <c r="C2" s="5"/>
      <c r="D2" s="5"/>
      <c r="E2" s="5"/>
      <c r="F2" s="5" t="s">
        <v>237</v>
      </c>
      <c r="G2" s="5" t="s">
        <v>497</v>
      </c>
      <c r="H2" s="5"/>
      <c r="I2" s="5" t="s">
        <v>6</v>
      </c>
      <c r="J2" s="5" t="s">
        <v>508</v>
      </c>
      <c r="K2" s="5" t="s">
        <v>508</v>
      </c>
      <c r="L2" s="7" t="s">
        <v>509</v>
      </c>
      <c r="M2" s="12" t="s">
        <v>13</v>
      </c>
      <c r="N2" s="13"/>
      <c r="O2" s="13"/>
      <c r="P2" s="11"/>
      <c r="Q2" s="12" t="s">
        <v>239</v>
      </c>
      <c r="R2" s="13"/>
      <c r="S2" s="13"/>
      <c r="T2" s="11"/>
      <c r="U2" s="12" t="s">
        <v>14</v>
      </c>
      <c r="V2" s="11"/>
      <c r="W2" s="6" t="s">
        <v>9</v>
      </c>
    </row>
    <row r="3" spans="1:23">
      <c r="A3" s="5"/>
      <c r="B3" s="5"/>
      <c r="C3" s="5"/>
      <c r="D3" s="5"/>
      <c r="E3" s="5"/>
      <c r="F3" s="5" t="s">
        <v>243</v>
      </c>
      <c r="G3" s="5"/>
      <c r="H3" s="5"/>
      <c r="I3" s="5"/>
      <c r="J3" s="5" t="s">
        <v>510</v>
      </c>
      <c r="K3" s="5" t="s">
        <v>510</v>
      </c>
      <c r="L3" s="5" t="s">
        <v>511</v>
      </c>
      <c r="M3" s="5" t="s">
        <v>499</v>
      </c>
      <c r="N3" s="5" t="s">
        <v>499</v>
      </c>
      <c r="O3" s="5" t="s">
        <v>499</v>
      </c>
      <c r="P3" s="5" t="s">
        <v>499</v>
      </c>
      <c r="Q3" s="5" t="s">
        <v>499</v>
      </c>
      <c r="R3" s="5" t="s">
        <v>499</v>
      </c>
      <c r="S3" s="5" t="s">
        <v>499</v>
      </c>
      <c r="T3" s="5" t="s">
        <v>499</v>
      </c>
      <c r="U3" s="5" t="s">
        <v>499</v>
      </c>
      <c r="V3" s="5" t="s">
        <v>499</v>
      </c>
      <c r="W3" s="5" t="s">
        <v>16</v>
      </c>
    </row>
    <row r="4" spans="1:23">
      <c r="A4" s="5" t="s">
        <v>498</v>
      </c>
      <c r="B4" s="39" t="s">
        <v>517</v>
      </c>
      <c r="C4" s="39" t="s">
        <v>518</v>
      </c>
      <c r="D4" s="39" t="s">
        <v>23</v>
      </c>
      <c r="E4" s="39" t="s">
        <v>23</v>
      </c>
      <c r="F4" s="5"/>
      <c r="G4" s="5" t="s">
        <v>500</v>
      </c>
      <c r="H4" s="5"/>
      <c r="I4" s="5" t="s">
        <v>501</v>
      </c>
      <c r="J4" s="5" t="s">
        <v>512</v>
      </c>
      <c r="K4" s="5" t="s">
        <v>513</v>
      </c>
      <c r="L4" s="5" t="s">
        <v>514</v>
      </c>
      <c r="M4" s="5" t="s">
        <v>515</v>
      </c>
      <c r="N4" s="5" t="s">
        <v>516</v>
      </c>
      <c r="O4" s="5" t="s">
        <v>502</v>
      </c>
      <c r="P4" s="5" t="s">
        <v>503</v>
      </c>
      <c r="Q4" s="5" t="s">
        <v>515</v>
      </c>
      <c r="R4" s="5" t="s">
        <v>516</v>
      </c>
      <c r="S4" s="5" t="s">
        <v>502</v>
      </c>
      <c r="T4" s="5" t="s">
        <v>503</v>
      </c>
      <c r="U4" s="5" t="s">
        <v>515</v>
      </c>
      <c r="V4" s="5" t="s">
        <v>516</v>
      </c>
      <c r="W4" s="5" t="s">
        <v>231</v>
      </c>
    </row>
    <row r="5" spans="1:23" ht="14.25">
      <c r="A5" s="20" t="s">
        <v>504</v>
      </c>
      <c r="B5" s="40" t="s">
        <v>32</v>
      </c>
      <c r="C5" s="40" t="s">
        <v>32</v>
      </c>
      <c r="D5" s="40" t="s">
        <v>32</v>
      </c>
      <c r="E5" s="40" t="s">
        <v>32</v>
      </c>
      <c r="F5" s="20" t="s">
        <v>253</v>
      </c>
      <c r="G5" s="20" t="s">
        <v>32</v>
      </c>
      <c r="H5" s="20"/>
      <c r="I5" s="20" t="s">
        <v>32</v>
      </c>
      <c r="J5" s="20" t="s">
        <v>254</v>
      </c>
      <c r="K5" s="20" t="s">
        <v>254</v>
      </c>
      <c r="L5" s="20" t="s">
        <v>244</v>
      </c>
      <c r="M5" s="20" t="s">
        <v>33</v>
      </c>
      <c r="N5" s="20" t="s">
        <v>33</v>
      </c>
      <c r="O5" s="20" t="s">
        <v>33</v>
      </c>
      <c r="P5" s="20" t="s">
        <v>33</v>
      </c>
      <c r="Q5" s="20" t="s">
        <v>254</v>
      </c>
      <c r="R5" s="20" t="s">
        <v>254</v>
      </c>
      <c r="S5" s="20" t="s">
        <v>254</v>
      </c>
      <c r="T5" s="20" t="s">
        <v>254</v>
      </c>
      <c r="U5" s="20" t="s">
        <v>34</v>
      </c>
      <c r="V5" s="20" t="s">
        <v>34</v>
      </c>
      <c r="W5" s="20" t="s">
        <v>256</v>
      </c>
    </row>
    <row r="6" spans="1:23">
      <c r="A6" s="22" t="s">
        <v>519</v>
      </c>
      <c r="B6" s="42">
        <v>200</v>
      </c>
      <c r="C6" s="36">
        <f t="shared" ref="C6:C41" si="0">B6</f>
        <v>200</v>
      </c>
      <c r="D6" s="36">
        <v>24</v>
      </c>
      <c r="E6" s="36">
        <v>24</v>
      </c>
      <c r="F6" s="23">
        <v>71.3</v>
      </c>
      <c r="G6" s="23">
        <v>18</v>
      </c>
      <c r="H6" s="23">
        <f>B6-D6-G6</f>
        <v>158</v>
      </c>
      <c r="I6" s="23">
        <v>4.8</v>
      </c>
      <c r="J6" s="23">
        <v>5.85</v>
      </c>
      <c r="K6" s="23">
        <v>5.85</v>
      </c>
      <c r="L6" s="23"/>
      <c r="M6" s="23">
        <v>3356</v>
      </c>
      <c r="N6" s="23">
        <v>3356</v>
      </c>
      <c r="O6" s="23">
        <v>5322</v>
      </c>
      <c r="P6" s="23">
        <v>1391</v>
      </c>
      <c r="Q6" s="23">
        <v>6.08</v>
      </c>
      <c r="R6" s="23">
        <v>6.08</v>
      </c>
      <c r="S6" s="23">
        <v>7.65</v>
      </c>
      <c r="T6" s="23">
        <v>3.91</v>
      </c>
      <c r="U6" s="23">
        <v>237</v>
      </c>
      <c r="V6" s="23">
        <v>237</v>
      </c>
      <c r="W6" s="31">
        <v>90.8</v>
      </c>
    </row>
    <row r="7" spans="1:23">
      <c r="A7" s="26" t="s">
        <v>520</v>
      </c>
      <c r="B7" s="41">
        <v>200</v>
      </c>
      <c r="C7" s="37">
        <f t="shared" si="0"/>
        <v>200</v>
      </c>
      <c r="D7" s="37">
        <v>20</v>
      </c>
      <c r="E7" s="37">
        <v>20</v>
      </c>
      <c r="F7" s="27">
        <v>60.1</v>
      </c>
      <c r="G7" s="27">
        <v>18</v>
      </c>
      <c r="H7" s="27">
        <f t="shared" ref="H7:H70" si="1">B7-D7-G7</f>
        <v>162</v>
      </c>
      <c r="I7" s="27">
        <v>4.8</v>
      </c>
      <c r="J7" s="27">
        <v>5.7</v>
      </c>
      <c r="K7" s="27">
        <v>5.7</v>
      </c>
      <c r="L7" s="27"/>
      <c r="M7" s="27">
        <v>2877</v>
      </c>
      <c r="N7" s="27">
        <v>2877</v>
      </c>
      <c r="O7" s="27">
        <v>4569</v>
      </c>
      <c r="P7" s="27">
        <v>1185</v>
      </c>
      <c r="Q7" s="27">
        <v>6.13</v>
      </c>
      <c r="R7" s="27">
        <v>6.13</v>
      </c>
      <c r="S7" s="27">
        <v>7.72</v>
      </c>
      <c r="T7" s="27">
        <v>3.93</v>
      </c>
      <c r="U7" s="27">
        <v>201</v>
      </c>
      <c r="V7" s="27">
        <v>201</v>
      </c>
      <c r="W7" s="33">
        <v>76.599999999999994</v>
      </c>
    </row>
    <row r="8" spans="1:23">
      <c r="A8" s="26" t="s">
        <v>521</v>
      </c>
      <c r="B8" s="41">
        <v>200</v>
      </c>
      <c r="C8" s="37">
        <f t="shared" si="0"/>
        <v>200</v>
      </c>
      <c r="D8" s="37">
        <v>18</v>
      </c>
      <c r="E8" s="37">
        <v>18</v>
      </c>
      <c r="F8" s="27">
        <v>54.4</v>
      </c>
      <c r="G8" s="27">
        <v>18</v>
      </c>
      <c r="H8" s="27">
        <f t="shared" si="1"/>
        <v>164</v>
      </c>
      <c r="I8" s="27">
        <v>4.8</v>
      </c>
      <c r="J8" s="27">
        <v>5.62</v>
      </c>
      <c r="K8" s="27">
        <v>5.62</v>
      </c>
      <c r="L8" s="27"/>
      <c r="M8" s="27">
        <v>2627</v>
      </c>
      <c r="N8" s="27">
        <v>2627</v>
      </c>
      <c r="O8" s="27">
        <v>4174</v>
      </c>
      <c r="P8" s="27">
        <v>1080</v>
      </c>
      <c r="Q8" s="27">
        <v>6.15</v>
      </c>
      <c r="R8" s="27">
        <v>6.15</v>
      </c>
      <c r="S8" s="27">
        <v>7.76</v>
      </c>
      <c r="T8" s="27">
        <v>3.95</v>
      </c>
      <c r="U8" s="27">
        <v>183</v>
      </c>
      <c r="V8" s="27">
        <v>183</v>
      </c>
      <c r="W8" s="33">
        <v>69.400000000000006</v>
      </c>
    </row>
    <row r="9" spans="1:23">
      <c r="A9" s="24" t="s">
        <v>522</v>
      </c>
      <c r="B9" s="43">
        <v>200</v>
      </c>
      <c r="C9" s="38">
        <f t="shared" si="0"/>
        <v>200</v>
      </c>
      <c r="D9" s="38">
        <v>16</v>
      </c>
      <c r="E9" s="38">
        <v>16</v>
      </c>
      <c r="F9" s="25">
        <v>48.7</v>
      </c>
      <c r="G9" s="25">
        <v>18</v>
      </c>
      <c r="H9" s="25">
        <f t="shared" si="1"/>
        <v>166</v>
      </c>
      <c r="I9" s="25">
        <v>4.8</v>
      </c>
      <c r="J9" s="25">
        <v>5.54</v>
      </c>
      <c r="K9" s="25">
        <v>5.54</v>
      </c>
      <c r="L9" s="25"/>
      <c r="M9" s="25">
        <v>2369</v>
      </c>
      <c r="N9" s="25">
        <v>2369</v>
      </c>
      <c r="O9" s="25">
        <v>3765</v>
      </c>
      <c r="P9" s="25">
        <v>973</v>
      </c>
      <c r="Q9" s="25">
        <v>6.18</v>
      </c>
      <c r="R9" s="25">
        <v>6.18</v>
      </c>
      <c r="S9" s="25">
        <v>7.79</v>
      </c>
      <c r="T9" s="25">
        <v>3.96</v>
      </c>
      <c r="U9" s="25">
        <v>164</v>
      </c>
      <c r="V9" s="25">
        <v>164</v>
      </c>
      <c r="W9" s="32">
        <v>62</v>
      </c>
    </row>
    <row r="10" spans="1:23">
      <c r="A10" s="26" t="s">
        <v>523</v>
      </c>
      <c r="B10" s="44">
        <v>150</v>
      </c>
      <c r="C10" s="37">
        <f t="shared" si="0"/>
        <v>150</v>
      </c>
      <c r="D10" s="44">
        <v>18</v>
      </c>
      <c r="E10" s="44">
        <v>18</v>
      </c>
      <c r="F10" s="27">
        <v>40.200000000000003</v>
      </c>
      <c r="G10" s="27">
        <v>16</v>
      </c>
      <c r="H10" s="27">
        <f t="shared" si="1"/>
        <v>116</v>
      </c>
      <c r="I10" s="27">
        <v>4.8</v>
      </c>
      <c r="J10" s="27">
        <v>4.38</v>
      </c>
      <c r="K10" s="27">
        <v>4.38</v>
      </c>
      <c r="L10" s="27"/>
      <c r="M10" s="27">
        <v>1060</v>
      </c>
      <c r="N10" s="27">
        <v>1060</v>
      </c>
      <c r="O10" s="27">
        <v>1680</v>
      </c>
      <c r="P10" s="27">
        <v>440</v>
      </c>
      <c r="Q10" s="27">
        <v>4.55</v>
      </c>
      <c r="R10" s="27">
        <v>4.55</v>
      </c>
      <c r="S10" s="27">
        <v>5.73</v>
      </c>
      <c r="T10" s="27">
        <v>2.93</v>
      </c>
      <c r="U10" s="27">
        <v>99.8</v>
      </c>
      <c r="V10" s="27">
        <v>99.8</v>
      </c>
      <c r="W10" s="33">
        <v>51.2</v>
      </c>
    </row>
    <row r="11" spans="1:23">
      <c r="A11" s="26" t="s">
        <v>524</v>
      </c>
      <c r="B11" s="44">
        <v>150</v>
      </c>
      <c r="C11" s="37">
        <f t="shared" si="0"/>
        <v>150</v>
      </c>
      <c r="D11" s="44">
        <v>15</v>
      </c>
      <c r="E11" s="44">
        <v>15</v>
      </c>
      <c r="F11" s="27">
        <v>33.9</v>
      </c>
      <c r="G11" s="27">
        <v>16</v>
      </c>
      <c r="H11" s="27">
        <f t="shared" si="1"/>
        <v>119</v>
      </c>
      <c r="I11" s="27">
        <v>4.8</v>
      </c>
      <c r="J11" s="27">
        <v>4.26</v>
      </c>
      <c r="K11" s="27">
        <v>4.26</v>
      </c>
      <c r="L11" s="27"/>
      <c r="M11" s="27">
        <v>909</v>
      </c>
      <c r="N11" s="27">
        <v>909</v>
      </c>
      <c r="O11" s="27">
        <v>1442</v>
      </c>
      <c r="P11" s="27">
        <v>375</v>
      </c>
      <c r="Q11" s="27">
        <v>4.59</v>
      </c>
      <c r="R11" s="27">
        <v>4.59</v>
      </c>
      <c r="S11" s="27">
        <v>5.78</v>
      </c>
      <c r="T11" s="27">
        <v>2.95</v>
      </c>
      <c r="U11" s="27">
        <v>84.6</v>
      </c>
      <c r="V11" s="27">
        <v>84.6</v>
      </c>
      <c r="W11" s="33">
        <v>43.2</v>
      </c>
    </row>
    <row r="12" spans="1:23">
      <c r="A12" s="26" t="s">
        <v>525</v>
      </c>
      <c r="B12" s="44">
        <v>150</v>
      </c>
      <c r="C12" s="37">
        <f t="shared" si="0"/>
        <v>150</v>
      </c>
      <c r="D12" s="44">
        <v>12</v>
      </c>
      <c r="E12" s="44">
        <v>12</v>
      </c>
      <c r="F12" s="27">
        <v>27.5</v>
      </c>
      <c r="G12" s="27">
        <v>16</v>
      </c>
      <c r="H12" s="27">
        <f t="shared" si="1"/>
        <v>122</v>
      </c>
      <c r="I12" s="27">
        <v>4.8</v>
      </c>
      <c r="J12" s="27">
        <v>4.1399999999999997</v>
      </c>
      <c r="K12" s="27">
        <v>4.1399999999999997</v>
      </c>
      <c r="L12" s="27"/>
      <c r="M12" s="27">
        <v>748</v>
      </c>
      <c r="N12" s="27">
        <v>748</v>
      </c>
      <c r="O12" s="27">
        <v>1187</v>
      </c>
      <c r="P12" s="27">
        <v>308</v>
      </c>
      <c r="Q12" s="27">
        <v>4.62</v>
      </c>
      <c r="R12" s="27">
        <v>4.62</v>
      </c>
      <c r="S12" s="27">
        <v>5.82</v>
      </c>
      <c r="T12" s="27">
        <v>2.97</v>
      </c>
      <c r="U12" s="27">
        <v>68.900000000000006</v>
      </c>
      <c r="V12" s="27">
        <v>68.900000000000006</v>
      </c>
      <c r="W12" s="33">
        <v>35</v>
      </c>
    </row>
    <row r="13" spans="1:23">
      <c r="A13" s="24" t="s">
        <v>526</v>
      </c>
      <c r="B13" s="45">
        <v>150</v>
      </c>
      <c r="C13" s="38">
        <f t="shared" si="0"/>
        <v>150</v>
      </c>
      <c r="D13" s="45">
        <v>10</v>
      </c>
      <c r="E13" s="45">
        <v>10</v>
      </c>
      <c r="F13" s="25">
        <v>23.1</v>
      </c>
      <c r="G13" s="25">
        <v>16</v>
      </c>
      <c r="H13" s="25">
        <f t="shared" si="1"/>
        <v>124</v>
      </c>
      <c r="I13" s="25">
        <v>4.8</v>
      </c>
      <c r="J13" s="25">
        <v>4.0599999999999996</v>
      </c>
      <c r="K13" s="25">
        <v>4.0599999999999996</v>
      </c>
      <c r="L13" s="25"/>
      <c r="M13" s="25">
        <v>635</v>
      </c>
      <c r="N13" s="25">
        <v>635</v>
      </c>
      <c r="O13" s="25">
        <v>1008</v>
      </c>
      <c r="P13" s="25">
        <v>262</v>
      </c>
      <c r="Q13" s="25">
        <v>4.6399999999999997</v>
      </c>
      <c r="R13" s="25">
        <v>4.6399999999999997</v>
      </c>
      <c r="S13" s="25">
        <v>5.85</v>
      </c>
      <c r="T13" s="25">
        <v>2.98</v>
      </c>
      <c r="U13" s="25">
        <v>58</v>
      </c>
      <c r="V13" s="25">
        <v>58</v>
      </c>
      <c r="W13" s="32">
        <v>29.5</v>
      </c>
    </row>
    <row r="14" spans="1:23">
      <c r="A14" s="26" t="s">
        <v>527</v>
      </c>
      <c r="B14" s="44">
        <v>120</v>
      </c>
      <c r="C14" s="37">
        <f t="shared" si="0"/>
        <v>120</v>
      </c>
      <c r="D14" s="44">
        <v>15</v>
      </c>
      <c r="E14" s="44">
        <v>15</v>
      </c>
      <c r="F14" s="27">
        <v>26.7</v>
      </c>
      <c r="G14" s="27">
        <v>13</v>
      </c>
      <c r="H14" s="27">
        <f t="shared" si="1"/>
        <v>92</v>
      </c>
      <c r="I14" s="27">
        <v>4.8</v>
      </c>
      <c r="J14" s="27">
        <v>3.52</v>
      </c>
      <c r="K14" s="27">
        <v>3.52</v>
      </c>
      <c r="L14" s="27"/>
      <c r="M14" s="27">
        <v>448</v>
      </c>
      <c r="N14" s="27">
        <v>448</v>
      </c>
      <c r="O14" s="27">
        <v>710</v>
      </c>
      <c r="P14" s="27">
        <v>186</v>
      </c>
      <c r="Q14" s="27">
        <v>3.63</v>
      </c>
      <c r="R14" s="27">
        <v>3.63</v>
      </c>
      <c r="S14" s="27">
        <v>4.57</v>
      </c>
      <c r="T14" s="27">
        <v>2.34</v>
      </c>
      <c r="U14" s="27">
        <v>52.8</v>
      </c>
      <c r="V14" s="27">
        <v>52.8</v>
      </c>
      <c r="W14" s="33">
        <v>34</v>
      </c>
    </row>
    <row r="15" spans="1:23">
      <c r="A15" s="26" t="s">
        <v>528</v>
      </c>
      <c r="B15" s="44">
        <v>120</v>
      </c>
      <c r="C15" s="37">
        <f t="shared" si="0"/>
        <v>120</v>
      </c>
      <c r="D15" s="44">
        <v>12</v>
      </c>
      <c r="E15" s="44">
        <v>12</v>
      </c>
      <c r="F15" s="27">
        <v>21.7</v>
      </c>
      <c r="G15" s="27">
        <v>13</v>
      </c>
      <c r="H15" s="27">
        <f t="shared" si="1"/>
        <v>95</v>
      </c>
      <c r="I15" s="27">
        <v>4.8</v>
      </c>
      <c r="J15" s="27">
        <v>3.41</v>
      </c>
      <c r="K15" s="27">
        <v>3.41</v>
      </c>
      <c r="L15" s="27"/>
      <c r="M15" s="27">
        <v>371</v>
      </c>
      <c r="N15" s="27">
        <v>371</v>
      </c>
      <c r="O15" s="27">
        <v>588</v>
      </c>
      <c r="P15" s="27">
        <v>153</v>
      </c>
      <c r="Q15" s="27">
        <v>3.66</v>
      </c>
      <c r="R15" s="27">
        <v>3.66</v>
      </c>
      <c r="S15" s="27">
        <v>4.62</v>
      </c>
      <c r="T15" s="27">
        <v>2.35</v>
      </c>
      <c r="U15" s="27">
        <v>43.1</v>
      </c>
      <c r="V15" s="27">
        <v>43.1</v>
      </c>
      <c r="W15" s="33">
        <v>27.6</v>
      </c>
    </row>
    <row r="16" spans="1:23">
      <c r="A16" s="26" t="s">
        <v>529</v>
      </c>
      <c r="B16" s="44">
        <v>120</v>
      </c>
      <c r="C16" s="37">
        <f t="shared" si="0"/>
        <v>120</v>
      </c>
      <c r="D16" s="44">
        <v>10</v>
      </c>
      <c r="E16" s="44">
        <v>10</v>
      </c>
      <c r="F16" s="27">
        <v>18.3</v>
      </c>
      <c r="G16" s="27">
        <v>13</v>
      </c>
      <c r="H16" s="27">
        <f t="shared" si="1"/>
        <v>97</v>
      </c>
      <c r="I16" s="27">
        <v>4.8</v>
      </c>
      <c r="J16" s="27">
        <v>3.32</v>
      </c>
      <c r="K16" s="27">
        <v>3.32</v>
      </c>
      <c r="L16" s="27"/>
      <c r="M16" s="27">
        <v>316</v>
      </c>
      <c r="N16" s="27">
        <v>316</v>
      </c>
      <c r="O16" s="27">
        <v>502</v>
      </c>
      <c r="P16" s="27">
        <v>130</v>
      </c>
      <c r="Q16" s="27">
        <v>3.69</v>
      </c>
      <c r="R16" s="27">
        <v>3.69</v>
      </c>
      <c r="S16" s="27">
        <v>4.6399999999999997</v>
      </c>
      <c r="T16" s="27">
        <v>2.37</v>
      </c>
      <c r="U16" s="27">
        <v>36.4</v>
      </c>
      <c r="V16" s="27">
        <v>36.4</v>
      </c>
      <c r="W16" s="33">
        <v>23.3</v>
      </c>
    </row>
    <row r="17" spans="1:23">
      <c r="A17" s="24" t="s">
        <v>530</v>
      </c>
      <c r="B17" s="45">
        <v>120</v>
      </c>
      <c r="C17" s="38">
        <f t="shared" si="0"/>
        <v>120</v>
      </c>
      <c r="D17" s="45">
        <v>8</v>
      </c>
      <c r="E17" s="45">
        <v>8</v>
      </c>
      <c r="F17" s="25">
        <v>14.8</v>
      </c>
      <c r="G17" s="25">
        <v>13</v>
      </c>
      <c r="H17" s="25">
        <f t="shared" si="1"/>
        <v>99</v>
      </c>
      <c r="I17" s="25">
        <v>4.8</v>
      </c>
      <c r="J17" s="25">
        <v>3.24</v>
      </c>
      <c r="K17" s="25">
        <v>3.24</v>
      </c>
      <c r="L17" s="25"/>
      <c r="M17" s="25">
        <v>259</v>
      </c>
      <c r="N17" s="25">
        <v>259</v>
      </c>
      <c r="O17" s="25">
        <v>411</v>
      </c>
      <c r="P17" s="25">
        <v>107</v>
      </c>
      <c r="Q17" s="25">
        <v>3.71</v>
      </c>
      <c r="R17" s="25">
        <v>3.71</v>
      </c>
      <c r="S17" s="25">
        <v>4.67</v>
      </c>
      <c r="T17" s="25">
        <v>2.38</v>
      </c>
      <c r="U17" s="25">
        <v>29.5</v>
      </c>
      <c r="V17" s="25">
        <v>29.5</v>
      </c>
      <c r="W17" s="32">
        <v>18.8</v>
      </c>
    </row>
    <row r="18" spans="1:23">
      <c r="A18" s="26" t="s">
        <v>531</v>
      </c>
      <c r="B18" s="44">
        <v>100</v>
      </c>
      <c r="C18" s="37">
        <f t="shared" si="0"/>
        <v>100</v>
      </c>
      <c r="D18" s="44">
        <v>15</v>
      </c>
      <c r="E18" s="44">
        <v>15</v>
      </c>
      <c r="F18" s="27">
        <v>21.9</v>
      </c>
      <c r="G18" s="27">
        <v>12</v>
      </c>
      <c r="H18" s="27">
        <f t="shared" si="1"/>
        <v>73</v>
      </c>
      <c r="I18" s="27">
        <v>4.8</v>
      </c>
      <c r="J18" s="27">
        <v>3.02</v>
      </c>
      <c r="K18" s="27">
        <v>3.02</v>
      </c>
      <c r="L18" s="27"/>
      <c r="M18" s="27">
        <v>250</v>
      </c>
      <c r="N18" s="27">
        <v>250</v>
      </c>
      <c r="O18" s="27">
        <v>395</v>
      </c>
      <c r="P18" s="27">
        <v>105</v>
      </c>
      <c r="Q18" s="27">
        <v>2.99</v>
      </c>
      <c r="R18" s="27">
        <v>2.99</v>
      </c>
      <c r="S18" s="27">
        <v>3.76</v>
      </c>
      <c r="T18" s="27">
        <v>1.94</v>
      </c>
      <c r="U18" s="27">
        <v>35.799999999999997</v>
      </c>
      <c r="V18" s="27">
        <v>35.799999999999997</v>
      </c>
      <c r="W18" s="33">
        <v>28</v>
      </c>
    </row>
    <row r="19" spans="1:23">
      <c r="A19" s="26" t="s">
        <v>532</v>
      </c>
      <c r="B19" s="44">
        <v>100</v>
      </c>
      <c r="C19" s="37">
        <f t="shared" si="0"/>
        <v>100</v>
      </c>
      <c r="D19" s="44">
        <v>12</v>
      </c>
      <c r="E19" s="44">
        <v>12</v>
      </c>
      <c r="F19" s="27">
        <v>17.899999999999999</v>
      </c>
      <c r="G19" s="27">
        <v>12</v>
      </c>
      <c r="H19" s="27">
        <f t="shared" si="1"/>
        <v>76</v>
      </c>
      <c r="I19" s="27">
        <v>4.8</v>
      </c>
      <c r="J19" s="27">
        <v>2.91</v>
      </c>
      <c r="K19" s="27">
        <v>2.91</v>
      </c>
      <c r="L19" s="27"/>
      <c r="M19" s="27">
        <v>208</v>
      </c>
      <c r="N19" s="27">
        <v>208</v>
      </c>
      <c r="O19" s="27">
        <v>330</v>
      </c>
      <c r="P19" s="27">
        <v>86.4</v>
      </c>
      <c r="Q19" s="27">
        <v>3.02</v>
      </c>
      <c r="R19" s="27">
        <v>3.02</v>
      </c>
      <c r="S19" s="27">
        <v>3.81</v>
      </c>
      <c r="T19" s="27">
        <v>1.95</v>
      </c>
      <c r="U19" s="27">
        <v>29.3</v>
      </c>
      <c r="V19" s="27">
        <v>29.3</v>
      </c>
      <c r="W19" s="33">
        <v>22.8</v>
      </c>
    </row>
    <row r="20" spans="1:23">
      <c r="A20" s="26" t="s">
        <v>533</v>
      </c>
      <c r="B20" s="44">
        <v>100</v>
      </c>
      <c r="C20" s="37">
        <f t="shared" si="0"/>
        <v>100</v>
      </c>
      <c r="D20" s="44">
        <v>10</v>
      </c>
      <c r="E20" s="44">
        <v>10</v>
      </c>
      <c r="F20" s="27">
        <v>15.1</v>
      </c>
      <c r="G20" s="27">
        <v>12</v>
      </c>
      <c r="H20" s="27">
        <f t="shared" si="1"/>
        <v>78</v>
      </c>
      <c r="I20" s="27">
        <v>4.8</v>
      </c>
      <c r="J20" s="27">
        <v>2.83</v>
      </c>
      <c r="K20" s="27">
        <v>2.83</v>
      </c>
      <c r="L20" s="27"/>
      <c r="M20" s="27">
        <v>178</v>
      </c>
      <c r="N20" s="27">
        <v>178</v>
      </c>
      <c r="O20" s="27">
        <v>283</v>
      </c>
      <c r="P20" s="27">
        <v>73.7</v>
      </c>
      <c r="Q20" s="27">
        <v>3.05</v>
      </c>
      <c r="R20" s="27">
        <v>3.05</v>
      </c>
      <c r="S20" s="27">
        <v>3.84</v>
      </c>
      <c r="T20" s="27">
        <v>1.96</v>
      </c>
      <c r="U20" s="27">
        <v>24.8</v>
      </c>
      <c r="V20" s="27">
        <v>24.8</v>
      </c>
      <c r="W20" s="33">
        <v>19.2</v>
      </c>
    </row>
    <row r="21" spans="1:23">
      <c r="A21" s="24" t="s">
        <v>534</v>
      </c>
      <c r="B21" s="45">
        <v>100</v>
      </c>
      <c r="C21" s="38">
        <f t="shared" si="0"/>
        <v>100</v>
      </c>
      <c r="D21" s="45">
        <v>8</v>
      </c>
      <c r="E21" s="45">
        <v>8</v>
      </c>
      <c r="F21" s="25">
        <v>12.2</v>
      </c>
      <c r="G21" s="25">
        <v>12</v>
      </c>
      <c r="H21" s="25">
        <f t="shared" si="1"/>
        <v>80</v>
      </c>
      <c r="I21" s="25">
        <v>4.8</v>
      </c>
      <c r="J21" s="25">
        <v>2.75</v>
      </c>
      <c r="K21" s="25">
        <v>2.75</v>
      </c>
      <c r="L21" s="25"/>
      <c r="M21" s="25">
        <v>146</v>
      </c>
      <c r="N21" s="25">
        <v>146</v>
      </c>
      <c r="O21" s="25">
        <v>232</v>
      </c>
      <c r="P21" s="25">
        <v>60.5</v>
      </c>
      <c r="Q21" s="25">
        <v>3.07</v>
      </c>
      <c r="R21" s="25">
        <v>3.07</v>
      </c>
      <c r="S21" s="25">
        <v>3.86</v>
      </c>
      <c r="T21" s="25">
        <v>1.97</v>
      </c>
      <c r="U21" s="25">
        <v>20.2</v>
      </c>
      <c r="V21" s="25">
        <v>20.2</v>
      </c>
      <c r="W21" s="32">
        <v>15.6</v>
      </c>
    </row>
    <row r="22" spans="1:23">
      <c r="A22" s="26" t="s">
        <v>535</v>
      </c>
      <c r="B22" s="44">
        <v>90</v>
      </c>
      <c r="C22" s="37">
        <f t="shared" si="0"/>
        <v>90</v>
      </c>
      <c r="D22" s="44">
        <v>12</v>
      </c>
      <c r="E22" s="44">
        <v>12</v>
      </c>
      <c r="F22" s="27">
        <v>16</v>
      </c>
      <c r="G22" s="27">
        <v>11</v>
      </c>
      <c r="H22" s="27">
        <f t="shared" si="1"/>
        <v>67</v>
      </c>
      <c r="I22" s="27">
        <v>4.8</v>
      </c>
      <c r="J22" s="27">
        <v>2.66</v>
      </c>
      <c r="K22" s="27">
        <v>2.66</v>
      </c>
      <c r="L22" s="27"/>
      <c r="M22" s="27">
        <v>149</v>
      </c>
      <c r="N22" s="27">
        <v>149</v>
      </c>
      <c r="O22" s="27">
        <v>235</v>
      </c>
      <c r="P22" s="27">
        <v>62</v>
      </c>
      <c r="Q22" s="27">
        <v>2.7</v>
      </c>
      <c r="R22" s="27">
        <v>2.7</v>
      </c>
      <c r="S22" s="27">
        <v>3.4</v>
      </c>
      <c r="T22" s="27">
        <v>1.75</v>
      </c>
      <c r="U22" s="27">
        <v>23.5</v>
      </c>
      <c r="V22" s="27">
        <v>23.5</v>
      </c>
      <c r="W22" s="33">
        <v>20.3</v>
      </c>
    </row>
    <row r="23" spans="1:23">
      <c r="A23" s="26" t="s">
        <v>536</v>
      </c>
      <c r="B23" s="44">
        <v>90</v>
      </c>
      <c r="C23" s="37">
        <f t="shared" si="0"/>
        <v>90</v>
      </c>
      <c r="D23" s="44">
        <v>10</v>
      </c>
      <c r="E23" s="44">
        <v>10</v>
      </c>
      <c r="F23" s="27">
        <v>13.5</v>
      </c>
      <c r="G23" s="27">
        <v>11</v>
      </c>
      <c r="H23" s="27">
        <f t="shared" si="1"/>
        <v>69</v>
      </c>
      <c r="I23" s="27">
        <v>4.8</v>
      </c>
      <c r="J23" s="27">
        <v>2.58</v>
      </c>
      <c r="K23" s="27">
        <v>2.58</v>
      </c>
      <c r="L23" s="27"/>
      <c r="M23" s="27">
        <v>128</v>
      </c>
      <c r="N23" s="27">
        <v>128</v>
      </c>
      <c r="O23" s="27">
        <v>202</v>
      </c>
      <c r="P23" s="27">
        <v>52.9</v>
      </c>
      <c r="Q23" s="27">
        <v>2.73</v>
      </c>
      <c r="R23" s="27">
        <v>2.73</v>
      </c>
      <c r="S23" s="27">
        <v>3.43</v>
      </c>
      <c r="T23" s="27">
        <v>1.76</v>
      </c>
      <c r="U23" s="27">
        <v>19.899999999999999</v>
      </c>
      <c r="V23" s="27">
        <v>19.899999999999999</v>
      </c>
      <c r="W23" s="33">
        <v>17.2</v>
      </c>
    </row>
    <row r="24" spans="1:23">
      <c r="A24" s="26" t="s">
        <v>537</v>
      </c>
      <c r="B24" s="44">
        <v>90</v>
      </c>
      <c r="C24" s="37">
        <f t="shared" si="0"/>
        <v>90</v>
      </c>
      <c r="D24" s="44">
        <v>8</v>
      </c>
      <c r="E24" s="44">
        <v>8</v>
      </c>
      <c r="F24" s="27">
        <v>10.9</v>
      </c>
      <c r="G24" s="27">
        <v>11</v>
      </c>
      <c r="H24" s="27">
        <f t="shared" si="1"/>
        <v>71</v>
      </c>
      <c r="I24" s="27">
        <v>4.8</v>
      </c>
      <c r="J24" s="27">
        <v>2.5</v>
      </c>
      <c r="K24" s="27">
        <v>2.5</v>
      </c>
      <c r="L24" s="27"/>
      <c r="M24" s="27">
        <v>105</v>
      </c>
      <c r="N24" s="27">
        <v>105</v>
      </c>
      <c r="O24" s="27">
        <v>167</v>
      </c>
      <c r="P24" s="27">
        <v>43.4</v>
      </c>
      <c r="Q24" s="27">
        <v>2.75</v>
      </c>
      <c r="R24" s="27">
        <v>2.75</v>
      </c>
      <c r="S24" s="27">
        <v>3.46</v>
      </c>
      <c r="T24" s="27">
        <v>1.77</v>
      </c>
      <c r="U24" s="27">
        <v>16.2</v>
      </c>
      <c r="V24" s="27">
        <v>16.2</v>
      </c>
      <c r="W24" s="33">
        <v>13.9</v>
      </c>
    </row>
    <row r="25" spans="1:23">
      <c r="A25" s="26" t="s">
        <v>538</v>
      </c>
      <c r="B25" s="44">
        <v>90</v>
      </c>
      <c r="C25" s="37">
        <f t="shared" si="0"/>
        <v>90</v>
      </c>
      <c r="D25" s="44">
        <v>7</v>
      </c>
      <c r="E25" s="44">
        <v>7</v>
      </c>
      <c r="F25" s="27">
        <v>9.6</v>
      </c>
      <c r="G25" s="27">
        <v>11</v>
      </c>
      <c r="H25" s="27">
        <f t="shared" si="1"/>
        <v>72</v>
      </c>
      <c r="I25" s="27">
        <v>4.8</v>
      </c>
      <c r="J25" s="27">
        <v>2.46</v>
      </c>
      <c r="K25" s="27">
        <v>2.46</v>
      </c>
      <c r="L25" s="27"/>
      <c r="M25" s="27">
        <v>93.2</v>
      </c>
      <c r="N25" s="27">
        <v>93.2</v>
      </c>
      <c r="O25" s="27">
        <v>148</v>
      </c>
      <c r="P25" s="27">
        <v>38.6</v>
      </c>
      <c r="Q25" s="27">
        <v>2.76</v>
      </c>
      <c r="R25" s="27">
        <v>2.76</v>
      </c>
      <c r="S25" s="27">
        <v>3.47</v>
      </c>
      <c r="T25" s="27">
        <v>1.77</v>
      </c>
      <c r="U25" s="27">
        <v>14.2</v>
      </c>
      <c r="V25" s="27">
        <v>14.2</v>
      </c>
      <c r="W25" s="33">
        <v>12.3</v>
      </c>
    </row>
    <row r="26" spans="1:23">
      <c r="A26" s="24" t="s">
        <v>539</v>
      </c>
      <c r="B26" s="45">
        <v>90</v>
      </c>
      <c r="C26" s="38">
        <f t="shared" si="0"/>
        <v>90</v>
      </c>
      <c r="D26" s="45">
        <v>6</v>
      </c>
      <c r="E26" s="45">
        <v>6</v>
      </c>
      <c r="F26" s="25">
        <v>8.3000000000000007</v>
      </c>
      <c r="G26" s="25">
        <v>11</v>
      </c>
      <c r="H26" s="25">
        <f t="shared" si="1"/>
        <v>73</v>
      </c>
      <c r="I26" s="25">
        <v>4.8</v>
      </c>
      <c r="J26" s="25">
        <v>2.41</v>
      </c>
      <c r="K26" s="25">
        <v>2.41</v>
      </c>
      <c r="L26" s="25"/>
      <c r="M26" s="25">
        <v>81</v>
      </c>
      <c r="N26" s="25">
        <v>81</v>
      </c>
      <c r="O26" s="25">
        <v>128</v>
      </c>
      <c r="P26" s="25">
        <v>33.6</v>
      </c>
      <c r="Q26" s="25">
        <v>2.76</v>
      </c>
      <c r="R26" s="25">
        <v>2.76</v>
      </c>
      <c r="S26" s="25">
        <v>3.48</v>
      </c>
      <c r="T26" s="25">
        <v>1.78</v>
      </c>
      <c r="U26" s="25">
        <v>12.3</v>
      </c>
      <c r="V26" s="25">
        <v>12.3</v>
      </c>
      <c r="W26" s="32">
        <v>10.6</v>
      </c>
    </row>
    <row r="27" spans="1:23">
      <c r="A27" s="47" t="s">
        <v>540</v>
      </c>
      <c r="B27" s="44">
        <v>80</v>
      </c>
      <c r="C27" s="37">
        <f t="shared" si="0"/>
        <v>80</v>
      </c>
      <c r="D27" s="44">
        <v>10</v>
      </c>
      <c r="E27" s="44">
        <v>10</v>
      </c>
      <c r="F27" s="27">
        <v>11.9</v>
      </c>
      <c r="G27" s="27">
        <v>10</v>
      </c>
      <c r="H27" s="27">
        <f t="shared" si="1"/>
        <v>60</v>
      </c>
      <c r="I27" s="27">
        <v>4.8</v>
      </c>
      <c r="J27" s="27">
        <v>2.33</v>
      </c>
      <c r="K27" s="27">
        <v>2.33</v>
      </c>
      <c r="L27" s="27"/>
      <c r="M27" s="27">
        <v>87.7</v>
      </c>
      <c r="N27" s="27">
        <v>87.7</v>
      </c>
      <c r="O27" s="27">
        <v>139</v>
      </c>
      <c r="P27" s="27">
        <v>36.5</v>
      </c>
      <c r="Q27" s="27">
        <v>2.4</v>
      </c>
      <c r="R27" s="27">
        <v>2.4</v>
      </c>
      <c r="S27" s="27">
        <v>3.03</v>
      </c>
      <c r="T27" s="27">
        <v>1.55</v>
      </c>
      <c r="U27" s="27">
        <v>15.5</v>
      </c>
      <c r="V27" s="27">
        <v>15.5</v>
      </c>
      <c r="W27" s="33">
        <v>15.2</v>
      </c>
    </row>
    <row r="28" spans="1:23">
      <c r="A28" s="47" t="s">
        <v>541</v>
      </c>
      <c r="B28" s="44">
        <v>80</v>
      </c>
      <c r="C28" s="37">
        <f t="shared" si="0"/>
        <v>80</v>
      </c>
      <c r="D28" s="44">
        <v>8</v>
      </c>
      <c r="E28" s="44">
        <v>8</v>
      </c>
      <c r="F28" s="27">
        <v>9.6999999999999993</v>
      </c>
      <c r="G28" s="27">
        <v>10</v>
      </c>
      <c r="H28" s="27">
        <f t="shared" si="1"/>
        <v>62</v>
      </c>
      <c r="I28" s="27">
        <v>4.8</v>
      </c>
      <c r="J28" s="27">
        <v>2.25</v>
      </c>
      <c r="K28" s="27">
        <v>2.25</v>
      </c>
      <c r="L28" s="27"/>
      <c r="M28" s="27">
        <v>72.400000000000006</v>
      </c>
      <c r="N28" s="27">
        <v>72.400000000000006</v>
      </c>
      <c r="O28" s="27">
        <v>115</v>
      </c>
      <c r="P28" s="27">
        <v>30.1</v>
      </c>
      <c r="Q28" s="27">
        <v>2.42</v>
      </c>
      <c r="R28" s="27">
        <v>2.42</v>
      </c>
      <c r="S28" s="27">
        <v>3.05</v>
      </c>
      <c r="T28" s="27">
        <v>1.56</v>
      </c>
      <c r="U28" s="27">
        <v>12.6</v>
      </c>
      <c r="V28" s="27">
        <v>12.6</v>
      </c>
      <c r="W28" s="33">
        <v>12.3</v>
      </c>
    </row>
    <row r="29" spans="1:23">
      <c r="A29" s="34" t="s">
        <v>542</v>
      </c>
      <c r="B29" s="45">
        <v>80</v>
      </c>
      <c r="C29" s="38">
        <f t="shared" si="0"/>
        <v>80</v>
      </c>
      <c r="D29" s="45">
        <v>6</v>
      </c>
      <c r="E29" s="45">
        <v>6</v>
      </c>
      <c r="F29" s="25">
        <v>7.4</v>
      </c>
      <c r="G29" s="25">
        <v>10</v>
      </c>
      <c r="H29" s="25">
        <f t="shared" si="1"/>
        <v>64</v>
      </c>
      <c r="I29" s="25">
        <v>4.8</v>
      </c>
      <c r="J29" s="25">
        <v>2.16</v>
      </c>
      <c r="K29" s="25">
        <v>2.16</v>
      </c>
      <c r="L29" s="25"/>
      <c r="M29" s="25">
        <v>56</v>
      </c>
      <c r="N29" s="25">
        <v>56</v>
      </c>
      <c r="O29" s="25">
        <v>88.7</v>
      </c>
      <c r="P29" s="25">
        <v>23.3</v>
      </c>
      <c r="Q29" s="25">
        <v>2.44</v>
      </c>
      <c r="R29" s="25">
        <v>2.44</v>
      </c>
      <c r="S29" s="25">
        <v>3.07</v>
      </c>
      <c r="T29" s="25">
        <v>1.58</v>
      </c>
      <c r="U29" s="25">
        <v>9.6</v>
      </c>
      <c r="V29" s="25">
        <v>9.6</v>
      </c>
      <c r="W29" s="32">
        <v>9.4</v>
      </c>
    </row>
    <row r="30" spans="1:23">
      <c r="A30" s="47" t="s">
        <v>543</v>
      </c>
      <c r="B30" s="44">
        <v>70</v>
      </c>
      <c r="C30" s="37">
        <f t="shared" si="0"/>
        <v>70</v>
      </c>
      <c r="D30" s="37">
        <v>10</v>
      </c>
      <c r="E30" s="37">
        <v>10</v>
      </c>
      <c r="F30" s="27">
        <v>10.3</v>
      </c>
      <c r="G30" s="27">
        <v>9</v>
      </c>
      <c r="H30" s="27">
        <f t="shared" si="1"/>
        <v>51</v>
      </c>
      <c r="I30" s="27">
        <v>2.4</v>
      </c>
      <c r="J30" s="27">
        <v>2.08</v>
      </c>
      <c r="K30" s="27">
        <v>2.08</v>
      </c>
      <c r="L30" s="27"/>
      <c r="M30" s="27">
        <v>57.1</v>
      </c>
      <c r="N30" s="27">
        <v>57.1</v>
      </c>
      <c r="O30" s="27">
        <v>90.3</v>
      </c>
      <c r="P30" s="27">
        <v>24</v>
      </c>
      <c r="Q30" s="27">
        <v>2.08</v>
      </c>
      <c r="R30" s="27">
        <v>2.08</v>
      </c>
      <c r="S30" s="27">
        <v>2.62</v>
      </c>
      <c r="T30" s="27">
        <v>1.35</v>
      </c>
      <c r="U30" s="27">
        <v>11.6</v>
      </c>
      <c r="V30" s="27">
        <v>11.6</v>
      </c>
      <c r="W30" s="33">
        <v>13.2</v>
      </c>
    </row>
    <row r="31" spans="1:23">
      <c r="A31" s="47" t="s">
        <v>544</v>
      </c>
      <c r="B31" s="44">
        <v>70</v>
      </c>
      <c r="C31" s="37">
        <f t="shared" si="0"/>
        <v>70</v>
      </c>
      <c r="D31" s="44">
        <v>8</v>
      </c>
      <c r="E31" s="44">
        <v>8</v>
      </c>
      <c r="F31" s="27">
        <v>8.4</v>
      </c>
      <c r="G31" s="27">
        <v>9</v>
      </c>
      <c r="H31" s="27">
        <f t="shared" si="1"/>
        <v>53</v>
      </c>
      <c r="I31" s="27">
        <v>2.4</v>
      </c>
      <c r="J31" s="27">
        <v>2</v>
      </c>
      <c r="K31" s="27">
        <v>2</v>
      </c>
      <c r="L31" s="27"/>
      <c r="M31" s="27">
        <v>47.4</v>
      </c>
      <c r="N31" s="27">
        <v>47.4</v>
      </c>
      <c r="O31" s="27">
        <v>75</v>
      </c>
      <c r="P31" s="27">
        <v>19.7</v>
      </c>
      <c r="Q31" s="27">
        <v>2.1</v>
      </c>
      <c r="R31" s="27">
        <v>2.1</v>
      </c>
      <c r="S31" s="27">
        <v>2.65</v>
      </c>
      <c r="T31" s="27">
        <v>1.36</v>
      </c>
      <c r="U31" s="27">
        <v>9.49</v>
      </c>
      <c r="V31" s="27">
        <v>9.49</v>
      </c>
      <c r="W31" s="33">
        <v>10.7</v>
      </c>
    </row>
    <row r="32" spans="1:23">
      <c r="A32" s="34" t="s">
        <v>545</v>
      </c>
      <c r="B32" s="45">
        <v>70</v>
      </c>
      <c r="C32" s="38">
        <f t="shared" si="0"/>
        <v>70</v>
      </c>
      <c r="D32" s="45">
        <v>6</v>
      </c>
      <c r="E32" s="45">
        <v>6</v>
      </c>
      <c r="F32" s="25">
        <v>6.4</v>
      </c>
      <c r="G32" s="25">
        <v>9</v>
      </c>
      <c r="H32" s="25">
        <f t="shared" si="1"/>
        <v>55</v>
      </c>
      <c r="I32" s="25">
        <v>2.4</v>
      </c>
      <c r="J32" s="25">
        <v>1.92</v>
      </c>
      <c r="K32" s="25">
        <v>1.92</v>
      </c>
      <c r="L32" s="25"/>
      <c r="M32" s="25">
        <v>36.799999999999997</v>
      </c>
      <c r="N32" s="25">
        <v>36.799999999999997</v>
      </c>
      <c r="O32" s="25">
        <v>58.2</v>
      </c>
      <c r="P32" s="25">
        <v>15.4</v>
      </c>
      <c r="Q32" s="25">
        <v>2.12</v>
      </c>
      <c r="R32" s="25">
        <v>2.12</v>
      </c>
      <c r="S32" s="25">
        <v>2.67</v>
      </c>
      <c r="T32" s="25">
        <v>1.37</v>
      </c>
      <c r="U32" s="25">
        <v>7.24</v>
      </c>
      <c r="V32" s="25">
        <v>7.24</v>
      </c>
      <c r="W32" s="32">
        <v>8.1999999999999993</v>
      </c>
    </row>
    <row r="33" spans="1:23">
      <c r="A33" s="47" t="s">
        <v>546</v>
      </c>
      <c r="B33" s="44">
        <v>60</v>
      </c>
      <c r="C33" s="37">
        <f t="shared" si="0"/>
        <v>60</v>
      </c>
      <c r="D33" s="44">
        <v>8</v>
      </c>
      <c r="E33" s="44">
        <v>8</v>
      </c>
      <c r="F33" s="27">
        <v>7.2</v>
      </c>
      <c r="G33" s="27">
        <v>8</v>
      </c>
      <c r="H33" s="27">
        <f t="shared" si="1"/>
        <v>44</v>
      </c>
      <c r="I33" s="27">
        <v>2.4</v>
      </c>
      <c r="J33" s="27">
        <v>1.76</v>
      </c>
      <c r="K33" s="27">
        <v>1.76</v>
      </c>
      <c r="L33" s="27"/>
      <c r="M33" s="27">
        <v>28.9</v>
      </c>
      <c r="N33" s="27">
        <v>28.9</v>
      </c>
      <c r="O33" s="27">
        <v>45.7</v>
      </c>
      <c r="P33" s="27">
        <v>12.1</v>
      </c>
      <c r="Q33" s="27">
        <v>1.78</v>
      </c>
      <c r="R33" s="27">
        <v>1.78</v>
      </c>
      <c r="S33" s="27">
        <v>2.2400000000000002</v>
      </c>
      <c r="T33" s="27">
        <v>1.1499999999999999</v>
      </c>
      <c r="U33" s="27">
        <v>6.82</v>
      </c>
      <c r="V33" s="27">
        <v>6.82</v>
      </c>
      <c r="W33" s="33">
        <v>9.1199999999999992</v>
      </c>
    </row>
    <row r="34" spans="1:23">
      <c r="A34" s="47" t="s">
        <v>547</v>
      </c>
      <c r="B34" s="44">
        <v>60</v>
      </c>
      <c r="C34" s="37">
        <f t="shared" si="0"/>
        <v>60</v>
      </c>
      <c r="D34" s="44">
        <v>6</v>
      </c>
      <c r="E34" s="44">
        <v>6</v>
      </c>
      <c r="F34" s="27">
        <v>5.5</v>
      </c>
      <c r="G34" s="27">
        <v>8</v>
      </c>
      <c r="H34" s="27">
        <f t="shared" si="1"/>
        <v>46</v>
      </c>
      <c r="I34" s="27">
        <v>2.4</v>
      </c>
      <c r="J34" s="27">
        <v>1.67</v>
      </c>
      <c r="K34" s="27">
        <v>1.67</v>
      </c>
      <c r="L34" s="27"/>
      <c r="M34" s="27">
        <v>22.6</v>
      </c>
      <c r="N34" s="27">
        <v>22.6</v>
      </c>
      <c r="O34" s="27">
        <v>35.700000000000003</v>
      </c>
      <c r="P34" s="27">
        <v>9.4499999999999993</v>
      </c>
      <c r="Q34" s="27">
        <v>1.8</v>
      </c>
      <c r="R34" s="27">
        <v>1.8</v>
      </c>
      <c r="S34" s="27">
        <v>2.2599999999999998</v>
      </c>
      <c r="T34" s="27">
        <v>1.1599999999999999</v>
      </c>
      <c r="U34" s="27">
        <v>5.21</v>
      </c>
      <c r="V34" s="27">
        <v>5.21</v>
      </c>
      <c r="W34" s="33">
        <v>7</v>
      </c>
    </row>
    <row r="35" spans="1:23">
      <c r="A35" s="47" t="s">
        <v>548</v>
      </c>
      <c r="B35" s="44">
        <v>60</v>
      </c>
      <c r="C35" s="37">
        <f t="shared" si="0"/>
        <v>60</v>
      </c>
      <c r="D35" s="44">
        <v>5</v>
      </c>
      <c r="E35" s="44">
        <v>5</v>
      </c>
      <c r="F35" s="27">
        <v>4.5999999999999996</v>
      </c>
      <c r="G35" s="27">
        <v>8</v>
      </c>
      <c r="H35" s="27">
        <f t="shared" si="1"/>
        <v>47</v>
      </c>
      <c r="I35" s="27">
        <v>2.4</v>
      </c>
      <c r="J35" s="27">
        <v>1.62</v>
      </c>
      <c r="K35" s="27">
        <v>1.62</v>
      </c>
      <c r="L35" s="27"/>
      <c r="M35" s="27">
        <v>19.2</v>
      </c>
      <c r="N35" s="27">
        <v>19.2</v>
      </c>
      <c r="O35" s="27">
        <v>30.2</v>
      </c>
      <c r="P35" s="27">
        <v>8.06</v>
      </c>
      <c r="Q35" s="27">
        <v>1.8</v>
      </c>
      <c r="R35" s="27">
        <v>1.8</v>
      </c>
      <c r="S35" s="27">
        <v>2.2599999999999998</v>
      </c>
      <c r="T35" s="27">
        <v>1.17</v>
      </c>
      <c r="U35" s="27">
        <v>4.37</v>
      </c>
      <c r="V35" s="27">
        <v>4.37</v>
      </c>
      <c r="W35" s="33">
        <v>5.91</v>
      </c>
    </row>
    <row r="36" spans="1:23">
      <c r="A36" s="34" t="s">
        <v>549</v>
      </c>
      <c r="B36" s="45">
        <v>60</v>
      </c>
      <c r="C36" s="38">
        <f t="shared" si="0"/>
        <v>60</v>
      </c>
      <c r="D36" s="45">
        <v>10</v>
      </c>
      <c r="E36" s="45">
        <v>10</v>
      </c>
      <c r="F36" s="25">
        <v>8.8000000000000007</v>
      </c>
      <c r="G36" s="25">
        <v>8</v>
      </c>
      <c r="H36" s="25">
        <f t="shared" si="1"/>
        <v>42</v>
      </c>
      <c r="I36" s="25">
        <v>2.4</v>
      </c>
      <c r="J36" s="25">
        <v>1.84</v>
      </c>
      <c r="K36" s="25">
        <v>1.84</v>
      </c>
      <c r="L36" s="25"/>
      <c r="M36" s="25">
        <v>34.700000000000003</v>
      </c>
      <c r="N36" s="25">
        <v>34.700000000000003</v>
      </c>
      <c r="O36" s="25">
        <v>54.7</v>
      </c>
      <c r="P36" s="25">
        <v>14.7</v>
      </c>
      <c r="Q36" s="25">
        <v>1.76</v>
      </c>
      <c r="R36" s="25">
        <v>1.76</v>
      </c>
      <c r="S36" s="25">
        <v>2.21</v>
      </c>
      <c r="T36" s="25">
        <v>1.1499999999999999</v>
      </c>
      <c r="U36" s="25">
        <v>8.33</v>
      </c>
      <c r="V36" s="25">
        <v>8.33</v>
      </c>
      <c r="W36" s="32">
        <v>11.2</v>
      </c>
    </row>
    <row r="37" spans="1:23">
      <c r="A37" s="47" t="s">
        <v>550</v>
      </c>
      <c r="B37" s="44">
        <v>50</v>
      </c>
      <c r="C37" s="37">
        <f t="shared" si="0"/>
        <v>50</v>
      </c>
      <c r="D37" s="44">
        <v>8</v>
      </c>
      <c r="E37" s="44">
        <v>8</v>
      </c>
      <c r="F37" s="27">
        <v>5.9</v>
      </c>
      <c r="G37" s="27">
        <v>7</v>
      </c>
      <c r="H37" s="27">
        <f t="shared" si="1"/>
        <v>35</v>
      </c>
      <c r="I37" s="27">
        <v>2.4</v>
      </c>
      <c r="J37" s="27">
        <v>1.51</v>
      </c>
      <c r="K37" s="27">
        <v>1.51</v>
      </c>
      <c r="L37" s="27"/>
      <c r="M37" s="27">
        <v>16</v>
      </c>
      <c r="N37" s="27">
        <v>16</v>
      </c>
      <c r="O37" s="27">
        <v>25.3</v>
      </c>
      <c r="P37" s="27">
        <v>6.78</v>
      </c>
      <c r="Q37" s="27">
        <v>1.46</v>
      </c>
      <c r="R37" s="27">
        <v>1.46</v>
      </c>
      <c r="S37" s="27">
        <v>1.83</v>
      </c>
      <c r="T37" s="27">
        <v>0.94899999999999995</v>
      </c>
      <c r="U37" s="27">
        <v>4.59</v>
      </c>
      <c r="V37" s="27">
        <v>4.59</v>
      </c>
      <c r="W37" s="33">
        <v>7.52</v>
      </c>
    </row>
    <row r="38" spans="1:23">
      <c r="A38" s="47" t="s">
        <v>551</v>
      </c>
      <c r="B38" s="44">
        <v>50</v>
      </c>
      <c r="C38" s="37">
        <f t="shared" si="0"/>
        <v>50</v>
      </c>
      <c r="D38" s="44">
        <v>6</v>
      </c>
      <c r="E38" s="44">
        <v>6</v>
      </c>
      <c r="F38" s="27">
        <v>4.5999999999999996</v>
      </c>
      <c r="G38" s="27">
        <v>7</v>
      </c>
      <c r="H38" s="27">
        <f t="shared" si="1"/>
        <v>37</v>
      </c>
      <c r="I38" s="27">
        <v>2.4</v>
      </c>
      <c r="J38" s="27">
        <v>1.42</v>
      </c>
      <c r="K38" s="27">
        <v>1.42</v>
      </c>
      <c r="L38" s="27"/>
      <c r="M38" s="27">
        <v>12.6</v>
      </c>
      <c r="N38" s="27">
        <v>12.6</v>
      </c>
      <c r="O38" s="27">
        <v>19.899999999999999</v>
      </c>
      <c r="P38" s="27">
        <v>5.28</v>
      </c>
      <c r="Q38" s="27">
        <v>1.47</v>
      </c>
      <c r="R38" s="27">
        <v>1.47</v>
      </c>
      <c r="S38" s="27">
        <v>1.85</v>
      </c>
      <c r="T38" s="27">
        <v>0.95399999999999996</v>
      </c>
      <c r="U38" s="27">
        <v>3.52</v>
      </c>
      <c r="V38" s="27">
        <v>3.52</v>
      </c>
      <c r="W38" s="33">
        <v>5.8</v>
      </c>
    </row>
    <row r="39" spans="1:23">
      <c r="A39" s="47" t="s">
        <v>552</v>
      </c>
      <c r="B39" s="44">
        <v>50</v>
      </c>
      <c r="C39" s="37">
        <f t="shared" si="0"/>
        <v>50</v>
      </c>
      <c r="D39" s="44">
        <v>5</v>
      </c>
      <c r="E39" s="44">
        <v>5</v>
      </c>
      <c r="F39" s="27">
        <v>3.9</v>
      </c>
      <c r="G39" s="27">
        <v>7</v>
      </c>
      <c r="H39" s="27">
        <f t="shared" si="1"/>
        <v>38</v>
      </c>
      <c r="I39" s="27">
        <v>2.4</v>
      </c>
      <c r="J39" s="27">
        <v>1.37</v>
      </c>
      <c r="K39" s="27">
        <v>1.37</v>
      </c>
      <c r="L39" s="27"/>
      <c r="M39" s="27">
        <v>10.7</v>
      </c>
      <c r="N39" s="27">
        <v>10.7</v>
      </c>
      <c r="O39" s="27">
        <v>16.899999999999999</v>
      </c>
      <c r="P39" s="27">
        <v>4.51</v>
      </c>
      <c r="Q39" s="27">
        <v>1.48</v>
      </c>
      <c r="R39" s="27">
        <v>1.48</v>
      </c>
      <c r="S39" s="27">
        <v>1.86</v>
      </c>
      <c r="T39" s="27">
        <v>0.95799999999999996</v>
      </c>
      <c r="U39" s="27">
        <v>2.95</v>
      </c>
      <c r="V39" s="27">
        <v>2.95</v>
      </c>
      <c r="W39" s="33">
        <v>4.91</v>
      </c>
    </row>
    <row r="40" spans="1:23">
      <c r="A40" s="47" t="s">
        <v>553</v>
      </c>
      <c r="B40" s="44">
        <v>50</v>
      </c>
      <c r="C40" s="37">
        <f t="shared" si="0"/>
        <v>50</v>
      </c>
      <c r="D40" s="44">
        <v>4</v>
      </c>
      <c r="E40" s="44">
        <v>4</v>
      </c>
      <c r="F40" s="27">
        <v>3.1</v>
      </c>
      <c r="G40" s="27">
        <v>7</v>
      </c>
      <c r="H40" s="27">
        <f t="shared" si="1"/>
        <v>39</v>
      </c>
      <c r="I40" s="27">
        <v>2.4</v>
      </c>
      <c r="J40" s="27">
        <v>1.32</v>
      </c>
      <c r="K40" s="27">
        <v>1.32</v>
      </c>
      <c r="L40" s="27"/>
      <c r="M40" s="27">
        <v>8.7200000000000006</v>
      </c>
      <c r="N40" s="27">
        <v>8.7200000000000006</v>
      </c>
      <c r="O40" s="27">
        <v>13.7</v>
      </c>
      <c r="P40" s="27">
        <v>3.71</v>
      </c>
      <c r="Q40" s="27">
        <v>1.48</v>
      </c>
      <c r="R40" s="27">
        <v>1.48</v>
      </c>
      <c r="S40" s="27">
        <v>1.85</v>
      </c>
      <c r="T40" s="27">
        <v>0.96299999999999997</v>
      </c>
      <c r="U40" s="27">
        <v>2.37</v>
      </c>
      <c r="V40" s="27">
        <v>2.37</v>
      </c>
      <c r="W40" s="33">
        <v>4</v>
      </c>
    </row>
    <row r="41" spans="1:23">
      <c r="A41" s="34" t="s">
        <v>554</v>
      </c>
      <c r="B41" s="45">
        <v>50</v>
      </c>
      <c r="C41" s="38">
        <f t="shared" si="0"/>
        <v>50</v>
      </c>
      <c r="D41" s="45">
        <v>3</v>
      </c>
      <c r="E41" s="45">
        <v>3</v>
      </c>
      <c r="F41" s="25">
        <v>2.4</v>
      </c>
      <c r="G41" s="25">
        <v>7</v>
      </c>
      <c r="H41" s="25">
        <f t="shared" si="1"/>
        <v>40</v>
      </c>
      <c r="I41" s="25">
        <v>2.4</v>
      </c>
      <c r="J41" s="25">
        <v>1.25</v>
      </c>
      <c r="K41" s="25">
        <v>1.25</v>
      </c>
      <c r="L41" s="25"/>
      <c r="M41" s="25">
        <v>6.6</v>
      </c>
      <c r="N41" s="25">
        <v>6.6</v>
      </c>
      <c r="O41" s="25">
        <v>10.3</v>
      </c>
      <c r="P41" s="25">
        <v>2.88</v>
      </c>
      <c r="Q41" s="25">
        <v>1.47</v>
      </c>
      <c r="R41" s="25">
        <v>1.47</v>
      </c>
      <c r="S41" s="25">
        <v>1.83</v>
      </c>
      <c r="T41" s="25">
        <v>0.96799999999999997</v>
      </c>
      <c r="U41" s="25">
        <v>1.76</v>
      </c>
      <c r="V41" s="25">
        <v>1.76</v>
      </c>
      <c r="W41" s="32">
        <v>3.07</v>
      </c>
    </row>
    <row r="42" spans="1:23">
      <c r="A42" s="22" t="s">
        <v>555</v>
      </c>
      <c r="B42" s="46">
        <v>200</v>
      </c>
      <c r="C42" s="46">
        <v>150</v>
      </c>
      <c r="D42" s="46">
        <v>18</v>
      </c>
      <c r="E42" s="46">
        <v>18</v>
      </c>
      <c r="F42" s="23">
        <v>47.2</v>
      </c>
      <c r="G42" s="23">
        <v>15</v>
      </c>
      <c r="H42" s="23">
        <f t="shared" si="1"/>
        <v>167</v>
      </c>
      <c r="I42" s="23">
        <v>4.8</v>
      </c>
      <c r="J42" s="23">
        <v>6.34</v>
      </c>
      <c r="K42" s="23">
        <v>3.86</v>
      </c>
      <c r="L42" s="23">
        <v>0.54900000000000004</v>
      </c>
      <c r="M42" s="23">
        <v>2390</v>
      </c>
      <c r="N42" s="23">
        <v>1155</v>
      </c>
      <c r="O42" s="23">
        <v>2922</v>
      </c>
      <c r="P42" s="23">
        <v>623</v>
      </c>
      <c r="Q42" s="23">
        <v>6.3</v>
      </c>
      <c r="R42" s="23">
        <v>4.38</v>
      </c>
      <c r="S42" s="23">
        <v>6.97</v>
      </c>
      <c r="T42" s="23">
        <v>3.22</v>
      </c>
      <c r="U42" s="23">
        <v>175</v>
      </c>
      <c r="V42" s="23">
        <v>104</v>
      </c>
      <c r="W42" s="31">
        <v>60.1</v>
      </c>
    </row>
    <row r="43" spans="1:23">
      <c r="A43" s="26" t="s">
        <v>556</v>
      </c>
      <c r="B43" s="44">
        <v>200</v>
      </c>
      <c r="C43" s="44">
        <v>150</v>
      </c>
      <c r="D43" s="44">
        <v>15</v>
      </c>
      <c r="E43" s="44">
        <v>15</v>
      </c>
      <c r="F43" s="27">
        <v>39.700000000000003</v>
      </c>
      <c r="G43" s="27">
        <v>15</v>
      </c>
      <c r="H43" s="27">
        <f t="shared" si="1"/>
        <v>170</v>
      </c>
      <c r="I43" s="27">
        <v>4.8</v>
      </c>
      <c r="J43" s="27">
        <v>6.22</v>
      </c>
      <c r="K43" s="27">
        <v>3.75</v>
      </c>
      <c r="L43" s="27">
        <v>0.55100000000000005</v>
      </c>
      <c r="M43" s="27">
        <v>2037</v>
      </c>
      <c r="N43" s="27">
        <v>989</v>
      </c>
      <c r="O43" s="27">
        <v>2495</v>
      </c>
      <c r="P43" s="27">
        <v>531</v>
      </c>
      <c r="Q43" s="27">
        <v>6.34</v>
      </c>
      <c r="R43" s="27">
        <v>4.42</v>
      </c>
      <c r="S43" s="27">
        <v>7.02</v>
      </c>
      <c r="T43" s="27">
        <v>3.24</v>
      </c>
      <c r="U43" s="27">
        <v>148</v>
      </c>
      <c r="V43" s="27">
        <v>87.8</v>
      </c>
      <c r="W43" s="33">
        <v>50.6</v>
      </c>
    </row>
    <row r="44" spans="1:23">
      <c r="A44" s="24" t="s">
        <v>557</v>
      </c>
      <c r="B44" s="45">
        <v>200</v>
      </c>
      <c r="C44" s="45">
        <v>150</v>
      </c>
      <c r="D44" s="45">
        <v>12</v>
      </c>
      <c r="E44" s="45">
        <v>12</v>
      </c>
      <c r="F44" s="25">
        <v>32.1</v>
      </c>
      <c r="G44" s="25">
        <v>15</v>
      </c>
      <c r="H44" s="25">
        <f t="shared" si="1"/>
        <v>173</v>
      </c>
      <c r="I44" s="25">
        <v>4.8</v>
      </c>
      <c r="J44" s="25">
        <v>6.1</v>
      </c>
      <c r="K44" s="25">
        <v>3.63</v>
      </c>
      <c r="L44" s="25">
        <v>0.55300000000000005</v>
      </c>
      <c r="M44" s="25">
        <v>1667</v>
      </c>
      <c r="N44" s="25">
        <v>812</v>
      </c>
      <c r="O44" s="25">
        <v>2044</v>
      </c>
      <c r="P44" s="25">
        <v>435</v>
      </c>
      <c r="Q44" s="25">
        <v>6.38</v>
      </c>
      <c r="R44" s="25">
        <v>4.45</v>
      </c>
      <c r="S44" s="25">
        <v>7.07</v>
      </c>
      <c r="T44" s="25">
        <v>3.26</v>
      </c>
      <c r="U44" s="25">
        <v>120</v>
      </c>
      <c r="V44" s="25">
        <v>71.400000000000006</v>
      </c>
      <c r="W44" s="32">
        <v>40.9</v>
      </c>
    </row>
    <row r="45" spans="1:23">
      <c r="A45" s="26" t="s">
        <v>558</v>
      </c>
      <c r="B45" s="44">
        <v>200</v>
      </c>
      <c r="C45" s="44">
        <v>100</v>
      </c>
      <c r="D45" s="44">
        <v>15</v>
      </c>
      <c r="E45" s="44">
        <v>15</v>
      </c>
      <c r="F45" s="27">
        <v>33.9</v>
      </c>
      <c r="G45" s="27">
        <v>15</v>
      </c>
      <c r="H45" s="27">
        <f t="shared" si="1"/>
        <v>170</v>
      </c>
      <c r="I45" s="27">
        <v>4.8</v>
      </c>
      <c r="J45" s="27">
        <v>7.17</v>
      </c>
      <c r="K45" s="27">
        <v>2.23</v>
      </c>
      <c r="L45" s="27">
        <v>0.26</v>
      </c>
      <c r="M45" s="27">
        <v>1772</v>
      </c>
      <c r="N45" s="27">
        <v>303</v>
      </c>
      <c r="O45" s="27">
        <v>1879</v>
      </c>
      <c r="P45" s="27">
        <v>197</v>
      </c>
      <c r="Q45" s="27">
        <v>6.41</v>
      </c>
      <c r="R45" s="27">
        <v>2.65</v>
      </c>
      <c r="S45" s="27">
        <v>6.6</v>
      </c>
      <c r="T45" s="27">
        <v>2.13</v>
      </c>
      <c r="U45" s="27">
        <v>138</v>
      </c>
      <c r="V45" s="27">
        <v>39</v>
      </c>
      <c r="W45" s="33">
        <v>43.1</v>
      </c>
    </row>
    <row r="46" spans="1:23">
      <c r="A46" s="26" t="s">
        <v>559</v>
      </c>
      <c r="B46" s="44">
        <v>200</v>
      </c>
      <c r="C46" s="44">
        <v>100</v>
      </c>
      <c r="D46" s="44">
        <v>12</v>
      </c>
      <c r="E46" s="44">
        <v>12</v>
      </c>
      <c r="F46" s="27">
        <v>27.4</v>
      </c>
      <c r="G46" s="27">
        <v>15</v>
      </c>
      <c r="H46" s="27">
        <f t="shared" si="1"/>
        <v>173</v>
      </c>
      <c r="I46" s="27">
        <v>4.8</v>
      </c>
      <c r="J46" s="27">
        <v>7.04</v>
      </c>
      <c r="K46" s="27">
        <v>2.11</v>
      </c>
      <c r="L46" s="27">
        <v>0.26300000000000001</v>
      </c>
      <c r="M46" s="27">
        <v>1454</v>
      </c>
      <c r="N46" s="27">
        <v>251</v>
      </c>
      <c r="O46" s="27">
        <v>1544</v>
      </c>
      <c r="P46" s="27">
        <v>162</v>
      </c>
      <c r="Q46" s="27">
        <v>6.45</v>
      </c>
      <c r="R46" s="27">
        <v>2.68</v>
      </c>
      <c r="S46" s="27">
        <v>6.65</v>
      </c>
      <c r="T46" s="27">
        <v>2.15</v>
      </c>
      <c r="U46" s="27">
        <v>112</v>
      </c>
      <c r="V46" s="27">
        <v>31.9</v>
      </c>
      <c r="W46" s="33">
        <v>34.9</v>
      </c>
    </row>
    <row r="47" spans="1:23">
      <c r="A47" s="24" t="s">
        <v>560</v>
      </c>
      <c r="B47" s="45">
        <v>200</v>
      </c>
      <c r="C47" s="45">
        <v>100</v>
      </c>
      <c r="D47" s="45">
        <v>10</v>
      </c>
      <c r="E47" s="45">
        <v>10</v>
      </c>
      <c r="F47" s="25">
        <v>23.1</v>
      </c>
      <c r="G47" s="25">
        <v>15</v>
      </c>
      <c r="H47" s="25">
        <f t="shared" si="1"/>
        <v>175</v>
      </c>
      <c r="I47" s="25">
        <v>4.8</v>
      </c>
      <c r="J47" s="25">
        <v>6.95</v>
      </c>
      <c r="K47" s="25">
        <v>2.0299999999999998</v>
      </c>
      <c r="L47" s="25">
        <v>0.26500000000000001</v>
      </c>
      <c r="M47" s="25">
        <v>1233</v>
      </c>
      <c r="N47" s="25">
        <v>215</v>
      </c>
      <c r="O47" s="25">
        <v>1310</v>
      </c>
      <c r="P47" s="25">
        <v>138</v>
      </c>
      <c r="Q47" s="25">
        <v>6.48</v>
      </c>
      <c r="R47" s="25">
        <v>2.7</v>
      </c>
      <c r="S47" s="25">
        <v>6.68</v>
      </c>
      <c r="T47" s="25">
        <v>2.17</v>
      </c>
      <c r="U47" s="25">
        <v>94.5</v>
      </c>
      <c r="V47" s="25">
        <v>26.9</v>
      </c>
      <c r="W47" s="32">
        <v>29.4</v>
      </c>
    </row>
    <row r="48" spans="1:23">
      <c r="A48" s="26" t="s">
        <v>561</v>
      </c>
      <c r="B48" s="44">
        <v>150</v>
      </c>
      <c r="C48" s="44">
        <v>90</v>
      </c>
      <c r="D48" s="44">
        <v>15</v>
      </c>
      <c r="E48" s="44">
        <v>15</v>
      </c>
      <c r="F48" s="27">
        <v>26.7</v>
      </c>
      <c r="G48" s="27">
        <v>12</v>
      </c>
      <c r="H48" s="27">
        <f t="shared" si="1"/>
        <v>123</v>
      </c>
      <c r="I48" s="27">
        <v>4.8</v>
      </c>
      <c r="J48" s="27">
        <v>5.21</v>
      </c>
      <c r="K48" s="27">
        <v>2.2400000000000002</v>
      </c>
      <c r="L48" s="27">
        <v>0.35399999999999998</v>
      </c>
      <c r="M48" s="27">
        <v>764</v>
      </c>
      <c r="N48" s="27">
        <v>207</v>
      </c>
      <c r="O48" s="27">
        <v>844</v>
      </c>
      <c r="P48" s="27">
        <v>127</v>
      </c>
      <c r="Q48" s="27">
        <v>4.74</v>
      </c>
      <c r="R48" s="27">
        <v>2.4700000000000002</v>
      </c>
      <c r="S48" s="27">
        <v>4.99</v>
      </c>
      <c r="T48" s="27">
        <v>1.93</v>
      </c>
      <c r="U48" s="27">
        <v>78</v>
      </c>
      <c r="V48" s="27">
        <v>30.6</v>
      </c>
      <c r="W48" s="33">
        <v>34</v>
      </c>
    </row>
    <row r="49" spans="1:23">
      <c r="A49" s="26" t="s">
        <v>562</v>
      </c>
      <c r="B49" s="44">
        <v>150</v>
      </c>
      <c r="C49" s="44">
        <v>90</v>
      </c>
      <c r="D49" s="44">
        <v>12</v>
      </c>
      <c r="E49" s="44">
        <v>12</v>
      </c>
      <c r="F49" s="27">
        <v>21.6</v>
      </c>
      <c r="G49" s="27">
        <v>12</v>
      </c>
      <c r="H49" s="27">
        <f t="shared" si="1"/>
        <v>126</v>
      </c>
      <c r="I49" s="27">
        <v>4.8</v>
      </c>
      <c r="J49" s="27">
        <v>5.09</v>
      </c>
      <c r="K49" s="27">
        <v>2.12</v>
      </c>
      <c r="L49" s="27">
        <v>0.35899999999999999</v>
      </c>
      <c r="M49" s="27">
        <v>630</v>
      </c>
      <c r="N49" s="27">
        <v>172</v>
      </c>
      <c r="O49" s="27">
        <v>698</v>
      </c>
      <c r="P49" s="27">
        <v>104</v>
      </c>
      <c r="Q49" s="27">
        <v>4.78</v>
      </c>
      <c r="R49" s="27">
        <v>2.5</v>
      </c>
      <c r="S49" s="27">
        <v>5.03</v>
      </c>
      <c r="T49" s="27">
        <v>1.95</v>
      </c>
      <c r="U49" s="27">
        <v>63.6</v>
      </c>
      <c r="V49" s="27">
        <v>25</v>
      </c>
      <c r="W49" s="33">
        <v>27.6</v>
      </c>
    </row>
    <row r="50" spans="1:23">
      <c r="A50" s="24" t="s">
        <v>563</v>
      </c>
      <c r="B50" s="45">
        <v>150</v>
      </c>
      <c r="C50" s="45">
        <v>90</v>
      </c>
      <c r="D50" s="45">
        <v>10</v>
      </c>
      <c r="E50" s="45">
        <v>10</v>
      </c>
      <c r="F50" s="25">
        <v>18.2</v>
      </c>
      <c r="G50" s="25">
        <v>12</v>
      </c>
      <c r="H50" s="25">
        <f t="shared" si="1"/>
        <v>128</v>
      </c>
      <c r="I50" s="25">
        <v>4.8</v>
      </c>
      <c r="J50" s="25">
        <v>5</v>
      </c>
      <c r="K50" s="25">
        <v>2.04</v>
      </c>
      <c r="L50" s="25">
        <v>0.36099999999999999</v>
      </c>
      <c r="M50" s="25">
        <v>536</v>
      </c>
      <c r="N50" s="25">
        <v>147</v>
      </c>
      <c r="O50" s="25">
        <v>595</v>
      </c>
      <c r="P50" s="25">
        <v>89.1</v>
      </c>
      <c r="Q50" s="25">
        <v>4.8099999999999996</v>
      </c>
      <c r="R50" s="25">
        <v>2.52</v>
      </c>
      <c r="S50" s="25">
        <v>5.0599999999999996</v>
      </c>
      <c r="T50" s="25">
        <v>1.96</v>
      </c>
      <c r="U50" s="25">
        <v>53.6</v>
      </c>
      <c r="V50" s="25">
        <v>21.2</v>
      </c>
      <c r="W50" s="32">
        <v>23.2</v>
      </c>
    </row>
    <row r="51" spans="1:23">
      <c r="A51" s="26" t="s">
        <v>564</v>
      </c>
      <c r="B51" s="44">
        <v>150</v>
      </c>
      <c r="C51" s="44">
        <v>75</v>
      </c>
      <c r="D51" s="44">
        <v>15</v>
      </c>
      <c r="E51" s="44">
        <v>15</v>
      </c>
      <c r="F51" s="27">
        <v>24.9</v>
      </c>
      <c r="G51" s="27">
        <v>11</v>
      </c>
      <c r="H51" s="27">
        <f t="shared" si="1"/>
        <v>124</v>
      </c>
      <c r="I51" s="27">
        <v>4.8</v>
      </c>
      <c r="J51" s="27">
        <v>5.53</v>
      </c>
      <c r="K51" s="27">
        <v>1.81</v>
      </c>
      <c r="L51" s="27">
        <v>0.254</v>
      </c>
      <c r="M51" s="27">
        <v>715</v>
      </c>
      <c r="N51" s="27">
        <v>120</v>
      </c>
      <c r="O51" s="27">
        <v>756</v>
      </c>
      <c r="P51" s="27">
        <v>79.2</v>
      </c>
      <c r="Q51" s="27">
        <v>4.75</v>
      </c>
      <c r="R51" s="27">
        <v>1.95</v>
      </c>
      <c r="S51" s="27">
        <v>4.8899999999999997</v>
      </c>
      <c r="T51" s="27">
        <v>1.58</v>
      </c>
      <c r="U51" s="27">
        <v>75.5</v>
      </c>
      <c r="V51" s="27">
        <v>21.1</v>
      </c>
      <c r="W51" s="33">
        <v>31.7</v>
      </c>
    </row>
    <row r="52" spans="1:23">
      <c r="A52" s="26" t="s">
        <v>565</v>
      </c>
      <c r="B52" s="44">
        <v>150</v>
      </c>
      <c r="C52" s="44">
        <v>75</v>
      </c>
      <c r="D52" s="44">
        <v>12</v>
      </c>
      <c r="E52" s="44">
        <v>12</v>
      </c>
      <c r="F52" s="27">
        <v>20.2</v>
      </c>
      <c r="G52" s="27">
        <v>11</v>
      </c>
      <c r="H52" s="27">
        <f t="shared" si="1"/>
        <v>127</v>
      </c>
      <c r="I52" s="27">
        <v>4.8</v>
      </c>
      <c r="J52" s="27">
        <v>5.41</v>
      </c>
      <c r="K52" s="27">
        <v>1.7</v>
      </c>
      <c r="L52" s="27">
        <v>0.25900000000000001</v>
      </c>
      <c r="M52" s="27">
        <v>591</v>
      </c>
      <c r="N52" s="27">
        <v>100</v>
      </c>
      <c r="O52" s="27">
        <v>626</v>
      </c>
      <c r="P52" s="27">
        <v>65.2</v>
      </c>
      <c r="Q52" s="27">
        <v>4.79</v>
      </c>
      <c r="R52" s="27">
        <v>1.98</v>
      </c>
      <c r="S52" s="27">
        <v>4.93</v>
      </c>
      <c r="T52" s="27">
        <v>1.59</v>
      </c>
      <c r="U52" s="27">
        <v>61.6</v>
      </c>
      <c r="V52" s="27">
        <v>17.3</v>
      </c>
      <c r="W52" s="33">
        <v>25.7</v>
      </c>
    </row>
    <row r="53" spans="1:23">
      <c r="A53" s="24" t="s">
        <v>566</v>
      </c>
      <c r="B53" s="45">
        <v>150</v>
      </c>
      <c r="C53" s="45">
        <v>75</v>
      </c>
      <c r="D53" s="45">
        <v>10</v>
      </c>
      <c r="E53" s="45">
        <v>10</v>
      </c>
      <c r="F53" s="25">
        <v>17</v>
      </c>
      <c r="G53" s="25">
        <v>11</v>
      </c>
      <c r="H53" s="25">
        <f t="shared" si="1"/>
        <v>129</v>
      </c>
      <c r="I53" s="25">
        <v>4.8</v>
      </c>
      <c r="J53" s="25">
        <v>5.32</v>
      </c>
      <c r="K53" s="25">
        <v>1.62</v>
      </c>
      <c r="L53" s="25">
        <v>0.26200000000000001</v>
      </c>
      <c r="M53" s="25">
        <v>503</v>
      </c>
      <c r="N53" s="25">
        <v>86.3</v>
      </c>
      <c r="O53" s="25">
        <v>534</v>
      </c>
      <c r="P53" s="25">
        <v>55.7</v>
      </c>
      <c r="Q53" s="25">
        <v>4.82</v>
      </c>
      <c r="R53" s="25">
        <v>2</v>
      </c>
      <c r="S53" s="25">
        <v>4.96</v>
      </c>
      <c r="T53" s="25">
        <v>1.6</v>
      </c>
      <c r="U53" s="25">
        <v>52</v>
      </c>
      <c r="V53" s="25">
        <v>14.7</v>
      </c>
      <c r="W53" s="32">
        <v>21.7</v>
      </c>
    </row>
    <row r="54" spans="1:23">
      <c r="A54" s="26" t="s">
        <v>567</v>
      </c>
      <c r="B54" s="44">
        <v>125</v>
      </c>
      <c r="C54" s="44">
        <v>75</v>
      </c>
      <c r="D54" s="44">
        <v>12</v>
      </c>
      <c r="E54" s="44">
        <v>12</v>
      </c>
      <c r="F54" s="27">
        <v>17.8</v>
      </c>
      <c r="G54" s="27">
        <v>11</v>
      </c>
      <c r="H54" s="27">
        <f t="shared" si="1"/>
        <v>102</v>
      </c>
      <c r="I54" s="27">
        <v>4.8</v>
      </c>
      <c r="J54" s="27">
        <v>4.3099999999999996</v>
      </c>
      <c r="K54" s="27">
        <v>1.84</v>
      </c>
      <c r="L54" s="27">
        <v>0.35399999999999998</v>
      </c>
      <c r="M54" s="27">
        <v>355</v>
      </c>
      <c r="N54" s="27">
        <v>96</v>
      </c>
      <c r="O54" s="27">
        <v>392</v>
      </c>
      <c r="P54" s="27">
        <v>58.8</v>
      </c>
      <c r="Q54" s="27">
        <v>3.95</v>
      </c>
      <c r="R54" s="27">
        <v>2.06</v>
      </c>
      <c r="S54" s="27">
        <v>4.16</v>
      </c>
      <c r="T54" s="27">
        <v>1.61</v>
      </c>
      <c r="U54" s="27">
        <v>43.4</v>
      </c>
      <c r="V54" s="27">
        <v>17</v>
      </c>
      <c r="W54" s="33">
        <v>22.7</v>
      </c>
    </row>
    <row r="55" spans="1:23">
      <c r="A55" s="26" t="s">
        <v>568</v>
      </c>
      <c r="B55" s="44">
        <v>125</v>
      </c>
      <c r="C55" s="44">
        <v>75</v>
      </c>
      <c r="D55" s="44">
        <v>10</v>
      </c>
      <c r="E55" s="44">
        <v>10</v>
      </c>
      <c r="F55" s="27">
        <v>15</v>
      </c>
      <c r="G55" s="27">
        <v>11</v>
      </c>
      <c r="H55" s="27">
        <f t="shared" si="1"/>
        <v>104</v>
      </c>
      <c r="I55" s="27">
        <v>4.8</v>
      </c>
      <c r="J55" s="27">
        <v>4.2300000000000004</v>
      </c>
      <c r="K55" s="27">
        <v>1.76</v>
      </c>
      <c r="L55" s="27">
        <v>0.35799999999999998</v>
      </c>
      <c r="M55" s="27">
        <v>303</v>
      </c>
      <c r="N55" s="27">
        <v>82.5</v>
      </c>
      <c r="O55" s="27">
        <v>336</v>
      </c>
      <c r="P55" s="27">
        <v>50.2</v>
      </c>
      <c r="Q55" s="27">
        <v>3.98</v>
      </c>
      <c r="R55" s="27">
        <v>2.08</v>
      </c>
      <c r="S55" s="27">
        <v>4.18</v>
      </c>
      <c r="T55" s="27">
        <v>1.62</v>
      </c>
      <c r="U55" s="27">
        <v>36.700000000000003</v>
      </c>
      <c r="V55" s="27">
        <v>14.4</v>
      </c>
      <c r="W55" s="33">
        <v>19.2</v>
      </c>
    </row>
    <row r="56" spans="1:23">
      <c r="A56" s="24" t="s">
        <v>569</v>
      </c>
      <c r="B56" s="45">
        <v>125</v>
      </c>
      <c r="C56" s="45">
        <v>75</v>
      </c>
      <c r="D56" s="45">
        <v>8</v>
      </c>
      <c r="E56" s="45">
        <v>8</v>
      </c>
      <c r="F56" s="25">
        <v>12.2</v>
      </c>
      <c r="G56" s="25">
        <v>11</v>
      </c>
      <c r="H56" s="25">
        <f t="shared" si="1"/>
        <v>106</v>
      </c>
      <c r="I56" s="25">
        <v>4.8</v>
      </c>
      <c r="J56" s="25">
        <v>4.1399999999999997</v>
      </c>
      <c r="K56" s="25">
        <v>1.68</v>
      </c>
      <c r="L56" s="25">
        <v>0.36</v>
      </c>
      <c r="M56" s="25">
        <v>249</v>
      </c>
      <c r="N56" s="25">
        <v>68.099999999999994</v>
      </c>
      <c r="O56" s="25">
        <v>275</v>
      </c>
      <c r="P56" s="25">
        <v>41.2</v>
      </c>
      <c r="Q56" s="25">
        <v>4</v>
      </c>
      <c r="R56" s="25">
        <v>2.09</v>
      </c>
      <c r="S56" s="25">
        <v>4.21</v>
      </c>
      <c r="T56" s="25">
        <v>1.63</v>
      </c>
      <c r="U56" s="25">
        <v>29.7</v>
      </c>
      <c r="V56" s="25">
        <v>11.7</v>
      </c>
      <c r="W56" s="32">
        <v>15.5</v>
      </c>
    </row>
    <row r="57" spans="1:23">
      <c r="A57" s="26" t="s">
        <v>570</v>
      </c>
      <c r="B57" s="44">
        <v>100</v>
      </c>
      <c r="C57" s="44">
        <v>75</v>
      </c>
      <c r="D57" s="44">
        <v>2</v>
      </c>
      <c r="E57" s="44">
        <v>2</v>
      </c>
      <c r="F57" s="27">
        <v>15.4</v>
      </c>
      <c r="G57" s="27">
        <v>10</v>
      </c>
      <c r="H57" s="27">
        <f t="shared" si="1"/>
        <v>88</v>
      </c>
      <c r="I57" s="27">
        <v>4.8</v>
      </c>
      <c r="J57" s="27">
        <v>3.27</v>
      </c>
      <c r="K57" s="27">
        <v>2.0299999999999998</v>
      </c>
      <c r="L57" s="27">
        <v>0.54</v>
      </c>
      <c r="M57" s="27">
        <v>189</v>
      </c>
      <c r="N57" s="27">
        <v>90.3</v>
      </c>
      <c r="O57" s="27">
        <v>230</v>
      </c>
      <c r="P57" s="27">
        <v>49.5</v>
      </c>
      <c r="Q57" s="27">
        <v>3.1</v>
      </c>
      <c r="R57" s="27">
        <v>2.14</v>
      </c>
      <c r="S57" s="27">
        <v>3.42</v>
      </c>
      <c r="T57" s="27">
        <v>1.59</v>
      </c>
      <c r="U57" s="27">
        <v>28.1</v>
      </c>
      <c r="V57" s="27">
        <v>16.5</v>
      </c>
      <c r="W57" s="33">
        <v>19.7</v>
      </c>
    </row>
    <row r="58" spans="1:23">
      <c r="A58" s="26" t="s">
        <v>571</v>
      </c>
      <c r="B58" s="44">
        <v>100</v>
      </c>
      <c r="C58" s="44">
        <v>75</v>
      </c>
      <c r="D58" s="44">
        <v>0</v>
      </c>
      <c r="E58" s="44">
        <v>0</v>
      </c>
      <c r="F58" s="27">
        <v>13</v>
      </c>
      <c r="G58" s="27">
        <v>10</v>
      </c>
      <c r="H58" s="27">
        <f t="shared" si="1"/>
        <v>90</v>
      </c>
      <c r="I58" s="27">
        <v>4.8</v>
      </c>
      <c r="J58" s="27">
        <v>3.19</v>
      </c>
      <c r="K58" s="27">
        <v>1.95</v>
      </c>
      <c r="L58" s="27">
        <v>0.54400000000000004</v>
      </c>
      <c r="M58" s="27">
        <v>162</v>
      </c>
      <c r="N58" s="27">
        <v>77.7</v>
      </c>
      <c r="O58" s="27">
        <v>197</v>
      </c>
      <c r="P58" s="27">
        <v>42.2</v>
      </c>
      <c r="Q58" s="27">
        <v>3.12</v>
      </c>
      <c r="R58" s="27">
        <v>2.16</v>
      </c>
      <c r="S58" s="27">
        <v>3.45</v>
      </c>
      <c r="T58" s="27">
        <v>1.59</v>
      </c>
      <c r="U58" s="27">
        <v>23.8</v>
      </c>
      <c r="V58" s="27">
        <v>14</v>
      </c>
      <c r="W58" s="33">
        <v>16.600000000000001</v>
      </c>
    </row>
    <row r="59" spans="1:23">
      <c r="A59" s="24" t="s">
        <v>572</v>
      </c>
      <c r="B59" s="45">
        <v>100</v>
      </c>
      <c r="C59" s="45">
        <v>75</v>
      </c>
      <c r="D59" s="45">
        <v>8</v>
      </c>
      <c r="E59" s="45">
        <v>8</v>
      </c>
      <c r="F59" s="25">
        <v>10.6</v>
      </c>
      <c r="G59" s="25">
        <v>10</v>
      </c>
      <c r="H59" s="25">
        <f t="shared" si="1"/>
        <v>82</v>
      </c>
      <c r="I59" s="25">
        <v>4.8</v>
      </c>
      <c r="J59" s="25">
        <v>3.1</v>
      </c>
      <c r="K59" s="25">
        <v>1.87</v>
      </c>
      <c r="L59" s="25">
        <v>0.54700000000000004</v>
      </c>
      <c r="M59" s="25">
        <v>133</v>
      </c>
      <c r="N59" s="25">
        <v>64.2</v>
      </c>
      <c r="O59" s="25">
        <v>163</v>
      </c>
      <c r="P59" s="25">
        <v>34.700000000000003</v>
      </c>
      <c r="Q59" s="25">
        <v>3.14</v>
      </c>
      <c r="R59" s="25">
        <v>2.1800000000000002</v>
      </c>
      <c r="S59" s="25">
        <v>3.48</v>
      </c>
      <c r="T59" s="25">
        <v>1.61</v>
      </c>
      <c r="U59" s="25">
        <v>19.3</v>
      </c>
      <c r="V59" s="25">
        <v>11.4</v>
      </c>
      <c r="W59" s="32">
        <v>13.5</v>
      </c>
    </row>
    <row r="60" spans="1:23">
      <c r="A60" s="26" t="s">
        <v>573</v>
      </c>
      <c r="B60" s="44">
        <v>100</v>
      </c>
      <c r="C60" s="44">
        <v>65</v>
      </c>
      <c r="D60" s="44">
        <v>0</v>
      </c>
      <c r="E60" s="44">
        <v>0</v>
      </c>
      <c r="F60" s="27">
        <v>12.3</v>
      </c>
      <c r="G60" s="27">
        <v>10</v>
      </c>
      <c r="H60" s="27">
        <f t="shared" si="1"/>
        <v>90</v>
      </c>
      <c r="I60" s="27">
        <v>4.8</v>
      </c>
      <c r="J60" s="27">
        <v>3.36</v>
      </c>
      <c r="K60" s="27">
        <v>1.63</v>
      </c>
      <c r="L60" s="27">
        <v>0.41</v>
      </c>
      <c r="M60" s="27">
        <v>154</v>
      </c>
      <c r="N60" s="27">
        <v>51.1</v>
      </c>
      <c r="O60" s="27">
        <v>175</v>
      </c>
      <c r="P60" s="27">
        <v>30.2</v>
      </c>
      <c r="Q60" s="27">
        <v>3.14</v>
      </c>
      <c r="R60" s="27">
        <v>1.81</v>
      </c>
      <c r="S60" s="27">
        <v>3.35</v>
      </c>
      <c r="T60" s="27">
        <v>1.39</v>
      </c>
      <c r="U60" s="27">
        <v>23.2</v>
      </c>
      <c r="V60" s="27">
        <v>10.5</v>
      </c>
      <c r="W60" s="33">
        <v>15.6</v>
      </c>
    </row>
    <row r="61" spans="1:23">
      <c r="A61" s="26" t="s">
        <v>574</v>
      </c>
      <c r="B61" s="44">
        <v>100</v>
      </c>
      <c r="C61" s="44">
        <v>65</v>
      </c>
      <c r="D61" s="44">
        <v>8</v>
      </c>
      <c r="E61" s="44">
        <v>8</v>
      </c>
      <c r="F61" s="27">
        <v>10</v>
      </c>
      <c r="G61" s="27">
        <v>10</v>
      </c>
      <c r="H61" s="27">
        <f t="shared" si="1"/>
        <v>82</v>
      </c>
      <c r="I61" s="27">
        <v>4.8</v>
      </c>
      <c r="J61" s="27">
        <v>3.28</v>
      </c>
      <c r="K61" s="27">
        <v>1.56</v>
      </c>
      <c r="L61" s="27">
        <v>0.41399999999999998</v>
      </c>
      <c r="M61" s="27">
        <v>127</v>
      </c>
      <c r="N61" s="27">
        <v>42.3</v>
      </c>
      <c r="O61" s="27">
        <v>144</v>
      </c>
      <c r="P61" s="27">
        <v>24.9</v>
      </c>
      <c r="Q61" s="27">
        <v>3.17</v>
      </c>
      <c r="R61" s="27">
        <v>1.83</v>
      </c>
      <c r="S61" s="27">
        <v>3.38</v>
      </c>
      <c r="T61" s="27">
        <v>1.4</v>
      </c>
      <c r="U61" s="27">
        <v>18.899999999999999</v>
      </c>
      <c r="V61" s="27">
        <v>8.56</v>
      </c>
      <c r="W61" s="33">
        <v>12.7</v>
      </c>
    </row>
    <row r="62" spans="1:23">
      <c r="A62" s="24" t="s">
        <v>575</v>
      </c>
      <c r="B62" s="45">
        <v>100</v>
      </c>
      <c r="C62" s="45">
        <v>65</v>
      </c>
      <c r="D62" s="45">
        <v>7</v>
      </c>
      <c r="E62" s="45">
        <v>7</v>
      </c>
      <c r="F62" s="25">
        <v>8.8000000000000007</v>
      </c>
      <c r="G62" s="25">
        <v>10</v>
      </c>
      <c r="H62" s="25">
        <f t="shared" si="1"/>
        <v>83</v>
      </c>
      <c r="I62" s="25">
        <v>4.8</v>
      </c>
      <c r="J62" s="25">
        <v>3.23</v>
      </c>
      <c r="K62" s="25">
        <v>1.51</v>
      </c>
      <c r="L62" s="25">
        <v>0.41499999999999998</v>
      </c>
      <c r="M62" s="25">
        <v>113</v>
      </c>
      <c r="N62" s="25">
        <v>37.700000000000003</v>
      </c>
      <c r="O62" s="25">
        <v>128</v>
      </c>
      <c r="P62" s="25">
        <v>22.1</v>
      </c>
      <c r="Q62" s="25">
        <v>3.18</v>
      </c>
      <c r="R62" s="25">
        <v>1.84</v>
      </c>
      <c r="S62" s="25">
        <v>3.39</v>
      </c>
      <c r="T62" s="25">
        <v>1.41</v>
      </c>
      <c r="U62" s="25">
        <v>16.600000000000001</v>
      </c>
      <c r="V62" s="25">
        <v>7.56</v>
      </c>
      <c r="W62" s="32">
        <v>11.2</v>
      </c>
    </row>
    <row r="63" spans="1:23">
      <c r="A63" s="47" t="s">
        <v>576</v>
      </c>
      <c r="B63" s="44">
        <v>80</v>
      </c>
      <c r="C63" s="44">
        <v>60</v>
      </c>
      <c r="D63" s="44">
        <v>8</v>
      </c>
      <c r="E63" s="44">
        <v>8</v>
      </c>
      <c r="F63" s="27">
        <v>8.3000000000000007</v>
      </c>
      <c r="G63" s="27">
        <v>8</v>
      </c>
      <c r="H63" s="27">
        <f t="shared" si="1"/>
        <v>64</v>
      </c>
      <c r="I63" s="27">
        <v>4.8</v>
      </c>
      <c r="J63" s="27">
        <v>2.5499999999999998</v>
      </c>
      <c r="K63" s="27">
        <v>1.56</v>
      </c>
      <c r="L63" s="27">
        <v>0.54400000000000004</v>
      </c>
      <c r="M63" s="27">
        <v>65.8</v>
      </c>
      <c r="N63" s="27">
        <v>31.5</v>
      </c>
      <c r="O63" s="27">
        <v>80.2</v>
      </c>
      <c r="P63" s="27">
        <v>17.100000000000001</v>
      </c>
      <c r="Q63" s="27">
        <v>2.4900000000000002</v>
      </c>
      <c r="R63" s="27">
        <v>1.72</v>
      </c>
      <c r="S63" s="27">
        <v>2.75</v>
      </c>
      <c r="T63" s="27">
        <v>1.27</v>
      </c>
      <c r="U63" s="27">
        <v>12.1</v>
      </c>
      <c r="V63" s="27">
        <v>7.09</v>
      </c>
      <c r="W63" s="33">
        <v>10.6</v>
      </c>
    </row>
    <row r="64" spans="1:23">
      <c r="A64" s="47" t="s">
        <v>577</v>
      </c>
      <c r="B64" s="44">
        <v>80</v>
      </c>
      <c r="C64" s="44">
        <v>60</v>
      </c>
      <c r="D64" s="44">
        <v>7</v>
      </c>
      <c r="E64" s="44">
        <v>7</v>
      </c>
      <c r="F64" s="27">
        <v>7.3</v>
      </c>
      <c r="G64" s="27">
        <v>8</v>
      </c>
      <c r="H64" s="27">
        <f t="shared" si="1"/>
        <v>65</v>
      </c>
      <c r="I64" s="27">
        <v>4.8</v>
      </c>
      <c r="J64" s="27">
        <v>2.5</v>
      </c>
      <c r="K64" s="27">
        <v>1.52</v>
      </c>
      <c r="L64" s="27">
        <v>0.54500000000000004</v>
      </c>
      <c r="M64" s="27">
        <v>58.5</v>
      </c>
      <c r="N64" s="27">
        <v>28.1</v>
      </c>
      <c r="O64" s="27">
        <v>71.400000000000006</v>
      </c>
      <c r="P64" s="27">
        <v>15.2</v>
      </c>
      <c r="Q64" s="27">
        <v>2.5</v>
      </c>
      <c r="R64" s="27">
        <v>1.73</v>
      </c>
      <c r="S64" s="27">
        <v>2.76</v>
      </c>
      <c r="T64" s="27">
        <v>1.27</v>
      </c>
      <c r="U64" s="27">
        <v>10.6</v>
      </c>
      <c r="V64" s="27">
        <v>6.26</v>
      </c>
      <c r="W64" s="33">
        <v>9.35</v>
      </c>
    </row>
    <row r="65" spans="1:23">
      <c r="A65" s="34" t="s">
        <v>578</v>
      </c>
      <c r="B65" s="45">
        <v>80</v>
      </c>
      <c r="C65" s="45">
        <v>60</v>
      </c>
      <c r="D65" s="45">
        <v>6</v>
      </c>
      <c r="E65" s="45">
        <v>6</v>
      </c>
      <c r="F65" s="25">
        <v>6.3</v>
      </c>
      <c r="G65" s="25">
        <v>8</v>
      </c>
      <c r="H65" s="25">
        <f t="shared" si="1"/>
        <v>66</v>
      </c>
      <c r="I65" s="25">
        <v>4.8</v>
      </c>
      <c r="J65" s="25">
        <v>2.46</v>
      </c>
      <c r="K65" s="25">
        <v>1.48</v>
      </c>
      <c r="L65" s="25">
        <v>0.54600000000000004</v>
      </c>
      <c r="M65" s="25">
        <v>50.9</v>
      </c>
      <c r="N65" s="25">
        <v>24.5</v>
      </c>
      <c r="O65" s="25">
        <v>62.2</v>
      </c>
      <c r="P65" s="25">
        <v>13.2</v>
      </c>
      <c r="Q65" s="25">
        <v>2.5099999999999998</v>
      </c>
      <c r="R65" s="25">
        <v>1.74</v>
      </c>
      <c r="S65" s="25">
        <v>2.77</v>
      </c>
      <c r="T65" s="25">
        <v>1.28</v>
      </c>
      <c r="U65" s="25">
        <v>9.19</v>
      </c>
      <c r="V65" s="25">
        <v>5.41</v>
      </c>
      <c r="W65" s="32">
        <v>8.08</v>
      </c>
    </row>
    <row r="66" spans="1:23">
      <c r="A66" s="47" t="s">
        <v>579</v>
      </c>
      <c r="B66" s="44">
        <v>75</v>
      </c>
      <c r="C66" s="44">
        <v>50</v>
      </c>
      <c r="D66" s="44">
        <v>8</v>
      </c>
      <c r="E66" s="44">
        <v>8</v>
      </c>
      <c r="F66" s="27">
        <v>7.4</v>
      </c>
      <c r="G66" s="27">
        <v>7</v>
      </c>
      <c r="H66" s="27">
        <f t="shared" si="1"/>
        <v>60</v>
      </c>
      <c r="I66" s="27">
        <v>2.4</v>
      </c>
      <c r="J66" s="27">
        <v>2.5299999999999998</v>
      </c>
      <c r="K66" s="27">
        <v>1.29</v>
      </c>
      <c r="L66" s="27">
        <v>0.43</v>
      </c>
      <c r="M66" s="27">
        <v>52.4</v>
      </c>
      <c r="N66" s="27">
        <v>18.600000000000001</v>
      </c>
      <c r="O66" s="27">
        <v>60.1</v>
      </c>
      <c r="P66" s="27">
        <v>10.9</v>
      </c>
      <c r="Q66" s="27">
        <v>2.36</v>
      </c>
      <c r="R66" s="27">
        <v>1.4</v>
      </c>
      <c r="S66" s="27">
        <v>2.52</v>
      </c>
      <c r="T66" s="27">
        <v>1.07</v>
      </c>
      <c r="U66" s="27">
        <v>10.5</v>
      </c>
      <c r="V66" s="27">
        <v>5</v>
      </c>
      <c r="W66" s="33">
        <v>9.44</v>
      </c>
    </row>
    <row r="67" spans="1:23">
      <c r="A67" s="34" t="s">
        <v>580</v>
      </c>
      <c r="B67" s="45">
        <v>75</v>
      </c>
      <c r="C67" s="45">
        <v>50</v>
      </c>
      <c r="D67" s="45">
        <v>6</v>
      </c>
      <c r="E67" s="45">
        <v>6</v>
      </c>
      <c r="F67" s="25">
        <v>5.7</v>
      </c>
      <c r="G67" s="25">
        <v>7</v>
      </c>
      <c r="H67" s="25">
        <f t="shared" si="1"/>
        <v>62</v>
      </c>
      <c r="I67" s="25">
        <v>2.4</v>
      </c>
      <c r="J67" s="25">
        <v>2.44</v>
      </c>
      <c r="K67" s="25">
        <v>1.21</v>
      </c>
      <c r="L67" s="25">
        <v>0.436</v>
      </c>
      <c r="M67" s="25">
        <v>40.9</v>
      </c>
      <c r="N67" s="25">
        <v>14.6</v>
      </c>
      <c r="O67" s="25">
        <v>47.1</v>
      </c>
      <c r="P67" s="25">
        <v>8.48</v>
      </c>
      <c r="Q67" s="25">
        <v>2.38</v>
      </c>
      <c r="R67" s="25">
        <v>1.42</v>
      </c>
      <c r="S67" s="25">
        <v>2.5499999999999998</v>
      </c>
      <c r="T67" s="25">
        <v>1.08</v>
      </c>
      <c r="U67" s="25">
        <v>8.1</v>
      </c>
      <c r="V67" s="25">
        <v>3.86</v>
      </c>
      <c r="W67" s="32">
        <v>7.22</v>
      </c>
    </row>
    <row r="68" spans="1:23">
      <c r="A68" s="47" t="s">
        <v>581</v>
      </c>
      <c r="B68" s="44">
        <v>65</v>
      </c>
      <c r="C68" s="44">
        <v>50</v>
      </c>
      <c r="D68" s="44">
        <v>8</v>
      </c>
      <c r="E68" s="44">
        <v>8</v>
      </c>
      <c r="F68" s="27">
        <v>6.8</v>
      </c>
      <c r="G68" s="27">
        <v>6</v>
      </c>
      <c r="H68" s="27">
        <f t="shared" si="1"/>
        <v>51</v>
      </c>
      <c r="I68" s="27">
        <v>2.4</v>
      </c>
      <c r="J68" s="27">
        <v>2.12</v>
      </c>
      <c r="K68" s="27">
        <v>1.37</v>
      </c>
      <c r="L68" s="27">
        <v>0.56899999999999995</v>
      </c>
      <c r="M68" s="27">
        <v>34.9</v>
      </c>
      <c r="N68" s="27">
        <v>17.8</v>
      </c>
      <c r="O68" s="27">
        <v>43.1</v>
      </c>
      <c r="P68" s="27">
        <v>9.6199999999999992</v>
      </c>
      <c r="Q68" s="27">
        <v>2.0099999999999998</v>
      </c>
      <c r="R68" s="27">
        <v>1.44</v>
      </c>
      <c r="S68" s="27">
        <v>2.2400000000000002</v>
      </c>
      <c r="T68" s="27">
        <v>1.06</v>
      </c>
      <c r="U68" s="27">
        <v>7.97</v>
      </c>
      <c r="V68" s="27">
        <v>4.92</v>
      </c>
      <c r="W68" s="33">
        <v>8.61</v>
      </c>
    </row>
    <row r="69" spans="1:23">
      <c r="A69" s="47" t="s">
        <v>582</v>
      </c>
      <c r="B69" s="44">
        <v>65</v>
      </c>
      <c r="C69" s="44">
        <v>50</v>
      </c>
      <c r="D69" s="44">
        <v>6</v>
      </c>
      <c r="E69" s="44">
        <v>6</v>
      </c>
      <c r="F69" s="27">
        <v>5.2</v>
      </c>
      <c r="G69" s="27">
        <v>6</v>
      </c>
      <c r="H69" s="27">
        <f t="shared" si="1"/>
        <v>53</v>
      </c>
      <c r="I69" s="27">
        <v>2.4</v>
      </c>
      <c r="J69" s="27">
        <v>2.04</v>
      </c>
      <c r="K69" s="27">
        <v>1.3</v>
      </c>
      <c r="L69" s="27">
        <v>0.57499999999999996</v>
      </c>
      <c r="M69" s="27">
        <v>27.4</v>
      </c>
      <c r="N69" s="27">
        <v>14.1</v>
      </c>
      <c r="O69" s="27">
        <v>34</v>
      </c>
      <c r="P69" s="27">
        <v>7.49</v>
      </c>
      <c r="Q69" s="27">
        <v>2.04</v>
      </c>
      <c r="R69" s="27">
        <v>1.46</v>
      </c>
      <c r="S69" s="27">
        <v>2.27</v>
      </c>
      <c r="T69" s="27">
        <v>1.07</v>
      </c>
      <c r="U69" s="27">
        <v>6.14</v>
      </c>
      <c r="V69" s="27">
        <v>3.8</v>
      </c>
      <c r="W69" s="33">
        <v>6.59</v>
      </c>
    </row>
    <row r="70" spans="1:23">
      <c r="A70" s="34" t="s">
        <v>583</v>
      </c>
      <c r="B70" s="45">
        <v>65</v>
      </c>
      <c r="C70" s="45">
        <v>50</v>
      </c>
      <c r="D70" s="45">
        <v>5</v>
      </c>
      <c r="E70" s="45">
        <v>5</v>
      </c>
      <c r="F70" s="25">
        <v>4.4000000000000004</v>
      </c>
      <c r="G70" s="25">
        <v>6</v>
      </c>
      <c r="H70" s="25">
        <f t="shared" si="1"/>
        <v>54</v>
      </c>
      <c r="I70" s="25">
        <v>2.4</v>
      </c>
      <c r="J70" s="25">
        <v>2</v>
      </c>
      <c r="K70" s="25">
        <v>1.26</v>
      </c>
      <c r="L70" s="25">
        <v>0.57699999999999996</v>
      </c>
      <c r="M70" s="25">
        <v>23.3</v>
      </c>
      <c r="N70" s="25">
        <v>12</v>
      </c>
      <c r="O70" s="25">
        <v>29</v>
      </c>
      <c r="P70" s="25">
        <v>6.38</v>
      </c>
      <c r="Q70" s="25">
        <v>2.0499999999999998</v>
      </c>
      <c r="R70" s="25">
        <v>1.47</v>
      </c>
      <c r="S70" s="25">
        <v>2.2799999999999998</v>
      </c>
      <c r="T70" s="25">
        <v>1.07</v>
      </c>
      <c r="U70" s="25">
        <v>5.18</v>
      </c>
      <c r="V70" s="25">
        <v>3.21</v>
      </c>
      <c r="W70" s="32">
        <v>5.55</v>
      </c>
    </row>
    <row r="71" spans="1:23">
      <c r="A71" s="47" t="s">
        <v>584</v>
      </c>
      <c r="B71" s="44">
        <v>60</v>
      </c>
      <c r="C71" s="44">
        <v>30</v>
      </c>
      <c r="D71" s="44">
        <v>6</v>
      </c>
      <c r="E71" s="44">
        <v>6</v>
      </c>
      <c r="F71" s="27">
        <v>4</v>
      </c>
      <c r="G71" s="27">
        <v>6</v>
      </c>
      <c r="H71" s="27">
        <f>B71-D71-G71</f>
        <v>48</v>
      </c>
      <c r="I71" s="27">
        <v>2.4</v>
      </c>
      <c r="J71" s="27">
        <v>2.2000000000000002</v>
      </c>
      <c r="K71" s="27">
        <v>0.72</v>
      </c>
      <c r="L71" s="27">
        <v>0.252</v>
      </c>
      <c r="M71" s="27">
        <v>18.3</v>
      </c>
      <c r="N71" s="27">
        <v>3.05</v>
      </c>
      <c r="O71" s="27">
        <v>19.3</v>
      </c>
      <c r="P71" s="27">
        <v>2.0099999999999998</v>
      </c>
      <c r="Q71" s="27">
        <v>1.9</v>
      </c>
      <c r="R71" s="27">
        <v>0.77400000000000002</v>
      </c>
      <c r="S71" s="27">
        <v>1.95</v>
      </c>
      <c r="T71" s="27">
        <v>0.629</v>
      </c>
      <c r="U71" s="27">
        <v>4.82</v>
      </c>
      <c r="V71" s="27">
        <v>1.34</v>
      </c>
      <c r="W71" s="33">
        <v>5.09</v>
      </c>
    </row>
    <row r="72" spans="1:23">
      <c r="A72" s="34" t="s">
        <v>585</v>
      </c>
      <c r="B72" s="45">
        <v>60</v>
      </c>
      <c r="C72" s="45">
        <v>30</v>
      </c>
      <c r="D72" s="45">
        <v>5</v>
      </c>
      <c r="E72" s="45">
        <v>5</v>
      </c>
      <c r="F72" s="25">
        <v>3.4</v>
      </c>
      <c r="G72" s="25">
        <v>6</v>
      </c>
      <c r="H72" s="25">
        <f>B72-D72-G72</f>
        <v>49</v>
      </c>
      <c r="I72" s="25">
        <v>2.4</v>
      </c>
      <c r="J72" s="25">
        <v>2.16</v>
      </c>
      <c r="K72" s="25">
        <v>0.68</v>
      </c>
      <c r="L72" s="25">
        <v>0.25600000000000001</v>
      </c>
      <c r="M72" s="25">
        <v>15.7</v>
      </c>
      <c r="N72" s="25">
        <v>2.64</v>
      </c>
      <c r="O72" s="25">
        <v>16.600000000000001</v>
      </c>
      <c r="P72" s="25">
        <v>1.72</v>
      </c>
      <c r="Q72" s="25">
        <v>1.91</v>
      </c>
      <c r="R72" s="25">
        <v>0.78300000000000003</v>
      </c>
      <c r="S72" s="25">
        <v>1.96</v>
      </c>
      <c r="T72" s="25">
        <v>0.63200000000000001</v>
      </c>
      <c r="U72" s="25">
        <v>4.08</v>
      </c>
      <c r="V72" s="25">
        <v>1.1399999999999999</v>
      </c>
      <c r="W72" s="32">
        <v>4.3</v>
      </c>
    </row>
    <row r="73" spans="1:23">
      <c r="A73" t="s">
        <v>605</v>
      </c>
      <c r="B73">
        <v>80</v>
      </c>
      <c r="C73">
        <v>45</v>
      </c>
      <c r="D73">
        <v>6</v>
      </c>
      <c r="E73">
        <v>8</v>
      </c>
      <c r="F73">
        <v>8.65</v>
      </c>
      <c r="G73">
        <v>8</v>
      </c>
      <c r="H73">
        <v>47</v>
      </c>
    </row>
    <row r="74" spans="1:23">
      <c r="A74" t="s">
        <v>606</v>
      </c>
      <c r="B74">
        <v>100</v>
      </c>
      <c r="C74">
        <v>50</v>
      </c>
      <c r="D74">
        <v>6</v>
      </c>
      <c r="E74">
        <v>8.5</v>
      </c>
      <c r="F74">
        <v>10.6</v>
      </c>
      <c r="G74">
        <v>8.5</v>
      </c>
      <c r="H74">
        <v>64</v>
      </c>
    </row>
    <row r="75" spans="1:23">
      <c r="A75" t="s">
        <v>607</v>
      </c>
      <c r="B75">
        <v>120</v>
      </c>
      <c r="C75">
        <v>55</v>
      </c>
      <c r="D75">
        <v>7</v>
      </c>
      <c r="E75">
        <v>9</v>
      </c>
      <c r="F75">
        <v>13.4</v>
      </c>
      <c r="G75">
        <v>9</v>
      </c>
      <c r="H75">
        <v>82</v>
      </c>
    </row>
    <row r="76" spans="1:23">
      <c r="A76" t="s">
        <v>608</v>
      </c>
      <c r="B76">
        <v>140</v>
      </c>
      <c r="C76">
        <v>60</v>
      </c>
      <c r="D76">
        <v>7</v>
      </c>
      <c r="E76">
        <v>10</v>
      </c>
      <c r="F76">
        <v>16</v>
      </c>
      <c r="G76">
        <v>10</v>
      </c>
      <c r="H76">
        <v>98</v>
      </c>
    </row>
    <row r="77" spans="1:23">
      <c r="A77" t="s">
        <v>609</v>
      </c>
      <c r="B77">
        <v>160</v>
      </c>
      <c r="C77">
        <v>65</v>
      </c>
      <c r="D77">
        <v>7.5</v>
      </c>
      <c r="E77">
        <v>10.5</v>
      </c>
      <c r="F77">
        <v>18.8</v>
      </c>
      <c r="G77">
        <v>10.5</v>
      </c>
      <c r="H77">
        <v>115</v>
      </c>
    </row>
    <row r="78" spans="1:23">
      <c r="A78" t="s">
        <v>610</v>
      </c>
      <c r="B78">
        <v>180</v>
      </c>
      <c r="C78">
        <v>70</v>
      </c>
      <c r="D78">
        <v>8</v>
      </c>
      <c r="E78">
        <v>11</v>
      </c>
      <c r="F78">
        <v>22</v>
      </c>
      <c r="G78">
        <v>11</v>
      </c>
      <c r="H78">
        <v>133</v>
      </c>
    </row>
    <row r="79" spans="1:23">
      <c r="A79" t="s">
        <v>611</v>
      </c>
      <c r="B79">
        <v>200</v>
      </c>
      <c r="C79">
        <v>75</v>
      </c>
      <c r="D79">
        <v>8.5</v>
      </c>
      <c r="E79">
        <v>11.5</v>
      </c>
      <c r="F79">
        <v>25.3</v>
      </c>
      <c r="G79">
        <v>11.5</v>
      </c>
      <c r="H79">
        <v>151</v>
      </c>
    </row>
    <row r="80" spans="1:23">
      <c r="A80" t="s">
        <v>612</v>
      </c>
      <c r="B80">
        <v>220</v>
      </c>
      <c r="C80">
        <v>80</v>
      </c>
      <c r="D80">
        <v>9</v>
      </c>
      <c r="E80">
        <v>12.5</v>
      </c>
      <c r="F80">
        <v>29.4</v>
      </c>
      <c r="G80">
        <v>12.5</v>
      </c>
      <c r="H80">
        <v>167</v>
      </c>
    </row>
    <row r="81" spans="1:8">
      <c r="A81" t="s">
        <v>613</v>
      </c>
      <c r="B81">
        <v>240</v>
      </c>
      <c r="C81">
        <v>85</v>
      </c>
      <c r="D81">
        <v>9.5</v>
      </c>
      <c r="E81">
        <v>13</v>
      </c>
      <c r="F81">
        <v>33.200000000000003</v>
      </c>
      <c r="G81">
        <v>13</v>
      </c>
      <c r="H81">
        <v>184</v>
      </c>
    </row>
    <row r="82" spans="1:8">
      <c r="A82" t="s">
        <v>614</v>
      </c>
      <c r="B82">
        <v>260</v>
      </c>
      <c r="C82">
        <v>90</v>
      </c>
      <c r="D82">
        <v>10</v>
      </c>
      <c r="E82">
        <v>14</v>
      </c>
      <c r="F82">
        <v>37.9</v>
      </c>
      <c r="G82">
        <v>14</v>
      </c>
      <c r="H82">
        <v>200</v>
      </c>
    </row>
    <row r="83" spans="1:8">
      <c r="A83" t="s">
        <v>615</v>
      </c>
      <c r="B83">
        <v>280</v>
      </c>
      <c r="C83">
        <v>95</v>
      </c>
      <c r="D83">
        <v>10</v>
      </c>
      <c r="E83">
        <v>15</v>
      </c>
      <c r="F83">
        <v>41.8</v>
      </c>
      <c r="G83">
        <v>15</v>
      </c>
      <c r="H83">
        <v>216</v>
      </c>
    </row>
    <row r="84" spans="1:8">
      <c r="A84" t="s">
        <v>616</v>
      </c>
      <c r="B84">
        <v>300</v>
      </c>
      <c r="C84">
        <v>100</v>
      </c>
      <c r="D84">
        <v>10</v>
      </c>
      <c r="E84">
        <v>16</v>
      </c>
      <c r="F84">
        <v>46.2</v>
      </c>
      <c r="G84">
        <v>16</v>
      </c>
      <c r="H84">
        <v>232</v>
      </c>
    </row>
    <row r="85" spans="1:8">
      <c r="A85" t="s">
        <v>617</v>
      </c>
      <c r="B85">
        <v>320</v>
      </c>
      <c r="C85">
        <v>100</v>
      </c>
      <c r="D85">
        <v>14</v>
      </c>
      <c r="E85">
        <v>17.5</v>
      </c>
      <c r="F85">
        <v>59.5</v>
      </c>
      <c r="G85">
        <v>17.5</v>
      </c>
      <c r="H85">
        <v>246</v>
      </c>
    </row>
    <row r="86" spans="1:8">
      <c r="A86" t="s">
        <v>618</v>
      </c>
      <c r="B86">
        <v>350</v>
      </c>
      <c r="C86">
        <v>100</v>
      </c>
      <c r="D86">
        <v>14</v>
      </c>
      <c r="E86">
        <v>16</v>
      </c>
      <c r="F86">
        <v>60.6</v>
      </c>
      <c r="G86">
        <v>16</v>
      </c>
      <c r="H86">
        <v>282</v>
      </c>
    </row>
    <row r="87" spans="1:8">
      <c r="A87" t="s">
        <v>619</v>
      </c>
      <c r="B87">
        <v>380</v>
      </c>
      <c r="C87">
        <v>102</v>
      </c>
      <c r="D87">
        <v>13.5</v>
      </c>
      <c r="E87">
        <v>16</v>
      </c>
      <c r="F87">
        <v>63.1</v>
      </c>
      <c r="G87">
        <v>16</v>
      </c>
      <c r="H87">
        <v>313</v>
      </c>
    </row>
    <row r="88" spans="1:8">
      <c r="A88" t="s">
        <v>620</v>
      </c>
      <c r="B88">
        <v>400</v>
      </c>
      <c r="C88">
        <v>110</v>
      </c>
      <c r="D88">
        <v>14</v>
      </c>
      <c r="E88">
        <v>18</v>
      </c>
      <c r="F88">
        <v>71.8</v>
      </c>
      <c r="G88">
        <v>18</v>
      </c>
      <c r="H88">
        <v>324</v>
      </c>
    </row>
  </sheetData>
  <customSheetViews>
    <customSheetView guid="{4C47D3AA-B81B-446B-A336-E8EB64E8766E}" showRuler="0">
      <selection activeCell="H6" sqref="H6"/>
      <pageMargins left="0.7" right="0.7" top="0.75" bottom="0.75" header="0.3" footer="0.3"/>
      <headerFooter alignWithMargins="0"/>
    </customSheetView>
    <customSheetView guid="{4E0995C2-F4BF-4EBE-942E-FAA93D921566}">
      <selection activeCell="H6" sqref="H6"/>
      <pageMargins left="0.7" right="0.7" top="0.75" bottom="0.75" header="0.3" footer="0.3"/>
    </customSheetView>
    <customSheetView guid="{7DA3F3CC-1588-489F-B8A9-3FAFF8097049}">
      <selection activeCell="H6" sqref="H6"/>
      <pageMargins left="0.7" right="0.7" top="0.75" bottom="0.75" header="0.3" footer="0.3"/>
    </customSheetView>
    <customSheetView guid="{6034D056-81D7-49B7-9FD6-B49DF2C1DBFE}">
      <selection activeCell="H6" sqref="H6"/>
      <pageMargins left="0.7" right="0.7" top="0.75" bottom="0.75" header="0.3" footer="0.3"/>
    </customSheetView>
  </customSheetView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19"/>
  <sheetViews>
    <sheetView workbookViewId="0">
      <selection activeCell="C23" sqref="C23"/>
    </sheetView>
  </sheetViews>
  <sheetFormatPr defaultRowHeight="12.75"/>
  <sheetData>
    <row r="1" spans="1:11">
      <c r="B1" t="s">
        <v>586</v>
      </c>
      <c r="C1" t="s">
        <v>20</v>
      </c>
      <c r="D1" t="s">
        <v>21</v>
      </c>
      <c r="E1" t="s">
        <v>227</v>
      </c>
      <c r="F1" t="s">
        <v>228</v>
      </c>
      <c r="G1" t="s">
        <v>500</v>
      </c>
      <c r="H1" t="s">
        <v>501</v>
      </c>
      <c r="I1" t="s">
        <v>231</v>
      </c>
      <c r="J1" t="s">
        <v>25</v>
      </c>
      <c r="K1" s="48" t="s">
        <v>10</v>
      </c>
    </row>
    <row r="2" spans="1:11">
      <c r="B2" t="s">
        <v>253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587</v>
      </c>
      <c r="J2" t="s">
        <v>32</v>
      </c>
      <c r="K2" s="48" t="s">
        <v>621</v>
      </c>
    </row>
    <row r="3" spans="1:11">
      <c r="I3" s="48"/>
    </row>
    <row r="4" spans="1:11">
      <c r="A4" t="s">
        <v>605</v>
      </c>
      <c r="B4" t="s">
        <v>589</v>
      </c>
      <c r="C4">
        <v>80</v>
      </c>
      <c r="D4">
        <v>45</v>
      </c>
      <c r="E4">
        <v>6</v>
      </c>
      <c r="F4">
        <v>8</v>
      </c>
      <c r="G4">
        <v>8</v>
      </c>
      <c r="H4">
        <v>4</v>
      </c>
      <c r="I4">
        <v>1102</v>
      </c>
      <c r="J4">
        <v>47</v>
      </c>
    </row>
    <row r="5" spans="1:11">
      <c r="A5" t="s">
        <v>606</v>
      </c>
      <c r="B5" t="s">
        <v>590</v>
      </c>
      <c r="C5">
        <v>100</v>
      </c>
      <c r="D5">
        <v>50</v>
      </c>
      <c r="E5">
        <v>6</v>
      </c>
      <c r="F5">
        <v>8.5</v>
      </c>
      <c r="G5">
        <v>8.5</v>
      </c>
      <c r="H5">
        <v>4.5</v>
      </c>
      <c r="I5">
        <v>1350</v>
      </c>
      <c r="J5">
        <v>64</v>
      </c>
    </row>
    <row r="6" spans="1:11">
      <c r="A6" t="s">
        <v>607</v>
      </c>
      <c r="B6" t="s">
        <v>591</v>
      </c>
      <c r="C6">
        <v>120</v>
      </c>
      <c r="D6">
        <v>55</v>
      </c>
      <c r="E6">
        <v>7</v>
      </c>
      <c r="F6">
        <v>9</v>
      </c>
      <c r="G6">
        <v>9</v>
      </c>
      <c r="H6">
        <v>4.5</v>
      </c>
      <c r="I6">
        <v>1700</v>
      </c>
      <c r="J6">
        <v>82</v>
      </c>
    </row>
    <row r="7" spans="1:11">
      <c r="A7" t="s">
        <v>608</v>
      </c>
      <c r="B7" t="s">
        <v>592</v>
      </c>
      <c r="C7">
        <v>140</v>
      </c>
      <c r="D7">
        <v>60</v>
      </c>
      <c r="E7">
        <v>7</v>
      </c>
      <c r="F7">
        <v>10</v>
      </c>
      <c r="G7">
        <v>10</v>
      </c>
      <c r="H7">
        <v>5</v>
      </c>
      <c r="I7">
        <v>2040</v>
      </c>
      <c r="J7">
        <v>98</v>
      </c>
    </row>
    <row r="8" spans="1:11">
      <c r="A8" t="s">
        <v>609</v>
      </c>
      <c r="B8" t="s">
        <v>593</v>
      </c>
      <c r="C8">
        <v>160</v>
      </c>
      <c r="D8">
        <v>65</v>
      </c>
      <c r="E8">
        <v>7.5</v>
      </c>
      <c r="F8">
        <v>10.5</v>
      </c>
      <c r="G8">
        <v>10.5</v>
      </c>
      <c r="H8">
        <v>5.5</v>
      </c>
      <c r="I8">
        <v>2400</v>
      </c>
      <c r="J8">
        <v>115</v>
      </c>
    </row>
    <row r="9" spans="1:11">
      <c r="A9" t="s">
        <v>610</v>
      </c>
      <c r="B9" t="s">
        <v>594</v>
      </c>
      <c r="C9">
        <v>180</v>
      </c>
      <c r="D9">
        <v>70</v>
      </c>
      <c r="E9">
        <v>8</v>
      </c>
      <c r="F9">
        <v>11</v>
      </c>
      <c r="G9">
        <v>11</v>
      </c>
      <c r="H9">
        <v>5.5</v>
      </c>
      <c r="I9">
        <v>2800</v>
      </c>
      <c r="J9">
        <v>133</v>
      </c>
    </row>
    <row r="10" spans="1:11">
      <c r="A10" t="s">
        <v>611</v>
      </c>
      <c r="B10" t="s">
        <v>595</v>
      </c>
      <c r="C10">
        <v>200</v>
      </c>
      <c r="D10">
        <v>75</v>
      </c>
      <c r="E10">
        <v>8.5</v>
      </c>
      <c r="F10">
        <v>11.5</v>
      </c>
      <c r="G10">
        <v>11.5</v>
      </c>
      <c r="H10">
        <v>6</v>
      </c>
      <c r="I10">
        <v>3220</v>
      </c>
      <c r="J10">
        <v>151</v>
      </c>
    </row>
    <row r="11" spans="1:11">
      <c r="A11" t="s">
        <v>612</v>
      </c>
      <c r="B11" t="s">
        <v>596</v>
      </c>
      <c r="C11">
        <v>220</v>
      </c>
      <c r="D11">
        <v>80</v>
      </c>
      <c r="E11">
        <v>9</v>
      </c>
      <c r="F11">
        <v>12.5</v>
      </c>
      <c r="G11">
        <v>12.5</v>
      </c>
      <c r="H11">
        <v>6.5</v>
      </c>
      <c r="I11">
        <v>3740</v>
      </c>
      <c r="J11">
        <v>167</v>
      </c>
    </row>
    <row r="12" spans="1:11">
      <c r="A12" t="s">
        <v>613</v>
      </c>
      <c r="B12" t="s">
        <v>597</v>
      </c>
      <c r="C12">
        <v>240</v>
      </c>
      <c r="D12">
        <v>85</v>
      </c>
      <c r="E12">
        <v>9.5</v>
      </c>
      <c r="F12">
        <v>13</v>
      </c>
      <c r="G12">
        <v>13</v>
      </c>
      <c r="H12">
        <v>6.5</v>
      </c>
      <c r="I12">
        <v>4230</v>
      </c>
      <c r="J12">
        <v>184</v>
      </c>
    </row>
    <row r="13" spans="1:11">
      <c r="A13" t="s">
        <v>614</v>
      </c>
      <c r="B13" t="s">
        <v>598</v>
      </c>
      <c r="C13">
        <v>260</v>
      </c>
      <c r="D13">
        <v>90</v>
      </c>
      <c r="E13">
        <v>10</v>
      </c>
      <c r="F13">
        <v>14</v>
      </c>
      <c r="G13">
        <v>14</v>
      </c>
      <c r="H13">
        <v>7</v>
      </c>
      <c r="I13">
        <v>4830</v>
      </c>
      <c r="J13">
        <v>200</v>
      </c>
    </row>
    <row r="14" spans="1:11">
      <c r="A14" t="s">
        <v>615</v>
      </c>
      <c r="B14" t="s">
        <v>599</v>
      </c>
      <c r="C14">
        <v>280</v>
      </c>
      <c r="D14">
        <v>95</v>
      </c>
      <c r="E14">
        <v>10</v>
      </c>
      <c r="F14">
        <v>15</v>
      </c>
      <c r="G14">
        <v>15</v>
      </c>
      <c r="H14">
        <v>7.5</v>
      </c>
      <c r="I14">
        <v>5330</v>
      </c>
      <c r="J14">
        <v>216</v>
      </c>
    </row>
    <row r="15" spans="1:11">
      <c r="A15" t="s">
        <v>616</v>
      </c>
      <c r="B15" t="s">
        <v>600</v>
      </c>
      <c r="C15">
        <v>300</v>
      </c>
      <c r="D15">
        <v>100</v>
      </c>
      <c r="E15">
        <v>10</v>
      </c>
      <c r="F15">
        <v>16</v>
      </c>
      <c r="G15">
        <v>16</v>
      </c>
      <c r="H15">
        <v>8</v>
      </c>
      <c r="I15">
        <v>5880</v>
      </c>
      <c r="J15">
        <v>232</v>
      </c>
    </row>
    <row r="16" spans="1:11">
      <c r="A16" t="s">
        <v>617</v>
      </c>
      <c r="B16" t="s">
        <v>601</v>
      </c>
      <c r="C16">
        <v>320</v>
      </c>
      <c r="D16">
        <v>100</v>
      </c>
      <c r="E16">
        <v>14</v>
      </c>
      <c r="F16">
        <v>17.5</v>
      </c>
      <c r="G16">
        <v>17.5</v>
      </c>
      <c r="H16">
        <v>8.75</v>
      </c>
      <c r="I16">
        <v>7580</v>
      </c>
      <c r="J16">
        <v>246</v>
      </c>
    </row>
    <row r="17" spans="1:10">
      <c r="A17" t="s">
        <v>618</v>
      </c>
      <c r="B17" t="s">
        <v>602</v>
      </c>
      <c r="C17">
        <v>350</v>
      </c>
      <c r="D17">
        <v>100</v>
      </c>
      <c r="E17">
        <v>14</v>
      </c>
      <c r="F17">
        <v>16</v>
      </c>
      <c r="G17">
        <v>16</v>
      </c>
      <c r="H17">
        <v>8</v>
      </c>
      <c r="I17">
        <v>7730</v>
      </c>
      <c r="J17">
        <v>282</v>
      </c>
    </row>
    <row r="18" spans="1:10">
      <c r="A18" t="s">
        <v>619</v>
      </c>
      <c r="B18" t="s">
        <v>603</v>
      </c>
      <c r="C18">
        <v>380</v>
      </c>
      <c r="D18">
        <v>102</v>
      </c>
      <c r="E18">
        <v>13.5</v>
      </c>
      <c r="F18">
        <v>16</v>
      </c>
      <c r="G18">
        <v>16</v>
      </c>
      <c r="H18">
        <v>8</v>
      </c>
      <c r="I18">
        <v>8040</v>
      </c>
      <c r="J18">
        <v>313</v>
      </c>
    </row>
    <row r="19" spans="1:10">
      <c r="A19" t="s">
        <v>620</v>
      </c>
      <c r="B19" t="s">
        <v>604</v>
      </c>
      <c r="C19">
        <v>400</v>
      </c>
      <c r="D19">
        <v>110</v>
      </c>
      <c r="E19">
        <v>14</v>
      </c>
      <c r="F19">
        <v>18</v>
      </c>
      <c r="G19">
        <v>18</v>
      </c>
      <c r="H19">
        <v>9</v>
      </c>
      <c r="I19">
        <v>9150</v>
      </c>
      <c r="J19">
        <v>324</v>
      </c>
    </row>
  </sheetData>
  <customSheetViews>
    <customSheetView guid="{4C47D3AA-B81B-446B-A336-E8EB64E8766E}" showRuler="0">
      <selection activeCell="G18" sqref="G18"/>
      <pageMargins left="0.7" right="0.7" top="0.75" bottom="0.75" header="0.3" footer="0.3"/>
      <headerFooter alignWithMargins="0"/>
    </customSheetView>
    <customSheetView guid="{4E0995C2-F4BF-4EBE-942E-FAA93D921566}">
      <selection activeCell="C23" sqref="C23"/>
      <pageMargins left="0.7" right="0.7" top="0.75" bottom="0.75" header="0.3" footer="0.3"/>
    </customSheetView>
    <customSheetView guid="{7DA3F3CC-1588-489F-B8A9-3FAFF8097049}">
      <selection activeCell="C23" sqref="C23"/>
      <pageMargins left="0.7" right="0.7" top="0.75" bottom="0.75" header="0.3" footer="0.3"/>
    </customSheetView>
    <customSheetView guid="{6034D056-81D7-49B7-9FD6-B49DF2C1DBFE}">
      <selection activeCell="C23" sqref="C23"/>
      <pageMargins left="0.7" right="0.7" top="0.75" bottom="0.75" header="0.3" footer="0.3"/>
    </customSheetView>
  </customSheetView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38</vt:i4>
      </vt:variant>
    </vt:vector>
  </HeadingPairs>
  <TitlesOfParts>
    <vt:vector size="43" baseType="lpstr">
      <vt:lpstr>shear</vt:lpstr>
      <vt:lpstr>data</vt:lpstr>
      <vt:lpstr>Sheet2</vt:lpstr>
      <vt:lpstr>Sheet3</vt:lpstr>
      <vt:lpstr>Sheet4</vt:lpstr>
      <vt:lpstr>A</vt:lpstr>
      <vt:lpstr>Axial</vt:lpstr>
      <vt:lpstr>bf_beam</vt:lpstr>
      <vt:lpstr>bf_column</vt:lpstr>
      <vt:lpstr>boltsno</vt:lpstr>
      <vt:lpstr>bp</vt:lpstr>
      <vt:lpstr>bpP</vt:lpstr>
      <vt:lpstr>Bt_S</vt:lpstr>
      <vt:lpstr>d_beam</vt:lpstr>
      <vt:lpstr>d_clear</vt:lpstr>
      <vt:lpstr>d_column</vt:lpstr>
      <vt:lpstr>d_hole</vt:lpstr>
      <vt:lpstr>db</vt:lpstr>
      <vt:lpstr>e</vt:lpstr>
      <vt:lpstr>ex</vt:lpstr>
      <vt:lpstr>Fu_beam</vt:lpstr>
      <vt:lpstr>Fu_Gusset</vt:lpstr>
      <vt:lpstr>Fy_beam</vt:lpstr>
      <vt:lpstr>Fy_gusset</vt:lpstr>
      <vt:lpstr>g</vt:lpstr>
      <vt:lpstr>m</vt:lpstr>
      <vt:lpstr>n</vt:lpstr>
      <vt:lpstr>p</vt:lpstr>
      <vt:lpstr>shear!Print_Area</vt:lpstr>
      <vt:lpstr>shear!Print_Titles</vt:lpstr>
      <vt:lpstr>r_beam</vt:lpstr>
      <vt:lpstr>r_column</vt:lpstr>
      <vt:lpstr>shpl</vt:lpstr>
      <vt:lpstr>St_Table</vt:lpstr>
      <vt:lpstr>ST_Table1</vt:lpstr>
      <vt:lpstr>tf_beam</vt:lpstr>
      <vt:lpstr>tf_column</vt:lpstr>
      <vt:lpstr>tp</vt:lpstr>
      <vt:lpstr>tw_beam</vt:lpstr>
      <vt:lpstr>tw_column</vt:lpstr>
      <vt:lpstr>Type</vt:lpstr>
      <vt:lpstr>V_2</vt:lpstr>
      <vt:lpstr>WW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ISMAIL</dc:creator>
  <cp:lastModifiedBy>mhelmy-7</cp:lastModifiedBy>
  <cp:lastPrinted>2010-05-27T13:29:24Z</cp:lastPrinted>
  <dcterms:created xsi:type="dcterms:W3CDTF">1999-01-12T22:59:09Z</dcterms:created>
  <dcterms:modified xsi:type="dcterms:W3CDTF">2011-10-09T13:16:03Z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415959658</vt:i4>
  </property>
  <property fmtid="{D5CDD505-2E9C-101B-9397-08002B2CF9AE}" pid="3" name="_EmailSubject">
    <vt:lpwstr>xls sheet</vt:lpwstr>
  </property>
  <property fmtid="{D5CDD505-2E9C-101B-9397-08002B2CF9AE}" pid="4" name="_AuthorEmail">
    <vt:lpwstr>RKasem@enppi.com</vt:lpwstr>
  </property>
  <property fmtid="{D5CDD505-2E9C-101B-9397-08002B2CF9AE}" pid="5" name="_AuthorEmailDisplayName">
    <vt:lpwstr>Ramadan Kasem Fadlall</vt:lpwstr>
  </property>
  <property fmtid="{D5CDD505-2E9C-101B-9397-08002B2CF9AE}" pid="6" name="_ReviewingToolsShownOnce">
    <vt:lpwstr/>
  </property>
</Properties>
</file>