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7-connections\"/>
    </mc:Choice>
  </mc:AlternateContent>
  <bookViews>
    <workbookView xWindow="0" yWindow="0" windowWidth="27360" windowHeight="11508"/>
  </bookViews>
  <sheets>
    <sheet name="Sheet1" sheetId="1" r:id="rId1"/>
    <sheet name="n direction stiffiners cou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R26" i="1" s="1"/>
  <c r="R4" i="1"/>
  <c r="V8" i="1"/>
  <c r="V16" i="1"/>
  <c r="V14" i="1"/>
  <c r="V5" i="1"/>
  <c r="V3" i="1"/>
  <c r="V4" i="1" s="1"/>
  <c r="V6" i="1" s="1"/>
  <c r="R23" i="1" l="1"/>
  <c r="R24" i="1" s="1"/>
  <c r="R25" i="1" s="1"/>
  <c r="V7" i="1"/>
  <c r="V9" i="1" s="1"/>
  <c r="L10" i="1"/>
  <c r="L11" i="1"/>
  <c r="L21" i="1"/>
  <c r="L9" i="1"/>
  <c r="L19" i="1" s="1"/>
  <c r="L5" i="1"/>
  <c r="L7" i="1" s="1"/>
  <c r="L3" i="1"/>
  <c r="R33" i="1" l="1"/>
  <c r="L25" i="1" s="1"/>
  <c r="R27" i="1"/>
  <c r="R28" i="1" s="1"/>
  <c r="L12" i="1"/>
  <c r="R21" i="1" s="1"/>
  <c r="L4" i="1"/>
  <c r="L6" i="1" s="1"/>
  <c r="L15" i="1" s="1"/>
  <c r="L17" i="1" s="1"/>
  <c r="L14" i="1"/>
  <c r="L16" i="1" s="1"/>
  <c r="L20" i="1"/>
  <c r="R3" i="1" l="1"/>
  <c r="R5" i="1"/>
  <c r="R6" i="1" s="1"/>
  <c r="R8" i="1"/>
  <c r="R9" i="1"/>
  <c r="R10" i="1" s="1"/>
  <c r="R16" i="1" l="1"/>
  <c r="R7" i="1"/>
  <c r="R11" i="1" s="1"/>
  <c r="V15" i="1"/>
  <c r="R15" i="1"/>
  <c r="L22" i="1" s="1"/>
  <c r="V18" i="1" l="1"/>
  <c r="V17" i="1"/>
  <c r="L23" i="1"/>
  <c r="L24" i="1" s="1"/>
  <c r="V19" i="1" l="1"/>
  <c r="V20" i="1" s="1"/>
  <c r="R12" i="1"/>
  <c r="R13" i="1" s="1"/>
  <c r="R14" i="1" s="1"/>
  <c r="R34" i="1"/>
  <c r="L26" i="1" s="1"/>
  <c r="R29" i="1"/>
  <c r="R30" i="1" l="1"/>
  <c r="R31" i="1" s="1"/>
  <c r="R32" i="1" s="1"/>
  <c r="L27" i="1"/>
  <c r="L28" i="1" s="1"/>
</calcChain>
</file>

<file path=xl/sharedStrings.xml><?xml version="1.0" encoding="utf-8"?>
<sst xmlns="http://schemas.openxmlformats.org/spreadsheetml/2006/main" count="178" uniqueCount="98">
  <si>
    <t>web length</t>
  </si>
  <si>
    <t>flange length</t>
  </si>
  <si>
    <t>flange thickness</t>
  </si>
  <si>
    <t>beam depth h</t>
  </si>
  <si>
    <t>d (effective depth)</t>
  </si>
  <si>
    <t>b (effective width)</t>
  </si>
  <si>
    <t>n</t>
  </si>
  <si>
    <t xml:space="preserve">m </t>
  </si>
  <si>
    <t xml:space="preserve">D (plate length) </t>
  </si>
  <si>
    <t>B (plate Width)</t>
  </si>
  <si>
    <t>plate Area</t>
  </si>
  <si>
    <t>N Normal force</t>
  </si>
  <si>
    <t>Q shear force</t>
  </si>
  <si>
    <t>Applied concrete stress</t>
  </si>
  <si>
    <t>concrete bearing capacity</t>
  </si>
  <si>
    <t>cm</t>
  </si>
  <si>
    <t>cm2</t>
  </si>
  <si>
    <t>ton</t>
  </si>
  <si>
    <t>ton/cm2</t>
  </si>
  <si>
    <t>kg/cm2</t>
  </si>
  <si>
    <t>Concrete Bearing safty</t>
  </si>
  <si>
    <t>Moment /cm , n direction</t>
  </si>
  <si>
    <t>Moment /cm , m direction</t>
  </si>
  <si>
    <t>ton.cm</t>
  </si>
  <si>
    <t>tp , plate thickness</t>
  </si>
  <si>
    <t>steal allowable stress 0.72Fy</t>
  </si>
  <si>
    <t>steel yield stress</t>
  </si>
  <si>
    <t>stiffenere</t>
  </si>
  <si>
    <t>cm4</t>
  </si>
  <si>
    <t>plate section area , A1</t>
  </si>
  <si>
    <r>
      <t xml:space="preserve">plate inertia , </t>
    </r>
    <r>
      <rPr>
        <b/>
        <sz val="20"/>
        <color theme="3"/>
        <rFont val="Calibri"/>
        <family val="2"/>
        <scheme val="minor"/>
      </rPr>
      <t>I</t>
    </r>
    <r>
      <rPr>
        <b/>
        <sz val="13"/>
        <color theme="3"/>
        <rFont val="Calibri"/>
        <family val="2"/>
        <scheme val="minor"/>
      </rPr>
      <t>x1</t>
    </r>
  </si>
  <si>
    <r>
      <t xml:space="preserve">stiffeners inertia , </t>
    </r>
    <r>
      <rPr>
        <b/>
        <sz val="20"/>
        <color theme="3"/>
        <rFont val="Calibri"/>
        <family val="2"/>
        <scheme val="minor"/>
      </rPr>
      <t>I</t>
    </r>
    <r>
      <rPr>
        <b/>
        <sz val="13"/>
        <color theme="3"/>
        <rFont val="Calibri"/>
        <family val="2"/>
        <scheme val="minor"/>
      </rPr>
      <t>x2</t>
    </r>
  </si>
  <si>
    <t>stiffeners area , A2</t>
  </si>
  <si>
    <t>safety</t>
  </si>
  <si>
    <t>input data</t>
  </si>
  <si>
    <t>output data</t>
  </si>
  <si>
    <t>ton/Cm2</t>
  </si>
  <si>
    <t>ton.cm/cm</t>
  </si>
  <si>
    <t>moment , n direction</t>
  </si>
  <si>
    <t>moment , m direction</t>
  </si>
  <si>
    <t>Applied steel stress , m direction</t>
  </si>
  <si>
    <t>Applied steel stress  , n direction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</si>
  <si>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>sh</t>
    </r>
  </si>
  <si>
    <t>shear bolts threaded bolts</t>
  </si>
  <si>
    <t>Area bolt</t>
  </si>
  <si>
    <t>bolt diameter</t>
  </si>
  <si>
    <t>mm</t>
  </si>
  <si>
    <t>tons</t>
  </si>
  <si>
    <r>
      <rPr>
        <b/>
        <sz val="18"/>
        <color theme="3"/>
        <rFont val="Calibri"/>
        <family val="2"/>
        <scheme val="minor"/>
      </rPr>
      <t>R</t>
    </r>
    <r>
      <rPr>
        <b/>
        <sz val="12"/>
        <color theme="3"/>
        <rFont val="Calibri"/>
        <family val="2"/>
        <scheme val="minor"/>
      </rPr>
      <t>bear</t>
    </r>
  </si>
  <si>
    <t>steel ultimate stress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</si>
  <si>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</t>
    </r>
  </si>
  <si>
    <t>count</t>
  </si>
  <si>
    <t>bolts count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</si>
  <si>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 , all bolts</t>
    </r>
  </si>
  <si>
    <t xml:space="preserve">plate welding </t>
  </si>
  <si>
    <t>Fu,weld</t>
  </si>
  <si>
    <t>FN</t>
  </si>
  <si>
    <t>flange weld length</t>
  </si>
  <si>
    <t>web thickness</t>
  </si>
  <si>
    <t>web weld length</t>
  </si>
  <si>
    <t>t/cm2</t>
  </si>
  <si>
    <t>flange weld thickness</t>
  </si>
  <si>
    <t>web weld thickness</t>
  </si>
  <si>
    <t>FQ</t>
  </si>
  <si>
    <t>Feq</t>
  </si>
  <si>
    <t>t/cm3</t>
  </si>
  <si>
    <t>t/cm4</t>
  </si>
  <si>
    <t>bolt length</t>
  </si>
  <si>
    <t>……………..moment calculations …………………</t>
  </si>
  <si>
    <t>ton/Cm1</t>
  </si>
  <si>
    <t>…………..stresses calculations……………..</t>
  </si>
  <si>
    <t>stiffener weld thickness</t>
  </si>
  <si>
    <t>stiffener weld length</t>
  </si>
  <si>
    <t>Qy per stiffener</t>
  </si>
  <si>
    <t>Qy applied on stiffeners</t>
  </si>
  <si>
    <r>
      <rPr>
        <b/>
        <sz val="18"/>
        <color theme="3"/>
        <rFont val="Calibri"/>
        <family val="2"/>
        <scheme val="minor"/>
      </rPr>
      <t>q</t>
    </r>
    <r>
      <rPr>
        <b/>
        <sz val="13"/>
        <color theme="3"/>
        <rFont val="Calibri"/>
        <family val="2"/>
        <scheme val="minor"/>
      </rPr>
      <t>y , shear stress on weld</t>
    </r>
  </si>
  <si>
    <t>ton / cm2</t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</si>
  <si>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>eq , equivalent stress</t>
    </r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</si>
  <si>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 xml:space="preserve"> , normal stress due to bending on weld</t>
    </r>
  </si>
  <si>
    <t>stiffeners weld safety</t>
  </si>
  <si>
    <r>
      <t>stiffener thickness ,</t>
    </r>
    <r>
      <rPr>
        <b/>
        <sz val="20"/>
        <color theme="3"/>
        <rFont val="Calibri"/>
        <family val="2"/>
        <scheme val="minor"/>
      </rPr>
      <t xml:space="preserve"> t</t>
    </r>
    <r>
      <rPr>
        <b/>
        <sz val="13"/>
        <color theme="3"/>
        <rFont val="Calibri"/>
        <family val="2"/>
        <scheme val="minor"/>
      </rPr>
      <t>st</t>
    </r>
  </si>
  <si>
    <r>
      <t xml:space="preserve">stiffeners thickness min , </t>
    </r>
    <r>
      <rPr>
        <b/>
        <sz val="18"/>
        <color theme="3"/>
        <rFont val="Calibri"/>
        <family val="2"/>
        <scheme val="minor"/>
      </rPr>
      <t>t</t>
    </r>
    <r>
      <rPr>
        <b/>
        <sz val="13"/>
        <color theme="3"/>
        <rFont val="Calibri"/>
        <family val="2"/>
        <scheme val="minor"/>
      </rPr>
      <t>st,min</t>
    </r>
  </si>
  <si>
    <t>………..plate calculations………..</t>
  </si>
  <si>
    <t>max allowable free length without stiffener</t>
  </si>
  <si>
    <t>stiffener thickness , m direction</t>
  </si>
  <si>
    <t>stiffener length , m direction</t>
  </si>
  <si>
    <t>stiffener thickness , n direction</t>
  </si>
  <si>
    <t>stiffener length , n direction</t>
  </si>
  <si>
    <t>stiffeners count , m direction</t>
  </si>
  <si>
    <t>stiffeners count , n direction</t>
  </si>
  <si>
    <t>center of gravity , m direction</t>
  </si>
  <si>
    <t>total inertia , Ix , m direction</t>
  </si>
  <si>
    <t>center of gravity , n direction</t>
  </si>
  <si>
    <t>total inertia , Ix , n direction</t>
  </si>
  <si>
    <r>
      <t xml:space="preserve">min stifferer plan length , </t>
    </r>
    <r>
      <rPr>
        <b/>
        <sz val="16"/>
        <color theme="3"/>
        <rFont val="Calibri"/>
        <family val="2"/>
        <scheme val="minor"/>
      </rPr>
      <t>L</t>
    </r>
    <r>
      <rPr>
        <b/>
        <sz val="13"/>
        <color theme="3"/>
        <rFont val="Calibri"/>
        <family val="2"/>
        <scheme val="minor"/>
      </rPr>
      <t>st,min</t>
    </r>
  </si>
  <si>
    <t>m direction stiffneres , flanges plan perpendicular stiffeners</t>
  </si>
  <si>
    <t>stiffeners height , bst</t>
  </si>
  <si>
    <t>n direction stiffners , web plan perpendicular stiffeners , welded on flages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</si>
</sst>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6"/>
      <color theme="3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7" fillId="2" borderId="3" applyNumberFormat="0" applyAlignment="0" applyProtection="0"/>
  </cellStyleXfs>
  <cellXfs count="26">
    <xf numFmtId="0" fontId="0" fillId="0" borderId="0" xfId="0"/>
    <xf numFmtId="0" fontId="1" fillId="0" borderId="2" xfId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2" xfId="1" applyFont="1" applyBorder="1"/>
    <xf numFmtId="0" fontId="11" fillId="0" borderId="2" xfId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2" borderId="8" xfId="2" applyFont="1" applyBorder="1" applyAlignment="1">
      <alignment horizontal="center" vertical="center" wrapText="1"/>
    </xf>
    <xf numFmtId="0" fontId="4" fillId="2" borderId="9" xfId="2" applyFont="1" applyBorder="1" applyAlignment="1">
      <alignment horizontal="center" vertical="center" wrapText="1"/>
    </xf>
    <xf numFmtId="0" fontId="4" fillId="2" borderId="10" xfId="2" applyFont="1" applyBorder="1" applyAlignment="1">
      <alignment horizontal="center" vertical="center" wrapText="1"/>
    </xf>
    <xf numFmtId="0" fontId="4" fillId="2" borderId="11" xfId="2" applyFont="1" applyBorder="1" applyAlignment="1">
      <alignment horizontal="center" vertical="center" wrapText="1"/>
    </xf>
    <xf numFmtId="0" fontId="4" fillId="2" borderId="4" xfId="2" applyFont="1" applyBorder="1" applyAlignment="1">
      <alignment horizontal="center" vertical="center" wrapText="1"/>
    </xf>
    <xf numFmtId="0" fontId="4" fillId="2" borderId="12" xfId="2" applyFont="1" applyBorder="1" applyAlignment="1">
      <alignment horizontal="center" vertical="center" wrapText="1"/>
    </xf>
    <xf numFmtId="0" fontId="4" fillId="2" borderId="3" xfId="2" applyFont="1" applyAlignment="1">
      <alignment horizontal="center" vertical="center" wrapText="1"/>
    </xf>
    <xf numFmtId="0" fontId="1" fillId="0" borderId="5" xfId="1" applyFill="1" applyBorder="1" applyAlignment="1">
      <alignment horizontal="center" vertical="center" wrapText="1"/>
    </xf>
    <xf numFmtId="0" fontId="1" fillId="0" borderId="6" xfId="1" applyFill="1" applyBorder="1" applyAlignment="1">
      <alignment horizontal="center" vertical="center" wrapText="1"/>
    </xf>
    <xf numFmtId="0" fontId="1" fillId="0" borderId="7" xfId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</cellXfs>
  <cellStyles count="3">
    <cellStyle name="Heading 2" xfId="1" builtinId="17"/>
    <cellStyle name="Normal" xfId="0" builtinId="0"/>
    <cellStyle name="Output" xfId="2" builtinId="2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2</xdr:row>
      <xdr:rowOff>47625</xdr:rowOff>
    </xdr:from>
    <xdr:to>
      <xdr:col>8</xdr:col>
      <xdr:colOff>409930</xdr:colOff>
      <xdr:row>12</xdr:row>
      <xdr:rowOff>95682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428625"/>
          <a:ext cx="2543530" cy="3096057"/>
        </a:xfrm>
        <a:prstGeom prst="rect">
          <a:avLst/>
        </a:prstGeom>
      </xdr:spPr>
    </xdr:pic>
    <xdr:clientData/>
  </xdr:twoCellAnchor>
  <xdr:twoCellAnchor editAs="oneCell">
    <xdr:from>
      <xdr:col>1</xdr:col>
      <xdr:colOff>250372</xdr:colOff>
      <xdr:row>24</xdr:row>
      <xdr:rowOff>196023</xdr:rowOff>
    </xdr:from>
    <xdr:to>
      <xdr:col>8</xdr:col>
      <xdr:colOff>457201</xdr:colOff>
      <xdr:row>37</xdr:row>
      <xdr:rowOff>120326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9286" y="7293509"/>
          <a:ext cx="5203372" cy="3287988"/>
        </a:xfrm>
        <a:prstGeom prst="rect">
          <a:avLst/>
        </a:prstGeom>
      </xdr:spPr>
    </xdr:pic>
    <xdr:clientData/>
  </xdr:twoCellAnchor>
  <xdr:twoCellAnchor editAs="oneCell">
    <xdr:from>
      <xdr:col>0</xdr:col>
      <xdr:colOff>566057</xdr:colOff>
      <xdr:row>42</xdr:row>
      <xdr:rowOff>82558</xdr:rowOff>
    </xdr:from>
    <xdr:to>
      <xdr:col>10</xdr:col>
      <xdr:colOff>1349830</xdr:colOff>
      <xdr:row>61</xdr:row>
      <xdr:rowOff>179015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6057" y="11469015"/>
          <a:ext cx="9198430" cy="3612543"/>
        </a:xfrm>
        <a:prstGeom prst="rect">
          <a:avLst/>
        </a:prstGeom>
      </xdr:spPr>
    </xdr:pic>
    <xdr:clientData/>
  </xdr:twoCellAnchor>
  <xdr:twoCellAnchor editAs="oneCell">
    <xdr:from>
      <xdr:col>11</xdr:col>
      <xdr:colOff>261257</xdr:colOff>
      <xdr:row>36</xdr:row>
      <xdr:rowOff>165033</xdr:rowOff>
    </xdr:from>
    <xdr:to>
      <xdr:col>18</xdr:col>
      <xdr:colOff>163286</xdr:colOff>
      <xdr:row>55</xdr:row>
      <xdr:rowOff>87195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65428" y="10441147"/>
          <a:ext cx="8382001" cy="3438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topLeftCell="A23" zoomScale="70" zoomScaleNormal="70" workbookViewId="0">
      <selection activeCell="K36" sqref="K36"/>
    </sheetView>
  </sheetViews>
  <sheetFormatPr defaultRowHeight="14.4" x14ac:dyDescent="0.3"/>
  <cols>
    <col min="1" max="1" width="32" bestFit="1" customWidth="1"/>
    <col min="2" max="2" width="17.88671875" customWidth="1"/>
    <col min="3" max="3" width="10.44140625" customWidth="1"/>
    <col min="11" max="11" width="46.5546875" bestFit="1" customWidth="1"/>
    <col min="12" max="12" width="16.44140625" customWidth="1"/>
    <col min="13" max="13" width="10.5546875" bestFit="1" customWidth="1"/>
    <col min="17" max="17" width="43.5546875" bestFit="1" customWidth="1"/>
    <col min="18" max="18" width="26.33203125" bestFit="1" customWidth="1"/>
    <col min="19" max="19" width="10.5546875" bestFit="1" customWidth="1"/>
    <col min="21" max="21" width="20.33203125" bestFit="1" customWidth="1"/>
    <col min="22" max="22" width="23.109375" customWidth="1"/>
    <col min="23" max="23" width="8.44140625" customWidth="1"/>
  </cols>
  <sheetData>
    <row r="1" spans="1:23" ht="15" customHeight="1" x14ac:dyDescent="0.3">
      <c r="A1" s="18" t="s">
        <v>34</v>
      </c>
      <c r="B1" s="18"/>
      <c r="C1" s="18"/>
      <c r="F1" s="22"/>
      <c r="G1" s="22"/>
      <c r="H1" s="22"/>
      <c r="K1" s="18" t="s">
        <v>35</v>
      </c>
      <c r="L1" s="18"/>
      <c r="M1" s="18"/>
      <c r="Q1" s="18" t="s">
        <v>95</v>
      </c>
      <c r="R1" s="18"/>
      <c r="S1" s="18"/>
      <c r="T1" s="6"/>
      <c r="U1" s="18" t="s">
        <v>43</v>
      </c>
      <c r="V1" s="18"/>
      <c r="W1" s="18"/>
    </row>
    <row r="2" spans="1:23" ht="15" customHeight="1" x14ac:dyDescent="0.3">
      <c r="A2" s="18"/>
      <c r="B2" s="18"/>
      <c r="C2" s="18"/>
      <c r="F2" s="22"/>
      <c r="G2" s="22"/>
      <c r="H2" s="22"/>
      <c r="K2" s="18"/>
      <c r="L2" s="18"/>
      <c r="M2" s="18"/>
      <c r="Q2" s="18"/>
      <c r="R2" s="18"/>
      <c r="S2" s="18"/>
      <c r="T2" s="6"/>
      <c r="U2" s="18"/>
      <c r="V2" s="18"/>
      <c r="W2" s="18"/>
    </row>
    <row r="3" spans="1:23" ht="24" customHeight="1" x14ac:dyDescent="0.4">
      <c r="A3" s="1" t="s">
        <v>0</v>
      </c>
      <c r="B3" s="5">
        <v>30</v>
      </c>
      <c r="C3" s="3" t="s">
        <v>15</v>
      </c>
      <c r="K3" s="1" t="s">
        <v>3</v>
      </c>
      <c r="L3" s="2">
        <f>B3+2*B6</f>
        <v>34</v>
      </c>
      <c r="M3" s="3" t="s">
        <v>15</v>
      </c>
      <c r="Q3" s="4" t="s">
        <v>94</v>
      </c>
      <c r="R3" s="9" t="str">
        <f>IF((B7-L3)/2-L12&gt;0,(B7-L3)/2-L12,"no stiffeners required ")</f>
        <v xml:space="preserve">no stiffeners required </v>
      </c>
      <c r="S3" s="3" t="s">
        <v>15</v>
      </c>
      <c r="U3" s="7" t="s">
        <v>44</v>
      </c>
      <c r="V3" s="2">
        <f>(PI()*B15*B15/4)/100</f>
        <v>0.78539816339744828</v>
      </c>
      <c r="W3" s="3" t="s">
        <v>16</v>
      </c>
    </row>
    <row r="4" spans="1:23" ht="24" customHeight="1" x14ac:dyDescent="0.45">
      <c r="A4" s="1" t="s">
        <v>58</v>
      </c>
      <c r="B4" s="5">
        <v>1</v>
      </c>
      <c r="C4" s="3" t="s">
        <v>15</v>
      </c>
      <c r="K4" s="1" t="s">
        <v>4</v>
      </c>
      <c r="L4" s="2">
        <f>0.95*L3</f>
        <v>32.299999999999997</v>
      </c>
      <c r="M4" s="3" t="s">
        <v>15</v>
      </c>
      <c r="Q4" s="4" t="s">
        <v>96</v>
      </c>
      <c r="R4" s="9">
        <f>IF(B19&gt;0, IF(B21, B21, _xlfn.CEILING.MATH(L3/3)), 0)</f>
        <v>0</v>
      </c>
      <c r="S4" s="3" t="s">
        <v>15</v>
      </c>
      <c r="U4" s="1" t="s">
        <v>42</v>
      </c>
      <c r="V4" s="2">
        <f>0.35 * B15 * 0.85 *V3</f>
        <v>2.3365595361074085</v>
      </c>
      <c r="W4" s="3" t="s">
        <v>47</v>
      </c>
    </row>
    <row r="5" spans="1:23" ht="24" customHeight="1" x14ac:dyDescent="0.45">
      <c r="A5" s="1" t="s">
        <v>1</v>
      </c>
      <c r="B5" s="5">
        <v>24</v>
      </c>
      <c r="C5" s="3" t="s">
        <v>15</v>
      </c>
      <c r="K5" s="1" t="s">
        <v>5</v>
      </c>
      <c r="L5" s="2">
        <f>0.8*B5</f>
        <v>19.200000000000003</v>
      </c>
      <c r="M5" s="3" t="s">
        <v>15</v>
      </c>
      <c r="Q5" s="4" t="s">
        <v>81</v>
      </c>
      <c r="R5" s="2">
        <f>IF(B19 &gt;0, R4/16, 0)</f>
        <v>0</v>
      </c>
      <c r="S5" s="3" t="s">
        <v>15</v>
      </c>
      <c r="U5" s="1" t="s">
        <v>48</v>
      </c>
      <c r="V5" s="2">
        <f>B15*B12*0.1*0.85*1.2*B14</f>
        <v>10.608000000000001</v>
      </c>
      <c r="W5" s="3" t="s">
        <v>47</v>
      </c>
    </row>
    <row r="6" spans="1:23" ht="24" customHeight="1" x14ac:dyDescent="0.5">
      <c r="A6" s="1" t="s">
        <v>2</v>
      </c>
      <c r="B6" s="5">
        <v>2</v>
      </c>
      <c r="C6" s="3" t="s">
        <v>15</v>
      </c>
      <c r="K6" s="4" t="s">
        <v>7</v>
      </c>
      <c r="L6" s="2">
        <f>(B7-L4)/2</f>
        <v>5.8500000000000014</v>
      </c>
      <c r="M6" s="3" t="s">
        <v>15</v>
      </c>
      <c r="Q6" s="4" t="s">
        <v>80</v>
      </c>
      <c r="R6" s="9">
        <f>MAX(B20,R5)</f>
        <v>1.5</v>
      </c>
      <c r="S6" s="3" t="s">
        <v>15</v>
      </c>
      <c r="U6" s="1" t="s">
        <v>50</v>
      </c>
      <c r="V6" s="2">
        <f>MIN(V4:V5)</f>
        <v>2.3365595361074085</v>
      </c>
      <c r="W6" s="3" t="s">
        <v>47</v>
      </c>
    </row>
    <row r="7" spans="1:23" ht="24" customHeight="1" x14ac:dyDescent="0.45">
      <c r="A7" s="4" t="s">
        <v>8</v>
      </c>
      <c r="B7" s="5">
        <v>44</v>
      </c>
      <c r="C7" s="3" t="s">
        <v>15</v>
      </c>
      <c r="K7" s="4" t="s">
        <v>6</v>
      </c>
      <c r="L7" s="2">
        <f>(B8-L5)/2</f>
        <v>22.4</v>
      </c>
      <c r="M7" s="3" t="s">
        <v>15</v>
      </c>
      <c r="Q7" s="4" t="s">
        <v>71</v>
      </c>
      <c r="R7" s="10">
        <f>MIN(R6,B6)</f>
        <v>1.5</v>
      </c>
      <c r="S7" s="3" t="s">
        <v>15</v>
      </c>
      <c r="U7" s="4" t="s">
        <v>53</v>
      </c>
      <c r="V7" s="2">
        <f>V6*B16</f>
        <v>4.673119072214817</v>
      </c>
      <c r="W7" s="3" t="s">
        <v>47</v>
      </c>
    </row>
    <row r="8" spans="1:23" ht="24" customHeight="1" x14ac:dyDescent="0.35">
      <c r="A8" s="4" t="s">
        <v>9</v>
      </c>
      <c r="B8" s="5">
        <v>64</v>
      </c>
      <c r="C8" s="3" t="s">
        <v>15</v>
      </c>
      <c r="K8" s="23" t="s">
        <v>82</v>
      </c>
      <c r="L8" s="24"/>
      <c r="M8" s="25"/>
      <c r="Q8" s="4" t="s">
        <v>72</v>
      </c>
      <c r="R8" s="2">
        <f>2*R4</f>
        <v>0</v>
      </c>
      <c r="S8" s="3" t="s">
        <v>15</v>
      </c>
      <c r="U8" s="4" t="s">
        <v>67</v>
      </c>
      <c r="V8" s="2">
        <f>MIN(300, 20*B15) / 10</f>
        <v>20</v>
      </c>
      <c r="W8" s="3" t="s">
        <v>15</v>
      </c>
    </row>
    <row r="9" spans="1:23" ht="24" customHeight="1" x14ac:dyDescent="0.35">
      <c r="A9" s="4" t="s">
        <v>11</v>
      </c>
      <c r="B9" s="5">
        <v>215</v>
      </c>
      <c r="C9" s="3" t="s">
        <v>17</v>
      </c>
      <c r="K9" s="4" t="s">
        <v>10</v>
      </c>
      <c r="L9" s="2">
        <f>B7*B8</f>
        <v>2816</v>
      </c>
      <c r="M9" s="3" t="s">
        <v>16</v>
      </c>
      <c r="Q9" s="4" t="s">
        <v>74</v>
      </c>
      <c r="R9" s="2">
        <f>L19*B8*L6</f>
        <v>28.58522727272728</v>
      </c>
      <c r="S9" s="3" t="s">
        <v>17</v>
      </c>
      <c r="U9" s="4" t="s">
        <v>33</v>
      </c>
      <c r="V9" s="2" t="str">
        <f>IF(V7&gt;B10, "safe", "unsafe")</f>
        <v>safe</v>
      </c>
      <c r="W9" s="3" t="s">
        <v>15</v>
      </c>
    </row>
    <row r="10" spans="1:23" ht="24" customHeight="1" x14ac:dyDescent="0.35">
      <c r="A10" s="4" t="s">
        <v>12</v>
      </c>
      <c r="B10" s="5">
        <v>0.5</v>
      </c>
      <c r="C10" s="3" t="s">
        <v>17</v>
      </c>
      <c r="K10" s="4" t="s">
        <v>29</v>
      </c>
      <c r="L10" s="2">
        <f>B12*B8</f>
        <v>128</v>
      </c>
      <c r="M10" s="3" t="s">
        <v>16</v>
      </c>
      <c r="Q10" s="4" t="s">
        <v>73</v>
      </c>
      <c r="R10" s="2" t="e">
        <f>R9/B19</f>
        <v>#DIV/0!</v>
      </c>
      <c r="S10" s="3" t="s">
        <v>17</v>
      </c>
    </row>
    <row r="11" spans="1:23" ht="24" customHeight="1" x14ac:dyDescent="0.5">
      <c r="A11" s="4" t="s">
        <v>14</v>
      </c>
      <c r="B11" s="5">
        <v>77</v>
      </c>
      <c r="C11" s="3" t="s">
        <v>19</v>
      </c>
      <c r="K11" s="4" t="s">
        <v>30</v>
      </c>
      <c r="L11" s="2">
        <f>B8*POWER(B12,3)/12</f>
        <v>42.666666666666664</v>
      </c>
      <c r="M11" s="3" t="s">
        <v>28</v>
      </c>
      <c r="Q11" s="4" t="s">
        <v>75</v>
      </c>
      <c r="R11" s="2" t="e">
        <f>R10/(R8*R7)</f>
        <v>#DIV/0!</v>
      </c>
      <c r="S11" s="3" t="s">
        <v>76</v>
      </c>
    </row>
    <row r="12" spans="1:23" ht="24" customHeight="1" x14ac:dyDescent="0.45">
      <c r="A12" s="4" t="s">
        <v>24</v>
      </c>
      <c r="B12" s="5">
        <v>2</v>
      </c>
      <c r="C12" s="3" t="s">
        <v>15</v>
      </c>
      <c r="K12" s="4" t="s">
        <v>83</v>
      </c>
      <c r="L12" s="9">
        <f>POWER(L21*POWER(B12,3)/(6*L19),0.5)</f>
        <v>6.7279686972144628</v>
      </c>
      <c r="M12" s="3" t="s">
        <v>15</v>
      </c>
      <c r="Q12" s="4" t="s">
        <v>78</v>
      </c>
      <c r="R12" s="2">
        <f>L17 * (R4-L22) / L23</f>
        <v>-1.9596513227982966</v>
      </c>
      <c r="S12" s="3" t="s">
        <v>76</v>
      </c>
      <c r="U12" s="18" t="s">
        <v>54</v>
      </c>
      <c r="V12" s="18"/>
      <c r="W12" s="18"/>
    </row>
    <row r="13" spans="1:23" ht="24" customHeight="1" x14ac:dyDescent="0.45">
      <c r="A13" s="4" t="s">
        <v>26</v>
      </c>
      <c r="B13" s="2">
        <v>3.6</v>
      </c>
      <c r="C13" s="3" t="s">
        <v>18</v>
      </c>
      <c r="K13" s="19" t="s">
        <v>68</v>
      </c>
      <c r="L13" s="20"/>
      <c r="M13" s="21"/>
      <c r="Q13" s="4" t="s">
        <v>77</v>
      </c>
      <c r="R13" s="2" t="e">
        <f>POWER(POWER(R12,2)+3*POWER(R11,2),0.5)</f>
        <v>#DIV/0!</v>
      </c>
      <c r="S13" s="3" t="s">
        <v>76</v>
      </c>
      <c r="U13" s="18"/>
      <c r="V13" s="18"/>
      <c r="W13" s="18"/>
    </row>
    <row r="14" spans="1:23" ht="24" customHeight="1" x14ac:dyDescent="0.35">
      <c r="A14" s="4" t="s">
        <v>49</v>
      </c>
      <c r="B14" s="2">
        <v>5.2</v>
      </c>
      <c r="C14" s="3" t="s">
        <v>18</v>
      </c>
      <c r="K14" s="4" t="s">
        <v>21</v>
      </c>
      <c r="L14" s="1">
        <f>L19*POWER(L7,2)/2</f>
        <v>19.154545454545453</v>
      </c>
      <c r="M14" s="3" t="s">
        <v>37</v>
      </c>
      <c r="Q14" s="4" t="s">
        <v>79</v>
      </c>
      <c r="R14" s="2" t="e">
        <f>IF(AND(R13 &lt; V14*1.1, R12&lt;V14,R11&lt;V14), "safe", "unsafe")</f>
        <v>#DIV/0!</v>
      </c>
      <c r="S14" s="3"/>
      <c r="U14" s="7" t="s">
        <v>55</v>
      </c>
      <c r="V14" s="2">
        <f>0.2 * B14</f>
        <v>1.04</v>
      </c>
      <c r="W14" s="3" t="s">
        <v>60</v>
      </c>
    </row>
    <row r="15" spans="1:23" ht="24" customHeight="1" x14ac:dyDescent="0.35">
      <c r="A15" s="4" t="s">
        <v>45</v>
      </c>
      <c r="B15" s="5">
        <v>10</v>
      </c>
      <c r="C15" s="3" t="s">
        <v>46</v>
      </c>
      <c r="K15" s="4" t="s">
        <v>22</v>
      </c>
      <c r="L15" s="4">
        <f>L19*POWER(L6,2)/2</f>
        <v>1.3064342151988644</v>
      </c>
      <c r="M15" s="3" t="s">
        <v>37</v>
      </c>
      <c r="Q15" s="4" t="s">
        <v>32</v>
      </c>
      <c r="R15" s="2">
        <f>R5*R4*B19</f>
        <v>0</v>
      </c>
      <c r="S15" s="3" t="s">
        <v>16</v>
      </c>
      <c r="U15" s="1" t="s">
        <v>57</v>
      </c>
      <c r="V15" s="2">
        <f>2*B5+2*(B5-B4-2)-B19*2*R6</f>
        <v>90</v>
      </c>
      <c r="W15" s="3" t="s">
        <v>15</v>
      </c>
    </row>
    <row r="16" spans="1:23" ht="24" customHeight="1" x14ac:dyDescent="0.5">
      <c r="A16" s="4" t="s">
        <v>52</v>
      </c>
      <c r="B16" s="5">
        <v>2</v>
      </c>
      <c r="C16" s="3" t="s">
        <v>51</v>
      </c>
      <c r="K16" s="4" t="s">
        <v>38</v>
      </c>
      <c r="L16" s="4">
        <f>L14*B7</f>
        <v>842.8</v>
      </c>
      <c r="M16" s="3" t="s">
        <v>23</v>
      </c>
      <c r="Q16" s="4" t="s">
        <v>31</v>
      </c>
      <c r="R16" s="2">
        <f>POWER(R4,3)*R5/12</f>
        <v>0</v>
      </c>
      <c r="S16" s="3" t="s">
        <v>28</v>
      </c>
      <c r="U16" s="1" t="s">
        <v>59</v>
      </c>
      <c r="V16" s="2">
        <f>(B3-2)*2</f>
        <v>56</v>
      </c>
      <c r="W16" s="3" t="s">
        <v>15</v>
      </c>
    </row>
    <row r="17" spans="1:23" ht="24" customHeight="1" x14ac:dyDescent="0.35">
      <c r="A17" s="4" t="s">
        <v>61</v>
      </c>
      <c r="B17" s="5">
        <v>2</v>
      </c>
      <c r="C17" s="3" t="s">
        <v>15</v>
      </c>
      <c r="K17" s="4" t="s">
        <v>39</v>
      </c>
      <c r="L17" s="2">
        <f>L15*B8</f>
        <v>83.61178977272732</v>
      </c>
      <c r="M17" s="3" t="s">
        <v>23</v>
      </c>
      <c r="U17" s="1" t="s">
        <v>56</v>
      </c>
      <c r="V17" s="2">
        <f>B9/(V15*B17 + V16*B18)</f>
        <v>0.91101694915254239</v>
      </c>
      <c r="W17" s="3" t="s">
        <v>60</v>
      </c>
    </row>
    <row r="18" spans="1:23" ht="24" customHeight="1" x14ac:dyDescent="0.35">
      <c r="A18" s="4" t="s">
        <v>62</v>
      </c>
      <c r="B18" s="5">
        <v>1</v>
      </c>
      <c r="C18" s="3" t="s">
        <v>15</v>
      </c>
      <c r="K18" s="19" t="s">
        <v>70</v>
      </c>
      <c r="L18" s="20"/>
      <c r="M18" s="21"/>
      <c r="U18" s="4" t="s">
        <v>63</v>
      </c>
      <c r="V18" s="2">
        <f>B10/(V15*B17 + V16*B18)</f>
        <v>2.1186440677966102E-3</v>
      </c>
      <c r="W18" s="3" t="s">
        <v>65</v>
      </c>
    </row>
    <row r="19" spans="1:23" ht="24" customHeight="1" x14ac:dyDescent="0.35">
      <c r="A19" s="4" t="s">
        <v>88</v>
      </c>
      <c r="B19" s="5">
        <v>0</v>
      </c>
      <c r="C19" s="3" t="s">
        <v>27</v>
      </c>
      <c r="K19" s="4" t="s">
        <v>13</v>
      </c>
      <c r="L19" s="2">
        <f>B9/L9</f>
        <v>7.6349431818181823E-2</v>
      </c>
      <c r="M19" s="3" t="s">
        <v>18</v>
      </c>
      <c r="Q19" s="12" t="s">
        <v>97</v>
      </c>
      <c r="R19" s="13"/>
      <c r="S19" s="14"/>
      <c r="U19" s="4" t="s">
        <v>64</v>
      </c>
      <c r="V19" s="2">
        <f>POWER(POWER(V17,2) +3*POWER(V18,2),0.5)</f>
        <v>0.91102433974140562</v>
      </c>
      <c r="W19" s="3" t="s">
        <v>66</v>
      </c>
    </row>
    <row r="20" spans="1:23" ht="24" customHeight="1" x14ac:dyDescent="0.35">
      <c r="A20" s="4" t="s">
        <v>84</v>
      </c>
      <c r="B20" s="5">
        <v>1.5</v>
      </c>
      <c r="C20" s="11" t="s">
        <v>15</v>
      </c>
      <c r="K20" s="4" t="s">
        <v>20</v>
      </c>
      <c r="L20" s="8" t="str">
        <f>IF(L19*1000 &lt; B11, "safe", "unsafe")</f>
        <v>safe</v>
      </c>
      <c r="M20" s="3"/>
      <c r="Q20" s="15"/>
      <c r="R20" s="16"/>
      <c r="S20" s="17"/>
      <c r="U20" s="7" t="s">
        <v>33</v>
      </c>
      <c r="V20" s="2" t="str">
        <f>IF(AND(MAX(V17:V18) &lt; V14, V19 &lt; V14*1.1), "safe", "unsafe")</f>
        <v>safe</v>
      </c>
      <c r="W20" s="3"/>
    </row>
    <row r="21" spans="1:23" ht="24" customHeight="1" x14ac:dyDescent="0.4">
      <c r="A21" s="4" t="s">
        <v>85</v>
      </c>
      <c r="B21" s="5">
        <v>20</v>
      </c>
      <c r="C21" s="11" t="s">
        <v>15</v>
      </c>
      <c r="K21" s="4" t="s">
        <v>25</v>
      </c>
      <c r="L21" s="2">
        <f>B13*0.72</f>
        <v>2.5920000000000001</v>
      </c>
      <c r="M21" s="3" t="s">
        <v>18</v>
      </c>
      <c r="Q21" s="4" t="s">
        <v>94</v>
      </c>
      <c r="R21" s="9">
        <f>IF((B8-B5)/2 - L12 &gt; 0, (B8-B5)/2 - L12, "no stiffeners required")</f>
        <v>13.272031302785537</v>
      </c>
      <c r="S21" s="3" t="s">
        <v>15</v>
      </c>
    </row>
    <row r="22" spans="1:23" ht="24" customHeight="1" x14ac:dyDescent="0.35">
      <c r="A22" s="4" t="s">
        <v>89</v>
      </c>
      <c r="B22" s="5">
        <v>2</v>
      </c>
      <c r="C22" s="3" t="s">
        <v>27</v>
      </c>
      <c r="K22" s="4" t="s">
        <v>90</v>
      </c>
      <c r="L22" s="2">
        <f>(L10*B12/2 + B19 * R15 * (R4/2 +B12)) / ( L10 +B19*R15)</f>
        <v>1</v>
      </c>
      <c r="M22" s="3" t="s">
        <v>15</v>
      </c>
      <c r="Q22" s="4" t="s">
        <v>96</v>
      </c>
      <c r="R22" s="9">
        <f>IF(B22&gt;0, IF(B24, B24, _xlfn.CEILING.MATH(L3/3)), 0)</f>
        <v>24</v>
      </c>
      <c r="S22" s="3" t="s">
        <v>15</v>
      </c>
    </row>
    <row r="23" spans="1:23" ht="24" customHeight="1" x14ac:dyDescent="0.45">
      <c r="A23" s="4" t="s">
        <v>86</v>
      </c>
      <c r="B23" s="5">
        <v>2</v>
      </c>
      <c r="C23" s="11" t="s">
        <v>15</v>
      </c>
      <c r="K23" s="4" t="s">
        <v>91</v>
      </c>
      <c r="L23" s="2">
        <f>L11+B19*R16+L10*POWER(B12/2-L22,2)+B19*R15*POWER(B12+R4/2-L22,2)</f>
        <v>42.666666666666664</v>
      </c>
      <c r="M23" s="3" t="s">
        <v>28</v>
      </c>
      <c r="Q23" s="4" t="s">
        <v>81</v>
      </c>
      <c r="R23" s="2">
        <f>IF(B22 &gt;0, R22/16, 0)</f>
        <v>1.5</v>
      </c>
      <c r="S23" s="3" t="s">
        <v>15</v>
      </c>
    </row>
    <row r="24" spans="1:23" ht="24" customHeight="1" x14ac:dyDescent="0.5">
      <c r="A24" s="4" t="s">
        <v>87</v>
      </c>
      <c r="B24" s="5">
        <v>24</v>
      </c>
      <c r="C24" s="11" t="s">
        <v>15</v>
      </c>
      <c r="K24" s="4" t="s">
        <v>40</v>
      </c>
      <c r="L24" s="2">
        <f>L17 * MAX(B12+R4-L22,L22) / L23</f>
        <v>1.9596513227982966</v>
      </c>
      <c r="M24" s="3" t="s">
        <v>69</v>
      </c>
      <c r="Q24" s="4" t="s">
        <v>80</v>
      </c>
      <c r="R24" s="9">
        <f>MAX(B23,R23)</f>
        <v>2</v>
      </c>
      <c r="S24" s="3" t="s">
        <v>15</v>
      </c>
    </row>
    <row r="25" spans="1:23" ht="24" customHeight="1" x14ac:dyDescent="0.35">
      <c r="K25" s="4" t="s">
        <v>92</v>
      </c>
      <c r="L25" s="2">
        <f>(L10*B12/2 + B22 * R33 * (R22/2 +B12)) / ( L10 +B22*R33)</f>
        <v>7.882352941176471</v>
      </c>
      <c r="M25" s="3" t="s">
        <v>15</v>
      </c>
      <c r="Q25" s="4" t="s">
        <v>71</v>
      </c>
      <c r="R25" s="10">
        <f>MIN(R24,B6)</f>
        <v>2</v>
      </c>
      <c r="S25" s="3" t="s">
        <v>15</v>
      </c>
    </row>
    <row r="26" spans="1:23" ht="24" customHeight="1" x14ac:dyDescent="0.35">
      <c r="K26" s="4" t="s">
        <v>93</v>
      </c>
      <c r="L26" s="2">
        <f>L11+B22*R34+L10*POWER(B12/2-L25,2)+B22*R33*POWER(B12+R22/2-L25,2)</f>
        <v>14950.901960784315</v>
      </c>
      <c r="M26" s="3" t="s">
        <v>28</v>
      </c>
      <c r="Q26" s="4" t="s">
        <v>72</v>
      </c>
      <c r="R26" s="2">
        <f>2*R22</f>
        <v>48</v>
      </c>
      <c r="S26" s="3" t="s">
        <v>15</v>
      </c>
    </row>
    <row r="27" spans="1:23" ht="24" customHeight="1" x14ac:dyDescent="0.35">
      <c r="K27" s="4" t="s">
        <v>41</v>
      </c>
      <c r="L27" s="2">
        <f>L16 * (B12/2) / L26</f>
        <v>5.6371180963572264E-2</v>
      </c>
      <c r="M27" s="3" t="s">
        <v>36</v>
      </c>
      <c r="Q27" s="4" t="s">
        <v>74</v>
      </c>
      <c r="R27" s="2">
        <f>L19*B7*L7</f>
        <v>75.25</v>
      </c>
      <c r="S27" s="3" t="s">
        <v>17</v>
      </c>
    </row>
    <row r="28" spans="1:23" ht="18" x14ac:dyDescent="0.35">
      <c r="K28" s="4" t="s">
        <v>33</v>
      </c>
      <c r="L28" s="2" t="str">
        <f>IF( AND(L27&lt;L21, L24&lt;L21), "safe", "unsafe")</f>
        <v>safe</v>
      </c>
      <c r="M28" s="3"/>
      <c r="Q28" s="4" t="s">
        <v>73</v>
      </c>
      <c r="R28" s="2">
        <f>R27/B22</f>
        <v>37.625</v>
      </c>
      <c r="S28" s="3" t="s">
        <v>17</v>
      </c>
    </row>
    <row r="29" spans="1:23" ht="23.25" customHeight="1" x14ac:dyDescent="0.45">
      <c r="Q29" s="4" t="s">
        <v>75</v>
      </c>
      <c r="R29" s="2">
        <f>R28/(R26*R25)</f>
        <v>0.39192708333333331</v>
      </c>
      <c r="S29" s="3" t="s">
        <v>76</v>
      </c>
    </row>
    <row r="30" spans="1:23" ht="23.4" x14ac:dyDescent="0.45">
      <c r="Q30" s="4" t="s">
        <v>78</v>
      </c>
      <c r="R30" s="2">
        <f>L16 * (R22-L25) / L26</f>
        <v>0.90857079905992932</v>
      </c>
      <c r="S30" s="3" t="s">
        <v>76</v>
      </c>
    </row>
    <row r="31" spans="1:23" ht="23.4" x14ac:dyDescent="0.45">
      <c r="Q31" s="4" t="s">
        <v>77</v>
      </c>
      <c r="R31" s="2">
        <f>POWER(POWER(R30,2)+3*POWER(R29,2),0.5)</f>
        <v>1.1341611053350926</v>
      </c>
      <c r="S31" s="3" t="s">
        <v>76</v>
      </c>
    </row>
    <row r="32" spans="1:23" ht="18" x14ac:dyDescent="0.35">
      <c r="Q32" s="4" t="s">
        <v>79</v>
      </c>
      <c r="R32" s="2" t="str">
        <f>IF(AND(R31 &lt; V14*1.1, R30&lt;V14,R29&lt;V14), "safe", "unsafe")</f>
        <v>safe</v>
      </c>
      <c r="S32" s="3"/>
    </row>
    <row r="33" spans="17:19" ht="18" x14ac:dyDescent="0.35">
      <c r="Q33" s="4" t="s">
        <v>32</v>
      </c>
      <c r="R33" s="2">
        <f>R23*R22*B22</f>
        <v>72</v>
      </c>
      <c r="S33" s="3" t="s">
        <v>16</v>
      </c>
    </row>
    <row r="34" spans="17:19" ht="25.8" x14ac:dyDescent="0.5">
      <c r="Q34" s="4" t="s">
        <v>31</v>
      </c>
      <c r="R34" s="2">
        <f>POWER(R22,3)*R23/12</f>
        <v>1728</v>
      </c>
      <c r="S34" s="3" t="s">
        <v>28</v>
      </c>
    </row>
  </sheetData>
  <mergeCells count="10">
    <mergeCell ref="Q19:S20"/>
    <mergeCell ref="A1:C2"/>
    <mergeCell ref="K1:M2"/>
    <mergeCell ref="U1:W2"/>
    <mergeCell ref="U12:W13"/>
    <mergeCell ref="K18:M18"/>
    <mergeCell ref="K13:M13"/>
    <mergeCell ref="F1:H2"/>
    <mergeCell ref="K8:M8"/>
    <mergeCell ref="Q1:S2"/>
  </mergeCells>
  <conditionalFormatting sqref="V7:V9">
    <cfRule type="cellIs" dxfId="21" priority="28" operator="lessThan">
      <formula>0</formula>
    </cfRule>
    <cfRule type="cellIs" dxfId="20" priority="29" operator="lessThan">
      <formula>0</formula>
    </cfRule>
  </conditionalFormatting>
  <conditionalFormatting sqref="L28">
    <cfRule type="cellIs" dxfId="19" priority="30" operator="equal">
      <formula>"unsafe"</formula>
    </cfRule>
    <cfRule type="cellIs" dxfId="18" priority="30" operator="equal">
      <formula>"safe"</formula>
    </cfRule>
  </conditionalFormatting>
  <conditionalFormatting sqref="V9">
    <cfRule type="cellIs" dxfId="17" priority="22" operator="equal">
      <formula>"unsafe"</formula>
    </cfRule>
    <cfRule type="cellIs" dxfId="16" priority="23" operator="equal">
      <formula>"safe"</formula>
    </cfRule>
  </conditionalFormatting>
  <conditionalFormatting sqref="V18:V19"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V19">
    <cfRule type="cellIs" dxfId="13" priority="14" operator="equal">
      <formula>"unsafe"</formula>
    </cfRule>
    <cfRule type="cellIs" dxfId="12" priority="15" operator="equal">
      <formula>"safe"</formula>
    </cfRule>
  </conditionalFormatting>
  <conditionalFormatting sqref="V20">
    <cfRule type="cellIs" dxfId="11" priority="12" operator="equal">
      <formula>"unsafe"</formula>
    </cfRule>
    <cfRule type="cellIs" dxfId="10" priority="13" operator="equal">
      <formula>"safe"</formula>
    </cfRule>
  </conditionalFormatting>
  <conditionalFormatting sqref="L20">
    <cfRule type="cellIs" dxfId="9" priority="10" operator="equal">
      <formula>"unsafe"</formula>
    </cfRule>
    <cfRule type="cellIs" dxfId="8" priority="11" operator="equal">
      <formula>"safe"</formula>
    </cfRule>
  </conditionalFormatting>
  <conditionalFormatting sqref="L7">
    <cfRule type="cellIs" dxfId="7" priority="8" operator="lessThan">
      <formula>0</formula>
    </cfRule>
    <cfRule type="cellIs" dxfId="6" priority="9" operator="lessThan">
      <formula>0</formula>
    </cfRule>
  </conditionalFormatting>
  <conditionalFormatting sqref="R14">
    <cfRule type="cellIs" dxfId="5" priority="6" operator="equal">
      <formula>"safe"</formula>
    </cfRule>
    <cfRule type="cellIs" dxfId="4" priority="7" operator="equal">
      <formula>"unsafe"</formula>
    </cfRule>
  </conditionalFormatting>
  <conditionalFormatting sqref="B20">
    <cfRule type="cellIs" dxfId="3" priority="31" operator="lessThan">
      <formula>$R$5</formula>
    </cfRule>
  </conditionalFormatting>
  <conditionalFormatting sqref="R32">
    <cfRule type="cellIs" dxfId="2" priority="3" operator="equal">
      <formula>"safe"</formula>
    </cfRule>
    <cfRule type="cellIs" dxfId="1" priority="4" operator="equal">
      <formula>"unsafe"</formula>
    </cfRule>
  </conditionalFormatting>
  <conditionalFormatting sqref="B23">
    <cfRule type="cellIs" dxfId="0" priority="1" operator="lessThan">
      <formula>$R$23</formula>
    </cfRule>
  </conditionalFormatting>
  <dataValidations count="1">
    <dataValidation type="whole" allowBlank="1" showInputMessage="1" showErrorMessage="1" sqref="B17">
      <formula1>0</formula1>
      <formula2>MIN(B6,B12)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 direction stiffiners count'!$A$1:$A$2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 direction stiffiners 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ahmedmohamed982025@outlook.com</cp:lastModifiedBy>
  <dcterms:created xsi:type="dcterms:W3CDTF">2025-05-07T04:07:10Z</dcterms:created>
  <dcterms:modified xsi:type="dcterms:W3CDTF">2025-06-02T11:46:42Z</dcterms:modified>
</cp:coreProperties>
</file>