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8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V15" i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<sst xmlns="http://schemas.openxmlformats.org/spreadsheetml/2006/main" count="178" uniqueCount="98">
  <si>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</si>
  <si>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</si>
  <si>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</si>
  <si>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</si>
  <si>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</si>
  <si>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</si>
  <si>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</si>
  <si>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</si>
  <si>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</si>
  <si>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</si>
  <si>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</si>
  <si>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</si>
  <si>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</si>
  <si>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</si>
  <si>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</si>
  <si>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</si>
  <si>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</si>
  <si>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</si>
  <si>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</si>
  <si>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</si>
  <si>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</si>
  <si>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</si>
  <si>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</si>
  <si>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</si>
  <si>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</si>
  <si>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</si>
  <si>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</si>
  <si>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</si>
  <si>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</si>
  <si>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</si>
  <si>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</si>
  <si>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</si>
  <si>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</si>
  <si>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</si>
  <si>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</si>
  <si>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</si>
  <si>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</si>
  <si>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</si>
  <si>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</si>
  <si>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</si>
  <si>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</si>
  <si>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</si>
  <si>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</si>
  <si>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</si>
  <si>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</si>
  <si>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</si>
  <si>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</si>
  <si>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</si>
  <si>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</si>
  <si>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</si>
  <si>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</si>
  <si>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</si>
  <si>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</si>
  <si>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</si>
  <si>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</si>
  <si>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</si>
  <si>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</si>
  <si>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</si>
  <si>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</si>
  <si>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</si>
  <si>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</si>
  <si>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</si>
  <si>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</si>
  <si>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</si>
  <si>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</si>
  <si>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</si>
  <si>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</si>
  <si>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</si>
  <si>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</si>
  <si>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</si>
  <si>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</si>
  <si>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</si>
  <si>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</si>
  <si>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</si>
  <si>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</si>
  <si>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</si>
  <si>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</si>
  <si>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</si>
  <si>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</si>
  <si>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</si>
  <si>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</si>
  <si>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</si>
  <si>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</si>
  <si>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</si>
  <si>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</si>
  <si>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</si>
  <si>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</si>
  <si>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</si>
  <si>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</si>
  <si>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</si>
  <si>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</si>
  <si>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</si>
  <si>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</si>
  <si>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</si>
  <si>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</si>
  <si>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</si>
  <si>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stiffeners height , bst</t>
  </si>
  <si>
    <t>n direction stiffners , web plan perpendicular stiffeners , welded on flages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</si>
</sst>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16</xdr:col>
      <xdr:colOff>2590800</xdr:colOff>
      <xdr:row>36</xdr:row>
      <xdr:rowOff>83127</xdr:rowOff>
    </xdr:from>
    <xdr:to>
      <xdr:col>24</xdr:col>
      <xdr:colOff>258778</xdr:colOff>
      <xdr:row>68</xdr:row>
      <xdr:rowOff>91065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10363200"/>
          <a:ext cx="7961905" cy="5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13854</xdr:colOff>
      <xdr:row>38</xdr:row>
      <xdr:rowOff>0</xdr:rowOff>
    </xdr:from>
    <xdr:to>
      <xdr:col>16</xdr:col>
      <xdr:colOff>1051092</xdr:colOff>
      <xdr:row>70</xdr:row>
      <xdr:rowOff>169842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7854" y="10640291"/>
          <a:ext cx="7895238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2660072</xdr:colOff>
      <xdr:row>27</xdr:row>
      <xdr:rowOff>193963</xdr:rowOff>
    </xdr:from>
    <xdr:to>
      <xdr:col>7</xdr:col>
      <xdr:colOff>313543</xdr:colOff>
      <xdr:row>47</xdr:row>
      <xdr:rowOff>147222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0072" y="8201890"/>
          <a:ext cx="4968671" cy="420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B13" zoomScale="55" zoomScaleNormal="55" workbookViewId="0">
      <selection activeCell="K35" sqref="K35"/>
    </sheetView>
  </sheetViews>
  <sheetFormatPr defaultRowHeight="14.4" x14ac:dyDescent="0.3"/>
  <cols>
    <col min="1" max="1" width="42.5546875" bestFit="1" customWidth="1"/>
    <col min="2" max="2" width="17.88671875" customWidth="1"/>
    <col min="3" max="3" width="10.44140625" customWidth="1"/>
    <col min="11" max="11" width="46.5546875" bestFit="1" customWidth="1"/>
    <col min="12" max="12" width="16.44140625" customWidth="1"/>
    <col min="13" max="13" width="10.5546875" bestFit="1" customWidth="1"/>
    <col min="17" max="17" width="43.5546875" bestFit="1" customWidth="1"/>
    <col min="18" max="18" width="26.33203125" bestFit="1" customWidth="1"/>
    <col min="19" max="19" width="10.5546875" bestFit="1" customWidth="1"/>
    <col min="21" max="21" width="20.33203125" bestFit="1" customWidth="1"/>
    <col min="22" max="22" width="23.109375" customWidth="1"/>
    <col min="23" max="23" width="8.44140625" customWidth="1"/>
  </cols>
  <sheetData>
    <row r="1" spans="1:23" ht="15" customHeight="1" x14ac:dyDescent="0.3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95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3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4">
      <c r="A3" s="1" t="s">
        <v>0</v>
      </c>
      <c r="B3" s="5">
        <v>20</v>
      </c>
      <c r="C3" s="3" t="s">
        <v>15</v>
      </c>
      <c r="K3" s="1" t="s">
        <v>3</v>
      </c>
      <c r="L3" s="2">
        <f>B3+2*B6</f>
        <v>24</v>
      </c>
      <c r="M3" s="3" t="s">
        <v>15</v>
      </c>
      <c r="Q3" s="4" t="s">
        <v>94</v>
      </c>
      <c r="R3" s="9">
        <f>IF((B7-L3)/2-L12&gt;0,(B7-L3)/2-L12,"no stiffeners required ")</f>
        <v>6.0717967697244903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4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22.799999999999997</v>
      </c>
      <c r="M4" s="3" t="s">
        <v>15</v>
      </c>
      <c r="Q4" s="4" t="s">
        <v>96</v>
      </c>
      <c r="R4" s="9">
        <f>IF(B19&gt;0, IF(B21, B21, _xlfn.CEILING.MATH(L3/3)), 0)</f>
        <v>18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45">
      <c r="A5" s="1" t="s">
        <v>1</v>
      </c>
      <c r="B5" s="5">
        <v>26</v>
      </c>
      <c r="C5" s="3" t="s">
        <v>15</v>
      </c>
      <c r="K5" s="1" t="s">
        <v>5</v>
      </c>
      <c r="L5" s="2">
        <f>0.8*B5</f>
        <v>20.8</v>
      </c>
      <c r="M5" s="3" t="s">
        <v>15</v>
      </c>
      <c r="Q5" s="4" t="s">
        <v>81</v>
      </c>
      <c r="R5" s="2">
        <f>IF(B19 &gt;0, R4/16, 0)</f>
        <v>1.125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5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13.600000000000001</v>
      </c>
      <c r="M6" s="3" t="s">
        <v>15</v>
      </c>
      <c r="Q6" s="4" t="s">
        <v>80</v>
      </c>
      <c r="R6" s="9">
        <f>MAX(B20,R5)</f>
        <v>2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45">
      <c r="A7" s="4" t="s">
        <v>8</v>
      </c>
      <c r="B7" s="5">
        <v>50</v>
      </c>
      <c r="C7" s="3" t="s">
        <v>15</v>
      </c>
      <c r="K7" s="4" t="s">
        <v>6</v>
      </c>
      <c r="L7" s="2">
        <f>(B8-L5)/2</f>
        <v>14.6</v>
      </c>
      <c r="M7" s="3" t="s">
        <v>15</v>
      </c>
      <c r="Q7" s="4" t="s">
        <v>71</v>
      </c>
      <c r="R7" s="10">
        <f>MIN(R6,B6)</f>
        <v>2</v>
      </c>
      <c r="S7" s="3" t="s">
        <v>15</v>
      </c>
      <c r="U7" s="4" t="s">
        <v>53</v>
      </c>
      <c r="V7" s="2">
        <f>V6*B16</f>
        <v>4.673119072214817</v>
      </c>
      <c r="W7" s="3" t="s">
        <v>47</v>
      </c>
    </row>
    <row r="8" spans="1:23" ht="24" customHeight="1" x14ac:dyDescent="0.35">
      <c r="A8" s="4" t="s">
        <v>9</v>
      </c>
      <c r="B8" s="5">
        <v>50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36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5">
      <c r="A9" s="4" t="s">
        <v>11</v>
      </c>
      <c r="B9" s="5">
        <v>180</v>
      </c>
      <c r="C9" s="3" t="s">
        <v>17</v>
      </c>
      <c r="K9" s="4" t="s">
        <v>10</v>
      </c>
      <c r="L9" s="2">
        <f>B7*B8</f>
        <v>2500</v>
      </c>
      <c r="M9" s="3" t="s">
        <v>16</v>
      </c>
      <c r="Q9" s="4" t="s">
        <v>74</v>
      </c>
      <c r="R9" s="2">
        <f>L19*B8*L6</f>
        <v>48.96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5">
      <c r="A10" s="4" t="s">
        <v>12</v>
      </c>
      <c r="B10" s="5">
        <v>1</v>
      </c>
      <c r="C10" s="3" t="s">
        <v>17</v>
      </c>
      <c r="K10" s="4" t="s">
        <v>29</v>
      </c>
      <c r="L10" s="2">
        <f>B12*B8</f>
        <v>100</v>
      </c>
      <c r="M10" s="3" t="s">
        <v>16</v>
      </c>
      <c r="Q10" s="4" t="s">
        <v>73</v>
      </c>
      <c r="R10" s="2">
        <f>R9/B19</f>
        <v>24.48</v>
      </c>
      <c r="S10" s="3" t="s">
        <v>17</v>
      </c>
    </row>
    <row r="11" spans="1:23" ht="24" customHeight="1" x14ac:dyDescent="0.5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33.333333333333336</v>
      </c>
      <c r="M11" s="3" t="s">
        <v>28</v>
      </c>
      <c r="Q11" s="4" t="s">
        <v>75</v>
      </c>
      <c r="R11" s="2">
        <f>R10/(R8*R7)</f>
        <v>0.34</v>
      </c>
      <c r="S11" s="3" t="s">
        <v>76</v>
      </c>
    </row>
    <row r="12" spans="1:23" ht="24" customHeight="1" x14ac:dyDescent="0.4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6.9282032302755097</v>
      </c>
      <c r="M12" s="3" t="s">
        <v>15</v>
      </c>
      <c r="Q12" s="4" t="s">
        <v>78</v>
      </c>
      <c r="R12" s="2">
        <f>L17 * (R4-L22) / L23</f>
        <v>0.74435888312799625</v>
      </c>
      <c r="S12" s="3" t="s">
        <v>76</v>
      </c>
      <c r="U12" s="18" t="s">
        <v>54</v>
      </c>
      <c r="V12" s="18"/>
      <c r="W12" s="18"/>
    </row>
    <row r="13" spans="1:23" ht="24" customHeight="1" x14ac:dyDescent="0.4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>
        <f>POWER(POWER(R12,2)+3*POWER(R11,2),0.5)</f>
        <v>0.94914179493453876</v>
      </c>
      <c r="S13" s="3" t="s">
        <v>76</v>
      </c>
      <c r="U13" s="18"/>
      <c r="V13" s="18"/>
      <c r="W13" s="18"/>
    </row>
    <row r="14" spans="1:23" ht="24" customHeight="1" x14ac:dyDescent="0.35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7.6737599999999997</v>
      </c>
      <c r="M14" s="3" t="s">
        <v>37</v>
      </c>
      <c r="Q14" s="4" t="s">
        <v>79</v>
      </c>
      <c r="R14" s="2" t="str">
        <f>IF(AND(R13 &lt; V14*1.1, R12&lt;V14,R11&lt;V14), "safe", "unsafe")</f>
        <v>safe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5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6.6585600000000005</v>
      </c>
      <c r="M15" s="3" t="s">
        <v>37</v>
      </c>
      <c r="Q15" s="4" t="s">
        <v>32</v>
      </c>
      <c r="R15" s="2">
        <f>R5*R4*B19</f>
        <v>40.5</v>
      </c>
      <c r="S15" s="3" t="s">
        <v>16</v>
      </c>
      <c r="U15" s="1" t="s">
        <v>57</v>
      </c>
      <c r="V15" s="2">
        <f>2*B5+2*(B5-B4-2)-B19*2*R6</f>
        <v>90</v>
      </c>
      <c r="W15" s="3" t="s">
        <v>15</v>
      </c>
    </row>
    <row r="16" spans="1:23" ht="24" customHeight="1" x14ac:dyDescent="0.5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383.68799999999999</v>
      </c>
      <c r="M16" s="3" t="s">
        <v>23</v>
      </c>
      <c r="Q16" s="4" t="s">
        <v>31</v>
      </c>
      <c r="R16" s="2">
        <f>POWER(R4,3)*R5/12</f>
        <v>546.75</v>
      </c>
      <c r="S16" s="3" t="s">
        <v>28</v>
      </c>
      <c r="U16" s="1" t="s">
        <v>59</v>
      </c>
      <c r="V16" s="2">
        <f>(B3-2)*2</f>
        <v>36</v>
      </c>
      <c r="W16" s="3" t="s">
        <v>15</v>
      </c>
    </row>
    <row r="17" spans="1:23" ht="24" customHeight="1" x14ac:dyDescent="0.35">
      <c r="A17" s="4" t="s">
        <v>61</v>
      </c>
      <c r="B17" s="5">
        <v>1.6</v>
      </c>
      <c r="C17" s="3" t="s">
        <v>15</v>
      </c>
      <c r="K17" s="4" t="s">
        <v>39</v>
      </c>
      <c r="L17" s="2">
        <f>L15*B8</f>
        <v>332.928</v>
      </c>
      <c r="M17" s="3" t="s">
        <v>23</v>
      </c>
      <c r="U17" s="1" t="s">
        <v>56</v>
      </c>
      <c r="V17" s="2">
        <f>B9/(V15*B17 + V16*B18)</f>
        <v>1</v>
      </c>
      <c r="W17" s="3" t="s">
        <v>60</v>
      </c>
    </row>
    <row r="18" spans="1:23" ht="24" customHeight="1" x14ac:dyDescent="0.35">
      <c r="A18" s="4" t="s">
        <v>62</v>
      </c>
      <c r="B18" s="5">
        <v>1</v>
      </c>
      <c r="C18" s="3" t="s">
        <v>15</v>
      </c>
      <c r="K18" s="19" t="s">
        <v>70</v>
      </c>
      <c r="L18" s="20"/>
      <c r="M18" s="21"/>
      <c r="U18" s="4" t="s">
        <v>63</v>
      </c>
      <c r="V18" s="2">
        <f>B10/(V15*B17 + V16*B18)</f>
        <v>5.5555555555555558E-3</v>
      </c>
      <c r="W18" s="3" t="s">
        <v>65</v>
      </c>
    </row>
    <row r="19" spans="1:23" ht="24" customHeight="1" x14ac:dyDescent="0.35">
      <c r="A19" s="4" t="s">
        <v>88</v>
      </c>
      <c r="B19" s="5">
        <v>2</v>
      </c>
      <c r="C19" s="3" t="s">
        <v>27</v>
      </c>
      <c r="K19" s="4" t="s">
        <v>13</v>
      </c>
      <c r="L19" s="2">
        <f>B9/L9</f>
        <v>7.1999999999999995E-2</v>
      </c>
      <c r="M19" s="3" t="s">
        <v>18</v>
      </c>
      <c r="Q19" s="12" t="s">
        <v>97</v>
      </c>
      <c r="R19" s="13"/>
      <c r="S19" s="14"/>
      <c r="U19" s="4" t="s">
        <v>64</v>
      </c>
      <c r="V19" s="2">
        <f>POWER(POWER(V17,2) +3*POWER(V18,2),0.5)</f>
        <v>1.0000462952246723</v>
      </c>
      <c r="W19" s="3" t="s">
        <v>66</v>
      </c>
    </row>
    <row r="20" spans="1:23" ht="24" customHeight="1" x14ac:dyDescent="0.35">
      <c r="A20" s="4" t="s">
        <v>84</v>
      </c>
      <c r="B20" s="5">
        <v>2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7" t="s">
        <v>33</v>
      </c>
      <c r="V20" s="2" t="str">
        <f>IF(AND(MAX(V17:V18) &lt; V14, V19 &lt; V14*1.1), "safe", "unsafe")</f>
        <v>safe</v>
      </c>
      <c r="W20" s="3"/>
    </row>
    <row r="21" spans="1:23" ht="24" customHeight="1" x14ac:dyDescent="0.4">
      <c r="A21" s="4" t="s">
        <v>85</v>
      </c>
      <c r="B21" s="5">
        <v>18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94</v>
      </c>
      <c r="R21" s="9">
        <f>IF((B8-B5)/2 - L12 &gt; 0, (B8-B5)/2 - L12, "no stiffeners required")</f>
        <v>5.0717967697244903</v>
      </c>
      <c r="S21" s="3" t="s">
        <v>15</v>
      </c>
    </row>
    <row r="22" spans="1:23" ht="24" customHeight="1" x14ac:dyDescent="0.35">
      <c r="A22" s="4" t="s">
        <v>89</v>
      </c>
      <c r="B22" s="5">
        <v>2</v>
      </c>
      <c r="C22" s="3" t="s">
        <v>27</v>
      </c>
      <c r="K22" s="4" t="s">
        <v>90</v>
      </c>
      <c r="L22" s="2">
        <f>(L10*B12/2 + B19 * R15 * (R4/2 +B12)) / ( L10 +B19*R15)</f>
        <v>5.4751381215469612</v>
      </c>
      <c r="M22" s="3" t="s">
        <v>15</v>
      </c>
      <c r="Q22" s="4" t="s">
        <v>96</v>
      </c>
      <c r="R22" s="9">
        <f>IF(B22&gt;0, IF(B24, B24, _xlfn.CEILING.MATH(L3/3)), 0)</f>
        <v>6</v>
      </c>
      <c r="S22" s="3" t="s">
        <v>15</v>
      </c>
    </row>
    <row r="23" spans="1:23" ht="24" customHeight="1" x14ac:dyDescent="0.4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5601.9714548802949</v>
      </c>
      <c r="M23" s="3" t="s">
        <v>28</v>
      </c>
      <c r="Q23" s="4" t="s">
        <v>81</v>
      </c>
      <c r="R23" s="2">
        <f>IF(B22 &gt;0, R22/16, 0)</f>
        <v>0.375</v>
      </c>
      <c r="S23" s="3" t="s">
        <v>15</v>
      </c>
    </row>
    <row r="24" spans="1:23" ht="24" customHeight="1" x14ac:dyDescent="0.5">
      <c r="A24" s="4" t="s">
        <v>87</v>
      </c>
      <c r="B24" s="5">
        <v>6</v>
      </c>
      <c r="C24" s="11" t="s">
        <v>15</v>
      </c>
      <c r="K24" s="4" t="s">
        <v>40</v>
      </c>
      <c r="L24" s="2">
        <f>L17 * MAX(B12+R4-L22,L22) / L23</f>
        <v>0.86321989578451808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5">
      <c r="K25" s="4" t="s">
        <v>92</v>
      </c>
      <c r="L25" s="2">
        <f>(L10*B12/2 + B22 * R33 * (R22/2 +B12)) / ( L10 +B22*R33)</f>
        <v>1.3302752293577982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5">
      <c r="K26" s="4" t="s">
        <v>93</v>
      </c>
      <c r="L26" s="2">
        <f>L11+B22*R34+L10*POWER(B12/2-L25,2)+B22*R33*POWER(B12+R22/2-L25,2)</f>
        <v>178.94342507645263</v>
      </c>
      <c r="M26" s="3" t="s">
        <v>28</v>
      </c>
      <c r="Q26" s="4" t="s">
        <v>72</v>
      </c>
      <c r="R26" s="2">
        <f>2*R22</f>
        <v>12</v>
      </c>
      <c r="S26" s="3" t="s">
        <v>15</v>
      </c>
    </row>
    <row r="27" spans="1:23" ht="24" customHeight="1" x14ac:dyDescent="0.35">
      <c r="K27" s="4" t="s">
        <v>41</v>
      </c>
      <c r="L27" s="2">
        <f>L16 * (B12/2) / L26</f>
        <v>2.1441860735373282</v>
      </c>
      <c r="M27" s="3" t="s">
        <v>36</v>
      </c>
      <c r="Q27" s="4" t="s">
        <v>74</v>
      </c>
      <c r="R27" s="2">
        <f>L19*B7*L7</f>
        <v>52.559999999999995</v>
      </c>
      <c r="S27" s="3" t="s">
        <v>17</v>
      </c>
    </row>
    <row r="28" spans="1:23" ht="18" x14ac:dyDescent="0.35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R27/B22</f>
        <v>26.279999999999998</v>
      </c>
      <c r="S28" s="3" t="s">
        <v>17</v>
      </c>
    </row>
    <row r="29" spans="1:23" ht="23.25" customHeight="1" x14ac:dyDescent="0.45">
      <c r="Q29" s="4" t="s">
        <v>75</v>
      </c>
      <c r="R29" s="2">
        <f>R28/(R26*R25)</f>
        <v>1.095</v>
      </c>
      <c r="S29" s="3" t="s">
        <v>76</v>
      </c>
    </row>
    <row r="30" spans="1:23" ht="23.4" x14ac:dyDescent="0.45">
      <c r="Q30" s="4" t="s">
        <v>78</v>
      </c>
      <c r="R30" s="2">
        <f>L16 * (R22-L25) / L26</f>
        <v>10.012758820463302</v>
      </c>
      <c r="S30" s="3" t="s">
        <v>76</v>
      </c>
    </row>
    <row r="31" spans="1:23" ht="23.4" x14ac:dyDescent="0.45">
      <c r="Q31" s="4" t="s">
        <v>77</v>
      </c>
      <c r="R31" s="2">
        <f>POWER(POWER(R30,2)+3*POWER(R29,2),0.5)</f>
        <v>10.190800468891817</v>
      </c>
      <c r="S31" s="3" t="s">
        <v>76</v>
      </c>
    </row>
    <row r="32" spans="1:23" ht="18" x14ac:dyDescent="0.35">
      <c r="Q32" s="4" t="s">
        <v>79</v>
      </c>
      <c r="R32" s="2" t="str">
        <f>IF(AND(R31 &lt; V14*1.1, R30&lt;V14,R29&lt;V14), "safe", "unsafe")</f>
        <v>unsafe</v>
      </c>
      <c r="S32" s="3"/>
    </row>
    <row r="33" spans="17:19" ht="18" x14ac:dyDescent="0.35">
      <c r="Q33" s="4" t="s">
        <v>32</v>
      </c>
      <c r="R33" s="2">
        <f>R23*R22*B22</f>
        <v>4.5</v>
      </c>
      <c r="S33" s="3" t="s">
        <v>16</v>
      </c>
    </row>
    <row r="34" spans="17:19" ht="25.8" x14ac:dyDescent="0.5">
      <c r="Q34" s="4" t="s">
        <v>31</v>
      </c>
      <c r="R34" s="2">
        <f>POWER(R22,3)*R23/12</f>
        <v>6.75</v>
      </c>
      <c r="S34" s="3" t="s">
        <v>28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 direction stiffiners count'!$A$1:$A$2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2025-05-07T04:07:10Z</dcterms:created>
  <dcterms:modified xsi:type="dcterms:W3CDTF">2025-06-02T11:43:08Z</dcterms:modified>
</cp:coreProperties>
</file>