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Opensim\Outworldz_Dreamgrid\OutworldzFiles\"/>
    </mc:Choice>
  </mc:AlternateContent>
  <xr:revisionPtr revIDLastSave="0" documentId="13_ncr:1_{E45F02D4-3775-4F69-9D47-DCE7F935FA3F}" xr6:coauthVersionLast="45" xr6:coauthVersionMax="45" xr10:uidLastSave="{00000000-0000-0000-0000-000000000000}"/>
  <bookViews>
    <workbookView xWindow="2550" yWindow="255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43" i="1" l="1"/>
  <c r="W843" i="1"/>
  <c r="V843" i="1"/>
  <c r="U843" i="1"/>
  <c r="T843" i="1"/>
  <c r="S843" i="1"/>
  <c r="R843" i="1"/>
  <c r="Q843" i="1"/>
  <c r="P843" i="1"/>
  <c r="O843" i="1"/>
  <c r="N843" i="1"/>
  <c r="M843" i="1"/>
  <c r="L843" i="1"/>
  <c r="K843" i="1"/>
  <c r="J843" i="1"/>
  <c r="I843" i="1"/>
  <c r="H843" i="1"/>
  <c r="G843" i="1"/>
  <c r="F843" i="1"/>
  <c r="E843" i="1"/>
  <c r="D843" i="1"/>
  <c r="C843" i="1"/>
  <c r="X842" i="1"/>
  <c r="W842" i="1"/>
  <c r="V842" i="1"/>
  <c r="U842" i="1"/>
  <c r="T842" i="1"/>
  <c r="S842" i="1"/>
  <c r="R842" i="1"/>
  <c r="Q842" i="1"/>
  <c r="P842" i="1"/>
  <c r="O842" i="1"/>
  <c r="N842" i="1"/>
  <c r="M842" i="1"/>
  <c r="L842" i="1"/>
  <c r="K842" i="1"/>
  <c r="J842" i="1"/>
  <c r="I842" i="1"/>
  <c r="H842" i="1"/>
  <c r="G842" i="1"/>
  <c r="F842" i="1"/>
  <c r="E842" i="1"/>
  <c r="D842" i="1"/>
  <c r="C842" i="1"/>
  <c r="X841" i="1"/>
  <c r="W841" i="1"/>
  <c r="V841" i="1"/>
  <c r="U841" i="1"/>
  <c r="T841" i="1"/>
  <c r="S841" i="1"/>
  <c r="R841" i="1"/>
  <c r="Q841" i="1"/>
  <c r="P841" i="1"/>
  <c r="O841" i="1"/>
  <c r="N841" i="1"/>
  <c r="M841" i="1"/>
  <c r="L841" i="1"/>
  <c r="K841" i="1"/>
  <c r="J841" i="1"/>
  <c r="I841" i="1"/>
  <c r="H841" i="1"/>
  <c r="G841" i="1"/>
  <c r="F841" i="1"/>
  <c r="E841" i="1"/>
  <c r="D841" i="1"/>
  <c r="C841" i="1"/>
  <c r="X840" i="1"/>
  <c r="W840" i="1"/>
  <c r="V840" i="1"/>
  <c r="U840" i="1"/>
  <c r="T840" i="1"/>
  <c r="S840" i="1"/>
  <c r="R840" i="1"/>
  <c r="Q840" i="1"/>
  <c r="P840" i="1"/>
  <c r="O840" i="1"/>
  <c r="N840" i="1"/>
  <c r="M840" i="1"/>
  <c r="L840" i="1"/>
  <c r="K840" i="1"/>
  <c r="J840" i="1"/>
  <c r="I840" i="1"/>
  <c r="H840" i="1"/>
  <c r="G840" i="1"/>
  <c r="F840" i="1"/>
  <c r="E840" i="1"/>
  <c r="D840" i="1"/>
  <c r="C840" i="1"/>
  <c r="X839" i="1"/>
  <c r="W839" i="1"/>
  <c r="V839" i="1"/>
  <c r="U839" i="1"/>
  <c r="T839" i="1"/>
  <c r="S839" i="1"/>
  <c r="R839" i="1"/>
  <c r="Q839" i="1"/>
  <c r="P839" i="1"/>
  <c r="O839" i="1"/>
  <c r="N839" i="1"/>
  <c r="M839" i="1"/>
  <c r="L839" i="1"/>
  <c r="K839" i="1"/>
  <c r="J839" i="1"/>
  <c r="I839" i="1"/>
  <c r="H839" i="1"/>
  <c r="G839" i="1"/>
  <c r="F839" i="1"/>
  <c r="E839" i="1"/>
  <c r="D839" i="1"/>
  <c r="C839" i="1"/>
  <c r="X838" i="1"/>
  <c r="W838" i="1"/>
  <c r="V838" i="1"/>
  <c r="U838" i="1"/>
  <c r="T838" i="1"/>
  <c r="S838" i="1"/>
  <c r="R838" i="1"/>
  <c r="Q838" i="1"/>
  <c r="P838" i="1"/>
  <c r="O838" i="1"/>
  <c r="N838" i="1"/>
  <c r="M838" i="1"/>
  <c r="L838" i="1"/>
  <c r="K838" i="1"/>
  <c r="J838" i="1"/>
  <c r="I838" i="1"/>
  <c r="H838" i="1"/>
  <c r="G838" i="1"/>
  <c r="F838" i="1"/>
  <c r="E838" i="1"/>
  <c r="D838" i="1"/>
  <c r="C838" i="1"/>
  <c r="X837" i="1"/>
  <c r="W837" i="1"/>
  <c r="V837" i="1"/>
  <c r="U837" i="1"/>
  <c r="T837" i="1"/>
  <c r="S837" i="1"/>
  <c r="R837" i="1"/>
  <c r="Q837" i="1"/>
  <c r="P837" i="1"/>
  <c r="O837" i="1"/>
  <c r="N837" i="1"/>
  <c r="M837" i="1"/>
  <c r="L837" i="1"/>
  <c r="K837" i="1"/>
  <c r="J837" i="1"/>
  <c r="I837" i="1"/>
  <c r="H837" i="1"/>
  <c r="G837" i="1"/>
  <c r="F837" i="1"/>
  <c r="E837" i="1"/>
  <c r="D837" i="1"/>
  <c r="C837" i="1"/>
  <c r="X836" i="1"/>
  <c r="W836" i="1"/>
  <c r="V836" i="1"/>
  <c r="U836" i="1"/>
  <c r="T836" i="1"/>
  <c r="S836" i="1"/>
  <c r="R836" i="1"/>
  <c r="Q836" i="1"/>
  <c r="P836" i="1"/>
  <c r="O836" i="1"/>
  <c r="N836" i="1"/>
  <c r="M836" i="1"/>
  <c r="L836" i="1"/>
  <c r="K836" i="1"/>
  <c r="J836" i="1"/>
  <c r="I836" i="1"/>
  <c r="H836" i="1"/>
  <c r="G836" i="1"/>
  <c r="F836" i="1"/>
  <c r="E836" i="1"/>
  <c r="D836" i="1"/>
  <c r="C836" i="1"/>
  <c r="X835" i="1"/>
  <c r="W835" i="1"/>
  <c r="V835" i="1"/>
  <c r="U835" i="1"/>
  <c r="T835" i="1"/>
  <c r="S835" i="1"/>
  <c r="R835" i="1"/>
  <c r="Q835" i="1"/>
  <c r="P835" i="1"/>
  <c r="O835" i="1"/>
  <c r="N835" i="1"/>
  <c r="M835" i="1"/>
  <c r="L835" i="1"/>
  <c r="K835" i="1"/>
  <c r="J835" i="1"/>
  <c r="I835" i="1"/>
  <c r="H835" i="1"/>
  <c r="G835" i="1"/>
  <c r="F835" i="1"/>
  <c r="E835" i="1"/>
  <c r="D835" i="1"/>
  <c r="C835" i="1"/>
  <c r="X834" i="1"/>
  <c r="W834" i="1"/>
  <c r="V834" i="1"/>
  <c r="U834" i="1"/>
  <c r="T834" i="1"/>
  <c r="S834" i="1"/>
  <c r="R834" i="1"/>
  <c r="Q834" i="1"/>
  <c r="P834" i="1"/>
  <c r="O834" i="1"/>
  <c r="N834" i="1"/>
  <c r="M834" i="1"/>
  <c r="L834" i="1"/>
  <c r="K834" i="1"/>
  <c r="J834" i="1"/>
  <c r="I834" i="1"/>
  <c r="H834" i="1"/>
  <c r="G834" i="1"/>
  <c r="F834" i="1"/>
  <c r="E834" i="1"/>
  <c r="D834" i="1"/>
  <c r="C834" i="1"/>
  <c r="X833" i="1"/>
  <c r="W833" i="1"/>
  <c r="V833" i="1"/>
  <c r="U833" i="1"/>
  <c r="T833" i="1"/>
  <c r="S833" i="1"/>
  <c r="R833" i="1"/>
  <c r="Q833" i="1"/>
  <c r="P833" i="1"/>
  <c r="O833" i="1"/>
  <c r="N833" i="1"/>
  <c r="M833" i="1"/>
  <c r="L833" i="1"/>
  <c r="K833" i="1"/>
  <c r="J833" i="1"/>
  <c r="I833" i="1"/>
  <c r="H833" i="1"/>
  <c r="G833" i="1"/>
  <c r="F833" i="1"/>
  <c r="E833" i="1"/>
  <c r="D833" i="1"/>
  <c r="C833" i="1"/>
  <c r="X832" i="1"/>
  <c r="W832" i="1"/>
  <c r="V832" i="1"/>
  <c r="U832" i="1"/>
  <c r="T832" i="1"/>
  <c r="S832" i="1"/>
  <c r="R832" i="1"/>
  <c r="Q832" i="1"/>
  <c r="P832" i="1"/>
  <c r="O832" i="1"/>
  <c r="N832" i="1"/>
  <c r="M832" i="1"/>
  <c r="L832" i="1"/>
  <c r="K832" i="1"/>
  <c r="J832" i="1"/>
  <c r="I832" i="1"/>
  <c r="H832" i="1"/>
  <c r="G832" i="1"/>
  <c r="F832" i="1"/>
  <c r="E832" i="1"/>
  <c r="D832" i="1"/>
  <c r="C832" i="1"/>
  <c r="X831" i="1"/>
  <c r="W831" i="1"/>
  <c r="V831" i="1"/>
  <c r="U831" i="1"/>
  <c r="T831" i="1"/>
  <c r="S831" i="1"/>
  <c r="R831" i="1"/>
  <c r="Q831" i="1"/>
  <c r="P831" i="1"/>
  <c r="O831" i="1"/>
  <c r="N831" i="1"/>
  <c r="M831" i="1"/>
  <c r="L831" i="1"/>
  <c r="K831" i="1"/>
  <c r="J831" i="1"/>
  <c r="I831" i="1"/>
  <c r="H831" i="1"/>
  <c r="G831" i="1"/>
  <c r="F831" i="1"/>
  <c r="E831" i="1"/>
  <c r="D831" i="1"/>
  <c r="C831" i="1"/>
  <c r="X830" i="1"/>
  <c r="W830" i="1"/>
  <c r="V830" i="1"/>
  <c r="U830" i="1"/>
  <c r="T830" i="1"/>
  <c r="S830" i="1"/>
  <c r="R830" i="1"/>
  <c r="Q830" i="1"/>
  <c r="P830" i="1"/>
  <c r="O830" i="1"/>
  <c r="N830" i="1"/>
  <c r="M830" i="1"/>
  <c r="L830" i="1"/>
  <c r="K830" i="1"/>
  <c r="J830" i="1"/>
  <c r="I830" i="1"/>
  <c r="H830" i="1"/>
  <c r="G830" i="1"/>
  <c r="F830" i="1"/>
  <c r="E830" i="1"/>
  <c r="D830" i="1"/>
  <c r="C830" i="1"/>
  <c r="X829" i="1"/>
  <c r="W829" i="1"/>
  <c r="V829" i="1"/>
  <c r="U829" i="1"/>
  <c r="T829" i="1"/>
  <c r="S829" i="1"/>
  <c r="R829" i="1"/>
  <c r="Q829" i="1"/>
  <c r="P829" i="1"/>
  <c r="O829" i="1"/>
  <c r="N829" i="1"/>
  <c r="M829" i="1"/>
  <c r="L829" i="1"/>
  <c r="K829" i="1"/>
  <c r="J829" i="1"/>
  <c r="I829" i="1"/>
  <c r="H829" i="1"/>
  <c r="G829" i="1"/>
  <c r="F829" i="1"/>
  <c r="E829" i="1"/>
  <c r="D829" i="1"/>
  <c r="C829" i="1"/>
  <c r="X828" i="1"/>
  <c r="W828" i="1"/>
  <c r="V828" i="1"/>
  <c r="U828" i="1"/>
  <c r="T828" i="1"/>
  <c r="S828" i="1"/>
  <c r="R828" i="1"/>
  <c r="Q828" i="1"/>
  <c r="P828" i="1"/>
  <c r="O828" i="1"/>
  <c r="N828" i="1"/>
  <c r="M828" i="1"/>
  <c r="L828" i="1"/>
  <c r="K828" i="1"/>
  <c r="J828" i="1"/>
  <c r="I828" i="1"/>
  <c r="H828" i="1"/>
  <c r="G828" i="1"/>
  <c r="F828" i="1"/>
  <c r="E828" i="1"/>
  <c r="D828" i="1"/>
  <c r="C828" i="1"/>
  <c r="X827" i="1"/>
  <c r="W827" i="1"/>
  <c r="V827" i="1"/>
  <c r="U827" i="1"/>
  <c r="T827" i="1"/>
  <c r="S827" i="1"/>
  <c r="R827" i="1"/>
  <c r="Q827" i="1"/>
  <c r="P827" i="1"/>
  <c r="O827" i="1"/>
  <c r="N827" i="1"/>
  <c r="M827" i="1"/>
  <c r="L827" i="1"/>
  <c r="K827" i="1"/>
  <c r="J827" i="1"/>
  <c r="I827" i="1"/>
  <c r="H827" i="1"/>
  <c r="G827" i="1"/>
  <c r="F827" i="1"/>
  <c r="E827" i="1"/>
  <c r="D827" i="1"/>
  <c r="C827" i="1"/>
  <c r="X826" i="1"/>
  <c r="W826" i="1"/>
  <c r="V826" i="1"/>
  <c r="U826" i="1"/>
  <c r="T826" i="1"/>
  <c r="S826" i="1"/>
  <c r="R826" i="1"/>
  <c r="Q826" i="1"/>
  <c r="P826" i="1"/>
  <c r="O826" i="1"/>
  <c r="N826" i="1"/>
  <c r="M826" i="1"/>
  <c r="L826" i="1"/>
  <c r="K826" i="1"/>
  <c r="J826" i="1"/>
  <c r="I826" i="1"/>
  <c r="H826" i="1"/>
  <c r="G826" i="1"/>
  <c r="F826" i="1"/>
  <c r="E826" i="1"/>
  <c r="D826" i="1"/>
  <c r="C826" i="1"/>
  <c r="X825" i="1"/>
  <c r="W825" i="1"/>
  <c r="V825" i="1"/>
  <c r="U825" i="1"/>
  <c r="T825" i="1"/>
  <c r="S825" i="1"/>
  <c r="R825" i="1"/>
  <c r="Q825" i="1"/>
  <c r="P825" i="1"/>
  <c r="O825" i="1"/>
  <c r="N825" i="1"/>
  <c r="M825" i="1"/>
  <c r="L825" i="1"/>
  <c r="K825" i="1"/>
  <c r="J825" i="1"/>
  <c r="I825" i="1"/>
  <c r="H825" i="1"/>
  <c r="G825" i="1"/>
  <c r="F825" i="1"/>
  <c r="E825" i="1"/>
  <c r="D825" i="1"/>
  <c r="C825" i="1"/>
  <c r="X824" i="1"/>
  <c r="W824" i="1"/>
  <c r="V824" i="1"/>
  <c r="U824" i="1"/>
  <c r="T824" i="1"/>
  <c r="S824" i="1"/>
  <c r="R824" i="1"/>
  <c r="Q824" i="1"/>
  <c r="P824" i="1"/>
  <c r="O824" i="1"/>
  <c r="N824" i="1"/>
  <c r="M824" i="1"/>
  <c r="L824" i="1"/>
  <c r="K824" i="1"/>
  <c r="J824" i="1"/>
  <c r="I824" i="1"/>
  <c r="H824" i="1"/>
  <c r="G824" i="1"/>
  <c r="F824" i="1"/>
  <c r="E824" i="1"/>
  <c r="D824" i="1"/>
  <c r="C824" i="1"/>
  <c r="X823" i="1"/>
  <c r="W823" i="1"/>
  <c r="V823" i="1"/>
  <c r="U823" i="1"/>
  <c r="T823" i="1"/>
  <c r="S823" i="1"/>
  <c r="R823" i="1"/>
  <c r="Q823" i="1"/>
  <c r="P823" i="1"/>
  <c r="O823" i="1"/>
  <c r="N823" i="1"/>
  <c r="M823" i="1"/>
  <c r="L823" i="1"/>
  <c r="K823" i="1"/>
  <c r="J823" i="1"/>
  <c r="I823" i="1"/>
  <c r="H823" i="1"/>
  <c r="G823" i="1"/>
  <c r="F823" i="1"/>
  <c r="E823" i="1"/>
  <c r="D823" i="1"/>
  <c r="C823" i="1"/>
  <c r="X822" i="1"/>
  <c r="W822" i="1"/>
  <c r="V822" i="1"/>
  <c r="U822" i="1"/>
  <c r="T822" i="1"/>
  <c r="S822" i="1"/>
  <c r="R822" i="1"/>
  <c r="Q822" i="1"/>
  <c r="P822" i="1"/>
  <c r="O822" i="1"/>
  <c r="N822" i="1"/>
  <c r="M822" i="1"/>
  <c r="L822" i="1"/>
  <c r="K822" i="1"/>
  <c r="J822" i="1"/>
  <c r="I822" i="1"/>
  <c r="H822" i="1"/>
  <c r="G822" i="1"/>
  <c r="F822" i="1"/>
  <c r="E822" i="1"/>
  <c r="D822" i="1"/>
  <c r="C822" i="1"/>
  <c r="X821" i="1"/>
  <c r="W821" i="1"/>
  <c r="V821" i="1"/>
  <c r="U821" i="1"/>
  <c r="T821" i="1"/>
  <c r="S821" i="1"/>
  <c r="R821" i="1"/>
  <c r="Q821" i="1"/>
  <c r="P821" i="1"/>
  <c r="O821" i="1"/>
  <c r="N821" i="1"/>
  <c r="M821" i="1"/>
  <c r="L821" i="1"/>
  <c r="K821" i="1"/>
  <c r="J821" i="1"/>
  <c r="I821" i="1"/>
  <c r="H821" i="1"/>
  <c r="G821" i="1"/>
  <c r="F821" i="1"/>
  <c r="E821" i="1"/>
  <c r="D821" i="1"/>
  <c r="C821" i="1"/>
  <c r="X820" i="1"/>
  <c r="W820" i="1"/>
  <c r="V820" i="1"/>
  <c r="U820" i="1"/>
  <c r="T820" i="1"/>
  <c r="S820" i="1"/>
  <c r="R820" i="1"/>
  <c r="Q820" i="1"/>
  <c r="P820" i="1"/>
  <c r="O820" i="1"/>
  <c r="N820" i="1"/>
  <c r="M820" i="1"/>
  <c r="L820" i="1"/>
  <c r="K820" i="1"/>
  <c r="J820" i="1"/>
  <c r="I820" i="1"/>
  <c r="H820" i="1"/>
  <c r="G820" i="1"/>
  <c r="F820" i="1"/>
  <c r="E820" i="1"/>
  <c r="D820" i="1"/>
  <c r="C820" i="1"/>
  <c r="X819" i="1"/>
  <c r="W819" i="1"/>
  <c r="V819" i="1"/>
  <c r="U819" i="1"/>
  <c r="T819" i="1"/>
  <c r="S819" i="1"/>
  <c r="R819" i="1"/>
  <c r="Q819" i="1"/>
  <c r="P819" i="1"/>
  <c r="O819" i="1"/>
  <c r="N819" i="1"/>
  <c r="M819" i="1"/>
  <c r="L819" i="1"/>
  <c r="K819" i="1"/>
  <c r="J819" i="1"/>
  <c r="I819" i="1"/>
  <c r="H819" i="1"/>
  <c r="G819" i="1"/>
  <c r="F819" i="1"/>
  <c r="E819" i="1"/>
  <c r="D819" i="1"/>
  <c r="C819" i="1"/>
  <c r="X818" i="1"/>
  <c r="W818" i="1"/>
  <c r="V818" i="1"/>
  <c r="U818" i="1"/>
  <c r="T818" i="1"/>
  <c r="S818" i="1"/>
  <c r="R818" i="1"/>
  <c r="Q818" i="1"/>
  <c r="P818" i="1"/>
  <c r="O818" i="1"/>
  <c r="N818" i="1"/>
  <c r="M818" i="1"/>
  <c r="L818" i="1"/>
  <c r="K818" i="1"/>
  <c r="J818" i="1"/>
  <c r="I818" i="1"/>
  <c r="H818" i="1"/>
  <c r="G818" i="1"/>
  <c r="F818" i="1"/>
  <c r="E818" i="1"/>
  <c r="D818" i="1"/>
  <c r="C818" i="1"/>
  <c r="X817" i="1"/>
  <c r="W817" i="1"/>
  <c r="V817" i="1"/>
  <c r="U817" i="1"/>
  <c r="T817" i="1"/>
  <c r="S817" i="1"/>
  <c r="R817" i="1"/>
  <c r="Q817" i="1"/>
  <c r="P817" i="1"/>
  <c r="O817" i="1"/>
  <c r="N817" i="1"/>
  <c r="M817" i="1"/>
  <c r="L817" i="1"/>
  <c r="K817" i="1"/>
  <c r="J817" i="1"/>
  <c r="I817" i="1"/>
  <c r="H817" i="1"/>
  <c r="G817" i="1"/>
  <c r="F817" i="1"/>
  <c r="E817" i="1"/>
  <c r="D817" i="1"/>
  <c r="C817" i="1"/>
  <c r="X816" i="1"/>
  <c r="W816" i="1"/>
  <c r="V816" i="1"/>
  <c r="U816" i="1"/>
  <c r="T816" i="1"/>
  <c r="S816" i="1"/>
  <c r="R816" i="1"/>
  <c r="Q816" i="1"/>
  <c r="P816" i="1"/>
  <c r="O816" i="1"/>
  <c r="N816" i="1"/>
  <c r="M816" i="1"/>
  <c r="L816" i="1"/>
  <c r="K816" i="1"/>
  <c r="J816" i="1"/>
  <c r="I816" i="1"/>
  <c r="H816" i="1"/>
  <c r="G816" i="1"/>
  <c r="F816" i="1"/>
  <c r="E816" i="1"/>
  <c r="D816" i="1"/>
  <c r="C816" i="1"/>
  <c r="X815" i="1"/>
  <c r="W815" i="1"/>
  <c r="V815" i="1"/>
  <c r="U815" i="1"/>
  <c r="T815" i="1"/>
  <c r="S815" i="1"/>
  <c r="R815" i="1"/>
  <c r="Q815" i="1"/>
  <c r="P815" i="1"/>
  <c r="O815" i="1"/>
  <c r="N815" i="1"/>
  <c r="M815" i="1"/>
  <c r="L815" i="1"/>
  <c r="K815" i="1"/>
  <c r="J815" i="1"/>
  <c r="I815" i="1"/>
  <c r="H815" i="1"/>
  <c r="G815" i="1"/>
  <c r="F815" i="1"/>
  <c r="E815" i="1"/>
  <c r="D815" i="1"/>
  <c r="C815" i="1"/>
  <c r="X814" i="1"/>
  <c r="W814" i="1"/>
  <c r="V814" i="1"/>
  <c r="U814" i="1"/>
  <c r="T814" i="1"/>
  <c r="S814" i="1"/>
  <c r="R814" i="1"/>
  <c r="Q814" i="1"/>
  <c r="P814" i="1"/>
  <c r="O814" i="1"/>
  <c r="N814" i="1"/>
  <c r="M814" i="1"/>
  <c r="L814" i="1"/>
  <c r="K814" i="1"/>
  <c r="J814" i="1"/>
  <c r="I814" i="1"/>
  <c r="H814" i="1"/>
  <c r="G814" i="1"/>
  <c r="F814" i="1"/>
  <c r="E814" i="1"/>
  <c r="D814" i="1"/>
  <c r="C814" i="1"/>
  <c r="X813" i="1"/>
  <c r="W813" i="1"/>
  <c r="V813" i="1"/>
  <c r="U813" i="1"/>
  <c r="T813" i="1"/>
  <c r="S813" i="1"/>
  <c r="R813" i="1"/>
  <c r="Q813" i="1"/>
  <c r="P813" i="1"/>
  <c r="O813" i="1"/>
  <c r="N813" i="1"/>
  <c r="M813" i="1"/>
  <c r="L813" i="1"/>
  <c r="K813" i="1"/>
  <c r="J813" i="1"/>
  <c r="I813" i="1"/>
  <c r="H813" i="1"/>
  <c r="G813" i="1"/>
  <c r="F813" i="1"/>
  <c r="E813" i="1"/>
  <c r="D813" i="1"/>
  <c r="C813" i="1"/>
  <c r="X812" i="1"/>
  <c r="W812" i="1"/>
  <c r="V812" i="1"/>
  <c r="U812" i="1"/>
  <c r="T812" i="1"/>
  <c r="S812" i="1"/>
  <c r="R812" i="1"/>
  <c r="Q812" i="1"/>
  <c r="P812" i="1"/>
  <c r="O812" i="1"/>
  <c r="N812" i="1"/>
  <c r="M812" i="1"/>
  <c r="L812" i="1"/>
  <c r="K812" i="1"/>
  <c r="J812" i="1"/>
  <c r="I812" i="1"/>
  <c r="H812" i="1"/>
  <c r="G812" i="1"/>
  <c r="F812" i="1"/>
  <c r="E812" i="1"/>
  <c r="D812" i="1"/>
  <c r="C812" i="1"/>
  <c r="X811" i="1"/>
  <c r="W811" i="1"/>
  <c r="V811" i="1"/>
  <c r="U811" i="1"/>
  <c r="T811" i="1"/>
  <c r="S811" i="1"/>
  <c r="R811" i="1"/>
  <c r="Q811" i="1"/>
  <c r="P811" i="1"/>
  <c r="O811" i="1"/>
  <c r="N811" i="1"/>
  <c r="M811" i="1"/>
  <c r="L811" i="1"/>
  <c r="K811" i="1"/>
  <c r="J811" i="1"/>
  <c r="I811" i="1"/>
  <c r="H811" i="1"/>
  <c r="G811" i="1"/>
  <c r="F811" i="1"/>
  <c r="E811" i="1"/>
  <c r="D811" i="1"/>
  <c r="C811" i="1"/>
  <c r="X810" i="1"/>
  <c r="W810" i="1"/>
  <c r="V810" i="1"/>
  <c r="U810" i="1"/>
  <c r="T810" i="1"/>
  <c r="S810" i="1"/>
  <c r="R810" i="1"/>
  <c r="Q810" i="1"/>
  <c r="P810" i="1"/>
  <c r="O810" i="1"/>
  <c r="N810" i="1"/>
  <c r="M810" i="1"/>
  <c r="L810" i="1"/>
  <c r="K810" i="1"/>
  <c r="J810" i="1"/>
  <c r="I810" i="1"/>
  <c r="H810" i="1"/>
  <c r="G810" i="1"/>
  <c r="F810" i="1"/>
  <c r="E810" i="1"/>
  <c r="D810" i="1"/>
  <c r="C810" i="1"/>
  <c r="X809" i="1"/>
  <c r="W809" i="1"/>
  <c r="V809" i="1"/>
  <c r="U809" i="1"/>
  <c r="T809" i="1"/>
  <c r="S809" i="1"/>
  <c r="R809" i="1"/>
  <c r="Q809" i="1"/>
  <c r="P809" i="1"/>
  <c r="O809" i="1"/>
  <c r="N809" i="1"/>
  <c r="M809" i="1"/>
  <c r="L809" i="1"/>
  <c r="K809" i="1"/>
  <c r="J809" i="1"/>
  <c r="I809" i="1"/>
  <c r="H809" i="1"/>
  <c r="G809" i="1"/>
  <c r="F809" i="1"/>
  <c r="E809" i="1"/>
  <c r="D809" i="1"/>
  <c r="C809" i="1"/>
  <c r="X808" i="1"/>
  <c r="W808" i="1"/>
  <c r="V808" i="1"/>
  <c r="U808" i="1"/>
  <c r="T808" i="1"/>
  <c r="S808" i="1"/>
  <c r="R808" i="1"/>
  <c r="Q808" i="1"/>
  <c r="P808" i="1"/>
  <c r="O808" i="1"/>
  <c r="N808" i="1"/>
  <c r="M808" i="1"/>
  <c r="L808" i="1"/>
  <c r="K808" i="1"/>
  <c r="J808" i="1"/>
  <c r="I808" i="1"/>
  <c r="H808" i="1"/>
  <c r="G808" i="1"/>
  <c r="F808" i="1"/>
  <c r="E808" i="1"/>
  <c r="D808" i="1"/>
  <c r="C808" i="1"/>
  <c r="X807" i="1"/>
  <c r="W807" i="1"/>
  <c r="V807" i="1"/>
  <c r="U807" i="1"/>
  <c r="T807" i="1"/>
  <c r="S807" i="1"/>
  <c r="R807" i="1"/>
  <c r="Q807" i="1"/>
  <c r="P807" i="1"/>
  <c r="O807" i="1"/>
  <c r="N807" i="1"/>
  <c r="M807" i="1"/>
  <c r="L807" i="1"/>
  <c r="K807" i="1"/>
  <c r="J807" i="1"/>
  <c r="I807" i="1"/>
  <c r="H807" i="1"/>
  <c r="G807" i="1"/>
  <c r="F807" i="1"/>
  <c r="E807" i="1"/>
  <c r="D807" i="1"/>
  <c r="C807" i="1"/>
  <c r="X806" i="1"/>
  <c r="W806" i="1"/>
  <c r="V806" i="1"/>
  <c r="U806" i="1"/>
  <c r="T806" i="1"/>
  <c r="S806" i="1"/>
  <c r="R806" i="1"/>
  <c r="Q806" i="1"/>
  <c r="P806" i="1"/>
  <c r="O806" i="1"/>
  <c r="N806" i="1"/>
  <c r="M806" i="1"/>
  <c r="L806" i="1"/>
  <c r="K806" i="1"/>
  <c r="J806" i="1"/>
  <c r="I806" i="1"/>
  <c r="H806" i="1"/>
  <c r="G806" i="1"/>
  <c r="F806" i="1"/>
  <c r="E806" i="1"/>
  <c r="D806" i="1"/>
  <c r="C806" i="1"/>
  <c r="X805" i="1"/>
  <c r="W805" i="1"/>
  <c r="V805" i="1"/>
  <c r="U805" i="1"/>
  <c r="T805" i="1"/>
  <c r="S805" i="1"/>
  <c r="R805" i="1"/>
  <c r="Q805" i="1"/>
  <c r="P805" i="1"/>
  <c r="O805" i="1"/>
  <c r="N805" i="1"/>
  <c r="M805" i="1"/>
  <c r="L805" i="1"/>
  <c r="K805" i="1"/>
  <c r="J805" i="1"/>
  <c r="I805" i="1"/>
  <c r="H805" i="1"/>
  <c r="G805" i="1"/>
  <c r="F805" i="1"/>
  <c r="E805" i="1"/>
  <c r="D805" i="1"/>
  <c r="C805" i="1"/>
  <c r="X804" i="1"/>
  <c r="W804" i="1"/>
  <c r="V804" i="1"/>
  <c r="U804" i="1"/>
  <c r="T804" i="1"/>
  <c r="S804" i="1"/>
  <c r="R804" i="1"/>
  <c r="Q804" i="1"/>
  <c r="P804" i="1"/>
  <c r="O804" i="1"/>
  <c r="N804" i="1"/>
  <c r="M804" i="1"/>
  <c r="L804" i="1"/>
  <c r="K804" i="1"/>
  <c r="J804" i="1"/>
  <c r="I804" i="1"/>
  <c r="H804" i="1"/>
  <c r="G804" i="1"/>
  <c r="F804" i="1"/>
  <c r="E804" i="1"/>
  <c r="D804" i="1"/>
  <c r="C804" i="1"/>
  <c r="X803" i="1"/>
  <c r="W803" i="1"/>
  <c r="V803" i="1"/>
  <c r="U803" i="1"/>
  <c r="T803" i="1"/>
  <c r="S803" i="1"/>
  <c r="R803" i="1"/>
  <c r="Q803" i="1"/>
  <c r="P803" i="1"/>
  <c r="O803" i="1"/>
  <c r="N803" i="1"/>
  <c r="M803" i="1"/>
  <c r="L803" i="1"/>
  <c r="K803" i="1"/>
  <c r="J803" i="1"/>
  <c r="I803" i="1"/>
  <c r="H803" i="1"/>
  <c r="G803" i="1"/>
  <c r="F803" i="1"/>
  <c r="E803" i="1"/>
  <c r="D803" i="1"/>
  <c r="C803" i="1"/>
  <c r="X802" i="1"/>
  <c r="W802" i="1"/>
  <c r="V802" i="1"/>
  <c r="U802" i="1"/>
  <c r="T802" i="1"/>
  <c r="S802" i="1"/>
  <c r="R802" i="1"/>
  <c r="Q802" i="1"/>
  <c r="P802" i="1"/>
  <c r="O802" i="1"/>
  <c r="N802" i="1"/>
  <c r="M802" i="1"/>
  <c r="L802" i="1"/>
  <c r="K802" i="1"/>
  <c r="J802" i="1"/>
  <c r="I802" i="1"/>
  <c r="H802" i="1"/>
  <c r="G802" i="1"/>
  <c r="F802" i="1"/>
  <c r="E802" i="1"/>
  <c r="D802" i="1"/>
  <c r="C802" i="1"/>
  <c r="X801" i="1"/>
  <c r="W801" i="1"/>
  <c r="V801" i="1"/>
  <c r="U801" i="1"/>
  <c r="T801" i="1"/>
  <c r="S801" i="1"/>
  <c r="R801" i="1"/>
  <c r="Q801" i="1"/>
  <c r="P801" i="1"/>
  <c r="O801" i="1"/>
  <c r="N801" i="1"/>
  <c r="M801" i="1"/>
  <c r="L801" i="1"/>
  <c r="K801" i="1"/>
  <c r="J801" i="1"/>
  <c r="I801" i="1"/>
  <c r="H801" i="1"/>
  <c r="G801" i="1"/>
  <c r="F801" i="1"/>
  <c r="E801" i="1"/>
  <c r="D801" i="1"/>
  <c r="C801" i="1"/>
  <c r="X800" i="1"/>
  <c r="W800" i="1"/>
  <c r="V800" i="1"/>
  <c r="U800" i="1"/>
  <c r="T800" i="1"/>
  <c r="S800" i="1"/>
  <c r="R800" i="1"/>
  <c r="Q800" i="1"/>
  <c r="P800" i="1"/>
  <c r="O800" i="1"/>
  <c r="N800" i="1"/>
  <c r="M800" i="1"/>
  <c r="L800" i="1"/>
  <c r="K800" i="1"/>
  <c r="J800" i="1"/>
  <c r="I800" i="1"/>
  <c r="H800" i="1"/>
  <c r="G800" i="1"/>
  <c r="F800" i="1"/>
  <c r="E800" i="1"/>
  <c r="D800" i="1"/>
  <c r="C800" i="1"/>
  <c r="X799" i="1"/>
  <c r="W799" i="1"/>
  <c r="V799" i="1"/>
  <c r="U799" i="1"/>
  <c r="T799" i="1"/>
  <c r="S799" i="1"/>
  <c r="R799" i="1"/>
  <c r="Q799" i="1"/>
  <c r="P799" i="1"/>
  <c r="O799" i="1"/>
  <c r="N799" i="1"/>
  <c r="M799" i="1"/>
  <c r="L799" i="1"/>
  <c r="K799" i="1"/>
  <c r="J799" i="1"/>
  <c r="I799" i="1"/>
  <c r="H799" i="1"/>
  <c r="G799" i="1"/>
  <c r="F799" i="1"/>
  <c r="E799" i="1"/>
  <c r="D799" i="1"/>
  <c r="C799" i="1"/>
  <c r="X798" i="1"/>
  <c r="W798" i="1"/>
  <c r="V798" i="1"/>
  <c r="U798" i="1"/>
  <c r="T798" i="1"/>
  <c r="S798" i="1"/>
  <c r="R798" i="1"/>
  <c r="Q798" i="1"/>
  <c r="P798" i="1"/>
  <c r="O798" i="1"/>
  <c r="N798" i="1"/>
  <c r="M798" i="1"/>
  <c r="L798" i="1"/>
  <c r="K798" i="1"/>
  <c r="J798" i="1"/>
  <c r="I798" i="1"/>
  <c r="H798" i="1"/>
  <c r="G798" i="1"/>
  <c r="F798" i="1"/>
  <c r="E798" i="1"/>
  <c r="D798" i="1"/>
  <c r="C798" i="1"/>
  <c r="X797" i="1"/>
  <c r="W797" i="1"/>
  <c r="V797" i="1"/>
  <c r="U797" i="1"/>
  <c r="T797" i="1"/>
  <c r="S797" i="1"/>
  <c r="R797" i="1"/>
  <c r="Q797" i="1"/>
  <c r="P797" i="1"/>
  <c r="O797" i="1"/>
  <c r="N797" i="1"/>
  <c r="M797" i="1"/>
  <c r="L797" i="1"/>
  <c r="K797" i="1"/>
  <c r="J797" i="1"/>
  <c r="I797" i="1"/>
  <c r="H797" i="1"/>
  <c r="G797" i="1"/>
  <c r="F797" i="1"/>
  <c r="E797" i="1"/>
  <c r="D797" i="1"/>
  <c r="C797" i="1"/>
  <c r="X796" i="1"/>
  <c r="W796" i="1"/>
  <c r="V796" i="1"/>
  <c r="U796" i="1"/>
  <c r="T796" i="1"/>
  <c r="S796" i="1"/>
  <c r="R796" i="1"/>
  <c r="Q796" i="1"/>
  <c r="P796" i="1"/>
  <c r="O796" i="1"/>
  <c r="N796" i="1"/>
  <c r="M796" i="1"/>
  <c r="L796" i="1"/>
  <c r="K796" i="1"/>
  <c r="J796" i="1"/>
  <c r="I796" i="1"/>
  <c r="H796" i="1"/>
  <c r="G796" i="1"/>
  <c r="F796" i="1"/>
  <c r="E796" i="1"/>
  <c r="D796" i="1"/>
  <c r="C796" i="1"/>
  <c r="X795" i="1"/>
  <c r="W795" i="1"/>
  <c r="V795" i="1"/>
  <c r="U795" i="1"/>
  <c r="T795" i="1"/>
  <c r="S795" i="1"/>
  <c r="R795" i="1"/>
  <c r="Q795" i="1"/>
  <c r="P795" i="1"/>
  <c r="O795" i="1"/>
  <c r="N795" i="1"/>
  <c r="M795" i="1"/>
  <c r="L795" i="1"/>
  <c r="K795" i="1"/>
  <c r="J795" i="1"/>
  <c r="I795" i="1"/>
  <c r="H795" i="1"/>
  <c r="G795" i="1"/>
  <c r="F795" i="1"/>
  <c r="E795" i="1"/>
  <c r="D795" i="1"/>
  <c r="C795" i="1"/>
  <c r="X794" i="1"/>
  <c r="W794" i="1"/>
  <c r="V794" i="1"/>
  <c r="U794" i="1"/>
  <c r="T794" i="1"/>
  <c r="S794" i="1"/>
  <c r="R794" i="1"/>
  <c r="Q794" i="1"/>
  <c r="P794" i="1"/>
  <c r="O794" i="1"/>
  <c r="N794" i="1"/>
  <c r="M794" i="1"/>
  <c r="L794" i="1"/>
  <c r="K794" i="1"/>
  <c r="J794" i="1"/>
  <c r="I794" i="1"/>
  <c r="H794" i="1"/>
  <c r="G794" i="1"/>
  <c r="F794" i="1"/>
  <c r="E794" i="1"/>
  <c r="D794" i="1"/>
  <c r="C794" i="1"/>
  <c r="X793" i="1"/>
  <c r="W793" i="1"/>
  <c r="V793" i="1"/>
  <c r="U793" i="1"/>
  <c r="T793" i="1"/>
  <c r="S793" i="1"/>
  <c r="R793" i="1"/>
  <c r="Q793" i="1"/>
  <c r="P793" i="1"/>
  <c r="O793" i="1"/>
  <c r="N793" i="1"/>
  <c r="M793" i="1"/>
  <c r="L793" i="1"/>
  <c r="K793" i="1"/>
  <c r="J793" i="1"/>
  <c r="I793" i="1"/>
  <c r="H793" i="1"/>
  <c r="G793" i="1"/>
  <c r="F793" i="1"/>
  <c r="E793" i="1"/>
  <c r="D793" i="1"/>
  <c r="C793" i="1"/>
  <c r="X792" i="1"/>
  <c r="W792" i="1"/>
  <c r="V792" i="1"/>
  <c r="U792" i="1"/>
  <c r="T792" i="1"/>
  <c r="S792" i="1"/>
  <c r="R792" i="1"/>
  <c r="Q792" i="1"/>
  <c r="P792" i="1"/>
  <c r="O792" i="1"/>
  <c r="N792" i="1"/>
  <c r="M792" i="1"/>
  <c r="L792" i="1"/>
  <c r="K792" i="1"/>
  <c r="J792" i="1"/>
  <c r="I792" i="1"/>
  <c r="H792" i="1"/>
  <c r="G792" i="1"/>
  <c r="F792" i="1"/>
  <c r="E792" i="1"/>
  <c r="D792" i="1"/>
  <c r="C792" i="1"/>
  <c r="X791" i="1"/>
  <c r="W791" i="1"/>
  <c r="V791" i="1"/>
  <c r="U791" i="1"/>
  <c r="T791" i="1"/>
  <c r="S791" i="1"/>
  <c r="R791" i="1"/>
  <c r="Q791" i="1"/>
  <c r="P791" i="1"/>
  <c r="O791" i="1"/>
  <c r="N791" i="1"/>
  <c r="M791" i="1"/>
  <c r="L791" i="1"/>
  <c r="K791" i="1"/>
  <c r="J791" i="1"/>
  <c r="I791" i="1"/>
  <c r="H791" i="1"/>
  <c r="G791" i="1"/>
  <c r="F791" i="1"/>
  <c r="E791" i="1"/>
  <c r="D791" i="1"/>
  <c r="C791" i="1"/>
  <c r="X790" i="1"/>
  <c r="W790" i="1"/>
  <c r="V790" i="1"/>
  <c r="U790" i="1"/>
  <c r="T790" i="1"/>
  <c r="S790" i="1"/>
  <c r="R790" i="1"/>
  <c r="Q790" i="1"/>
  <c r="P790" i="1"/>
  <c r="O790" i="1"/>
  <c r="N790" i="1"/>
  <c r="M790" i="1"/>
  <c r="L790" i="1"/>
  <c r="K790" i="1"/>
  <c r="J790" i="1"/>
  <c r="I790" i="1"/>
  <c r="H790" i="1"/>
  <c r="G790" i="1"/>
  <c r="F790" i="1"/>
  <c r="E790" i="1"/>
  <c r="D790" i="1"/>
  <c r="C790" i="1"/>
  <c r="X789" i="1"/>
  <c r="W789" i="1"/>
  <c r="V789" i="1"/>
  <c r="U789" i="1"/>
  <c r="T789" i="1"/>
  <c r="S789" i="1"/>
  <c r="R789" i="1"/>
  <c r="Q789" i="1"/>
  <c r="P789" i="1"/>
  <c r="O789" i="1"/>
  <c r="N789" i="1"/>
  <c r="M789" i="1"/>
  <c r="L789" i="1"/>
  <c r="K789" i="1"/>
  <c r="J789" i="1"/>
  <c r="I789" i="1"/>
  <c r="H789" i="1"/>
  <c r="G789" i="1"/>
  <c r="F789" i="1"/>
  <c r="E789" i="1"/>
  <c r="D789" i="1"/>
  <c r="C789" i="1"/>
  <c r="X788" i="1"/>
  <c r="W788" i="1"/>
  <c r="V788" i="1"/>
  <c r="U788" i="1"/>
  <c r="T788" i="1"/>
  <c r="S788" i="1"/>
  <c r="R788" i="1"/>
  <c r="Q788" i="1"/>
  <c r="P788" i="1"/>
  <c r="O788" i="1"/>
  <c r="N788" i="1"/>
  <c r="M788" i="1"/>
  <c r="L788" i="1"/>
  <c r="K788" i="1"/>
  <c r="J788" i="1"/>
  <c r="I788" i="1"/>
  <c r="H788" i="1"/>
  <c r="G788" i="1"/>
  <c r="F788" i="1"/>
  <c r="E788" i="1"/>
  <c r="D788" i="1"/>
  <c r="C788" i="1"/>
  <c r="X787" i="1"/>
  <c r="W787" i="1"/>
  <c r="V787" i="1"/>
  <c r="U787" i="1"/>
  <c r="T787" i="1"/>
  <c r="S787" i="1"/>
  <c r="R787" i="1"/>
  <c r="Q787" i="1"/>
  <c r="P787" i="1"/>
  <c r="O787" i="1"/>
  <c r="N787" i="1"/>
  <c r="M787" i="1"/>
  <c r="L787" i="1"/>
  <c r="K787" i="1"/>
  <c r="J787" i="1"/>
  <c r="I787" i="1"/>
  <c r="H787" i="1"/>
  <c r="G787" i="1"/>
  <c r="F787" i="1"/>
  <c r="E787" i="1"/>
  <c r="D787" i="1"/>
  <c r="C787" i="1"/>
  <c r="X786" i="1"/>
  <c r="W786" i="1"/>
  <c r="V786" i="1"/>
  <c r="U786" i="1"/>
  <c r="T786" i="1"/>
  <c r="S786" i="1"/>
  <c r="R786" i="1"/>
  <c r="Q786" i="1"/>
  <c r="P786" i="1"/>
  <c r="O786" i="1"/>
  <c r="N786" i="1"/>
  <c r="M786" i="1"/>
  <c r="L786" i="1"/>
  <c r="K786" i="1"/>
  <c r="J786" i="1"/>
  <c r="I786" i="1"/>
  <c r="H786" i="1"/>
  <c r="G786" i="1"/>
  <c r="F786" i="1"/>
  <c r="E786" i="1"/>
  <c r="D786" i="1"/>
  <c r="C786" i="1"/>
  <c r="X785" i="1"/>
  <c r="W785" i="1"/>
  <c r="V785" i="1"/>
  <c r="U785" i="1"/>
  <c r="T785" i="1"/>
  <c r="S785" i="1"/>
  <c r="R785" i="1"/>
  <c r="Q785" i="1"/>
  <c r="P785" i="1"/>
  <c r="O785" i="1"/>
  <c r="N785" i="1"/>
  <c r="M785" i="1"/>
  <c r="L785" i="1"/>
  <c r="K785" i="1"/>
  <c r="J785" i="1"/>
  <c r="I785" i="1"/>
  <c r="H785" i="1"/>
  <c r="G785" i="1"/>
  <c r="F785" i="1"/>
  <c r="E785" i="1"/>
  <c r="D785" i="1"/>
  <c r="C785" i="1"/>
  <c r="X784" i="1"/>
  <c r="W784" i="1"/>
  <c r="V784" i="1"/>
  <c r="U784" i="1"/>
  <c r="T784" i="1"/>
  <c r="S784" i="1"/>
  <c r="R784" i="1"/>
  <c r="Q784" i="1"/>
  <c r="P784" i="1"/>
  <c r="O784" i="1"/>
  <c r="N784" i="1"/>
  <c r="M784" i="1"/>
  <c r="L784" i="1"/>
  <c r="K784" i="1"/>
  <c r="J784" i="1"/>
  <c r="I784" i="1"/>
  <c r="H784" i="1"/>
  <c r="G784" i="1"/>
  <c r="F784" i="1"/>
  <c r="E784" i="1"/>
  <c r="D784" i="1"/>
  <c r="C784" i="1"/>
  <c r="X783" i="1"/>
  <c r="W783" i="1"/>
  <c r="V783" i="1"/>
  <c r="U783" i="1"/>
  <c r="T783" i="1"/>
  <c r="S783" i="1"/>
  <c r="R783" i="1"/>
  <c r="Q783" i="1"/>
  <c r="P783" i="1"/>
  <c r="O783" i="1"/>
  <c r="N783" i="1"/>
  <c r="M783" i="1"/>
  <c r="L783" i="1"/>
  <c r="K783" i="1"/>
  <c r="J783" i="1"/>
  <c r="I783" i="1"/>
  <c r="H783" i="1"/>
  <c r="G783" i="1"/>
  <c r="F783" i="1"/>
  <c r="E783" i="1"/>
  <c r="D783" i="1"/>
  <c r="C783" i="1"/>
  <c r="X782" i="1"/>
  <c r="W782" i="1"/>
  <c r="V782" i="1"/>
  <c r="U782" i="1"/>
  <c r="T782" i="1"/>
  <c r="S782" i="1"/>
  <c r="R782" i="1"/>
  <c r="Q782" i="1"/>
  <c r="P782" i="1"/>
  <c r="O782" i="1"/>
  <c r="N782" i="1"/>
  <c r="M782" i="1"/>
  <c r="L782" i="1"/>
  <c r="K782" i="1"/>
  <c r="J782" i="1"/>
  <c r="I782" i="1"/>
  <c r="H782" i="1"/>
  <c r="G782" i="1"/>
  <c r="F782" i="1"/>
  <c r="E782" i="1"/>
  <c r="D782" i="1"/>
  <c r="C782" i="1"/>
  <c r="X781" i="1"/>
  <c r="W781" i="1"/>
  <c r="V781" i="1"/>
  <c r="U781" i="1"/>
  <c r="T781" i="1"/>
  <c r="S781" i="1"/>
  <c r="R781" i="1"/>
  <c r="Q781" i="1"/>
  <c r="P781" i="1"/>
  <c r="O781" i="1"/>
  <c r="N781" i="1"/>
  <c r="M781" i="1"/>
  <c r="L781" i="1"/>
  <c r="K781" i="1"/>
  <c r="J781" i="1"/>
  <c r="I781" i="1"/>
  <c r="H781" i="1"/>
  <c r="G781" i="1"/>
  <c r="F781" i="1"/>
  <c r="E781" i="1"/>
  <c r="D781" i="1"/>
  <c r="C781" i="1"/>
  <c r="X780" i="1"/>
  <c r="W780" i="1"/>
  <c r="V780" i="1"/>
  <c r="U780" i="1"/>
  <c r="T780" i="1"/>
  <c r="S780" i="1"/>
  <c r="R780" i="1"/>
  <c r="Q780" i="1"/>
  <c r="P780" i="1"/>
  <c r="O780" i="1"/>
  <c r="N780" i="1"/>
  <c r="M780" i="1"/>
  <c r="L780" i="1"/>
  <c r="K780" i="1"/>
  <c r="J780" i="1"/>
  <c r="I780" i="1"/>
  <c r="H780" i="1"/>
  <c r="G780" i="1"/>
  <c r="F780" i="1"/>
  <c r="E780" i="1"/>
  <c r="D780" i="1"/>
  <c r="C780" i="1"/>
  <c r="X779" i="1"/>
  <c r="W779" i="1"/>
  <c r="V779" i="1"/>
  <c r="U779" i="1"/>
  <c r="T779" i="1"/>
  <c r="S779" i="1"/>
  <c r="R779" i="1"/>
  <c r="Q779" i="1"/>
  <c r="P779" i="1"/>
  <c r="O779" i="1"/>
  <c r="N779" i="1"/>
  <c r="M779" i="1"/>
  <c r="L779" i="1"/>
  <c r="K779" i="1"/>
  <c r="J779" i="1"/>
  <c r="I779" i="1"/>
  <c r="H779" i="1"/>
  <c r="G779" i="1"/>
  <c r="F779" i="1"/>
  <c r="E779" i="1"/>
  <c r="D779" i="1"/>
  <c r="C779" i="1"/>
  <c r="X778" i="1"/>
  <c r="W778" i="1"/>
  <c r="V778" i="1"/>
  <c r="U778" i="1"/>
  <c r="T778" i="1"/>
  <c r="S778" i="1"/>
  <c r="R778" i="1"/>
  <c r="Q778" i="1"/>
  <c r="P778" i="1"/>
  <c r="O778" i="1"/>
  <c r="N778" i="1"/>
  <c r="M778" i="1"/>
  <c r="L778" i="1"/>
  <c r="K778" i="1"/>
  <c r="J778" i="1"/>
  <c r="I778" i="1"/>
  <c r="H778" i="1"/>
  <c r="G778" i="1"/>
  <c r="F778" i="1"/>
  <c r="E778" i="1"/>
  <c r="D778" i="1"/>
  <c r="C778" i="1"/>
  <c r="X777" i="1"/>
  <c r="W777" i="1"/>
  <c r="V777" i="1"/>
  <c r="U777" i="1"/>
  <c r="T777" i="1"/>
  <c r="S777" i="1"/>
  <c r="R777" i="1"/>
  <c r="Q777" i="1"/>
  <c r="P777" i="1"/>
  <c r="O777" i="1"/>
  <c r="N777" i="1"/>
  <c r="M777" i="1"/>
  <c r="L777" i="1"/>
  <c r="K777" i="1"/>
  <c r="J777" i="1"/>
  <c r="I777" i="1"/>
  <c r="H777" i="1"/>
  <c r="G777" i="1"/>
  <c r="F777" i="1"/>
  <c r="E777" i="1"/>
  <c r="D777" i="1"/>
  <c r="C777" i="1"/>
  <c r="X776" i="1"/>
  <c r="W776" i="1"/>
  <c r="V776" i="1"/>
  <c r="U776" i="1"/>
  <c r="T776" i="1"/>
  <c r="S776" i="1"/>
  <c r="R776" i="1"/>
  <c r="Q776" i="1"/>
  <c r="P776" i="1"/>
  <c r="O776" i="1"/>
  <c r="N776" i="1"/>
  <c r="M776" i="1"/>
  <c r="L776" i="1"/>
  <c r="K776" i="1"/>
  <c r="J776" i="1"/>
  <c r="I776" i="1"/>
  <c r="H776" i="1"/>
  <c r="G776" i="1"/>
  <c r="F776" i="1"/>
  <c r="E776" i="1"/>
  <c r="D776" i="1"/>
  <c r="C776" i="1"/>
  <c r="X775" i="1"/>
  <c r="W775" i="1"/>
  <c r="V775" i="1"/>
  <c r="U775" i="1"/>
  <c r="T775" i="1"/>
  <c r="S775" i="1"/>
  <c r="R775" i="1"/>
  <c r="Q775" i="1"/>
  <c r="P775" i="1"/>
  <c r="O775" i="1"/>
  <c r="N775" i="1"/>
  <c r="M775" i="1"/>
  <c r="L775" i="1"/>
  <c r="K775" i="1"/>
  <c r="J775" i="1"/>
  <c r="I775" i="1"/>
  <c r="H775" i="1"/>
  <c r="G775" i="1"/>
  <c r="F775" i="1"/>
  <c r="E775" i="1"/>
  <c r="D775" i="1"/>
  <c r="C775" i="1"/>
  <c r="X774" i="1"/>
  <c r="W774" i="1"/>
  <c r="V774" i="1"/>
  <c r="U774" i="1"/>
  <c r="T774" i="1"/>
  <c r="S774" i="1"/>
  <c r="R774" i="1"/>
  <c r="Q774" i="1"/>
  <c r="P774" i="1"/>
  <c r="O774" i="1"/>
  <c r="N774" i="1"/>
  <c r="M774" i="1"/>
  <c r="L774" i="1"/>
  <c r="K774" i="1"/>
  <c r="J774" i="1"/>
  <c r="I774" i="1"/>
  <c r="H774" i="1"/>
  <c r="G774" i="1"/>
  <c r="F774" i="1"/>
  <c r="E774" i="1"/>
  <c r="D774" i="1"/>
  <c r="X773" i="1"/>
  <c r="W773" i="1"/>
  <c r="V773" i="1"/>
  <c r="U773" i="1"/>
  <c r="T773" i="1"/>
  <c r="S773" i="1"/>
  <c r="R773" i="1"/>
  <c r="Q773" i="1"/>
  <c r="P773" i="1"/>
  <c r="O773" i="1"/>
  <c r="N773" i="1"/>
  <c r="M773" i="1"/>
  <c r="L773" i="1"/>
  <c r="K773" i="1"/>
  <c r="J773" i="1"/>
  <c r="I773" i="1"/>
  <c r="H773" i="1"/>
  <c r="G773" i="1"/>
  <c r="F773" i="1"/>
  <c r="E773" i="1"/>
  <c r="D773" i="1"/>
  <c r="C773" i="1"/>
  <c r="X772" i="1"/>
  <c r="W772" i="1"/>
  <c r="V772" i="1"/>
  <c r="U772" i="1"/>
  <c r="T772" i="1"/>
  <c r="S772" i="1"/>
  <c r="R772" i="1"/>
  <c r="Q772" i="1"/>
  <c r="P772" i="1"/>
  <c r="O772" i="1"/>
  <c r="N772" i="1"/>
  <c r="M772" i="1"/>
  <c r="L772" i="1"/>
  <c r="K772" i="1"/>
  <c r="J772" i="1"/>
  <c r="I772" i="1"/>
  <c r="H772" i="1"/>
  <c r="G772" i="1"/>
  <c r="F772" i="1"/>
  <c r="E772" i="1"/>
  <c r="D772" i="1"/>
  <c r="X771" i="1"/>
  <c r="W771" i="1"/>
  <c r="V771" i="1"/>
  <c r="U771" i="1"/>
  <c r="T771" i="1"/>
  <c r="S771" i="1"/>
  <c r="R771" i="1"/>
  <c r="Q771" i="1"/>
  <c r="P771" i="1"/>
  <c r="O771" i="1"/>
  <c r="N771" i="1"/>
  <c r="M771" i="1"/>
  <c r="L771" i="1"/>
  <c r="K771" i="1"/>
  <c r="J771" i="1"/>
  <c r="I771" i="1"/>
  <c r="H771" i="1"/>
  <c r="G771" i="1"/>
  <c r="F771" i="1"/>
  <c r="E771" i="1"/>
  <c r="D771" i="1"/>
  <c r="X770" i="1"/>
  <c r="W770" i="1"/>
  <c r="V770" i="1"/>
  <c r="U770" i="1"/>
  <c r="T770" i="1"/>
  <c r="S770" i="1"/>
  <c r="R770" i="1"/>
  <c r="Q770" i="1"/>
  <c r="P770" i="1"/>
  <c r="O770" i="1"/>
  <c r="N770" i="1"/>
  <c r="M770" i="1"/>
  <c r="L770" i="1"/>
  <c r="K770" i="1"/>
  <c r="J770" i="1"/>
  <c r="I770" i="1"/>
  <c r="H770" i="1"/>
  <c r="G770" i="1"/>
  <c r="F770" i="1"/>
  <c r="E770" i="1"/>
  <c r="D770" i="1"/>
  <c r="C770" i="1"/>
  <c r="X769" i="1"/>
  <c r="W769" i="1"/>
  <c r="V769" i="1"/>
  <c r="U769" i="1"/>
  <c r="T769" i="1"/>
  <c r="S769" i="1"/>
  <c r="R769" i="1"/>
  <c r="Q769" i="1"/>
  <c r="P769" i="1"/>
  <c r="O769" i="1"/>
  <c r="N769" i="1"/>
  <c r="M769" i="1"/>
  <c r="L769" i="1"/>
  <c r="K769" i="1"/>
  <c r="J769" i="1"/>
  <c r="I769" i="1"/>
  <c r="H769" i="1"/>
  <c r="G769" i="1"/>
  <c r="F769" i="1"/>
  <c r="E769" i="1"/>
  <c r="D769" i="1"/>
  <c r="X768" i="1"/>
  <c r="W768" i="1"/>
  <c r="V768" i="1"/>
  <c r="U768" i="1"/>
  <c r="T768" i="1"/>
  <c r="S768" i="1"/>
  <c r="R768" i="1"/>
  <c r="Q768" i="1"/>
  <c r="P768" i="1"/>
  <c r="O768" i="1"/>
  <c r="N768" i="1"/>
  <c r="M768" i="1"/>
  <c r="L768" i="1"/>
  <c r="K768" i="1"/>
  <c r="J768" i="1"/>
  <c r="I768" i="1"/>
  <c r="H768" i="1"/>
  <c r="G768" i="1"/>
  <c r="F768" i="1"/>
  <c r="E768" i="1"/>
  <c r="D768" i="1"/>
  <c r="C768" i="1"/>
  <c r="X767" i="1"/>
  <c r="W767" i="1"/>
  <c r="V767" i="1"/>
  <c r="U767" i="1"/>
  <c r="T767" i="1"/>
  <c r="S767" i="1"/>
  <c r="R767" i="1"/>
  <c r="Q767" i="1"/>
  <c r="P767" i="1"/>
  <c r="O767" i="1"/>
  <c r="N767" i="1"/>
  <c r="M767" i="1"/>
  <c r="L767" i="1"/>
  <c r="K767" i="1"/>
  <c r="J767" i="1"/>
  <c r="I767" i="1"/>
  <c r="H767" i="1"/>
  <c r="G767" i="1"/>
  <c r="F767" i="1"/>
  <c r="E767" i="1"/>
  <c r="D767" i="1"/>
  <c r="C767" i="1"/>
  <c r="X766" i="1"/>
  <c r="W766" i="1"/>
  <c r="V766" i="1"/>
  <c r="U766" i="1"/>
  <c r="T766" i="1"/>
  <c r="S766" i="1"/>
  <c r="R766" i="1"/>
  <c r="Q766" i="1"/>
  <c r="P766" i="1"/>
  <c r="O766" i="1"/>
  <c r="N766" i="1"/>
  <c r="M766" i="1"/>
  <c r="L766" i="1"/>
  <c r="K766" i="1"/>
  <c r="J766" i="1"/>
  <c r="I766" i="1"/>
  <c r="H766" i="1"/>
  <c r="G766" i="1"/>
  <c r="F766" i="1"/>
  <c r="E766" i="1"/>
  <c r="D766" i="1"/>
  <c r="C766" i="1"/>
  <c r="X765" i="1"/>
  <c r="W765" i="1"/>
  <c r="V765" i="1"/>
  <c r="U765" i="1"/>
  <c r="T765" i="1"/>
  <c r="S765" i="1"/>
  <c r="R765" i="1"/>
  <c r="Q765" i="1"/>
  <c r="P765" i="1"/>
  <c r="O765" i="1"/>
  <c r="N765" i="1"/>
  <c r="M765" i="1"/>
  <c r="L765" i="1"/>
  <c r="K765" i="1"/>
  <c r="J765" i="1"/>
  <c r="I765" i="1"/>
  <c r="H765" i="1"/>
  <c r="G765" i="1"/>
  <c r="F765" i="1"/>
  <c r="E765" i="1"/>
  <c r="D765" i="1"/>
  <c r="C765" i="1"/>
  <c r="X764" i="1"/>
  <c r="W764" i="1"/>
  <c r="V764" i="1"/>
  <c r="U764" i="1"/>
  <c r="T764" i="1"/>
  <c r="S764" i="1"/>
  <c r="R764" i="1"/>
  <c r="Q764" i="1"/>
  <c r="P764" i="1"/>
  <c r="O764" i="1"/>
  <c r="N764" i="1"/>
  <c r="M764" i="1"/>
  <c r="L764" i="1"/>
  <c r="K764" i="1"/>
  <c r="J764" i="1"/>
  <c r="I764" i="1"/>
  <c r="H764" i="1"/>
  <c r="G764" i="1"/>
  <c r="F764" i="1"/>
  <c r="E764" i="1"/>
  <c r="D764" i="1"/>
  <c r="C764" i="1"/>
  <c r="X763" i="1"/>
  <c r="W763" i="1"/>
  <c r="V763" i="1"/>
  <c r="U763" i="1"/>
  <c r="T763" i="1"/>
  <c r="S763" i="1"/>
  <c r="R763" i="1"/>
  <c r="Q763" i="1"/>
  <c r="P763" i="1"/>
  <c r="O763" i="1"/>
  <c r="N763" i="1"/>
  <c r="M763" i="1"/>
  <c r="L763" i="1"/>
  <c r="K763" i="1"/>
  <c r="J763" i="1"/>
  <c r="I763" i="1"/>
  <c r="H763" i="1"/>
  <c r="G763" i="1"/>
  <c r="F763" i="1"/>
  <c r="E763" i="1"/>
  <c r="D763" i="1"/>
  <c r="C763" i="1"/>
  <c r="X762" i="1"/>
  <c r="W762" i="1"/>
  <c r="V762" i="1"/>
  <c r="U762" i="1"/>
  <c r="T762" i="1"/>
  <c r="S762" i="1"/>
  <c r="R762" i="1"/>
  <c r="Q762" i="1"/>
  <c r="P762" i="1"/>
  <c r="O762" i="1"/>
  <c r="N762" i="1"/>
  <c r="M762" i="1"/>
  <c r="L762" i="1"/>
  <c r="K762" i="1"/>
  <c r="J762" i="1"/>
  <c r="I762" i="1"/>
  <c r="H762" i="1"/>
  <c r="G762" i="1"/>
  <c r="F762" i="1"/>
  <c r="E762" i="1"/>
  <c r="D762" i="1"/>
  <c r="C762" i="1"/>
  <c r="X761" i="1"/>
  <c r="W761" i="1"/>
  <c r="V761" i="1"/>
  <c r="U761" i="1"/>
  <c r="T761" i="1"/>
  <c r="S761" i="1"/>
  <c r="R761" i="1"/>
  <c r="Q761" i="1"/>
  <c r="P761" i="1"/>
  <c r="O761" i="1"/>
  <c r="N761" i="1"/>
  <c r="M761" i="1"/>
  <c r="L761" i="1"/>
  <c r="K761" i="1"/>
  <c r="J761" i="1"/>
  <c r="I761" i="1"/>
  <c r="H761" i="1"/>
  <c r="G761" i="1"/>
  <c r="F761" i="1"/>
  <c r="E761" i="1"/>
  <c r="D761" i="1"/>
  <c r="C761" i="1"/>
  <c r="X760" i="1"/>
  <c r="W760" i="1"/>
  <c r="V760" i="1"/>
  <c r="U760" i="1"/>
  <c r="T760" i="1"/>
  <c r="S760" i="1"/>
  <c r="R760" i="1"/>
  <c r="Q760" i="1"/>
  <c r="P760" i="1"/>
  <c r="O760" i="1"/>
  <c r="N760" i="1"/>
  <c r="M760" i="1"/>
  <c r="L760" i="1"/>
  <c r="K760" i="1"/>
  <c r="J760" i="1"/>
  <c r="I760" i="1"/>
  <c r="H760" i="1"/>
  <c r="G760" i="1"/>
  <c r="F760" i="1"/>
  <c r="E760" i="1"/>
  <c r="D760" i="1"/>
  <c r="C760" i="1"/>
  <c r="X759" i="1"/>
  <c r="W759" i="1"/>
  <c r="V759" i="1"/>
  <c r="U759" i="1"/>
  <c r="T759" i="1"/>
  <c r="S759" i="1"/>
  <c r="R759" i="1"/>
  <c r="Q759" i="1"/>
  <c r="P759" i="1"/>
  <c r="O759" i="1"/>
  <c r="N759" i="1"/>
  <c r="M759" i="1"/>
  <c r="L759" i="1"/>
  <c r="K759" i="1"/>
  <c r="J759" i="1"/>
  <c r="I759" i="1"/>
  <c r="H759" i="1"/>
  <c r="G759" i="1"/>
  <c r="F759" i="1"/>
  <c r="E759" i="1"/>
  <c r="D759" i="1"/>
  <c r="C759" i="1"/>
  <c r="X758" i="1"/>
  <c r="W758" i="1"/>
  <c r="V758" i="1"/>
  <c r="U758" i="1"/>
  <c r="T758" i="1"/>
  <c r="S758" i="1"/>
  <c r="R758" i="1"/>
  <c r="Q758" i="1"/>
  <c r="P758" i="1"/>
  <c r="O758" i="1"/>
  <c r="N758" i="1"/>
  <c r="M758" i="1"/>
  <c r="L758" i="1"/>
  <c r="K758" i="1"/>
  <c r="J758" i="1"/>
  <c r="I758" i="1"/>
  <c r="H758" i="1"/>
  <c r="G758" i="1"/>
  <c r="F758" i="1"/>
  <c r="E758" i="1"/>
  <c r="D758" i="1"/>
  <c r="C758" i="1"/>
  <c r="X757" i="1"/>
  <c r="W757" i="1"/>
  <c r="V757" i="1"/>
  <c r="U757" i="1"/>
  <c r="T757" i="1"/>
  <c r="S757" i="1"/>
  <c r="R757" i="1"/>
  <c r="Q757" i="1"/>
  <c r="P757" i="1"/>
  <c r="O757" i="1"/>
  <c r="N757" i="1"/>
  <c r="M757" i="1"/>
  <c r="L757" i="1"/>
  <c r="K757" i="1"/>
  <c r="J757" i="1"/>
  <c r="I757" i="1"/>
  <c r="H757" i="1"/>
  <c r="G757" i="1"/>
  <c r="F757" i="1"/>
  <c r="E757" i="1"/>
  <c r="D757" i="1"/>
  <c r="C757" i="1"/>
  <c r="X756" i="1"/>
  <c r="W756" i="1"/>
  <c r="V756" i="1"/>
  <c r="U756" i="1"/>
  <c r="T756" i="1"/>
  <c r="S756" i="1"/>
  <c r="R756" i="1"/>
  <c r="Q756" i="1"/>
  <c r="P756" i="1"/>
  <c r="O756" i="1"/>
  <c r="N756" i="1"/>
  <c r="M756" i="1"/>
  <c r="L756" i="1"/>
  <c r="K756" i="1"/>
  <c r="J756" i="1"/>
  <c r="I756" i="1"/>
  <c r="H756" i="1"/>
  <c r="G756" i="1"/>
  <c r="F756" i="1"/>
  <c r="E756" i="1"/>
  <c r="D756" i="1"/>
  <c r="C756" i="1"/>
  <c r="X755" i="1"/>
  <c r="W755" i="1"/>
  <c r="V755" i="1"/>
  <c r="U755" i="1"/>
  <c r="T755" i="1"/>
  <c r="S755" i="1"/>
  <c r="R755" i="1"/>
  <c r="Q755" i="1"/>
  <c r="P755" i="1"/>
  <c r="O755" i="1"/>
  <c r="N755" i="1"/>
  <c r="M755" i="1"/>
  <c r="L755" i="1"/>
  <c r="K755" i="1"/>
  <c r="J755" i="1"/>
  <c r="I755" i="1"/>
  <c r="H755" i="1"/>
  <c r="G755" i="1"/>
  <c r="F755" i="1"/>
  <c r="E755" i="1"/>
  <c r="D755" i="1"/>
  <c r="C755" i="1"/>
  <c r="X754" i="1"/>
  <c r="W754" i="1"/>
  <c r="V754" i="1"/>
  <c r="U754" i="1"/>
  <c r="T754" i="1"/>
  <c r="S754" i="1"/>
  <c r="R754" i="1"/>
  <c r="Q754" i="1"/>
  <c r="P754" i="1"/>
  <c r="O754" i="1"/>
  <c r="N754" i="1"/>
  <c r="M754" i="1"/>
  <c r="L754" i="1"/>
  <c r="K754" i="1"/>
  <c r="J754" i="1"/>
  <c r="I754" i="1"/>
  <c r="H754" i="1"/>
  <c r="G754" i="1"/>
  <c r="F754" i="1"/>
  <c r="E754" i="1"/>
  <c r="D754" i="1"/>
  <c r="C754" i="1"/>
  <c r="X753" i="1"/>
  <c r="W753" i="1"/>
  <c r="V753" i="1"/>
  <c r="U753" i="1"/>
  <c r="T753" i="1"/>
  <c r="S753" i="1"/>
  <c r="R753" i="1"/>
  <c r="Q753" i="1"/>
  <c r="P753" i="1"/>
  <c r="O753" i="1"/>
  <c r="N753" i="1"/>
  <c r="M753" i="1"/>
  <c r="L753" i="1"/>
  <c r="K753" i="1"/>
  <c r="J753" i="1"/>
  <c r="I753" i="1"/>
  <c r="H753" i="1"/>
  <c r="G753" i="1"/>
  <c r="F753" i="1"/>
  <c r="E753" i="1"/>
  <c r="D753" i="1"/>
  <c r="C753" i="1"/>
  <c r="X752" i="1"/>
  <c r="W752" i="1"/>
  <c r="V752" i="1"/>
  <c r="U752" i="1"/>
  <c r="T752" i="1"/>
  <c r="S752" i="1"/>
  <c r="R752" i="1"/>
  <c r="Q752" i="1"/>
  <c r="P752" i="1"/>
  <c r="O752" i="1"/>
  <c r="N752" i="1"/>
  <c r="M752" i="1"/>
  <c r="L752" i="1"/>
  <c r="K752" i="1"/>
  <c r="J752" i="1"/>
  <c r="I752" i="1"/>
  <c r="H752" i="1"/>
  <c r="G752" i="1"/>
  <c r="F752" i="1"/>
  <c r="E752" i="1"/>
  <c r="D752" i="1"/>
  <c r="C752" i="1"/>
  <c r="X751" i="1"/>
  <c r="W751" i="1"/>
  <c r="V751" i="1"/>
  <c r="U751" i="1"/>
  <c r="T751" i="1"/>
  <c r="S751" i="1"/>
  <c r="R751" i="1"/>
  <c r="Q751" i="1"/>
  <c r="P751" i="1"/>
  <c r="O751" i="1"/>
  <c r="N751" i="1"/>
  <c r="M751" i="1"/>
  <c r="L751" i="1"/>
  <c r="K751" i="1"/>
  <c r="J751" i="1"/>
  <c r="I751" i="1"/>
  <c r="H751" i="1"/>
  <c r="G751" i="1"/>
  <c r="F751" i="1"/>
  <c r="E751" i="1"/>
  <c r="D751" i="1"/>
  <c r="C751" i="1"/>
  <c r="X750" i="1"/>
  <c r="W750" i="1"/>
  <c r="V750" i="1"/>
  <c r="U750" i="1"/>
  <c r="T750" i="1"/>
  <c r="S750" i="1"/>
  <c r="R750" i="1"/>
  <c r="Q750" i="1"/>
  <c r="P750" i="1"/>
  <c r="O750" i="1"/>
  <c r="N750" i="1"/>
  <c r="M750" i="1"/>
  <c r="L750" i="1"/>
  <c r="K750" i="1"/>
  <c r="J750" i="1"/>
  <c r="I750" i="1"/>
  <c r="H750" i="1"/>
  <c r="G750" i="1"/>
  <c r="F750" i="1"/>
  <c r="E750" i="1"/>
  <c r="D750" i="1"/>
  <c r="C750" i="1"/>
  <c r="X749" i="1"/>
  <c r="W749" i="1"/>
  <c r="V749" i="1"/>
  <c r="U749" i="1"/>
  <c r="T749" i="1"/>
  <c r="S749" i="1"/>
  <c r="R749" i="1"/>
  <c r="Q749" i="1"/>
  <c r="P749" i="1"/>
  <c r="O749" i="1"/>
  <c r="N749" i="1"/>
  <c r="M749" i="1"/>
  <c r="L749" i="1"/>
  <c r="K749" i="1"/>
  <c r="J749" i="1"/>
  <c r="I749" i="1"/>
  <c r="H749" i="1"/>
  <c r="G749" i="1"/>
  <c r="F749" i="1"/>
  <c r="E749" i="1"/>
  <c r="D749" i="1"/>
  <c r="C749" i="1"/>
  <c r="X748" i="1"/>
  <c r="W748" i="1"/>
  <c r="V748" i="1"/>
  <c r="U748" i="1"/>
  <c r="T748" i="1"/>
  <c r="S748" i="1"/>
  <c r="R748" i="1"/>
  <c r="Q748" i="1"/>
  <c r="P748" i="1"/>
  <c r="O748" i="1"/>
  <c r="N748" i="1"/>
  <c r="M748" i="1"/>
  <c r="L748" i="1"/>
  <c r="K748" i="1"/>
  <c r="J748" i="1"/>
  <c r="I748" i="1"/>
  <c r="H748" i="1"/>
  <c r="G748" i="1"/>
  <c r="F748" i="1"/>
  <c r="E748" i="1"/>
  <c r="D748" i="1"/>
  <c r="C748" i="1"/>
  <c r="X747" i="1"/>
  <c r="W747" i="1"/>
  <c r="V747" i="1"/>
  <c r="U747" i="1"/>
  <c r="T747" i="1"/>
  <c r="S747" i="1"/>
  <c r="R747" i="1"/>
  <c r="Q747" i="1"/>
  <c r="P747" i="1"/>
  <c r="O747" i="1"/>
  <c r="N747" i="1"/>
  <c r="M747" i="1"/>
  <c r="L747" i="1"/>
  <c r="K747" i="1"/>
  <c r="J747" i="1"/>
  <c r="I747" i="1"/>
  <c r="H747" i="1"/>
  <c r="G747" i="1"/>
  <c r="F747" i="1"/>
  <c r="E747" i="1"/>
  <c r="D747" i="1"/>
  <c r="C747" i="1"/>
  <c r="X746" i="1"/>
  <c r="W746" i="1"/>
  <c r="V746" i="1"/>
  <c r="U746" i="1"/>
  <c r="T746" i="1"/>
  <c r="S746" i="1"/>
  <c r="R746" i="1"/>
  <c r="Q746" i="1"/>
  <c r="P746" i="1"/>
  <c r="O746" i="1"/>
  <c r="N746" i="1"/>
  <c r="M746" i="1"/>
  <c r="L746" i="1"/>
  <c r="K746" i="1"/>
  <c r="J746" i="1"/>
  <c r="I746" i="1"/>
  <c r="H746" i="1"/>
  <c r="G746" i="1"/>
  <c r="F746" i="1"/>
  <c r="E746" i="1"/>
  <c r="D746" i="1"/>
  <c r="C746" i="1"/>
  <c r="X745" i="1"/>
  <c r="W745" i="1"/>
  <c r="V745" i="1"/>
  <c r="U745" i="1"/>
  <c r="T745" i="1"/>
  <c r="S745" i="1"/>
  <c r="R745" i="1"/>
  <c r="Q745" i="1"/>
  <c r="P745" i="1"/>
  <c r="O745" i="1"/>
  <c r="N745" i="1"/>
  <c r="M745" i="1"/>
  <c r="L745" i="1"/>
  <c r="K745" i="1"/>
  <c r="J745" i="1"/>
  <c r="I745" i="1"/>
  <c r="H745" i="1"/>
  <c r="G745" i="1"/>
  <c r="F745" i="1"/>
  <c r="E745" i="1"/>
  <c r="D745" i="1"/>
  <c r="C745" i="1"/>
  <c r="X744" i="1"/>
  <c r="W744" i="1"/>
  <c r="V744" i="1"/>
  <c r="U744" i="1"/>
  <c r="T744" i="1"/>
  <c r="S744" i="1"/>
  <c r="R744" i="1"/>
  <c r="Q744" i="1"/>
  <c r="P744" i="1"/>
  <c r="O744" i="1"/>
  <c r="N744" i="1"/>
  <c r="M744" i="1"/>
  <c r="L744" i="1"/>
  <c r="K744" i="1"/>
  <c r="J744" i="1"/>
  <c r="I744" i="1"/>
  <c r="H744" i="1"/>
  <c r="G744" i="1"/>
  <c r="F744" i="1"/>
  <c r="E744" i="1"/>
  <c r="D744" i="1"/>
  <c r="C744" i="1"/>
  <c r="X743" i="1"/>
  <c r="W743" i="1"/>
  <c r="V743" i="1"/>
  <c r="U743" i="1"/>
  <c r="T743" i="1"/>
  <c r="S743" i="1"/>
  <c r="R743" i="1"/>
  <c r="Q743" i="1"/>
  <c r="P743" i="1"/>
  <c r="O743" i="1"/>
  <c r="N743" i="1"/>
  <c r="M743" i="1"/>
  <c r="L743" i="1"/>
  <c r="K743" i="1"/>
  <c r="J743" i="1"/>
  <c r="I743" i="1"/>
  <c r="H743" i="1"/>
  <c r="G743" i="1"/>
  <c r="F743" i="1"/>
  <c r="E743" i="1"/>
  <c r="D743" i="1"/>
  <c r="C743" i="1"/>
  <c r="X742" i="1"/>
  <c r="W742" i="1"/>
  <c r="V742" i="1"/>
  <c r="U742" i="1"/>
  <c r="T742" i="1"/>
  <c r="S742" i="1"/>
  <c r="R742" i="1"/>
  <c r="Q742" i="1"/>
  <c r="P742" i="1"/>
  <c r="O742" i="1"/>
  <c r="N742" i="1"/>
  <c r="M742" i="1"/>
  <c r="L742" i="1"/>
  <c r="K742" i="1"/>
  <c r="J742" i="1"/>
  <c r="I742" i="1"/>
  <c r="H742" i="1"/>
  <c r="G742" i="1"/>
  <c r="F742" i="1"/>
  <c r="E742" i="1"/>
  <c r="D742" i="1"/>
  <c r="C742" i="1"/>
  <c r="X741" i="1"/>
  <c r="W741" i="1"/>
  <c r="V741" i="1"/>
  <c r="U741" i="1"/>
  <c r="T741" i="1"/>
  <c r="S741" i="1"/>
  <c r="R741" i="1"/>
  <c r="Q741" i="1"/>
  <c r="P741" i="1"/>
  <c r="O741" i="1"/>
  <c r="N741" i="1"/>
  <c r="M741" i="1"/>
  <c r="L741" i="1"/>
  <c r="K741" i="1"/>
  <c r="J741" i="1"/>
  <c r="I741" i="1"/>
  <c r="H741" i="1"/>
  <c r="G741" i="1"/>
  <c r="F741" i="1"/>
  <c r="E741" i="1"/>
  <c r="D741" i="1"/>
  <c r="C741" i="1"/>
  <c r="X740" i="1"/>
  <c r="W740" i="1"/>
  <c r="V740" i="1"/>
  <c r="U740" i="1"/>
  <c r="T740" i="1"/>
  <c r="S740" i="1"/>
  <c r="R740" i="1"/>
  <c r="Q740" i="1"/>
  <c r="P740" i="1"/>
  <c r="O740" i="1"/>
  <c r="N740" i="1"/>
  <c r="M740" i="1"/>
  <c r="L740" i="1"/>
  <c r="K740" i="1"/>
  <c r="J740" i="1"/>
  <c r="I740" i="1"/>
  <c r="H740" i="1"/>
  <c r="G740" i="1"/>
  <c r="F740" i="1"/>
  <c r="E740" i="1"/>
  <c r="D740" i="1"/>
  <c r="C740" i="1"/>
  <c r="X739" i="1"/>
  <c r="W739" i="1"/>
  <c r="V739" i="1"/>
  <c r="U739" i="1"/>
  <c r="T739" i="1"/>
  <c r="S739" i="1"/>
  <c r="R739" i="1"/>
  <c r="Q739" i="1"/>
  <c r="P739" i="1"/>
  <c r="O739" i="1"/>
  <c r="N739" i="1"/>
  <c r="M739" i="1"/>
  <c r="L739" i="1"/>
  <c r="K739" i="1"/>
  <c r="J739" i="1"/>
  <c r="I739" i="1"/>
  <c r="H739" i="1"/>
  <c r="G739" i="1"/>
  <c r="F739" i="1"/>
  <c r="E739" i="1"/>
  <c r="D739" i="1"/>
  <c r="C739" i="1"/>
  <c r="X738" i="1"/>
  <c r="W738" i="1"/>
  <c r="V738" i="1"/>
  <c r="U738" i="1"/>
  <c r="T738" i="1"/>
  <c r="S738" i="1"/>
  <c r="R738" i="1"/>
  <c r="Q738" i="1"/>
  <c r="P738" i="1"/>
  <c r="O738" i="1"/>
  <c r="N738" i="1"/>
  <c r="M738" i="1"/>
  <c r="L738" i="1"/>
  <c r="K738" i="1"/>
  <c r="J738" i="1"/>
  <c r="I738" i="1"/>
  <c r="H738" i="1"/>
  <c r="G738" i="1"/>
  <c r="F738" i="1"/>
  <c r="E738" i="1"/>
  <c r="D738" i="1"/>
  <c r="C738" i="1"/>
  <c r="X737" i="1"/>
  <c r="W737" i="1"/>
  <c r="V737" i="1"/>
  <c r="U737" i="1"/>
  <c r="T737" i="1"/>
  <c r="S737" i="1"/>
  <c r="R737" i="1"/>
  <c r="Q737" i="1"/>
  <c r="P737" i="1"/>
  <c r="O737" i="1"/>
  <c r="N737" i="1"/>
  <c r="M737" i="1"/>
  <c r="L737" i="1"/>
  <c r="K737" i="1"/>
  <c r="J737" i="1"/>
  <c r="I737" i="1"/>
  <c r="H737" i="1"/>
  <c r="G737" i="1"/>
  <c r="F737" i="1"/>
  <c r="E737" i="1"/>
  <c r="D737" i="1"/>
  <c r="C737" i="1"/>
  <c r="X736" i="1"/>
  <c r="W736" i="1"/>
  <c r="V736" i="1"/>
  <c r="U736" i="1"/>
  <c r="T736" i="1"/>
  <c r="S736" i="1"/>
  <c r="R736" i="1"/>
  <c r="Q736" i="1"/>
  <c r="P736" i="1"/>
  <c r="O736" i="1"/>
  <c r="N736" i="1"/>
  <c r="M736" i="1"/>
  <c r="L736" i="1"/>
  <c r="K736" i="1"/>
  <c r="J736" i="1"/>
  <c r="I736" i="1"/>
  <c r="H736" i="1"/>
  <c r="G736" i="1"/>
  <c r="F736" i="1"/>
  <c r="E736" i="1"/>
  <c r="D736" i="1"/>
  <c r="C736" i="1"/>
  <c r="X735" i="1"/>
  <c r="W735" i="1"/>
  <c r="V735" i="1"/>
  <c r="U735" i="1"/>
  <c r="T735" i="1"/>
  <c r="S735" i="1"/>
  <c r="R735" i="1"/>
  <c r="Q735" i="1"/>
  <c r="P735" i="1"/>
  <c r="O735" i="1"/>
  <c r="N735" i="1"/>
  <c r="M735" i="1"/>
  <c r="L735" i="1"/>
  <c r="K735" i="1"/>
  <c r="J735" i="1"/>
  <c r="I735" i="1"/>
  <c r="H735" i="1"/>
  <c r="G735" i="1"/>
  <c r="F735" i="1"/>
  <c r="E735" i="1"/>
  <c r="D735" i="1"/>
  <c r="C735" i="1"/>
  <c r="X734" i="1"/>
  <c r="W734" i="1"/>
  <c r="V734" i="1"/>
  <c r="U734" i="1"/>
  <c r="T734" i="1"/>
  <c r="S734" i="1"/>
  <c r="R734" i="1"/>
  <c r="Q734" i="1"/>
  <c r="P734" i="1"/>
  <c r="O734" i="1"/>
  <c r="N734" i="1"/>
  <c r="M734" i="1"/>
  <c r="L734" i="1"/>
  <c r="K734" i="1"/>
  <c r="J734" i="1"/>
  <c r="I734" i="1"/>
  <c r="H734" i="1"/>
  <c r="G734" i="1"/>
  <c r="F734" i="1"/>
  <c r="E734" i="1"/>
  <c r="D734" i="1"/>
  <c r="C734" i="1"/>
  <c r="X733" i="1"/>
  <c r="W733" i="1"/>
  <c r="V733" i="1"/>
  <c r="U733" i="1"/>
  <c r="T733" i="1"/>
  <c r="S733" i="1"/>
  <c r="R733" i="1"/>
  <c r="Q733" i="1"/>
  <c r="P733" i="1"/>
  <c r="O733" i="1"/>
  <c r="N733" i="1"/>
  <c r="M733" i="1"/>
  <c r="L733" i="1"/>
  <c r="K733" i="1"/>
  <c r="J733" i="1"/>
  <c r="I733" i="1"/>
  <c r="H733" i="1"/>
  <c r="G733" i="1"/>
  <c r="F733" i="1"/>
  <c r="E733" i="1"/>
  <c r="D733" i="1"/>
  <c r="C733" i="1"/>
  <c r="X732" i="1"/>
  <c r="W732" i="1"/>
  <c r="V732" i="1"/>
  <c r="U732" i="1"/>
  <c r="T732" i="1"/>
  <c r="S732" i="1"/>
  <c r="R732" i="1"/>
  <c r="Q732" i="1"/>
  <c r="P732" i="1"/>
  <c r="O732" i="1"/>
  <c r="N732" i="1"/>
  <c r="M732" i="1"/>
  <c r="L732" i="1"/>
  <c r="K732" i="1"/>
  <c r="J732" i="1"/>
  <c r="I732" i="1"/>
  <c r="H732" i="1"/>
  <c r="G732" i="1"/>
  <c r="F732" i="1"/>
  <c r="E732" i="1"/>
  <c r="D732" i="1"/>
  <c r="C732" i="1"/>
  <c r="X731" i="1"/>
  <c r="W731" i="1"/>
  <c r="V731" i="1"/>
  <c r="U731" i="1"/>
  <c r="T731" i="1"/>
  <c r="S731" i="1"/>
  <c r="R731" i="1"/>
  <c r="Q731" i="1"/>
  <c r="P731" i="1"/>
  <c r="O731" i="1"/>
  <c r="N731" i="1"/>
  <c r="M731" i="1"/>
  <c r="L731" i="1"/>
  <c r="K731" i="1"/>
  <c r="J731" i="1"/>
  <c r="I731" i="1"/>
  <c r="H731" i="1"/>
  <c r="G731" i="1"/>
  <c r="F731" i="1"/>
  <c r="E731" i="1"/>
  <c r="D731" i="1"/>
  <c r="C731" i="1"/>
  <c r="X730" i="1"/>
  <c r="W730" i="1"/>
  <c r="V730" i="1"/>
  <c r="U730" i="1"/>
  <c r="T730" i="1"/>
  <c r="S730" i="1"/>
  <c r="R730" i="1"/>
  <c r="Q730" i="1"/>
  <c r="P730" i="1"/>
  <c r="O730" i="1"/>
  <c r="N730" i="1"/>
  <c r="M730" i="1"/>
  <c r="L730" i="1"/>
  <c r="K730" i="1"/>
  <c r="J730" i="1"/>
  <c r="I730" i="1"/>
  <c r="H730" i="1"/>
  <c r="G730" i="1"/>
  <c r="F730" i="1"/>
  <c r="E730" i="1"/>
  <c r="D730" i="1"/>
  <c r="C730" i="1"/>
  <c r="X729" i="1"/>
  <c r="W729" i="1"/>
  <c r="V729" i="1"/>
  <c r="U729" i="1"/>
  <c r="T729" i="1"/>
  <c r="S729" i="1"/>
  <c r="R729" i="1"/>
  <c r="Q729" i="1"/>
  <c r="P729" i="1"/>
  <c r="O729" i="1"/>
  <c r="N729" i="1"/>
  <c r="M729" i="1"/>
  <c r="L729" i="1"/>
  <c r="K729" i="1"/>
  <c r="J729" i="1"/>
  <c r="I729" i="1"/>
  <c r="H729" i="1"/>
  <c r="G729" i="1"/>
  <c r="F729" i="1"/>
  <c r="E729" i="1"/>
  <c r="D729" i="1"/>
  <c r="C729" i="1"/>
  <c r="X728" i="1"/>
  <c r="W728" i="1"/>
  <c r="V728" i="1"/>
  <c r="U728" i="1"/>
  <c r="T728" i="1"/>
  <c r="S728" i="1"/>
  <c r="R728" i="1"/>
  <c r="Q728" i="1"/>
  <c r="P728" i="1"/>
  <c r="O728" i="1"/>
  <c r="N728" i="1"/>
  <c r="M728" i="1"/>
  <c r="L728" i="1"/>
  <c r="K728" i="1"/>
  <c r="J728" i="1"/>
  <c r="I728" i="1"/>
  <c r="H728" i="1"/>
  <c r="G728" i="1"/>
  <c r="F728" i="1"/>
  <c r="E728" i="1"/>
  <c r="D728" i="1"/>
  <c r="C728" i="1"/>
  <c r="X727" i="1"/>
  <c r="W727" i="1"/>
  <c r="V727" i="1"/>
  <c r="U727" i="1"/>
  <c r="T727" i="1"/>
  <c r="S727" i="1"/>
  <c r="R727" i="1"/>
  <c r="Q727" i="1"/>
  <c r="P727" i="1"/>
  <c r="O727" i="1"/>
  <c r="N727" i="1"/>
  <c r="M727" i="1"/>
  <c r="L727" i="1"/>
  <c r="K727" i="1"/>
  <c r="J727" i="1"/>
  <c r="I727" i="1"/>
  <c r="H727" i="1"/>
  <c r="G727" i="1"/>
  <c r="F727" i="1"/>
  <c r="E727" i="1"/>
  <c r="D727" i="1"/>
  <c r="C727" i="1"/>
  <c r="X726" i="1"/>
  <c r="W726" i="1"/>
  <c r="V726" i="1"/>
  <c r="U726" i="1"/>
  <c r="T726" i="1"/>
  <c r="S726" i="1"/>
  <c r="R726" i="1"/>
  <c r="Q726" i="1"/>
  <c r="P726" i="1"/>
  <c r="O726" i="1"/>
  <c r="N726" i="1"/>
  <c r="M726" i="1"/>
  <c r="L726" i="1"/>
  <c r="K726" i="1"/>
  <c r="J726" i="1"/>
  <c r="I726" i="1"/>
  <c r="H726" i="1"/>
  <c r="G726" i="1"/>
  <c r="F726" i="1"/>
  <c r="E726" i="1"/>
  <c r="D726" i="1"/>
  <c r="C726" i="1"/>
  <c r="X725" i="1"/>
  <c r="W725" i="1"/>
  <c r="V725" i="1"/>
  <c r="U725" i="1"/>
  <c r="T725" i="1"/>
  <c r="S725" i="1"/>
  <c r="R725" i="1"/>
  <c r="Q725" i="1"/>
  <c r="P725" i="1"/>
  <c r="O725" i="1"/>
  <c r="N725" i="1"/>
  <c r="M725" i="1"/>
  <c r="L725" i="1"/>
  <c r="K725" i="1"/>
  <c r="J725" i="1"/>
  <c r="I725" i="1"/>
  <c r="H725" i="1"/>
  <c r="G725" i="1"/>
  <c r="F725" i="1"/>
  <c r="E725" i="1"/>
  <c r="D725" i="1"/>
  <c r="C725" i="1"/>
  <c r="X724" i="1"/>
  <c r="W724" i="1"/>
  <c r="V724" i="1"/>
  <c r="U724" i="1"/>
  <c r="T724" i="1"/>
  <c r="S724" i="1"/>
  <c r="R724" i="1"/>
  <c r="Q724" i="1"/>
  <c r="P724" i="1"/>
  <c r="O724" i="1"/>
  <c r="N724" i="1"/>
  <c r="M724" i="1"/>
  <c r="L724" i="1"/>
  <c r="K724" i="1"/>
  <c r="J724" i="1"/>
  <c r="I724" i="1"/>
  <c r="H724" i="1"/>
  <c r="G724" i="1"/>
  <c r="F724" i="1"/>
  <c r="E724" i="1"/>
  <c r="D724" i="1"/>
  <c r="C724" i="1"/>
  <c r="X723" i="1"/>
  <c r="W723" i="1"/>
  <c r="V723" i="1"/>
  <c r="U723" i="1"/>
  <c r="T723" i="1"/>
  <c r="S723" i="1"/>
  <c r="R723" i="1"/>
  <c r="Q723" i="1"/>
  <c r="P723" i="1"/>
  <c r="O723" i="1"/>
  <c r="N723" i="1"/>
  <c r="M723" i="1"/>
  <c r="L723" i="1"/>
  <c r="K723" i="1"/>
  <c r="J723" i="1"/>
  <c r="I723" i="1"/>
  <c r="H723" i="1"/>
  <c r="G723" i="1"/>
  <c r="F723" i="1"/>
  <c r="E723" i="1"/>
  <c r="D723" i="1"/>
  <c r="C723" i="1"/>
  <c r="X722" i="1"/>
  <c r="W722" i="1"/>
  <c r="V722" i="1"/>
  <c r="U722" i="1"/>
  <c r="T722" i="1"/>
  <c r="S722" i="1"/>
  <c r="R722" i="1"/>
  <c r="Q722" i="1"/>
  <c r="P722" i="1"/>
  <c r="O722" i="1"/>
  <c r="N722" i="1"/>
  <c r="M722" i="1"/>
  <c r="L722" i="1"/>
  <c r="K722" i="1"/>
  <c r="J722" i="1"/>
  <c r="I722" i="1"/>
  <c r="H722" i="1"/>
  <c r="G722" i="1"/>
  <c r="F722" i="1"/>
  <c r="E722" i="1"/>
  <c r="D722" i="1"/>
  <c r="C722" i="1"/>
  <c r="X721" i="1"/>
  <c r="W721" i="1"/>
  <c r="V721" i="1"/>
  <c r="U721" i="1"/>
  <c r="T721" i="1"/>
  <c r="S721" i="1"/>
  <c r="R721" i="1"/>
  <c r="Q721" i="1"/>
  <c r="P721" i="1"/>
  <c r="O721" i="1"/>
  <c r="N721" i="1"/>
  <c r="M721" i="1"/>
  <c r="L721" i="1"/>
  <c r="K721" i="1"/>
  <c r="J721" i="1"/>
  <c r="I721" i="1"/>
  <c r="H721" i="1"/>
  <c r="G721" i="1"/>
  <c r="F721" i="1"/>
  <c r="E721" i="1"/>
  <c r="D721" i="1"/>
  <c r="C721" i="1"/>
  <c r="X720" i="1"/>
  <c r="W720" i="1"/>
  <c r="V720" i="1"/>
  <c r="U720" i="1"/>
  <c r="T720" i="1"/>
  <c r="S720" i="1"/>
  <c r="R720" i="1"/>
  <c r="Q720" i="1"/>
  <c r="P720" i="1"/>
  <c r="O720" i="1"/>
  <c r="N720" i="1"/>
  <c r="M720" i="1"/>
  <c r="L720" i="1"/>
  <c r="K720" i="1"/>
  <c r="J720" i="1"/>
  <c r="I720" i="1"/>
  <c r="H720" i="1"/>
  <c r="G720" i="1"/>
  <c r="F720" i="1"/>
  <c r="E720" i="1"/>
  <c r="D720" i="1"/>
  <c r="C720" i="1"/>
  <c r="X719" i="1"/>
  <c r="W719" i="1"/>
  <c r="V719" i="1"/>
  <c r="U719" i="1"/>
  <c r="T719" i="1"/>
  <c r="S719" i="1"/>
  <c r="R719" i="1"/>
  <c r="Q719" i="1"/>
  <c r="P719" i="1"/>
  <c r="O719" i="1"/>
  <c r="N719" i="1"/>
  <c r="M719" i="1"/>
  <c r="L719" i="1"/>
  <c r="K719" i="1"/>
  <c r="J719" i="1"/>
  <c r="I719" i="1"/>
  <c r="H719" i="1"/>
  <c r="G719" i="1"/>
  <c r="F719" i="1"/>
  <c r="E719" i="1"/>
  <c r="D719" i="1"/>
  <c r="C719" i="1"/>
  <c r="X718" i="1"/>
  <c r="W718" i="1"/>
  <c r="V718" i="1"/>
  <c r="U718" i="1"/>
  <c r="T718" i="1"/>
  <c r="S718" i="1"/>
  <c r="R718" i="1"/>
  <c r="Q718" i="1"/>
  <c r="P718" i="1"/>
  <c r="O718" i="1"/>
  <c r="N718" i="1"/>
  <c r="M718" i="1"/>
  <c r="L718" i="1"/>
  <c r="K718" i="1"/>
  <c r="J718" i="1"/>
  <c r="I718" i="1"/>
  <c r="H718" i="1"/>
  <c r="G718" i="1"/>
  <c r="F718" i="1"/>
  <c r="E718" i="1"/>
  <c r="D718" i="1"/>
  <c r="C718" i="1"/>
  <c r="X717" i="1"/>
  <c r="W717" i="1"/>
  <c r="V717" i="1"/>
  <c r="U717" i="1"/>
  <c r="T717" i="1"/>
  <c r="S717" i="1"/>
  <c r="R717" i="1"/>
  <c r="Q717" i="1"/>
  <c r="P717" i="1"/>
  <c r="O717" i="1"/>
  <c r="N717" i="1"/>
  <c r="M717" i="1"/>
  <c r="L717" i="1"/>
  <c r="K717" i="1"/>
  <c r="J717" i="1"/>
  <c r="I717" i="1"/>
  <c r="H717" i="1"/>
  <c r="G717" i="1"/>
  <c r="F717" i="1"/>
  <c r="E717" i="1"/>
  <c r="D717" i="1"/>
  <c r="C717" i="1"/>
  <c r="X716" i="1"/>
  <c r="W716" i="1"/>
  <c r="V716" i="1"/>
  <c r="U716" i="1"/>
  <c r="T716" i="1"/>
  <c r="S716" i="1"/>
  <c r="R716" i="1"/>
  <c r="Q716" i="1"/>
  <c r="P716" i="1"/>
  <c r="O716" i="1"/>
  <c r="N716" i="1"/>
  <c r="M716" i="1"/>
  <c r="L716" i="1"/>
  <c r="K716" i="1"/>
  <c r="J716" i="1"/>
  <c r="I716" i="1"/>
  <c r="H716" i="1"/>
  <c r="G716" i="1"/>
  <c r="F716" i="1"/>
  <c r="E716" i="1"/>
  <c r="D716" i="1"/>
  <c r="C716" i="1"/>
  <c r="X715" i="1"/>
  <c r="W715" i="1"/>
  <c r="V715" i="1"/>
  <c r="U715" i="1"/>
  <c r="T715" i="1"/>
  <c r="S715" i="1"/>
  <c r="R715" i="1"/>
  <c r="Q715" i="1"/>
  <c r="P715" i="1"/>
  <c r="O715" i="1"/>
  <c r="N715" i="1"/>
  <c r="M715" i="1"/>
  <c r="L715" i="1"/>
  <c r="K715" i="1"/>
  <c r="J715" i="1"/>
  <c r="I715" i="1"/>
  <c r="H715" i="1"/>
  <c r="G715" i="1"/>
  <c r="F715" i="1"/>
  <c r="E715" i="1"/>
  <c r="D715" i="1"/>
  <c r="C715" i="1"/>
  <c r="X714" i="1"/>
  <c r="W714" i="1"/>
  <c r="V714" i="1"/>
  <c r="U714" i="1"/>
  <c r="T714" i="1"/>
  <c r="S714" i="1"/>
  <c r="R714" i="1"/>
  <c r="Q714" i="1"/>
  <c r="P714" i="1"/>
  <c r="O714" i="1"/>
  <c r="N714" i="1"/>
  <c r="M714" i="1"/>
  <c r="L714" i="1"/>
  <c r="K714" i="1"/>
  <c r="J714" i="1"/>
  <c r="I714" i="1"/>
  <c r="H714" i="1"/>
  <c r="G714" i="1"/>
  <c r="F714" i="1"/>
  <c r="E714" i="1"/>
  <c r="D714" i="1"/>
  <c r="C714" i="1"/>
  <c r="X713" i="1"/>
  <c r="W713" i="1"/>
  <c r="V713" i="1"/>
  <c r="U713" i="1"/>
  <c r="T713" i="1"/>
  <c r="S713" i="1"/>
  <c r="R713" i="1"/>
  <c r="Q713" i="1"/>
  <c r="P713" i="1"/>
  <c r="O713" i="1"/>
  <c r="N713" i="1"/>
  <c r="M713" i="1"/>
  <c r="L713" i="1"/>
  <c r="K713" i="1"/>
  <c r="J713" i="1"/>
  <c r="I713" i="1"/>
  <c r="H713" i="1"/>
  <c r="G713" i="1"/>
  <c r="F713" i="1"/>
  <c r="E713" i="1"/>
  <c r="D713" i="1"/>
  <c r="C713" i="1"/>
  <c r="X712" i="1"/>
  <c r="W712" i="1"/>
  <c r="V712" i="1"/>
  <c r="U712" i="1"/>
  <c r="T712" i="1"/>
  <c r="S712" i="1"/>
  <c r="R712" i="1"/>
  <c r="Q712" i="1"/>
  <c r="P712" i="1"/>
  <c r="O712" i="1"/>
  <c r="N712" i="1"/>
  <c r="M712" i="1"/>
  <c r="L712" i="1"/>
  <c r="K712" i="1"/>
  <c r="J712" i="1"/>
  <c r="I712" i="1"/>
  <c r="H712" i="1"/>
  <c r="G712" i="1"/>
  <c r="F712" i="1"/>
  <c r="E712" i="1"/>
  <c r="D712" i="1"/>
  <c r="C712" i="1"/>
  <c r="X711" i="1"/>
  <c r="W711" i="1"/>
  <c r="V711" i="1"/>
  <c r="U711" i="1"/>
  <c r="T711" i="1"/>
  <c r="S711" i="1"/>
  <c r="R711" i="1"/>
  <c r="Q711" i="1"/>
  <c r="P711" i="1"/>
  <c r="O711" i="1"/>
  <c r="N711" i="1"/>
  <c r="M711" i="1"/>
  <c r="L711" i="1"/>
  <c r="K711" i="1"/>
  <c r="J711" i="1"/>
  <c r="I711" i="1"/>
  <c r="H711" i="1"/>
  <c r="G711" i="1"/>
  <c r="F711" i="1"/>
  <c r="E711" i="1"/>
  <c r="D711" i="1"/>
  <c r="C711" i="1"/>
  <c r="X710" i="1"/>
  <c r="W710" i="1"/>
  <c r="V710" i="1"/>
  <c r="U710" i="1"/>
  <c r="T710" i="1"/>
  <c r="S710" i="1"/>
  <c r="R710" i="1"/>
  <c r="Q710" i="1"/>
  <c r="P710" i="1"/>
  <c r="O710" i="1"/>
  <c r="N710" i="1"/>
  <c r="M710" i="1"/>
  <c r="L710" i="1"/>
  <c r="K710" i="1"/>
  <c r="J710" i="1"/>
  <c r="I710" i="1"/>
  <c r="H710" i="1"/>
  <c r="G710" i="1"/>
  <c r="F710" i="1"/>
  <c r="E710" i="1"/>
  <c r="D710" i="1"/>
  <c r="C710" i="1"/>
  <c r="X709" i="1"/>
  <c r="W709" i="1"/>
  <c r="V709" i="1"/>
  <c r="U709" i="1"/>
  <c r="T709" i="1"/>
  <c r="S709" i="1"/>
  <c r="R709" i="1"/>
  <c r="Q709" i="1"/>
  <c r="P709" i="1"/>
  <c r="O709" i="1"/>
  <c r="N709" i="1"/>
  <c r="M709" i="1"/>
  <c r="L709" i="1"/>
  <c r="K709" i="1"/>
  <c r="J709" i="1"/>
  <c r="I709" i="1"/>
  <c r="H709" i="1"/>
  <c r="G709" i="1"/>
  <c r="F709" i="1"/>
  <c r="E709" i="1"/>
  <c r="D709" i="1"/>
  <c r="C709" i="1"/>
  <c r="X708" i="1"/>
  <c r="W708" i="1"/>
  <c r="V708" i="1"/>
  <c r="U708" i="1"/>
  <c r="T708" i="1"/>
  <c r="S708" i="1"/>
  <c r="R708" i="1"/>
  <c r="Q708" i="1"/>
  <c r="P708" i="1"/>
  <c r="O708" i="1"/>
  <c r="N708" i="1"/>
  <c r="M708" i="1"/>
  <c r="L708" i="1"/>
  <c r="K708" i="1"/>
  <c r="J708" i="1"/>
  <c r="I708" i="1"/>
  <c r="H708" i="1"/>
  <c r="G708" i="1"/>
  <c r="F708" i="1"/>
  <c r="E708" i="1"/>
  <c r="D708" i="1"/>
  <c r="C708" i="1"/>
  <c r="X707" i="1"/>
  <c r="W707" i="1"/>
  <c r="V707" i="1"/>
  <c r="U707" i="1"/>
  <c r="T707" i="1"/>
  <c r="S707" i="1"/>
  <c r="R707" i="1"/>
  <c r="Q707" i="1"/>
  <c r="P707" i="1"/>
  <c r="O707" i="1"/>
  <c r="N707" i="1"/>
  <c r="M707" i="1"/>
  <c r="L707" i="1"/>
  <c r="K707" i="1"/>
  <c r="J707" i="1"/>
  <c r="I707" i="1"/>
  <c r="H707" i="1"/>
  <c r="G707" i="1"/>
  <c r="F707" i="1"/>
  <c r="E707" i="1"/>
  <c r="D707" i="1"/>
  <c r="C707" i="1"/>
  <c r="X706" i="1"/>
  <c r="W706" i="1"/>
  <c r="V706" i="1"/>
  <c r="U706" i="1"/>
  <c r="T706" i="1"/>
  <c r="S706" i="1"/>
  <c r="R706" i="1"/>
  <c r="Q706" i="1"/>
  <c r="P706" i="1"/>
  <c r="O706" i="1"/>
  <c r="N706" i="1"/>
  <c r="M706" i="1"/>
  <c r="L706" i="1"/>
  <c r="K706" i="1"/>
  <c r="J706" i="1"/>
  <c r="I706" i="1"/>
  <c r="H706" i="1"/>
  <c r="G706" i="1"/>
  <c r="F706" i="1"/>
  <c r="E706" i="1"/>
  <c r="D706" i="1"/>
  <c r="C706" i="1"/>
  <c r="X705" i="1"/>
  <c r="W705" i="1"/>
  <c r="V705" i="1"/>
  <c r="U705" i="1"/>
  <c r="T705" i="1"/>
  <c r="S705" i="1"/>
  <c r="R705" i="1"/>
  <c r="Q705" i="1"/>
  <c r="P705" i="1"/>
  <c r="O705" i="1"/>
  <c r="N705" i="1"/>
  <c r="M705" i="1"/>
  <c r="L705" i="1"/>
  <c r="K705" i="1"/>
  <c r="J705" i="1"/>
  <c r="I705" i="1"/>
  <c r="H705" i="1"/>
  <c r="G705" i="1"/>
  <c r="F705" i="1"/>
  <c r="E705" i="1"/>
  <c r="D705" i="1"/>
  <c r="C705" i="1"/>
  <c r="X704" i="1"/>
  <c r="W704" i="1"/>
  <c r="V704" i="1"/>
  <c r="U704" i="1"/>
  <c r="T704" i="1"/>
  <c r="S704" i="1"/>
  <c r="R704" i="1"/>
  <c r="Q704" i="1"/>
  <c r="P704" i="1"/>
  <c r="O704" i="1"/>
  <c r="N704" i="1"/>
  <c r="M704" i="1"/>
  <c r="L704" i="1"/>
  <c r="K704" i="1"/>
  <c r="J704" i="1"/>
  <c r="I704" i="1"/>
  <c r="H704" i="1"/>
  <c r="G704" i="1"/>
  <c r="F704" i="1"/>
  <c r="E704" i="1"/>
  <c r="D704" i="1"/>
  <c r="C704" i="1"/>
  <c r="X703" i="1"/>
  <c r="W703" i="1"/>
  <c r="V703" i="1"/>
  <c r="U703" i="1"/>
  <c r="T703" i="1"/>
  <c r="S703" i="1"/>
  <c r="R703" i="1"/>
  <c r="Q703" i="1"/>
  <c r="P703" i="1"/>
  <c r="O703" i="1"/>
  <c r="N703" i="1"/>
  <c r="M703" i="1"/>
  <c r="L703" i="1"/>
  <c r="K703" i="1"/>
  <c r="J703" i="1"/>
  <c r="I703" i="1"/>
  <c r="H703" i="1"/>
  <c r="G703" i="1"/>
  <c r="F703" i="1"/>
  <c r="E703" i="1"/>
  <c r="D703" i="1"/>
  <c r="C703" i="1"/>
  <c r="X702" i="1"/>
  <c r="W702" i="1"/>
  <c r="V702" i="1"/>
  <c r="U702" i="1"/>
  <c r="T702" i="1"/>
  <c r="S702" i="1"/>
  <c r="R702" i="1"/>
  <c r="Q702" i="1"/>
  <c r="P702" i="1"/>
  <c r="O702" i="1"/>
  <c r="N702" i="1"/>
  <c r="M702" i="1"/>
  <c r="L702" i="1"/>
  <c r="K702" i="1"/>
  <c r="J702" i="1"/>
  <c r="I702" i="1"/>
  <c r="H702" i="1"/>
  <c r="G702" i="1"/>
  <c r="F702" i="1"/>
  <c r="E702" i="1"/>
  <c r="D702" i="1"/>
  <c r="C702" i="1"/>
  <c r="X701" i="1"/>
  <c r="W701" i="1"/>
  <c r="V701" i="1"/>
  <c r="U701" i="1"/>
  <c r="T701" i="1"/>
  <c r="S701" i="1"/>
  <c r="R701" i="1"/>
  <c r="Q701" i="1"/>
  <c r="P701" i="1"/>
  <c r="O701" i="1"/>
  <c r="N701" i="1"/>
  <c r="M701" i="1"/>
  <c r="L701" i="1"/>
  <c r="K701" i="1"/>
  <c r="J701" i="1"/>
  <c r="I701" i="1"/>
  <c r="H701" i="1"/>
  <c r="G701" i="1"/>
  <c r="F701" i="1"/>
  <c r="E701" i="1"/>
  <c r="D701" i="1"/>
  <c r="C701" i="1"/>
  <c r="X700" i="1"/>
  <c r="W700" i="1"/>
  <c r="V700" i="1"/>
  <c r="U700" i="1"/>
  <c r="T700" i="1"/>
  <c r="S700" i="1"/>
  <c r="R700" i="1"/>
  <c r="Q700" i="1"/>
  <c r="P700" i="1"/>
  <c r="O700" i="1"/>
  <c r="N700" i="1"/>
  <c r="M700" i="1"/>
  <c r="L700" i="1"/>
  <c r="K700" i="1"/>
  <c r="J700" i="1"/>
  <c r="I700" i="1"/>
  <c r="H700" i="1"/>
  <c r="G700" i="1"/>
  <c r="F700" i="1"/>
  <c r="E700" i="1"/>
  <c r="D700" i="1"/>
  <c r="C700" i="1"/>
  <c r="X699" i="1"/>
  <c r="W699" i="1"/>
  <c r="V699" i="1"/>
  <c r="U699" i="1"/>
  <c r="T699" i="1"/>
  <c r="S699" i="1"/>
  <c r="R699" i="1"/>
  <c r="Q699" i="1"/>
  <c r="P699" i="1"/>
  <c r="O699" i="1"/>
  <c r="N699" i="1"/>
  <c r="M699" i="1"/>
  <c r="L699" i="1"/>
  <c r="K699" i="1"/>
  <c r="J699" i="1"/>
  <c r="I699" i="1"/>
  <c r="H699" i="1"/>
  <c r="G699" i="1"/>
  <c r="F699" i="1"/>
  <c r="E699" i="1"/>
  <c r="D699" i="1"/>
  <c r="C699" i="1"/>
  <c r="X698" i="1"/>
  <c r="W698" i="1"/>
  <c r="V698" i="1"/>
  <c r="U698" i="1"/>
  <c r="T698" i="1"/>
  <c r="S698" i="1"/>
  <c r="R698" i="1"/>
  <c r="Q698" i="1"/>
  <c r="P698" i="1"/>
  <c r="O698" i="1"/>
  <c r="N698" i="1"/>
  <c r="M698" i="1"/>
  <c r="L698" i="1"/>
  <c r="K698" i="1"/>
  <c r="J698" i="1"/>
  <c r="I698" i="1"/>
  <c r="H698" i="1"/>
  <c r="G698" i="1"/>
  <c r="F698" i="1"/>
  <c r="E698" i="1"/>
  <c r="D698" i="1"/>
  <c r="C698" i="1"/>
  <c r="X697" i="1"/>
  <c r="W697" i="1"/>
  <c r="V697" i="1"/>
  <c r="U697" i="1"/>
  <c r="T697" i="1"/>
  <c r="S697" i="1"/>
  <c r="R697" i="1"/>
  <c r="Q697" i="1"/>
  <c r="P697" i="1"/>
  <c r="O697" i="1"/>
  <c r="N697" i="1"/>
  <c r="M697" i="1"/>
  <c r="L697" i="1"/>
  <c r="K697" i="1"/>
  <c r="J697" i="1"/>
  <c r="I697" i="1"/>
  <c r="H697" i="1"/>
  <c r="G697" i="1"/>
  <c r="F697" i="1"/>
  <c r="E697" i="1"/>
  <c r="D697" i="1"/>
  <c r="C697" i="1"/>
  <c r="X696" i="1"/>
  <c r="W696" i="1"/>
  <c r="V696" i="1"/>
  <c r="U696" i="1"/>
  <c r="T696" i="1"/>
  <c r="S696" i="1"/>
  <c r="R696" i="1"/>
  <c r="Q696" i="1"/>
  <c r="P696" i="1"/>
  <c r="O696" i="1"/>
  <c r="N696" i="1"/>
  <c r="M696" i="1"/>
  <c r="L696" i="1"/>
  <c r="K696" i="1"/>
  <c r="J696" i="1"/>
  <c r="I696" i="1"/>
  <c r="H696" i="1"/>
  <c r="G696" i="1"/>
  <c r="F696" i="1"/>
  <c r="E696" i="1"/>
  <c r="D696" i="1"/>
  <c r="C696" i="1"/>
  <c r="X695" i="1"/>
  <c r="W695" i="1"/>
  <c r="V695" i="1"/>
  <c r="U695" i="1"/>
  <c r="T695" i="1"/>
  <c r="S695" i="1"/>
  <c r="R695" i="1"/>
  <c r="Q695" i="1"/>
  <c r="P695" i="1"/>
  <c r="O695" i="1"/>
  <c r="N695" i="1"/>
  <c r="M695" i="1"/>
  <c r="L695" i="1"/>
  <c r="K695" i="1"/>
  <c r="J695" i="1"/>
  <c r="I695" i="1"/>
  <c r="H695" i="1"/>
  <c r="G695" i="1"/>
  <c r="F695" i="1"/>
  <c r="E695" i="1"/>
  <c r="D695" i="1"/>
  <c r="C695" i="1"/>
  <c r="X694" i="1"/>
  <c r="W694" i="1"/>
  <c r="V694" i="1"/>
  <c r="U694" i="1"/>
  <c r="T694" i="1"/>
  <c r="S694" i="1"/>
  <c r="R694" i="1"/>
  <c r="Q694" i="1"/>
  <c r="P694" i="1"/>
  <c r="O694" i="1"/>
  <c r="N694" i="1"/>
  <c r="M694" i="1"/>
  <c r="L694" i="1"/>
  <c r="K694" i="1"/>
  <c r="J694" i="1"/>
  <c r="I694" i="1"/>
  <c r="H694" i="1"/>
  <c r="G694" i="1"/>
  <c r="F694" i="1"/>
  <c r="E694" i="1"/>
  <c r="D694" i="1"/>
  <c r="C694" i="1"/>
  <c r="X693" i="1"/>
  <c r="W693" i="1"/>
  <c r="V693" i="1"/>
  <c r="U693" i="1"/>
  <c r="T693" i="1"/>
  <c r="S693" i="1"/>
  <c r="R693" i="1"/>
  <c r="Q693" i="1"/>
  <c r="P693" i="1"/>
  <c r="O693" i="1"/>
  <c r="N693" i="1"/>
  <c r="M693" i="1"/>
  <c r="L693" i="1"/>
  <c r="K693" i="1"/>
  <c r="J693" i="1"/>
  <c r="I693" i="1"/>
  <c r="H693" i="1"/>
  <c r="G693" i="1"/>
  <c r="F693" i="1"/>
  <c r="E693" i="1"/>
  <c r="D693" i="1"/>
  <c r="C693" i="1"/>
  <c r="X692" i="1"/>
  <c r="W692" i="1"/>
  <c r="V692" i="1"/>
  <c r="U692" i="1"/>
  <c r="T692" i="1"/>
  <c r="S692" i="1"/>
  <c r="R692" i="1"/>
  <c r="Q692" i="1"/>
  <c r="P692" i="1"/>
  <c r="O692" i="1"/>
  <c r="N692" i="1"/>
  <c r="M692" i="1"/>
  <c r="L692" i="1"/>
  <c r="K692" i="1"/>
  <c r="J692" i="1"/>
  <c r="I692" i="1"/>
  <c r="H692" i="1"/>
  <c r="G692" i="1"/>
  <c r="F692" i="1"/>
  <c r="E692" i="1"/>
  <c r="D692" i="1"/>
  <c r="C692" i="1"/>
  <c r="X691" i="1"/>
  <c r="W691" i="1"/>
  <c r="V691" i="1"/>
  <c r="U691" i="1"/>
  <c r="T691" i="1"/>
  <c r="S691" i="1"/>
  <c r="R691" i="1"/>
  <c r="Q691" i="1"/>
  <c r="P691" i="1"/>
  <c r="O691" i="1"/>
  <c r="N691" i="1"/>
  <c r="M691" i="1"/>
  <c r="L691" i="1"/>
  <c r="K691" i="1"/>
  <c r="J691" i="1"/>
  <c r="I691" i="1"/>
  <c r="H691" i="1"/>
  <c r="G691" i="1"/>
  <c r="F691" i="1"/>
  <c r="E691" i="1"/>
  <c r="D691" i="1"/>
  <c r="C691" i="1"/>
  <c r="X690" i="1"/>
  <c r="W690" i="1"/>
  <c r="V690" i="1"/>
  <c r="U690" i="1"/>
  <c r="T690" i="1"/>
  <c r="S690" i="1"/>
  <c r="R690" i="1"/>
  <c r="Q690" i="1"/>
  <c r="P690" i="1"/>
  <c r="O690" i="1"/>
  <c r="N690" i="1"/>
  <c r="M690" i="1"/>
  <c r="L690" i="1"/>
  <c r="K690" i="1"/>
  <c r="J690" i="1"/>
  <c r="I690" i="1"/>
  <c r="H690" i="1"/>
  <c r="G690" i="1"/>
  <c r="F690" i="1"/>
  <c r="E690" i="1"/>
  <c r="D690" i="1"/>
  <c r="C690" i="1"/>
  <c r="X689" i="1"/>
  <c r="W689" i="1"/>
  <c r="V689" i="1"/>
  <c r="U689" i="1"/>
  <c r="T689" i="1"/>
  <c r="S689" i="1"/>
  <c r="R689" i="1"/>
  <c r="Q689" i="1"/>
  <c r="P689" i="1"/>
  <c r="O689" i="1"/>
  <c r="N689" i="1"/>
  <c r="M689" i="1"/>
  <c r="L689" i="1"/>
  <c r="K689" i="1"/>
  <c r="J689" i="1"/>
  <c r="I689" i="1"/>
  <c r="H689" i="1"/>
  <c r="G689" i="1"/>
  <c r="F689" i="1"/>
  <c r="E689" i="1"/>
  <c r="D689" i="1"/>
  <c r="X688" i="1"/>
  <c r="W688" i="1"/>
  <c r="V688" i="1"/>
  <c r="U688" i="1"/>
  <c r="T688" i="1"/>
  <c r="S688" i="1"/>
  <c r="R688" i="1"/>
  <c r="Q688" i="1"/>
  <c r="P688" i="1"/>
  <c r="O688" i="1"/>
  <c r="N688" i="1"/>
  <c r="M688" i="1"/>
  <c r="L688" i="1"/>
  <c r="K688" i="1"/>
  <c r="J688" i="1"/>
  <c r="I688" i="1"/>
  <c r="H688" i="1"/>
  <c r="G688" i="1"/>
  <c r="F688" i="1"/>
  <c r="E688" i="1"/>
  <c r="D688" i="1"/>
  <c r="X687" i="1"/>
  <c r="W687" i="1"/>
  <c r="V687" i="1"/>
  <c r="U687" i="1"/>
  <c r="T687" i="1"/>
  <c r="S687" i="1"/>
  <c r="R687" i="1"/>
  <c r="Q687" i="1"/>
  <c r="P687" i="1"/>
  <c r="O687" i="1"/>
  <c r="N687" i="1"/>
  <c r="M687" i="1"/>
  <c r="L687" i="1"/>
  <c r="K687" i="1"/>
  <c r="J687" i="1"/>
  <c r="I687" i="1"/>
  <c r="H687" i="1"/>
  <c r="G687" i="1"/>
  <c r="F687" i="1"/>
  <c r="E687" i="1"/>
  <c r="D687" i="1"/>
  <c r="C687" i="1"/>
  <c r="X686" i="1"/>
  <c r="W686" i="1"/>
  <c r="V686" i="1"/>
  <c r="U686" i="1"/>
  <c r="T686" i="1"/>
  <c r="S686" i="1"/>
  <c r="R686" i="1"/>
  <c r="Q686" i="1"/>
  <c r="P686" i="1"/>
  <c r="O686" i="1"/>
  <c r="N686" i="1"/>
  <c r="M686" i="1"/>
  <c r="L686" i="1"/>
  <c r="K686" i="1"/>
  <c r="J686" i="1"/>
  <c r="I686" i="1"/>
  <c r="H686" i="1"/>
  <c r="G686" i="1"/>
  <c r="F686" i="1"/>
  <c r="E686" i="1"/>
  <c r="D686" i="1"/>
  <c r="C686" i="1"/>
  <c r="X685" i="1"/>
  <c r="W685" i="1"/>
  <c r="V685" i="1"/>
  <c r="U685" i="1"/>
  <c r="T685" i="1"/>
  <c r="S685" i="1"/>
  <c r="R685" i="1"/>
  <c r="Q685" i="1"/>
  <c r="P685" i="1"/>
  <c r="O685" i="1"/>
  <c r="N685" i="1"/>
  <c r="M685" i="1"/>
  <c r="L685" i="1"/>
  <c r="K685" i="1"/>
  <c r="J685" i="1"/>
  <c r="I685" i="1"/>
  <c r="H685" i="1"/>
  <c r="G685" i="1"/>
  <c r="F685" i="1"/>
  <c r="E685" i="1"/>
  <c r="D685" i="1"/>
  <c r="C685" i="1"/>
  <c r="X684" i="1"/>
  <c r="W684" i="1"/>
  <c r="V684" i="1"/>
  <c r="U684" i="1"/>
  <c r="T684" i="1"/>
  <c r="S684" i="1"/>
  <c r="R684" i="1"/>
  <c r="Q684" i="1"/>
  <c r="P684" i="1"/>
  <c r="O684" i="1"/>
  <c r="N684" i="1"/>
  <c r="M684" i="1"/>
  <c r="L684" i="1"/>
  <c r="K684" i="1"/>
  <c r="J684" i="1"/>
  <c r="I684" i="1"/>
  <c r="H684" i="1"/>
  <c r="G684" i="1"/>
  <c r="F684" i="1"/>
  <c r="E684" i="1"/>
  <c r="D684" i="1"/>
  <c r="C684" i="1"/>
  <c r="X683" i="1"/>
  <c r="W683" i="1"/>
  <c r="V683" i="1"/>
  <c r="U683" i="1"/>
  <c r="T683" i="1"/>
  <c r="S683" i="1"/>
  <c r="R683" i="1"/>
  <c r="Q683" i="1"/>
  <c r="P683" i="1"/>
  <c r="O683" i="1"/>
  <c r="N683" i="1"/>
  <c r="M683" i="1"/>
  <c r="L683" i="1"/>
  <c r="K683" i="1"/>
  <c r="J683" i="1"/>
  <c r="I683" i="1"/>
  <c r="H683" i="1"/>
  <c r="G683" i="1"/>
  <c r="F683" i="1"/>
  <c r="E683" i="1"/>
  <c r="D683" i="1"/>
  <c r="C683" i="1"/>
  <c r="X682" i="1"/>
  <c r="W682" i="1"/>
  <c r="V682" i="1"/>
  <c r="U682" i="1"/>
  <c r="T682" i="1"/>
  <c r="S682" i="1"/>
  <c r="R682" i="1"/>
  <c r="Q682" i="1"/>
  <c r="P682" i="1"/>
  <c r="O682" i="1"/>
  <c r="N682" i="1"/>
  <c r="M682" i="1"/>
  <c r="L682" i="1"/>
  <c r="K682" i="1"/>
  <c r="J682" i="1"/>
  <c r="I682" i="1"/>
  <c r="H682" i="1"/>
  <c r="G682" i="1"/>
  <c r="F682" i="1"/>
  <c r="E682" i="1"/>
  <c r="D682" i="1"/>
  <c r="C682" i="1"/>
  <c r="X681" i="1"/>
  <c r="W681" i="1"/>
  <c r="V681" i="1"/>
  <c r="U681" i="1"/>
  <c r="T681" i="1"/>
  <c r="S681" i="1"/>
  <c r="R681" i="1"/>
  <c r="Q681" i="1"/>
  <c r="P681" i="1"/>
  <c r="O681" i="1"/>
  <c r="N681" i="1"/>
  <c r="M681" i="1"/>
  <c r="L681" i="1"/>
  <c r="K681" i="1"/>
  <c r="J681" i="1"/>
  <c r="I681" i="1"/>
  <c r="H681" i="1"/>
  <c r="G681" i="1"/>
  <c r="F681" i="1"/>
  <c r="E681" i="1"/>
  <c r="D681" i="1"/>
  <c r="C681" i="1"/>
  <c r="X680" i="1"/>
  <c r="W680" i="1"/>
  <c r="V680" i="1"/>
  <c r="U680" i="1"/>
  <c r="T680" i="1"/>
  <c r="S680" i="1"/>
  <c r="R680" i="1"/>
  <c r="Q680" i="1"/>
  <c r="P680" i="1"/>
  <c r="O680" i="1"/>
  <c r="N680" i="1"/>
  <c r="M680" i="1"/>
  <c r="L680" i="1"/>
  <c r="K680" i="1"/>
  <c r="J680" i="1"/>
  <c r="I680" i="1"/>
  <c r="H680" i="1"/>
  <c r="G680" i="1"/>
  <c r="F680" i="1"/>
  <c r="E680" i="1"/>
  <c r="D680" i="1"/>
  <c r="C680" i="1"/>
  <c r="X679" i="1"/>
  <c r="W679" i="1"/>
  <c r="V679" i="1"/>
  <c r="U679" i="1"/>
  <c r="T679" i="1"/>
  <c r="S679" i="1"/>
  <c r="R679" i="1"/>
  <c r="Q679" i="1"/>
  <c r="P679" i="1"/>
  <c r="O679" i="1"/>
  <c r="N679" i="1"/>
  <c r="M679" i="1"/>
  <c r="L679" i="1"/>
  <c r="K679" i="1"/>
  <c r="J679" i="1"/>
  <c r="I679" i="1"/>
  <c r="H679" i="1"/>
  <c r="G679" i="1"/>
  <c r="F679" i="1"/>
  <c r="E679" i="1"/>
  <c r="D679" i="1"/>
  <c r="X678" i="1"/>
  <c r="W678" i="1"/>
  <c r="V678" i="1"/>
  <c r="U678" i="1"/>
  <c r="T678" i="1"/>
  <c r="S678" i="1"/>
  <c r="R678" i="1"/>
  <c r="Q678" i="1"/>
  <c r="P678" i="1"/>
  <c r="O678" i="1"/>
  <c r="N678" i="1"/>
  <c r="M678" i="1"/>
  <c r="L678" i="1"/>
  <c r="K678" i="1"/>
  <c r="J678" i="1"/>
  <c r="I678" i="1"/>
  <c r="H678" i="1"/>
  <c r="G678" i="1"/>
  <c r="F678" i="1"/>
  <c r="E678" i="1"/>
  <c r="D678" i="1"/>
  <c r="C678" i="1"/>
  <c r="X677" i="1"/>
  <c r="W677" i="1"/>
  <c r="V677" i="1"/>
  <c r="U677" i="1"/>
  <c r="T677" i="1"/>
  <c r="S677" i="1"/>
  <c r="R677" i="1"/>
  <c r="Q677" i="1"/>
  <c r="P677" i="1"/>
  <c r="O677" i="1"/>
  <c r="N677" i="1"/>
  <c r="M677" i="1"/>
  <c r="L677" i="1"/>
  <c r="K677" i="1"/>
  <c r="J677" i="1"/>
  <c r="I677" i="1"/>
  <c r="H677" i="1"/>
  <c r="G677" i="1"/>
  <c r="F677" i="1"/>
  <c r="E677" i="1"/>
  <c r="D677" i="1"/>
  <c r="C677" i="1"/>
  <c r="X676" i="1"/>
  <c r="W676" i="1"/>
  <c r="V676" i="1"/>
  <c r="U676" i="1"/>
  <c r="T676" i="1"/>
  <c r="S676" i="1"/>
  <c r="R676" i="1"/>
  <c r="Q676" i="1"/>
  <c r="P676" i="1"/>
  <c r="O676" i="1"/>
  <c r="N676" i="1"/>
  <c r="M676" i="1"/>
  <c r="L676" i="1"/>
  <c r="K676" i="1"/>
  <c r="J676" i="1"/>
  <c r="I676" i="1"/>
  <c r="H676" i="1"/>
  <c r="G676" i="1"/>
  <c r="F676" i="1"/>
  <c r="E676" i="1"/>
  <c r="D676" i="1"/>
  <c r="C676" i="1"/>
  <c r="X675" i="1"/>
  <c r="W675" i="1"/>
  <c r="V675" i="1"/>
  <c r="U675" i="1"/>
  <c r="T675" i="1"/>
  <c r="S675" i="1"/>
  <c r="R675" i="1"/>
  <c r="Q675" i="1"/>
  <c r="P675" i="1"/>
  <c r="O675" i="1"/>
  <c r="N675" i="1"/>
  <c r="M675" i="1"/>
  <c r="L675" i="1"/>
  <c r="K675" i="1"/>
  <c r="J675" i="1"/>
  <c r="I675" i="1"/>
  <c r="H675" i="1"/>
  <c r="G675" i="1"/>
  <c r="F675" i="1"/>
  <c r="E675" i="1"/>
  <c r="D675" i="1"/>
  <c r="C675" i="1"/>
  <c r="X674" i="1"/>
  <c r="W674" i="1"/>
  <c r="V674" i="1"/>
  <c r="U674" i="1"/>
  <c r="T674" i="1"/>
  <c r="S674" i="1"/>
  <c r="R674" i="1"/>
  <c r="Q674" i="1"/>
  <c r="P674" i="1"/>
  <c r="O674" i="1"/>
  <c r="N674" i="1"/>
  <c r="M674" i="1"/>
  <c r="L674" i="1"/>
  <c r="K674" i="1"/>
  <c r="J674" i="1"/>
  <c r="I674" i="1"/>
  <c r="H674" i="1"/>
  <c r="G674" i="1"/>
  <c r="F674" i="1"/>
  <c r="E674" i="1"/>
  <c r="D674" i="1"/>
  <c r="C674" i="1"/>
  <c r="X673" i="1"/>
  <c r="W673" i="1"/>
  <c r="V673" i="1"/>
  <c r="U673" i="1"/>
  <c r="T673" i="1"/>
  <c r="S673" i="1"/>
  <c r="R673" i="1"/>
  <c r="Q673" i="1"/>
  <c r="P673" i="1"/>
  <c r="O673" i="1"/>
  <c r="N673" i="1"/>
  <c r="M673" i="1"/>
  <c r="L673" i="1"/>
  <c r="K673" i="1"/>
  <c r="J673" i="1"/>
  <c r="I673" i="1"/>
  <c r="H673" i="1"/>
  <c r="G673" i="1"/>
  <c r="F673" i="1"/>
  <c r="E673" i="1"/>
  <c r="D673" i="1"/>
  <c r="C673" i="1"/>
  <c r="X672" i="1"/>
  <c r="W672" i="1"/>
  <c r="V672" i="1"/>
  <c r="U672" i="1"/>
  <c r="T672" i="1"/>
  <c r="S672" i="1"/>
  <c r="R672" i="1"/>
  <c r="Q672" i="1"/>
  <c r="P672" i="1"/>
  <c r="O672" i="1"/>
  <c r="N672" i="1"/>
  <c r="M672" i="1"/>
  <c r="L672" i="1"/>
  <c r="K672" i="1"/>
  <c r="J672" i="1"/>
  <c r="I672" i="1"/>
  <c r="H672" i="1"/>
  <c r="G672" i="1"/>
  <c r="F672" i="1"/>
  <c r="E672" i="1"/>
  <c r="D672" i="1"/>
  <c r="C672" i="1"/>
  <c r="X671" i="1"/>
  <c r="W671" i="1"/>
  <c r="V671" i="1"/>
  <c r="U671" i="1"/>
  <c r="T671" i="1"/>
  <c r="S671" i="1"/>
  <c r="R671" i="1"/>
  <c r="Q671" i="1"/>
  <c r="P671" i="1"/>
  <c r="O671" i="1"/>
  <c r="N671" i="1"/>
  <c r="M671" i="1"/>
  <c r="L671" i="1"/>
  <c r="K671" i="1"/>
  <c r="J671" i="1"/>
  <c r="I671" i="1"/>
  <c r="H671" i="1"/>
  <c r="G671" i="1"/>
  <c r="F671" i="1"/>
  <c r="E671" i="1"/>
  <c r="D671" i="1"/>
  <c r="C671" i="1"/>
  <c r="X670" i="1"/>
  <c r="W670" i="1"/>
  <c r="V670" i="1"/>
  <c r="U670" i="1"/>
  <c r="T670" i="1"/>
  <c r="S670" i="1"/>
  <c r="R670" i="1"/>
  <c r="Q670" i="1"/>
  <c r="P670" i="1"/>
  <c r="O670" i="1"/>
  <c r="N670" i="1"/>
  <c r="M670" i="1"/>
  <c r="L670" i="1"/>
  <c r="K670" i="1"/>
  <c r="J670" i="1"/>
  <c r="I670" i="1"/>
  <c r="H670" i="1"/>
  <c r="G670" i="1"/>
  <c r="F670" i="1"/>
  <c r="E670" i="1"/>
  <c r="D670" i="1"/>
  <c r="C670" i="1"/>
  <c r="X669" i="1"/>
  <c r="W669" i="1"/>
  <c r="V669" i="1"/>
  <c r="U669" i="1"/>
  <c r="T669" i="1"/>
  <c r="S669" i="1"/>
  <c r="R669" i="1"/>
  <c r="Q669" i="1"/>
  <c r="P669" i="1"/>
  <c r="O669" i="1"/>
  <c r="N669" i="1"/>
  <c r="M669" i="1"/>
  <c r="L669" i="1"/>
  <c r="K669" i="1"/>
  <c r="J669" i="1"/>
  <c r="I669" i="1"/>
  <c r="H669" i="1"/>
  <c r="G669" i="1"/>
  <c r="F669" i="1"/>
  <c r="E669" i="1"/>
  <c r="D669" i="1"/>
  <c r="C669" i="1"/>
  <c r="X668" i="1"/>
  <c r="W668" i="1"/>
  <c r="V668" i="1"/>
  <c r="U668" i="1"/>
  <c r="T668" i="1"/>
  <c r="S668" i="1"/>
  <c r="R668" i="1"/>
  <c r="Q668" i="1"/>
  <c r="P668" i="1"/>
  <c r="O668" i="1"/>
  <c r="N668" i="1"/>
  <c r="M668" i="1"/>
  <c r="L668" i="1"/>
  <c r="K668" i="1"/>
  <c r="J668" i="1"/>
  <c r="I668" i="1"/>
  <c r="H668" i="1"/>
  <c r="G668" i="1"/>
  <c r="F668" i="1"/>
  <c r="E668" i="1"/>
  <c r="D668" i="1"/>
  <c r="C668" i="1"/>
  <c r="X667" i="1"/>
  <c r="W667" i="1"/>
  <c r="V667" i="1"/>
  <c r="U667" i="1"/>
  <c r="T667" i="1"/>
  <c r="S667" i="1"/>
  <c r="R667" i="1"/>
  <c r="Q667" i="1"/>
  <c r="P667" i="1"/>
  <c r="O667" i="1"/>
  <c r="N667" i="1"/>
  <c r="M667" i="1"/>
  <c r="L667" i="1"/>
  <c r="K667" i="1"/>
  <c r="J667" i="1"/>
  <c r="I667" i="1"/>
  <c r="H667" i="1"/>
  <c r="G667" i="1"/>
  <c r="F667" i="1"/>
  <c r="E667" i="1"/>
  <c r="D667" i="1"/>
  <c r="C667" i="1"/>
  <c r="X666" i="1"/>
  <c r="W666" i="1"/>
  <c r="V666" i="1"/>
  <c r="U666" i="1"/>
  <c r="T666" i="1"/>
  <c r="S666" i="1"/>
  <c r="R666" i="1"/>
  <c r="Q666" i="1"/>
  <c r="P666" i="1"/>
  <c r="O666" i="1"/>
  <c r="N666" i="1"/>
  <c r="M666" i="1"/>
  <c r="L666" i="1"/>
  <c r="K666" i="1"/>
  <c r="J666" i="1"/>
  <c r="I666" i="1"/>
  <c r="H666" i="1"/>
  <c r="G666" i="1"/>
  <c r="F666" i="1"/>
  <c r="E666" i="1"/>
  <c r="D666" i="1"/>
  <c r="C666" i="1"/>
  <c r="X665" i="1"/>
  <c r="W665" i="1"/>
  <c r="V665" i="1"/>
  <c r="U665" i="1"/>
  <c r="T665" i="1"/>
  <c r="S665" i="1"/>
  <c r="R665" i="1"/>
  <c r="Q665" i="1"/>
  <c r="P665" i="1"/>
  <c r="O665" i="1"/>
  <c r="N665" i="1"/>
  <c r="M665" i="1"/>
  <c r="L665" i="1"/>
  <c r="K665" i="1"/>
  <c r="J665" i="1"/>
  <c r="I665" i="1"/>
  <c r="H665" i="1"/>
  <c r="G665" i="1"/>
  <c r="F665" i="1"/>
  <c r="E665" i="1"/>
  <c r="D665" i="1"/>
  <c r="C665" i="1"/>
  <c r="X664" i="1"/>
  <c r="W664" i="1"/>
  <c r="V664" i="1"/>
  <c r="U664" i="1"/>
  <c r="T664" i="1"/>
  <c r="S664" i="1"/>
  <c r="R664" i="1"/>
  <c r="Q664" i="1"/>
  <c r="P664" i="1"/>
  <c r="O664" i="1"/>
  <c r="N664" i="1"/>
  <c r="M664" i="1"/>
  <c r="L664" i="1"/>
  <c r="K664" i="1"/>
  <c r="J664" i="1"/>
  <c r="I664" i="1"/>
  <c r="H664" i="1"/>
  <c r="G664" i="1"/>
  <c r="F664" i="1"/>
  <c r="E664" i="1"/>
  <c r="D664" i="1"/>
  <c r="C664" i="1"/>
  <c r="X663" i="1"/>
  <c r="W663" i="1"/>
  <c r="V663" i="1"/>
  <c r="U663" i="1"/>
  <c r="T663" i="1"/>
  <c r="S663" i="1"/>
  <c r="R663" i="1"/>
  <c r="Q663" i="1"/>
  <c r="P663" i="1"/>
  <c r="O663" i="1"/>
  <c r="N663" i="1"/>
  <c r="M663" i="1"/>
  <c r="L663" i="1"/>
  <c r="K663" i="1"/>
  <c r="J663" i="1"/>
  <c r="I663" i="1"/>
  <c r="H663" i="1"/>
  <c r="G663" i="1"/>
  <c r="F663" i="1"/>
  <c r="E663" i="1"/>
  <c r="D663" i="1"/>
  <c r="C663" i="1"/>
  <c r="X662" i="1"/>
  <c r="W662" i="1"/>
  <c r="V662" i="1"/>
  <c r="U662" i="1"/>
  <c r="T662" i="1"/>
  <c r="S662" i="1"/>
  <c r="R662" i="1"/>
  <c r="Q662" i="1"/>
  <c r="P662" i="1"/>
  <c r="O662" i="1"/>
  <c r="N662" i="1"/>
  <c r="M662" i="1"/>
  <c r="L662" i="1"/>
  <c r="K662" i="1"/>
  <c r="J662" i="1"/>
  <c r="I662" i="1"/>
  <c r="H662" i="1"/>
  <c r="G662" i="1"/>
  <c r="F662" i="1"/>
  <c r="E662" i="1"/>
  <c r="D662" i="1"/>
  <c r="C662" i="1"/>
  <c r="X661" i="1"/>
  <c r="W661" i="1"/>
  <c r="V661" i="1"/>
  <c r="U661" i="1"/>
  <c r="T661" i="1"/>
  <c r="S661" i="1"/>
  <c r="R661" i="1"/>
  <c r="Q661" i="1"/>
  <c r="P661" i="1"/>
  <c r="O661" i="1"/>
  <c r="N661" i="1"/>
  <c r="M661" i="1"/>
  <c r="L661" i="1"/>
  <c r="K661" i="1"/>
  <c r="J661" i="1"/>
  <c r="I661" i="1"/>
  <c r="H661" i="1"/>
  <c r="G661" i="1"/>
  <c r="F661" i="1"/>
  <c r="E661" i="1"/>
  <c r="D661" i="1"/>
  <c r="C661" i="1"/>
  <c r="X660" i="1"/>
  <c r="W660" i="1"/>
  <c r="V660" i="1"/>
  <c r="U660" i="1"/>
  <c r="T660" i="1"/>
  <c r="S660" i="1"/>
  <c r="R660" i="1"/>
  <c r="Q660" i="1"/>
  <c r="P660" i="1"/>
  <c r="O660" i="1"/>
  <c r="N660" i="1"/>
  <c r="M660" i="1"/>
  <c r="L660" i="1"/>
  <c r="K660" i="1"/>
  <c r="J660" i="1"/>
  <c r="I660" i="1"/>
  <c r="H660" i="1"/>
  <c r="G660" i="1"/>
  <c r="F660" i="1"/>
  <c r="E660" i="1"/>
  <c r="D660" i="1"/>
  <c r="C660" i="1"/>
  <c r="X659" i="1"/>
  <c r="W659" i="1"/>
  <c r="V659" i="1"/>
  <c r="U659" i="1"/>
  <c r="T659" i="1"/>
  <c r="S659" i="1"/>
  <c r="R659" i="1"/>
  <c r="Q659" i="1"/>
  <c r="P659" i="1"/>
  <c r="O659" i="1"/>
  <c r="N659" i="1"/>
  <c r="M659" i="1"/>
  <c r="L659" i="1"/>
  <c r="K659" i="1"/>
  <c r="J659" i="1"/>
  <c r="I659" i="1"/>
  <c r="H659" i="1"/>
  <c r="G659" i="1"/>
  <c r="F659" i="1"/>
  <c r="E659" i="1"/>
  <c r="D659" i="1"/>
  <c r="C659" i="1"/>
  <c r="X658" i="1"/>
  <c r="W658" i="1"/>
  <c r="V658" i="1"/>
  <c r="U658" i="1"/>
  <c r="T658" i="1"/>
  <c r="S658" i="1"/>
  <c r="R658" i="1"/>
  <c r="Q658" i="1"/>
  <c r="P658" i="1"/>
  <c r="O658" i="1"/>
  <c r="N658" i="1"/>
  <c r="M658" i="1"/>
  <c r="L658" i="1"/>
  <c r="K658" i="1"/>
  <c r="J658" i="1"/>
  <c r="I658" i="1"/>
  <c r="H658" i="1"/>
  <c r="G658" i="1"/>
  <c r="F658" i="1"/>
  <c r="E658" i="1"/>
  <c r="D658" i="1"/>
  <c r="C658" i="1"/>
  <c r="X657" i="1"/>
  <c r="W657" i="1"/>
  <c r="V657" i="1"/>
  <c r="U657" i="1"/>
  <c r="T657" i="1"/>
  <c r="S657" i="1"/>
  <c r="R657" i="1"/>
  <c r="Q657" i="1"/>
  <c r="P657" i="1"/>
  <c r="O657" i="1"/>
  <c r="N657" i="1"/>
  <c r="M657" i="1"/>
  <c r="L657" i="1"/>
  <c r="K657" i="1"/>
  <c r="J657" i="1"/>
  <c r="I657" i="1"/>
  <c r="H657" i="1"/>
  <c r="G657" i="1"/>
  <c r="F657" i="1"/>
  <c r="E657" i="1"/>
  <c r="D657" i="1"/>
  <c r="C657" i="1"/>
  <c r="X656" i="1"/>
  <c r="W656" i="1"/>
  <c r="V656" i="1"/>
  <c r="U656" i="1"/>
  <c r="T656" i="1"/>
  <c r="S656" i="1"/>
  <c r="R656" i="1"/>
  <c r="Q656" i="1"/>
  <c r="P656" i="1"/>
  <c r="O656" i="1"/>
  <c r="N656" i="1"/>
  <c r="M656" i="1"/>
  <c r="L656" i="1"/>
  <c r="K656" i="1"/>
  <c r="J656" i="1"/>
  <c r="I656" i="1"/>
  <c r="H656" i="1"/>
  <c r="G656" i="1"/>
  <c r="F656" i="1"/>
  <c r="E656" i="1"/>
  <c r="D656" i="1"/>
  <c r="C656" i="1"/>
  <c r="X655" i="1"/>
  <c r="W655" i="1"/>
  <c r="V655" i="1"/>
  <c r="U655" i="1"/>
  <c r="T655" i="1"/>
  <c r="S655" i="1"/>
  <c r="R655" i="1"/>
  <c r="Q655" i="1"/>
  <c r="P655" i="1"/>
  <c r="O655" i="1"/>
  <c r="N655" i="1"/>
  <c r="M655" i="1"/>
  <c r="L655" i="1"/>
  <c r="K655" i="1"/>
  <c r="J655" i="1"/>
  <c r="I655" i="1"/>
  <c r="H655" i="1"/>
  <c r="G655" i="1"/>
  <c r="F655" i="1"/>
  <c r="E655" i="1"/>
  <c r="D655" i="1"/>
  <c r="C655" i="1"/>
  <c r="X654" i="1"/>
  <c r="W654" i="1"/>
  <c r="V654" i="1"/>
  <c r="U654" i="1"/>
  <c r="T654" i="1"/>
  <c r="S654" i="1"/>
  <c r="R654" i="1"/>
  <c r="Q654" i="1"/>
  <c r="P654" i="1"/>
  <c r="O654" i="1"/>
  <c r="N654" i="1"/>
  <c r="M654" i="1"/>
  <c r="L654" i="1"/>
  <c r="K654" i="1"/>
  <c r="J654" i="1"/>
  <c r="I654" i="1"/>
  <c r="H654" i="1"/>
  <c r="G654" i="1"/>
  <c r="F654" i="1"/>
  <c r="E654" i="1"/>
  <c r="D654" i="1"/>
  <c r="C654" i="1"/>
  <c r="X653" i="1"/>
  <c r="W653" i="1"/>
  <c r="V653" i="1"/>
  <c r="U653" i="1"/>
  <c r="T653" i="1"/>
  <c r="S653" i="1"/>
  <c r="R653" i="1"/>
  <c r="Q653" i="1"/>
  <c r="P653" i="1"/>
  <c r="O653" i="1"/>
  <c r="N653" i="1"/>
  <c r="M653" i="1"/>
  <c r="L653" i="1"/>
  <c r="K653" i="1"/>
  <c r="J653" i="1"/>
  <c r="I653" i="1"/>
  <c r="H653" i="1"/>
  <c r="G653" i="1"/>
  <c r="F653" i="1"/>
  <c r="E653" i="1"/>
  <c r="D653" i="1"/>
  <c r="C653" i="1"/>
  <c r="X652" i="1"/>
  <c r="W652" i="1"/>
  <c r="V652" i="1"/>
  <c r="U652" i="1"/>
  <c r="T652" i="1"/>
  <c r="S652" i="1"/>
  <c r="R652" i="1"/>
  <c r="Q652" i="1"/>
  <c r="P652" i="1"/>
  <c r="O652" i="1"/>
  <c r="N652" i="1"/>
  <c r="M652" i="1"/>
  <c r="L652" i="1"/>
  <c r="K652" i="1"/>
  <c r="J652" i="1"/>
  <c r="I652" i="1"/>
  <c r="H652" i="1"/>
  <c r="G652" i="1"/>
  <c r="F652" i="1"/>
  <c r="E652" i="1"/>
  <c r="D652" i="1"/>
  <c r="X651" i="1"/>
  <c r="W651" i="1"/>
  <c r="V651" i="1"/>
  <c r="U651" i="1"/>
  <c r="T651" i="1"/>
  <c r="S651" i="1"/>
  <c r="R651" i="1"/>
  <c r="Q651" i="1"/>
  <c r="P651" i="1"/>
  <c r="O651" i="1"/>
  <c r="N651" i="1"/>
  <c r="M651" i="1"/>
  <c r="L651" i="1"/>
  <c r="K651" i="1"/>
  <c r="J651" i="1"/>
  <c r="I651" i="1"/>
  <c r="H651" i="1"/>
  <c r="G651" i="1"/>
  <c r="F651" i="1"/>
  <c r="E651" i="1"/>
  <c r="D651" i="1"/>
  <c r="C651" i="1"/>
  <c r="X650" i="1"/>
  <c r="W650" i="1"/>
  <c r="V650" i="1"/>
  <c r="U650" i="1"/>
  <c r="T650" i="1"/>
  <c r="S650" i="1"/>
  <c r="R650" i="1"/>
  <c r="Q650" i="1"/>
  <c r="P650" i="1"/>
  <c r="O650" i="1"/>
  <c r="N650" i="1"/>
  <c r="M650" i="1"/>
  <c r="L650" i="1"/>
  <c r="K650" i="1"/>
  <c r="J650" i="1"/>
  <c r="I650" i="1"/>
  <c r="H650" i="1"/>
  <c r="G650" i="1"/>
  <c r="F650" i="1"/>
  <c r="E650" i="1"/>
  <c r="D650" i="1"/>
  <c r="C650" i="1"/>
  <c r="X649" i="1"/>
  <c r="W649" i="1"/>
  <c r="V649" i="1"/>
  <c r="U649" i="1"/>
  <c r="T649" i="1"/>
  <c r="S649" i="1"/>
  <c r="R649" i="1"/>
  <c r="Q649" i="1"/>
  <c r="P649" i="1"/>
  <c r="O649" i="1"/>
  <c r="N649" i="1"/>
  <c r="M649" i="1"/>
  <c r="L649" i="1"/>
  <c r="K649" i="1"/>
  <c r="J649" i="1"/>
  <c r="I649" i="1"/>
  <c r="H649" i="1"/>
  <c r="G649" i="1"/>
  <c r="F649" i="1"/>
  <c r="E649" i="1"/>
  <c r="D649" i="1"/>
  <c r="C649" i="1"/>
  <c r="X648" i="1"/>
  <c r="W648" i="1"/>
  <c r="V648" i="1"/>
  <c r="U648" i="1"/>
  <c r="T648" i="1"/>
  <c r="S648" i="1"/>
  <c r="R648" i="1"/>
  <c r="Q648" i="1"/>
  <c r="P648" i="1"/>
  <c r="O648" i="1"/>
  <c r="N648" i="1"/>
  <c r="M648" i="1"/>
  <c r="L648" i="1"/>
  <c r="K648" i="1"/>
  <c r="J648" i="1"/>
  <c r="I648" i="1"/>
  <c r="H648" i="1"/>
  <c r="G648" i="1"/>
  <c r="F648" i="1"/>
  <c r="E648" i="1"/>
  <c r="D648" i="1"/>
  <c r="C648" i="1"/>
  <c r="X647" i="1"/>
  <c r="W647" i="1"/>
  <c r="V647" i="1"/>
  <c r="U647" i="1"/>
  <c r="T647" i="1"/>
  <c r="S647" i="1"/>
  <c r="R647" i="1"/>
  <c r="Q647" i="1"/>
  <c r="P647" i="1"/>
  <c r="O647" i="1"/>
  <c r="N647" i="1"/>
  <c r="M647" i="1"/>
  <c r="L647" i="1"/>
  <c r="K647" i="1"/>
  <c r="J647" i="1"/>
  <c r="I647" i="1"/>
  <c r="H647" i="1"/>
  <c r="G647" i="1"/>
  <c r="F647" i="1"/>
  <c r="E647" i="1"/>
  <c r="D647" i="1"/>
  <c r="X646" i="1"/>
  <c r="W646" i="1"/>
  <c r="V646" i="1"/>
  <c r="U646" i="1"/>
  <c r="T646" i="1"/>
  <c r="S646" i="1"/>
  <c r="R646" i="1"/>
  <c r="Q646" i="1"/>
  <c r="P646" i="1"/>
  <c r="O646" i="1"/>
  <c r="N646" i="1"/>
  <c r="M646" i="1"/>
  <c r="L646" i="1"/>
  <c r="K646" i="1"/>
  <c r="J646" i="1"/>
  <c r="I646" i="1"/>
  <c r="H646" i="1"/>
  <c r="G646" i="1"/>
  <c r="F646" i="1"/>
  <c r="E646" i="1"/>
  <c r="D646" i="1"/>
  <c r="C646" i="1"/>
  <c r="X645" i="1"/>
  <c r="W645" i="1"/>
  <c r="V645" i="1"/>
  <c r="U645" i="1"/>
  <c r="T645" i="1"/>
  <c r="S645" i="1"/>
  <c r="R645" i="1"/>
  <c r="Q645" i="1"/>
  <c r="P645" i="1"/>
  <c r="O645" i="1"/>
  <c r="N645" i="1"/>
  <c r="M645" i="1"/>
  <c r="L645" i="1"/>
  <c r="K645" i="1"/>
  <c r="J645" i="1"/>
  <c r="I645" i="1"/>
  <c r="H645" i="1"/>
  <c r="G645" i="1"/>
  <c r="F645" i="1"/>
  <c r="E645" i="1"/>
  <c r="D645" i="1"/>
  <c r="C645" i="1"/>
  <c r="X644" i="1"/>
  <c r="W644" i="1"/>
  <c r="V644" i="1"/>
  <c r="U644" i="1"/>
  <c r="T644" i="1"/>
  <c r="S644" i="1"/>
  <c r="R644" i="1"/>
  <c r="Q644" i="1"/>
  <c r="P644" i="1"/>
  <c r="O644" i="1"/>
  <c r="N644" i="1"/>
  <c r="M644" i="1"/>
  <c r="L644" i="1"/>
  <c r="K644" i="1"/>
  <c r="J644" i="1"/>
  <c r="I644" i="1"/>
  <c r="H644" i="1"/>
  <c r="G644" i="1"/>
  <c r="F644" i="1"/>
  <c r="E644" i="1"/>
  <c r="D644" i="1"/>
  <c r="C644" i="1"/>
  <c r="X643" i="1"/>
  <c r="W643" i="1"/>
  <c r="V643" i="1"/>
  <c r="U643" i="1"/>
  <c r="T643" i="1"/>
  <c r="S643" i="1"/>
  <c r="R643" i="1"/>
  <c r="Q643" i="1"/>
  <c r="P643" i="1"/>
  <c r="O643" i="1"/>
  <c r="N643" i="1"/>
  <c r="M643" i="1"/>
  <c r="L643" i="1"/>
  <c r="K643" i="1"/>
  <c r="J643" i="1"/>
  <c r="I643" i="1"/>
  <c r="H643" i="1"/>
  <c r="G643" i="1"/>
  <c r="F643" i="1"/>
  <c r="E643" i="1"/>
  <c r="D643" i="1"/>
  <c r="C643" i="1"/>
  <c r="X642" i="1"/>
  <c r="W642" i="1"/>
  <c r="V642" i="1"/>
  <c r="U642" i="1"/>
  <c r="T642" i="1"/>
  <c r="S642" i="1"/>
  <c r="R642" i="1"/>
  <c r="Q642" i="1"/>
  <c r="P642" i="1"/>
  <c r="O642" i="1"/>
  <c r="N642" i="1"/>
  <c r="M642" i="1"/>
  <c r="L642" i="1"/>
  <c r="K642" i="1"/>
  <c r="J642" i="1"/>
  <c r="I642" i="1"/>
  <c r="H642" i="1"/>
  <c r="G642" i="1"/>
  <c r="F642" i="1"/>
  <c r="E642" i="1"/>
  <c r="D642" i="1"/>
  <c r="C642" i="1"/>
  <c r="X641" i="1"/>
  <c r="W641" i="1"/>
  <c r="V641" i="1"/>
  <c r="U641" i="1"/>
  <c r="T641" i="1"/>
  <c r="S641" i="1"/>
  <c r="R641" i="1"/>
  <c r="Q641" i="1"/>
  <c r="P641" i="1"/>
  <c r="O641" i="1"/>
  <c r="N641" i="1"/>
  <c r="M641" i="1"/>
  <c r="L641" i="1"/>
  <c r="K641" i="1"/>
  <c r="J641" i="1"/>
  <c r="I641" i="1"/>
  <c r="H641" i="1"/>
  <c r="G641" i="1"/>
  <c r="F641" i="1"/>
  <c r="E641" i="1"/>
  <c r="D641" i="1"/>
  <c r="C641" i="1"/>
  <c r="X640" i="1"/>
  <c r="W640" i="1"/>
  <c r="V640" i="1"/>
  <c r="U640" i="1"/>
  <c r="T640" i="1"/>
  <c r="S640" i="1"/>
  <c r="R640" i="1"/>
  <c r="Q640" i="1"/>
  <c r="P640" i="1"/>
  <c r="O640" i="1"/>
  <c r="N640" i="1"/>
  <c r="M640" i="1"/>
  <c r="L640" i="1"/>
  <c r="K640" i="1"/>
  <c r="J640" i="1"/>
  <c r="I640" i="1"/>
  <c r="H640" i="1"/>
  <c r="G640" i="1"/>
  <c r="F640" i="1"/>
  <c r="E640" i="1"/>
  <c r="D640" i="1"/>
  <c r="C640" i="1"/>
  <c r="X639" i="1"/>
  <c r="W639" i="1"/>
  <c r="V639" i="1"/>
  <c r="U639" i="1"/>
  <c r="T639" i="1"/>
  <c r="S639" i="1"/>
  <c r="R639" i="1"/>
  <c r="Q639" i="1"/>
  <c r="P639" i="1"/>
  <c r="O639" i="1"/>
  <c r="N639" i="1"/>
  <c r="M639" i="1"/>
  <c r="L639" i="1"/>
  <c r="K639" i="1"/>
  <c r="J639" i="1"/>
  <c r="I639" i="1"/>
  <c r="H639" i="1"/>
  <c r="G639" i="1"/>
  <c r="F639" i="1"/>
  <c r="E639" i="1"/>
  <c r="D639" i="1"/>
  <c r="C639" i="1"/>
  <c r="X638" i="1"/>
  <c r="W638" i="1"/>
  <c r="V638" i="1"/>
  <c r="U638" i="1"/>
  <c r="T638" i="1"/>
  <c r="S638" i="1"/>
  <c r="R638" i="1"/>
  <c r="Q638" i="1"/>
  <c r="P638" i="1"/>
  <c r="O638" i="1"/>
  <c r="N638" i="1"/>
  <c r="M638" i="1"/>
  <c r="L638" i="1"/>
  <c r="K638" i="1"/>
  <c r="J638" i="1"/>
  <c r="I638" i="1"/>
  <c r="H638" i="1"/>
  <c r="G638" i="1"/>
  <c r="F638" i="1"/>
  <c r="E638" i="1"/>
  <c r="D638" i="1"/>
  <c r="C638" i="1"/>
  <c r="X637" i="1"/>
  <c r="W637" i="1"/>
  <c r="V637" i="1"/>
  <c r="U637" i="1"/>
  <c r="T637" i="1"/>
  <c r="S637" i="1"/>
  <c r="R637" i="1"/>
  <c r="Q637" i="1"/>
  <c r="P637" i="1"/>
  <c r="O637" i="1"/>
  <c r="N637" i="1"/>
  <c r="M637" i="1"/>
  <c r="L637" i="1"/>
  <c r="K637" i="1"/>
  <c r="J637" i="1"/>
  <c r="I637" i="1"/>
  <c r="H637" i="1"/>
  <c r="G637" i="1"/>
  <c r="F637" i="1"/>
  <c r="E637" i="1"/>
  <c r="D637" i="1"/>
  <c r="C637" i="1"/>
  <c r="X636" i="1"/>
  <c r="W636" i="1"/>
  <c r="V636" i="1"/>
  <c r="U636" i="1"/>
  <c r="T636" i="1"/>
  <c r="S636" i="1"/>
  <c r="R636" i="1"/>
  <c r="Q636" i="1"/>
  <c r="P636" i="1"/>
  <c r="O636" i="1"/>
  <c r="N636" i="1"/>
  <c r="M636" i="1"/>
  <c r="L636" i="1"/>
  <c r="K636" i="1"/>
  <c r="J636" i="1"/>
  <c r="I636" i="1"/>
  <c r="H636" i="1"/>
  <c r="G636" i="1"/>
  <c r="F636" i="1"/>
  <c r="E636" i="1"/>
  <c r="D636" i="1"/>
  <c r="C636" i="1"/>
  <c r="X635" i="1"/>
  <c r="W635" i="1"/>
  <c r="V635" i="1"/>
  <c r="U635" i="1"/>
  <c r="T635" i="1"/>
  <c r="S635" i="1"/>
  <c r="R635" i="1"/>
  <c r="Q635" i="1"/>
  <c r="P635" i="1"/>
  <c r="O635" i="1"/>
  <c r="N635" i="1"/>
  <c r="M635" i="1"/>
  <c r="L635" i="1"/>
  <c r="K635" i="1"/>
  <c r="J635" i="1"/>
  <c r="I635" i="1"/>
  <c r="H635" i="1"/>
  <c r="G635" i="1"/>
  <c r="F635" i="1"/>
  <c r="E635" i="1"/>
  <c r="D635" i="1"/>
  <c r="C635" i="1"/>
  <c r="X634" i="1"/>
  <c r="W634" i="1"/>
  <c r="V634" i="1"/>
  <c r="U634" i="1"/>
  <c r="T634" i="1"/>
  <c r="S634" i="1"/>
  <c r="R634" i="1"/>
  <c r="Q634" i="1"/>
  <c r="P634" i="1"/>
  <c r="O634" i="1"/>
  <c r="N634" i="1"/>
  <c r="M634" i="1"/>
  <c r="L634" i="1"/>
  <c r="K634" i="1"/>
  <c r="J634" i="1"/>
  <c r="I634" i="1"/>
  <c r="H634" i="1"/>
  <c r="G634" i="1"/>
  <c r="F634" i="1"/>
  <c r="E634" i="1"/>
  <c r="D634" i="1"/>
  <c r="X633" i="1"/>
  <c r="W633" i="1"/>
  <c r="V633" i="1"/>
  <c r="U633" i="1"/>
  <c r="T633" i="1"/>
  <c r="S633" i="1"/>
  <c r="R633" i="1"/>
  <c r="Q633" i="1"/>
  <c r="P633" i="1"/>
  <c r="O633" i="1"/>
  <c r="N633" i="1"/>
  <c r="M633" i="1"/>
  <c r="L633" i="1"/>
  <c r="K633" i="1"/>
  <c r="J633" i="1"/>
  <c r="I633" i="1"/>
  <c r="H633" i="1"/>
  <c r="G633" i="1"/>
  <c r="F633" i="1"/>
  <c r="E633" i="1"/>
  <c r="D633" i="1"/>
  <c r="X632" i="1"/>
  <c r="W632" i="1"/>
  <c r="V632" i="1"/>
  <c r="U632" i="1"/>
  <c r="T632" i="1"/>
  <c r="S632" i="1"/>
  <c r="R632" i="1"/>
  <c r="Q632" i="1"/>
  <c r="P632" i="1"/>
  <c r="O632" i="1"/>
  <c r="N632" i="1"/>
  <c r="M632" i="1"/>
  <c r="L632" i="1"/>
  <c r="K632" i="1"/>
  <c r="J632" i="1"/>
  <c r="I632" i="1"/>
  <c r="H632" i="1"/>
  <c r="G632" i="1"/>
  <c r="F632" i="1"/>
  <c r="E632" i="1"/>
  <c r="D632" i="1"/>
  <c r="X631" i="1"/>
  <c r="W631" i="1"/>
  <c r="V631" i="1"/>
  <c r="U631" i="1"/>
  <c r="T631" i="1"/>
  <c r="S631" i="1"/>
  <c r="R631" i="1"/>
  <c r="Q631" i="1"/>
  <c r="P631" i="1"/>
  <c r="O631" i="1"/>
  <c r="N631" i="1"/>
  <c r="M631" i="1"/>
  <c r="L631" i="1"/>
  <c r="K631" i="1"/>
  <c r="J631" i="1"/>
  <c r="I631" i="1"/>
  <c r="H631" i="1"/>
  <c r="G631" i="1"/>
  <c r="F631" i="1"/>
  <c r="E631" i="1"/>
  <c r="D631" i="1"/>
  <c r="X630" i="1"/>
  <c r="W630" i="1"/>
  <c r="V630" i="1"/>
  <c r="U630" i="1"/>
  <c r="T630" i="1"/>
  <c r="S630" i="1"/>
  <c r="R630" i="1"/>
  <c r="Q630" i="1"/>
  <c r="P630" i="1"/>
  <c r="O630" i="1"/>
  <c r="N630" i="1"/>
  <c r="M630" i="1"/>
  <c r="L630" i="1"/>
  <c r="K630" i="1"/>
  <c r="J630" i="1"/>
  <c r="I630" i="1"/>
  <c r="H630" i="1"/>
  <c r="G630" i="1"/>
  <c r="F630" i="1"/>
  <c r="E630" i="1"/>
  <c r="D630" i="1"/>
  <c r="C630" i="1"/>
  <c r="X629" i="1"/>
  <c r="W629" i="1"/>
  <c r="V629" i="1"/>
  <c r="U629" i="1"/>
  <c r="T629" i="1"/>
  <c r="S629" i="1"/>
  <c r="R629" i="1"/>
  <c r="Q629" i="1"/>
  <c r="P629" i="1"/>
  <c r="O629" i="1"/>
  <c r="N629" i="1"/>
  <c r="M629" i="1"/>
  <c r="L629" i="1"/>
  <c r="K629" i="1"/>
  <c r="J629" i="1"/>
  <c r="I629" i="1"/>
  <c r="H629" i="1"/>
  <c r="G629" i="1"/>
  <c r="F629" i="1"/>
  <c r="E629" i="1"/>
  <c r="D629" i="1"/>
  <c r="C629" i="1"/>
  <c r="X628" i="1"/>
  <c r="W628" i="1"/>
  <c r="V628" i="1"/>
  <c r="U628" i="1"/>
  <c r="T628" i="1"/>
  <c r="S628" i="1"/>
  <c r="R628" i="1"/>
  <c r="Q628" i="1"/>
  <c r="P628" i="1"/>
  <c r="O628" i="1"/>
  <c r="N628" i="1"/>
  <c r="M628" i="1"/>
  <c r="L628" i="1"/>
  <c r="K628" i="1"/>
  <c r="J628" i="1"/>
  <c r="I628" i="1"/>
  <c r="H628" i="1"/>
  <c r="G628" i="1"/>
  <c r="F628" i="1"/>
  <c r="E628" i="1"/>
  <c r="D628" i="1"/>
  <c r="C628" i="1"/>
  <c r="X627" i="1"/>
  <c r="W627" i="1"/>
  <c r="V627" i="1"/>
  <c r="U627" i="1"/>
  <c r="T627" i="1"/>
  <c r="S627" i="1"/>
  <c r="R627" i="1"/>
  <c r="Q627" i="1"/>
  <c r="P627" i="1"/>
  <c r="O627" i="1"/>
  <c r="N627" i="1"/>
  <c r="M627" i="1"/>
  <c r="L627" i="1"/>
  <c r="K627" i="1"/>
  <c r="J627" i="1"/>
  <c r="I627" i="1"/>
  <c r="H627" i="1"/>
  <c r="G627" i="1"/>
  <c r="F627" i="1"/>
  <c r="E627" i="1"/>
  <c r="D627" i="1"/>
  <c r="C627" i="1"/>
  <c r="X626" i="1"/>
  <c r="W626" i="1"/>
  <c r="V626" i="1"/>
  <c r="U626" i="1"/>
  <c r="T626" i="1"/>
  <c r="S626" i="1"/>
  <c r="R626" i="1"/>
  <c r="Q626" i="1"/>
  <c r="P626" i="1"/>
  <c r="O626" i="1"/>
  <c r="N626" i="1"/>
  <c r="M626" i="1"/>
  <c r="L626" i="1"/>
  <c r="K626" i="1"/>
  <c r="J626" i="1"/>
  <c r="I626" i="1"/>
  <c r="H626" i="1"/>
  <c r="G626" i="1"/>
  <c r="F626" i="1"/>
  <c r="E626" i="1"/>
  <c r="D626" i="1"/>
  <c r="C626" i="1"/>
  <c r="X625" i="1"/>
  <c r="W625" i="1"/>
  <c r="V625" i="1"/>
  <c r="U625" i="1"/>
  <c r="T625" i="1"/>
  <c r="S625" i="1"/>
  <c r="R625" i="1"/>
  <c r="Q625" i="1"/>
  <c r="P625" i="1"/>
  <c r="O625" i="1"/>
  <c r="N625" i="1"/>
  <c r="M625" i="1"/>
  <c r="L625" i="1"/>
  <c r="K625" i="1"/>
  <c r="J625" i="1"/>
  <c r="I625" i="1"/>
  <c r="H625" i="1"/>
  <c r="G625" i="1"/>
  <c r="F625" i="1"/>
  <c r="E625" i="1"/>
  <c r="D625" i="1"/>
  <c r="X624" i="1"/>
  <c r="W624" i="1"/>
  <c r="V624" i="1"/>
  <c r="U624" i="1"/>
  <c r="T624" i="1"/>
  <c r="S624" i="1"/>
  <c r="R624" i="1"/>
  <c r="Q624" i="1"/>
  <c r="P624" i="1"/>
  <c r="O624" i="1"/>
  <c r="N624" i="1"/>
  <c r="M624" i="1"/>
  <c r="L624" i="1"/>
  <c r="K624" i="1"/>
  <c r="J624" i="1"/>
  <c r="I624" i="1"/>
  <c r="H624" i="1"/>
  <c r="G624" i="1"/>
  <c r="F624" i="1"/>
  <c r="E624" i="1"/>
  <c r="D624" i="1"/>
  <c r="C624" i="1"/>
  <c r="X623" i="1"/>
  <c r="W623" i="1"/>
  <c r="V623" i="1"/>
  <c r="U623" i="1"/>
  <c r="T623" i="1"/>
  <c r="S623" i="1"/>
  <c r="R623" i="1"/>
  <c r="Q623" i="1"/>
  <c r="P623" i="1"/>
  <c r="O623" i="1"/>
  <c r="N623" i="1"/>
  <c r="M623" i="1"/>
  <c r="L623" i="1"/>
  <c r="K623" i="1"/>
  <c r="J623" i="1"/>
  <c r="I623" i="1"/>
  <c r="H623" i="1"/>
  <c r="G623" i="1"/>
  <c r="F623" i="1"/>
  <c r="E623" i="1"/>
  <c r="D623" i="1"/>
  <c r="C623" i="1"/>
  <c r="X622" i="1"/>
  <c r="W622" i="1"/>
  <c r="V622" i="1"/>
  <c r="U622" i="1"/>
  <c r="T622" i="1"/>
  <c r="S622" i="1"/>
  <c r="R622" i="1"/>
  <c r="Q622" i="1"/>
  <c r="P622" i="1"/>
  <c r="O622" i="1"/>
  <c r="N622" i="1"/>
  <c r="M622" i="1"/>
  <c r="L622" i="1"/>
  <c r="K622" i="1"/>
  <c r="J622" i="1"/>
  <c r="I622" i="1"/>
  <c r="H622" i="1"/>
  <c r="G622" i="1"/>
  <c r="F622" i="1"/>
  <c r="E622" i="1"/>
  <c r="D622" i="1"/>
  <c r="C622" i="1"/>
  <c r="X621" i="1"/>
  <c r="W621" i="1"/>
  <c r="V621" i="1"/>
  <c r="U621" i="1"/>
  <c r="T621" i="1"/>
  <c r="S621" i="1"/>
  <c r="R621" i="1"/>
  <c r="Q621" i="1"/>
  <c r="P621" i="1"/>
  <c r="O621" i="1"/>
  <c r="N621" i="1"/>
  <c r="M621" i="1"/>
  <c r="L621" i="1"/>
  <c r="K621" i="1"/>
  <c r="J621" i="1"/>
  <c r="I621" i="1"/>
  <c r="H621" i="1"/>
  <c r="G621" i="1"/>
  <c r="F621" i="1"/>
  <c r="E621" i="1"/>
  <c r="D621" i="1"/>
  <c r="C621" i="1"/>
  <c r="X620" i="1"/>
  <c r="W620" i="1"/>
  <c r="V620" i="1"/>
  <c r="U620" i="1"/>
  <c r="T620" i="1"/>
  <c r="S620" i="1"/>
  <c r="R620" i="1"/>
  <c r="Q620" i="1"/>
  <c r="P620" i="1"/>
  <c r="O620" i="1"/>
  <c r="N620" i="1"/>
  <c r="M620" i="1"/>
  <c r="L620" i="1"/>
  <c r="K620" i="1"/>
  <c r="J620" i="1"/>
  <c r="I620" i="1"/>
  <c r="H620" i="1"/>
  <c r="G620" i="1"/>
  <c r="F620" i="1"/>
  <c r="E620" i="1"/>
  <c r="D620" i="1"/>
  <c r="C620" i="1"/>
  <c r="X619" i="1"/>
  <c r="W619" i="1"/>
  <c r="V619" i="1"/>
  <c r="U619" i="1"/>
  <c r="T619" i="1"/>
  <c r="S619" i="1"/>
  <c r="R619" i="1"/>
  <c r="Q619" i="1"/>
  <c r="P619" i="1"/>
  <c r="O619" i="1"/>
  <c r="N619" i="1"/>
  <c r="M619" i="1"/>
  <c r="L619" i="1"/>
  <c r="K619" i="1"/>
  <c r="J619" i="1"/>
  <c r="I619" i="1"/>
  <c r="H619" i="1"/>
  <c r="G619" i="1"/>
  <c r="F619" i="1"/>
  <c r="E619" i="1"/>
  <c r="D619" i="1"/>
  <c r="C619" i="1"/>
  <c r="X618" i="1"/>
  <c r="W618" i="1"/>
  <c r="V618" i="1"/>
  <c r="U618" i="1"/>
  <c r="T618" i="1"/>
  <c r="S618" i="1"/>
  <c r="R618" i="1"/>
  <c r="Q618" i="1"/>
  <c r="P618" i="1"/>
  <c r="O618" i="1"/>
  <c r="N618" i="1"/>
  <c r="M618" i="1"/>
  <c r="L618" i="1"/>
  <c r="K618" i="1"/>
  <c r="J618" i="1"/>
  <c r="I618" i="1"/>
  <c r="H618" i="1"/>
  <c r="G618" i="1"/>
  <c r="F618" i="1"/>
  <c r="E618" i="1"/>
  <c r="D618" i="1"/>
  <c r="C618" i="1"/>
  <c r="X617" i="1"/>
  <c r="W617" i="1"/>
  <c r="V617" i="1"/>
  <c r="U617" i="1"/>
  <c r="T617" i="1"/>
  <c r="S617" i="1"/>
  <c r="R617" i="1"/>
  <c r="Q617" i="1"/>
  <c r="P617" i="1"/>
  <c r="O617" i="1"/>
  <c r="N617" i="1"/>
  <c r="M617" i="1"/>
  <c r="L617" i="1"/>
  <c r="K617" i="1"/>
  <c r="J617" i="1"/>
  <c r="I617" i="1"/>
  <c r="H617" i="1"/>
  <c r="G617" i="1"/>
  <c r="F617" i="1"/>
  <c r="E617" i="1"/>
  <c r="D617" i="1"/>
  <c r="C617" i="1"/>
  <c r="X616" i="1"/>
  <c r="W616" i="1"/>
  <c r="V616" i="1"/>
  <c r="U616" i="1"/>
  <c r="T616" i="1"/>
  <c r="S616" i="1"/>
  <c r="R616" i="1"/>
  <c r="Q616" i="1"/>
  <c r="P616" i="1"/>
  <c r="O616" i="1"/>
  <c r="N616" i="1"/>
  <c r="M616" i="1"/>
  <c r="L616" i="1"/>
  <c r="K616" i="1"/>
  <c r="J616" i="1"/>
  <c r="I616" i="1"/>
  <c r="H616" i="1"/>
  <c r="G616" i="1"/>
  <c r="F616" i="1"/>
  <c r="E616" i="1"/>
  <c r="D616" i="1"/>
  <c r="X615" i="1"/>
  <c r="W615" i="1"/>
  <c r="V615" i="1"/>
  <c r="U615" i="1"/>
  <c r="T615" i="1"/>
  <c r="S615" i="1"/>
  <c r="R615" i="1"/>
  <c r="Q615" i="1"/>
  <c r="P615" i="1"/>
  <c r="O615" i="1"/>
  <c r="N615" i="1"/>
  <c r="M615" i="1"/>
  <c r="L615" i="1"/>
  <c r="K615" i="1"/>
  <c r="J615" i="1"/>
  <c r="I615" i="1"/>
  <c r="H615" i="1"/>
  <c r="G615" i="1"/>
  <c r="F615" i="1"/>
  <c r="E615" i="1"/>
  <c r="D615" i="1"/>
  <c r="C615" i="1"/>
  <c r="X614" i="1"/>
  <c r="W614" i="1"/>
  <c r="V614" i="1"/>
  <c r="U614" i="1"/>
  <c r="T614" i="1"/>
  <c r="S614" i="1"/>
  <c r="R614" i="1"/>
  <c r="Q614" i="1"/>
  <c r="P614" i="1"/>
  <c r="O614" i="1"/>
  <c r="N614" i="1"/>
  <c r="M614" i="1"/>
  <c r="L614" i="1"/>
  <c r="K614" i="1"/>
  <c r="J614" i="1"/>
  <c r="I614" i="1"/>
  <c r="H614" i="1"/>
  <c r="G614" i="1"/>
  <c r="F614" i="1"/>
  <c r="E614" i="1"/>
  <c r="D614" i="1"/>
  <c r="C614" i="1"/>
  <c r="X613" i="1"/>
  <c r="W613" i="1"/>
  <c r="V613" i="1"/>
  <c r="U613" i="1"/>
  <c r="T613" i="1"/>
  <c r="S613" i="1"/>
  <c r="R613" i="1"/>
  <c r="Q613" i="1"/>
  <c r="P613" i="1"/>
  <c r="O613" i="1"/>
  <c r="N613" i="1"/>
  <c r="M613" i="1"/>
  <c r="L613" i="1"/>
  <c r="K613" i="1"/>
  <c r="J613" i="1"/>
  <c r="I613" i="1"/>
  <c r="H613" i="1"/>
  <c r="G613" i="1"/>
  <c r="F613" i="1"/>
  <c r="E613" i="1"/>
  <c r="D613" i="1"/>
  <c r="C613" i="1"/>
  <c r="X612" i="1"/>
  <c r="W612" i="1"/>
  <c r="V612" i="1"/>
  <c r="U612" i="1"/>
  <c r="T612" i="1"/>
  <c r="S612" i="1"/>
  <c r="R612" i="1"/>
  <c r="Q612" i="1"/>
  <c r="P612" i="1"/>
  <c r="O612" i="1"/>
  <c r="N612" i="1"/>
  <c r="M612" i="1"/>
  <c r="L612" i="1"/>
  <c r="K612" i="1"/>
  <c r="J612" i="1"/>
  <c r="I612" i="1"/>
  <c r="H612" i="1"/>
  <c r="G612" i="1"/>
  <c r="F612" i="1"/>
  <c r="E612" i="1"/>
  <c r="D612" i="1"/>
  <c r="C612" i="1"/>
  <c r="X611" i="1"/>
  <c r="W611" i="1"/>
  <c r="V611" i="1"/>
  <c r="U611" i="1"/>
  <c r="T611" i="1"/>
  <c r="S611" i="1"/>
  <c r="R611" i="1"/>
  <c r="Q611" i="1"/>
  <c r="P611" i="1"/>
  <c r="O611" i="1"/>
  <c r="N611" i="1"/>
  <c r="M611" i="1"/>
  <c r="L611" i="1"/>
  <c r="K611" i="1"/>
  <c r="J611" i="1"/>
  <c r="I611" i="1"/>
  <c r="H611" i="1"/>
  <c r="G611" i="1"/>
  <c r="F611" i="1"/>
  <c r="E611" i="1"/>
  <c r="D611" i="1"/>
  <c r="C611" i="1"/>
  <c r="X610" i="1"/>
  <c r="W610" i="1"/>
  <c r="V610" i="1"/>
  <c r="U610" i="1"/>
  <c r="T610" i="1"/>
  <c r="S610" i="1"/>
  <c r="R610" i="1"/>
  <c r="Q610" i="1"/>
  <c r="P610" i="1"/>
  <c r="O610" i="1"/>
  <c r="N610" i="1"/>
  <c r="M610" i="1"/>
  <c r="L610" i="1"/>
  <c r="K610" i="1"/>
  <c r="J610" i="1"/>
  <c r="I610" i="1"/>
  <c r="H610" i="1"/>
  <c r="G610" i="1"/>
  <c r="F610" i="1"/>
  <c r="E610" i="1"/>
  <c r="D610" i="1"/>
  <c r="C610" i="1"/>
  <c r="X609" i="1"/>
  <c r="W609" i="1"/>
  <c r="V609" i="1"/>
  <c r="U609" i="1"/>
  <c r="T609" i="1"/>
  <c r="S609" i="1"/>
  <c r="R609" i="1"/>
  <c r="Q609" i="1"/>
  <c r="P609" i="1"/>
  <c r="O609" i="1"/>
  <c r="N609" i="1"/>
  <c r="M609" i="1"/>
  <c r="L609" i="1"/>
  <c r="K609" i="1"/>
  <c r="J609" i="1"/>
  <c r="I609" i="1"/>
  <c r="H609" i="1"/>
  <c r="G609" i="1"/>
  <c r="F609" i="1"/>
  <c r="E609" i="1"/>
  <c r="D609" i="1"/>
  <c r="C609" i="1"/>
  <c r="X608" i="1"/>
  <c r="W608" i="1"/>
  <c r="V608" i="1"/>
  <c r="U608" i="1"/>
  <c r="T608" i="1"/>
  <c r="S608" i="1"/>
  <c r="R608" i="1"/>
  <c r="Q608" i="1"/>
  <c r="P608" i="1"/>
  <c r="O608" i="1"/>
  <c r="N608" i="1"/>
  <c r="M608" i="1"/>
  <c r="L608" i="1"/>
  <c r="K608" i="1"/>
  <c r="J608" i="1"/>
  <c r="I608" i="1"/>
  <c r="H608" i="1"/>
  <c r="G608" i="1"/>
  <c r="F608" i="1"/>
  <c r="E608" i="1"/>
  <c r="D608" i="1"/>
  <c r="X607" i="1"/>
  <c r="W607" i="1"/>
  <c r="V607" i="1"/>
  <c r="U607" i="1"/>
  <c r="T607" i="1"/>
  <c r="S607" i="1"/>
  <c r="R607" i="1"/>
  <c r="Q607" i="1"/>
  <c r="P607" i="1"/>
  <c r="O607" i="1"/>
  <c r="N607" i="1"/>
  <c r="M607" i="1"/>
  <c r="L607" i="1"/>
  <c r="K607" i="1"/>
  <c r="J607" i="1"/>
  <c r="I607" i="1"/>
  <c r="H607" i="1"/>
  <c r="G607" i="1"/>
  <c r="F607" i="1"/>
  <c r="E607" i="1"/>
  <c r="D607" i="1"/>
  <c r="C607" i="1"/>
  <c r="X606" i="1"/>
  <c r="W606" i="1"/>
  <c r="V606" i="1"/>
  <c r="U606" i="1"/>
  <c r="T606" i="1"/>
  <c r="S606" i="1"/>
  <c r="R606" i="1"/>
  <c r="Q606" i="1"/>
  <c r="P606" i="1"/>
  <c r="O606" i="1"/>
  <c r="N606" i="1"/>
  <c r="M606" i="1"/>
  <c r="L606" i="1"/>
  <c r="K606" i="1"/>
  <c r="J606" i="1"/>
  <c r="I606" i="1"/>
  <c r="H606" i="1"/>
  <c r="G606" i="1"/>
  <c r="F606" i="1"/>
  <c r="E606" i="1"/>
  <c r="D606" i="1"/>
  <c r="C606" i="1"/>
  <c r="X605" i="1"/>
  <c r="W605" i="1"/>
  <c r="V605" i="1"/>
  <c r="U605" i="1"/>
  <c r="T605" i="1"/>
  <c r="S605" i="1"/>
  <c r="R605" i="1"/>
  <c r="Q605" i="1"/>
  <c r="P605" i="1"/>
  <c r="O605" i="1"/>
  <c r="N605" i="1"/>
  <c r="M605" i="1"/>
  <c r="L605" i="1"/>
  <c r="K605" i="1"/>
  <c r="J605" i="1"/>
  <c r="I605" i="1"/>
  <c r="H605" i="1"/>
  <c r="G605" i="1"/>
  <c r="F605" i="1"/>
  <c r="E605" i="1"/>
  <c r="D605" i="1"/>
  <c r="C605" i="1"/>
  <c r="X604" i="1"/>
  <c r="W604" i="1"/>
  <c r="V604" i="1"/>
  <c r="U604" i="1"/>
  <c r="T604" i="1"/>
  <c r="S604" i="1"/>
  <c r="R604" i="1"/>
  <c r="Q604" i="1"/>
  <c r="P604" i="1"/>
  <c r="O604" i="1"/>
  <c r="N604" i="1"/>
  <c r="M604" i="1"/>
  <c r="L604" i="1"/>
  <c r="K604" i="1"/>
  <c r="J604" i="1"/>
  <c r="I604" i="1"/>
  <c r="H604" i="1"/>
  <c r="G604" i="1"/>
  <c r="F604" i="1"/>
  <c r="E604" i="1"/>
  <c r="D604" i="1"/>
  <c r="C604" i="1"/>
  <c r="X603" i="1"/>
  <c r="W603" i="1"/>
  <c r="V603" i="1"/>
  <c r="U603" i="1"/>
  <c r="T603" i="1"/>
  <c r="S603" i="1"/>
  <c r="R603" i="1"/>
  <c r="Q603" i="1"/>
  <c r="P603" i="1"/>
  <c r="O603" i="1"/>
  <c r="N603" i="1"/>
  <c r="M603" i="1"/>
  <c r="L603" i="1"/>
  <c r="K603" i="1"/>
  <c r="J603" i="1"/>
  <c r="I603" i="1"/>
  <c r="H603" i="1"/>
  <c r="G603" i="1"/>
  <c r="F603" i="1"/>
  <c r="E603" i="1"/>
  <c r="D603" i="1"/>
  <c r="C603" i="1"/>
  <c r="X602" i="1"/>
  <c r="W602" i="1"/>
  <c r="V602" i="1"/>
  <c r="U602" i="1"/>
  <c r="T602" i="1"/>
  <c r="S602" i="1"/>
  <c r="R602" i="1"/>
  <c r="Q602" i="1"/>
  <c r="P602" i="1"/>
  <c r="O602" i="1"/>
  <c r="N602" i="1"/>
  <c r="M602" i="1"/>
  <c r="L602" i="1"/>
  <c r="K602" i="1"/>
  <c r="J602" i="1"/>
  <c r="I602" i="1"/>
  <c r="H602" i="1"/>
  <c r="G602" i="1"/>
  <c r="F602" i="1"/>
  <c r="E602" i="1"/>
  <c r="D602" i="1"/>
  <c r="C602" i="1"/>
  <c r="X601" i="1"/>
  <c r="W601" i="1"/>
  <c r="V601" i="1"/>
  <c r="U601" i="1"/>
  <c r="T601" i="1"/>
  <c r="S601" i="1"/>
  <c r="R601" i="1"/>
  <c r="Q601" i="1"/>
  <c r="P601" i="1"/>
  <c r="O601" i="1"/>
  <c r="N601" i="1"/>
  <c r="M601" i="1"/>
  <c r="L601" i="1"/>
  <c r="K601" i="1"/>
  <c r="J601" i="1"/>
  <c r="I601" i="1"/>
  <c r="H601" i="1"/>
  <c r="G601" i="1"/>
  <c r="F601" i="1"/>
  <c r="E601" i="1"/>
  <c r="D601" i="1"/>
  <c r="C601" i="1"/>
  <c r="X600" i="1"/>
  <c r="W600" i="1"/>
  <c r="V600" i="1"/>
  <c r="U600" i="1"/>
  <c r="T600" i="1"/>
  <c r="S600" i="1"/>
  <c r="R600" i="1"/>
  <c r="Q600" i="1"/>
  <c r="P600" i="1"/>
  <c r="O600" i="1"/>
  <c r="N600" i="1"/>
  <c r="M600" i="1"/>
  <c r="L600" i="1"/>
  <c r="K600" i="1"/>
  <c r="J600" i="1"/>
  <c r="I600" i="1"/>
  <c r="H600" i="1"/>
  <c r="G600" i="1"/>
  <c r="F600" i="1"/>
  <c r="E600" i="1"/>
  <c r="D600" i="1"/>
  <c r="C600" i="1"/>
  <c r="X599" i="1"/>
  <c r="W599" i="1"/>
  <c r="V599" i="1"/>
  <c r="U599" i="1"/>
  <c r="T599" i="1"/>
  <c r="S599" i="1"/>
  <c r="R599" i="1"/>
  <c r="Q599" i="1"/>
  <c r="P599" i="1"/>
  <c r="O599" i="1"/>
  <c r="N599" i="1"/>
  <c r="M599" i="1"/>
  <c r="L599" i="1"/>
  <c r="K599" i="1"/>
  <c r="J599" i="1"/>
  <c r="I599" i="1"/>
  <c r="H599" i="1"/>
  <c r="G599" i="1"/>
  <c r="F599" i="1"/>
  <c r="E599" i="1"/>
  <c r="D599" i="1"/>
  <c r="C599" i="1"/>
  <c r="X598" i="1"/>
  <c r="W598" i="1"/>
  <c r="V598" i="1"/>
  <c r="U598" i="1"/>
  <c r="T598" i="1"/>
  <c r="S598" i="1"/>
  <c r="R598" i="1"/>
  <c r="Q598" i="1"/>
  <c r="P598" i="1"/>
  <c r="O598" i="1"/>
  <c r="N598" i="1"/>
  <c r="M598" i="1"/>
  <c r="L598" i="1"/>
  <c r="K598" i="1"/>
  <c r="J598" i="1"/>
  <c r="I598" i="1"/>
  <c r="H598" i="1"/>
  <c r="G598" i="1"/>
  <c r="F598" i="1"/>
  <c r="E598" i="1"/>
  <c r="D598" i="1"/>
  <c r="C598" i="1"/>
  <c r="X597" i="1"/>
  <c r="W597" i="1"/>
  <c r="V597" i="1"/>
  <c r="U597" i="1"/>
  <c r="T597" i="1"/>
  <c r="S597" i="1"/>
  <c r="R597" i="1"/>
  <c r="Q597" i="1"/>
  <c r="P597" i="1"/>
  <c r="O597" i="1"/>
  <c r="N597" i="1"/>
  <c r="M597" i="1"/>
  <c r="L597" i="1"/>
  <c r="K597" i="1"/>
  <c r="J597" i="1"/>
  <c r="I597" i="1"/>
  <c r="H597" i="1"/>
  <c r="G597" i="1"/>
  <c r="F597" i="1"/>
  <c r="E597" i="1"/>
  <c r="D597" i="1"/>
  <c r="C597" i="1"/>
  <c r="X596" i="1"/>
  <c r="W596" i="1"/>
  <c r="V596" i="1"/>
  <c r="U596" i="1"/>
  <c r="T596" i="1"/>
  <c r="S596" i="1"/>
  <c r="R596" i="1"/>
  <c r="Q596" i="1"/>
  <c r="P596" i="1"/>
  <c r="O596" i="1"/>
  <c r="N596" i="1"/>
  <c r="M596" i="1"/>
  <c r="L596" i="1"/>
  <c r="K596" i="1"/>
  <c r="J596" i="1"/>
  <c r="I596" i="1"/>
  <c r="H596" i="1"/>
  <c r="G596" i="1"/>
  <c r="F596" i="1"/>
  <c r="E596" i="1"/>
  <c r="D596" i="1"/>
  <c r="C596" i="1"/>
  <c r="X595" i="1"/>
  <c r="W595" i="1"/>
  <c r="V595" i="1"/>
  <c r="U595" i="1"/>
  <c r="T595" i="1"/>
  <c r="S595" i="1"/>
  <c r="R595" i="1"/>
  <c r="Q595" i="1"/>
  <c r="P595" i="1"/>
  <c r="O595" i="1"/>
  <c r="N595" i="1"/>
  <c r="M595" i="1"/>
  <c r="L595" i="1"/>
  <c r="K595" i="1"/>
  <c r="J595" i="1"/>
  <c r="I595" i="1"/>
  <c r="H595" i="1"/>
  <c r="G595" i="1"/>
  <c r="F595" i="1"/>
  <c r="E595" i="1"/>
  <c r="D595" i="1"/>
  <c r="C595" i="1"/>
  <c r="X594" i="1"/>
  <c r="W594" i="1"/>
  <c r="V594" i="1"/>
  <c r="U594" i="1"/>
  <c r="T594" i="1"/>
  <c r="S594" i="1"/>
  <c r="R594" i="1"/>
  <c r="Q594" i="1"/>
  <c r="P594" i="1"/>
  <c r="O594" i="1"/>
  <c r="N594" i="1"/>
  <c r="M594" i="1"/>
  <c r="L594" i="1"/>
  <c r="K594" i="1"/>
  <c r="J594" i="1"/>
  <c r="I594" i="1"/>
  <c r="H594" i="1"/>
  <c r="G594" i="1"/>
  <c r="F594" i="1"/>
  <c r="E594" i="1"/>
  <c r="D594" i="1"/>
  <c r="C594" i="1"/>
  <c r="X593" i="1"/>
  <c r="W593" i="1"/>
  <c r="V593" i="1"/>
  <c r="U593" i="1"/>
  <c r="T593" i="1"/>
  <c r="S593" i="1"/>
  <c r="R593" i="1"/>
  <c r="Q593" i="1"/>
  <c r="P593" i="1"/>
  <c r="O593" i="1"/>
  <c r="N593" i="1"/>
  <c r="M593" i="1"/>
  <c r="L593" i="1"/>
  <c r="K593" i="1"/>
  <c r="J593" i="1"/>
  <c r="I593" i="1"/>
  <c r="H593" i="1"/>
  <c r="G593" i="1"/>
  <c r="F593" i="1"/>
  <c r="E593" i="1"/>
  <c r="D593" i="1"/>
  <c r="C593" i="1"/>
  <c r="X592" i="1"/>
  <c r="W592" i="1"/>
  <c r="V592" i="1"/>
  <c r="U592" i="1"/>
  <c r="T592" i="1"/>
  <c r="S592" i="1"/>
  <c r="R592" i="1"/>
  <c r="Q592" i="1"/>
  <c r="P592" i="1"/>
  <c r="O592" i="1"/>
  <c r="N592" i="1"/>
  <c r="M592" i="1"/>
  <c r="L592" i="1"/>
  <c r="K592" i="1"/>
  <c r="J592" i="1"/>
  <c r="I592" i="1"/>
  <c r="H592" i="1"/>
  <c r="G592" i="1"/>
  <c r="F592" i="1"/>
  <c r="E592" i="1"/>
  <c r="D592" i="1"/>
  <c r="C592" i="1"/>
  <c r="X591" i="1"/>
  <c r="W591" i="1"/>
  <c r="V591" i="1"/>
  <c r="U591" i="1"/>
  <c r="T591" i="1"/>
  <c r="S591" i="1"/>
  <c r="R591" i="1"/>
  <c r="Q591" i="1"/>
  <c r="P591" i="1"/>
  <c r="O591" i="1"/>
  <c r="N591" i="1"/>
  <c r="M591" i="1"/>
  <c r="L591" i="1"/>
  <c r="K591" i="1"/>
  <c r="J591" i="1"/>
  <c r="I591" i="1"/>
  <c r="H591" i="1"/>
  <c r="G591" i="1"/>
  <c r="F591" i="1"/>
  <c r="E591" i="1"/>
  <c r="D591" i="1"/>
  <c r="C591" i="1"/>
  <c r="X590" i="1"/>
  <c r="W590" i="1"/>
  <c r="V590" i="1"/>
  <c r="U590" i="1"/>
  <c r="T590" i="1"/>
  <c r="S590" i="1"/>
  <c r="R590" i="1"/>
  <c r="Q590" i="1"/>
  <c r="P590" i="1"/>
  <c r="O590" i="1"/>
  <c r="N590" i="1"/>
  <c r="M590" i="1"/>
  <c r="L590" i="1"/>
  <c r="K590" i="1"/>
  <c r="J590" i="1"/>
  <c r="I590" i="1"/>
  <c r="H590" i="1"/>
  <c r="G590" i="1"/>
  <c r="F590" i="1"/>
  <c r="E590" i="1"/>
  <c r="D590" i="1"/>
  <c r="C590" i="1"/>
  <c r="X589" i="1"/>
  <c r="W589" i="1"/>
  <c r="V589" i="1"/>
  <c r="U589" i="1"/>
  <c r="T589" i="1"/>
  <c r="S589" i="1"/>
  <c r="R589" i="1"/>
  <c r="Q589" i="1"/>
  <c r="P589" i="1"/>
  <c r="O589" i="1"/>
  <c r="N589" i="1"/>
  <c r="M589" i="1"/>
  <c r="L589" i="1"/>
  <c r="K589" i="1"/>
  <c r="J589" i="1"/>
  <c r="I589" i="1"/>
  <c r="H589" i="1"/>
  <c r="G589" i="1"/>
  <c r="F589" i="1"/>
  <c r="E589" i="1"/>
  <c r="D589" i="1"/>
  <c r="C589" i="1"/>
  <c r="X588" i="1"/>
  <c r="W588" i="1"/>
  <c r="V588" i="1"/>
  <c r="U588" i="1"/>
  <c r="T588" i="1"/>
  <c r="S588" i="1"/>
  <c r="R588" i="1"/>
  <c r="Q588" i="1"/>
  <c r="P588" i="1"/>
  <c r="O588" i="1"/>
  <c r="N588" i="1"/>
  <c r="M588" i="1"/>
  <c r="L588" i="1"/>
  <c r="K588" i="1"/>
  <c r="J588" i="1"/>
  <c r="I588" i="1"/>
  <c r="H588" i="1"/>
  <c r="G588" i="1"/>
  <c r="F588" i="1"/>
  <c r="E588" i="1"/>
  <c r="D588" i="1"/>
  <c r="C588" i="1"/>
  <c r="X587" i="1"/>
  <c r="W587" i="1"/>
  <c r="V587" i="1"/>
  <c r="U587" i="1"/>
  <c r="T587" i="1"/>
  <c r="S587" i="1"/>
  <c r="R587" i="1"/>
  <c r="Q587" i="1"/>
  <c r="P587" i="1"/>
  <c r="O587" i="1"/>
  <c r="N587" i="1"/>
  <c r="M587" i="1"/>
  <c r="L587" i="1"/>
  <c r="K587" i="1"/>
  <c r="J587" i="1"/>
  <c r="I587" i="1"/>
  <c r="H587" i="1"/>
  <c r="G587" i="1"/>
  <c r="F587" i="1"/>
  <c r="E587" i="1"/>
  <c r="D587" i="1"/>
  <c r="C587" i="1"/>
  <c r="X586" i="1"/>
  <c r="W586" i="1"/>
  <c r="V586" i="1"/>
  <c r="U586" i="1"/>
  <c r="T586" i="1"/>
  <c r="S586" i="1"/>
  <c r="R586" i="1"/>
  <c r="Q586" i="1"/>
  <c r="P586" i="1"/>
  <c r="O586" i="1"/>
  <c r="N586" i="1"/>
  <c r="M586" i="1"/>
  <c r="L586" i="1"/>
  <c r="K586" i="1"/>
  <c r="J586" i="1"/>
  <c r="I586" i="1"/>
  <c r="H586" i="1"/>
  <c r="G586" i="1"/>
  <c r="F586" i="1"/>
  <c r="E586" i="1"/>
  <c r="D586" i="1"/>
  <c r="C586" i="1"/>
  <c r="X585" i="1"/>
  <c r="W585" i="1"/>
  <c r="V585" i="1"/>
  <c r="U585" i="1"/>
  <c r="T585" i="1"/>
  <c r="S585" i="1"/>
  <c r="R585" i="1"/>
  <c r="Q585" i="1"/>
  <c r="P585" i="1"/>
  <c r="O585" i="1"/>
  <c r="N585" i="1"/>
  <c r="M585" i="1"/>
  <c r="L585" i="1"/>
  <c r="K585" i="1"/>
  <c r="J585" i="1"/>
  <c r="I585" i="1"/>
  <c r="H585" i="1"/>
  <c r="G585" i="1"/>
  <c r="F585" i="1"/>
  <c r="E585" i="1"/>
  <c r="D585" i="1"/>
  <c r="C585" i="1"/>
  <c r="X584" i="1"/>
  <c r="W584" i="1"/>
  <c r="V584" i="1"/>
  <c r="U584" i="1"/>
  <c r="T584" i="1"/>
  <c r="S584" i="1"/>
  <c r="R584" i="1"/>
  <c r="Q584" i="1"/>
  <c r="P584" i="1"/>
  <c r="O584" i="1"/>
  <c r="N584" i="1"/>
  <c r="M584" i="1"/>
  <c r="L584" i="1"/>
  <c r="K584" i="1"/>
  <c r="J584" i="1"/>
  <c r="I584" i="1"/>
  <c r="H584" i="1"/>
  <c r="G584" i="1"/>
  <c r="F584" i="1"/>
  <c r="E584" i="1"/>
  <c r="D584" i="1"/>
  <c r="C584" i="1"/>
  <c r="X583" i="1"/>
  <c r="W583" i="1"/>
  <c r="V583" i="1"/>
  <c r="U583" i="1"/>
  <c r="T583" i="1"/>
  <c r="S583" i="1"/>
  <c r="R583" i="1"/>
  <c r="Q583" i="1"/>
  <c r="P583" i="1"/>
  <c r="O583" i="1"/>
  <c r="N583" i="1"/>
  <c r="M583" i="1"/>
  <c r="L583" i="1"/>
  <c r="K583" i="1"/>
  <c r="J583" i="1"/>
  <c r="I583" i="1"/>
  <c r="H583" i="1"/>
  <c r="G583" i="1"/>
  <c r="F583" i="1"/>
  <c r="E583" i="1"/>
  <c r="D583" i="1"/>
  <c r="C583" i="1"/>
  <c r="X582" i="1"/>
  <c r="W582" i="1"/>
  <c r="V582" i="1"/>
  <c r="U582" i="1"/>
  <c r="T582" i="1"/>
  <c r="S582" i="1"/>
  <c r="R582" i="1"/>
  <c r="Q582" i="1"/>
  <c r="P582" i="1"/>
  <c r="O582" i="1"/>
  <c r="N582" i="1"/>
  <c r="M582" i="1"/>
  <c r="L582" i="1"/>
  <c r="K582" i="1"/>
  <c r="J582" i="1"/>
  <c r="I582" i="1"/>
  <c r="H582" i="1"/>
  <c r="G582" i="1"/>
  <c r="F582" i="1"/>
  <c r="E582" i="1"/>
  <c r="D582" i="1"/>
  <c r="C582" i="1"/>
  <c r="X581" i="1"/>
  <c r="W581" i="1"/>
  <c r="V581" i="1"/>
  <c r="U581" i="1"/>
  <c r="T581" i="1"/>
  <c r="S581" i="1"/>
  <c r="R581" i="1"/>
  <c r="Q581" i="1"/>
  <c r="P581" i="1"/>
  <c r="O581" i="1"/>
  <c r="N581" i="1"/>
  <c r="M581" i="1"/>
  <c r="L581" i="1"/>
  <c r="K581" i="1"/>
  <c r="J581" i="1"/>
  <c r="I581" i="1"/>
  <c r="H581" i="1"/>
  <c r="G581" i="1"/>
  <c r="F581" i="1"/>
  <c r="E581" i="1"/>
  <c r="D581" i="1"/>
  <c r="C581" i="1"/>
  <c r="X580" i="1"/>
  <c r="W580" i="1"/>
  <c r="V580" i="1"/>
  <c r="U580" i="1"/>
  <c r="T580" i="1"/>
  <c r="S580" i="1"/>
  <c r="R580" i="1"/>
  <c r="Q580" i="1"/>
  <c r="P580" i="1"/>
  <c r="O580" i="1"/>
  <c r="N580" i="1"/>
  <c r="M580" i="1"/>
  <c r="L580" i="1"/>
  <c r="K580" i="1"/>
  <c r="J580" i="1"/>
  <c r="I580" i="1"/>
  <c r="H580" i="1"/>
  <c r="G580" i="1"/>
  <c r="F580" i="1"/>
  <c r="E580" i="1"/>
  <c r="D580" i="1"/>
  <c r="C580" i="1"/>
  <c r="X579" i="1"/>
  <c r="W579" i="1"/>
  <c r="V579" i="1"/>
  <c r="U579" i="1"/>
  <c r="T579" i="1"/>
  <c r="S579" i="1"/>
  <c r="R579" i="1"/>
  <c r="Q579" i="1"/>
  <c r="P579" i="1"/>
  <c r="O579" i="1"/>
  <c r="N579" i="1"/>
  <c r="M579" i="1"/>
  <c r="L579" i="1"/>
  <c r="K579" i="1"/>
  <c r="J579" i="1"/>
  <c r="I579" i="1"/>
  <c r="H579" i="1"/>
  <c r="G579" i="1"/>
  <c r="F579" i="1"/>
  <c r="E579" i="1"/>
  <c r="D579" i="1"/>
  <c r="C579" i="1"/>
  <c r="X578" i="1"/>
  <c r="W578" i="1"/>
  <c r="V578" i="1"/>
  <c r="U578" i="1"/>
  <c r="T578" i="1"/>
  <c r="S578" i="1"/>
  <c r="R578" i="1"/>
  <c r="Q578" i="1"/>
  <c r="P578" i="1"/>
  <c r="O578" i="1"/>
  <c r="N578" i="1"/>
  <c r="M578" i="1"/>
  <c r="L578" i="1"/>
  <c r="K578" i="1"/>
  <c r="J578" i="1"/>
  <c r="I578" i="1"/>
  <c r="H578" i="1"/>
  <c r="G578" i="1"/>
  <c r="F578" i="1"/>
  <c r="E578" i="1"/>
  <c r="D578" i="1"/>
  <c r="C578" i="1"/>
  <c r="X577" i="1"/>
  <c r="W577" i="1"/>
  <c r="V577" i="1"/>
  <c r="U577" i="1"/>
  <c r="T577" i="1"/>
  <c r="S577" i="1"/>
  <c r="R577" i="1"/>
  <c r="Q577" i="1"/>
  <c r="P577" i="1"/>
  <c r="O577" i="1"/>
  <c r="N577" i="1"/>
  <c r="M577" i="1"/>
  <c r="L577" i="1"/>
  <c r="K577" i="1"/>
  <c r="J577" i="1"/>
  <c r="I577" i="1"/>
  <c r="H577" i="1"/>
  <c r="G577" i="1"/>
  <c r="F577" i="1"/>
  <c r="E577" i="1"/>
  <c r="D577" i="1"/>
  <c r="C577" i="1"/>
  <c r="X576" i="1"/>
  <c r="W576" i="1"/>
  <c r="V576" i="1"/>
  <c r="U576" i="1"/>
  <c r="T576" i="1"/>
  <c r="S576" i="1"/>
  <c r="R576" i="1"/>
  <c r="Q576" i="1"/>
  <c r="P576" i="1"/>
  <c r="O576" i="1"/>
  <c r="N576" i="1"/>
  <c r="M576" i="1"/>
  <c r="L576" i="1"/>
  <c r="K576" i="1"/>
  <c r="J576" i="1"/>
  <c r="I576" i="1"/>
  <c r="H576" i="1"/>
  <c r="G576" i="1"/>
  <c r="F576" i="1"/>
  <c r="E576" i="1"/>
  <c r="D576" i="1"/>
  <c r="C576" i="1"/>
  <c r="X575" i="1"/>
  <c r="W575" i="1"/>
  <c r="V575" i="1"/>
  <c r="U575" i="1"/>
  <c r="T575" i="1"/>
  <c r="S575" i="1"/>
  <c r="R575" i="1"/>
  <c r="Q575" i="1"/>
  <c r="P575" i="1"/>
  <c r="O575" i="1"/>
  <c r="N575" i="1"/>
  <c r="M575" i="1"/>
  <c r="L575" i="1"/>
  <c r="K575" i="1"/>
  <c r="J575" i="1"/>
  <c r="I575" i="1"/>
  <c r="H575" i="1"/>
  <c r="G575" i="1"/>
  <c r="F575" i="1"/>
  <c r="E575" i="1"/>
  <c r="D575" i="1"/>
  <c r="C575" i="1"/>
  <c r="X574" i="1"/>
  <c r="W574" i="1"/>
  <c r="V574" i="1"/>
  <c r="U574" i="1"/>
  <c r="T574" i="1"/>
  <c r="S574" i="1"/>
  <c r="R574" i="1"/>
  <c r="Q574" i="1"/>
  <c r="P574" i="1"/>
  <c r="O574" i="1"/>
  <c r="N574" i="1"/>
  <c r="M574" i="1"/>
  <c r="L574" i="1"/>
  <c r="K574" i="1"/>
  <c r="J574" i="1"/>
  <c r="I574" i="1"/>
  <c r="H574" i="1"/>
  <c r="G574" i="1"/>
  <c r="F574" i="1"/>
  <c r="E574" i="1"/>
  <c r="D574" i="1"/>
  <c r="C574" i="1"/>
  <c r="X573" i="1"/>
  <c r="W573" i="1"/>
  <c r="V573" i="1"/>
  <c r="U573" i="1"/>
  <c r="T573" i="1"/>
  <c r="S573" i="1"/>
  <c r="R573" i="1"/>
  <c r="Q573" i="1"/>
  <c r="P573" i="1"/>
  <c r="O573" i="1"/>
  <c r="N573" i="1"/>
  <c r="M573" i="1"/>
  <c r="L573" i="1"/>
  <c r="K573" i="1"/>
  <c r="J573" i="1"/>
  <c r="I573" i="1"/>
  <c r="H573" i="1"/>
  <c r="G573" i="1"/>
  <c r="F573" i="1"/>
  <c r="E573" i="1"/>
  <c r="D573" i="1"/>
  <c r="C573" i="1"/>
  <c r="X572" i="1"/>
  <c r="W572" i="1"/>
  <c r="V572" i="1"/>
  <c r="U572" i="1"/>
  <c r="T572" i="1"/>
  <c r="S572" i="1"/>
  <c r="R572" i="1"/>
  <c r="Q572" i="1"/>
  <c r="P572" i="1"/>
  <c r="O572" i="1"/>
  <c r="N572" i="1"/>
  <c r="M572" i="1"/>
  <c r="L572" i="1"/>
  <c r="K572" i="1"/>
  <c r="J572" i="1"/>
  <c r="I572" i="1"/>
  <c r="H572" i="1"/>
  <c r="G572" i="1"/>
  <c r="F572" i="1"/>
  <c r="E572" i="1"/>
  <c r="D572" i="1"/>
  <c r="C572" i="1"/>
  <c r="X571" i="1"/>
  <c r="W571" i="1"/>
  <c r="V571" i="1"/>
  <c r="U571" i="1"/>
  <c r="T571" i="1"/>
  <c r="S571" i="1"/>
  <c r="R571" i="1"/>
  <c r="Q571" i="1"/>
  <c r="P571" i="1"/>
  <c r="O571" i="1"/>
  <c r="N571" i="1"/>
  <c r="M571" i="1"/>
  <c r="L571" i="1"/>
  <c r="K571" i="1"/>
  <c r="J571" i="1"/>
  <c r="I571" i="1"/>
  <c r="H571" i="1"/>
  <c r="G571" i="1"/>
  <c r="F571" i="1"/>
  <c r="E571" i="1"/>
  <c r="D571" i="1"/>
  <c r="C571" i="1"/>
  <c r="X570" i="1"/>
  <c r="W570" i="1"/>
  <c r="V570" i="1"/>
  <c r="U570" i="1"/>
  <c r="T570" i="1"/>
  <c r="S570" i="1"/>
  <c r="R570" i="1"/>
  <c r="Q570" i="1"/>
  <c r="P570" i="1"/>
  <c r="O570" i="1"/>
  <c r="N570" i="1"/>
  <c r="M570" i="1"/>
  <c r="L570" i="1"/>
  <c r="K570" i="1"/>
  <c r="J570" i="1"/>
  <c r="I570" i="1"/>
  <c r="H570" i="1"/>
  <c r="G570" i="1"/>
  <c r="F570" i="1"/>
  <c r="E570" i="1"/>
  <c r="D570" i="1"/>
  <c r="C570" i="1"/>
  <c r="X569" i="1"/>
  <c r="W569" i="1"/>
  <c r="V569" i="1"/>
  <c r="U569" i="1"/>
  <c r="T569" i="1"/>
  <c r="S569" i="1"/>
  <c r="R569" i="1"/>
  <c r="Q569" i="1"/>
  <c r="P569" i="1"/>
  <c r="O569" i="1"/>
  <c r="N569" i="1"/>
  <c r="M569" i="1"/>
  <c r="L569" i="1"/>
  <c r="K569" i="1"/>
  <c r="J569" i="1"/>
  <c r="I569" i="1"/>
  <c r="H569" i="1"/>
  <c r="G569" i="1"/>
  <c r="F569" i="1"/>
  <c r="E569" i="1"/>
  <c r="D569" i="1"/>
  <c r="C569" i="1"/>
  <c r="X568" i="1"/>
  <c r="W568" i="1"/>
  <c r="V568" i="1"/>
  <c r="U568" i="1"/>
  <c r="T568" i="1"/>
  <c r="S568" i="1"/>
  <c r="R568" i="1"/>
  <c r="Q568" i="1"/>
  <c r="P568" i="1"/>
  <c r="O568" i="1"/>
  <c r="N568" i="1"/>
  <c r="M568" i="1"/>
  <c r="L568" i="1"/>
  <c r="K568" i="1"/>
  <c r="J568" i="1"/>
  <c r="I568" i="1"/>
  <c r="H568" i="1"/>
  <c r="G568" i="1"/>
  <c r="F568" i="1"/>
  <c r="E568" i="1"/>
  <c r="D568" i="1"/>
  <c r="C568" i="1"/>
  <c r="X567" i="1"/>
  <c r="W567" i="1"/>
  <c r="V567" i="1"/>
  <c r="U567" i="1"/>
  <c r="T567" i="1"/>
  <c r="S567" i="1"/>
  <c r="R567" i="1"/>
  <c r="Q567" i="1"/>
  <c r="P567" i="1"/>
  <c r="O567" i="1"/>
  <c r="N567" i="1"/>
  <c r="M567" i="1"/>
  <c r="L567" i="1"/>
  <c r="K567" i="1"/>
  <c r="J567" i="1"/>
  <c r="I567" i="1"/>
  <c r="H567" i="1"/>
  <c r="G567" i="1"/>
  <c r="F567" i="1"/>
  <c r="E567" i="1"/>
  <c r="D567" i="1"/>
  <c r="C567" i="1"/>
  <c r="X566" i="1"/>
  <c r="W566" i="1"/>
  <c r="V566" i="1"/>
  <c r="U566" i="1"/>
  <c r="T566" i="1"/>
  <c r="S566" i="1"/>
  <c r="R566" i="1"/>
  <c r="Q566" i="1"/>
  <c r="P566" i="1"/>
  <c r="O566" i="1"/>
  <c r="N566" i="1"/>
  <c r="M566" i="1"/>
  <c r="L566" i="1"/>
  <c r="K566" i="1"/>
  <c r="J566" i="1"/>
  <c r="I566" i="1"/>
  <c r="H566" i="1"/>
  <c r="G566" i="1"/>
  <c r="F566" i="1"/>
  <c r="E566" i="1"/>
  <c r="D566" i="1"/>
  <c r="C566" i="1"/>
  <c r="X565" i="1"/>
  <c r="W565" i="1"/>
  <c r="V565" i="1"/>
  <c r="U565" i="1"/>
  <c r="T565" i="1"/>
  <c r="S565" i="1"/>
  <c r="R565" i="1"/>
  <c r="Q565" i="1"/>
  <c r="P565" i="1"/>
  <c r="O565" i="1"/>
  <c r="N565" i="1"/>
  <c r="M565" i="1"/>
  <c r="L565" i="1"/>
  <c r="K565" i="1"/>
  <c r="J565" i="1"/>
  <c r="I565" i="1"/>
  <c r="H565" i="1"/>
  <c r="G565" i="1"/>
  <c r="F565" i="1"/>
  <c r="E565" i="1"/>
  <c r="D565" i="1"/>
  <c r="C565" i="1"/>
  <c r="X564" i="1"/>
  <c r="W564" i="1"/>
  <c r="V564" i="1"/>
  <c r="U564" i="1"/>
  <c r="T564" i="1"/>
  <c r="S564" i="1"/>
  <c r="R564" i="1"/>
  <c r="Q564" i="1"/>
  <c r="P564" i="1"/>
  <c r="O564" i="1"/>
  <c r="N564" i="1"/>
  <c r="M564" i="1"/>
  <c r="L564" i="1"/>
  <c r="K564" i="1"/>
  <c r="J564" i="1"/>
  <c r="I564" i="1"/>
  <c r="H564" i="1"/>
  <c r="G564" i="1"/>
  <c r="F564" i="1"/>
  <c r="E564" i="1"/>
  <c r="D564" i="1"/>
  <c r="C564" i="1"/>
  <c r="X563" i="1"/>
  <c r="W563" i="1"/>
  <c r="V563" i="1"/>
  <c r="U563" i="1"/>
  <c r="T563" i="1"/>
  <c r="S563" i="1"/>
  <c r="R563" i="1"/>
  <c r="Q563" i="1"/>
  <c r="P563" i="1"/>
  <c r="O563" i="1"/>
  <c r="N563" i="1"/>
  <c r="M563" i="1"/>
  <c r="L563" i="1"/>
  <c r="K563" i="1"/>
  <c r="J563" i="1"/>
  <c r="I563" i="1"/>
  <c r="H563" i="1"/>
  <c r="G563" i="1"/>
  <c r="F563" i="1"/>
  <c r="E563" i="1"/>
  <c r="D563" i="1"/>
  <c r="C563" i="1"/>
  <c r="X562" i="1"/>
  <c r="W562" i="1"/>
  <c r="V562" i="1"/>
  <c r="U562" i="1"/>
  <c r="T562" i="1"/>
  <c r="S562" i="1"/>
  <c r="R562" i="1"/>
  <c r="Q562" i="1"/>
  <c r="P562" i="1"/>
  <c r="O562" i="1"/>
  <c r="N562" i="1"/>
  <c r="M562" i="1"/>
  <c r="L562" i="1"/>
  <c r="K562" i="1"/>
  <c r="J562" i="1"/>
  <c r="I562" i="1"/>
  <c r="H562" i="1"/>
  <c r="G562" i="1"/>
  <c r="F562" i="1"/>
  <c r="E562" i="1"/>
  <c r="D562" i="1"/>
  <c r="C562" i="1"/>
  <c r="X561" i="1"/>
  <c r="W561" i="1"/>
  <c r="V561" i="1"/>
  <c r="U561" i="1"/>
  <c r="T561" i="1"/>
  <c r="S561" i="1"/>
  <c r="R561" i="1"/>
  <c r="Q561" i="1"/>
  <c r="P561" i="1"/>
  <c r="O561" i="1"/>
  <c r="N561" i="1"/>
  <c r="M561" i="1"/>
  <c r="L561" i="1"/>
  <c r="K561" i="1"/>
  <c r="J561" i="1"/>
  <c r="I561" i="1"/>
  <c r="H561" i="1"/>
  <c r="G561" i="1"/>
  <c r="F561" i="1"/>
  <c r="E561" i="1"/>
  <c r="D561" i="1"/>
  <c r="C561" i="1"/>
  <c r="X560" i="1"/>
  <c r="W560" i="1"/>
  <c r="V560" i="1"/>
  <c r="U560" i="1"/>
  <c r="T560" i="1"/>
  <c r="S560" i="1"/>
  <c r="R560" i="1"/>
  <c r="Q560" i="1"/>
  <c r="P560" i="1"/>
  <c r="O560" i="1"/>
  <c r="N560" i="1"/>
  <c r="M560" i="1"/>
  <c r="L560" i="1"/>
  <c r="K560" i="1"/>
  <c r="J560" i="1"/>
  <c r="I560" i="1"/>
  <c r="H560" i="1"/>
  <c r="G560" i="1"/>
  <c r="F560" i="1"/>
  <c r="E560" i="1"/>
  <c r="D560" i="1"/>
  <c r="C560" i="1"/>
  <c r="X559" i="1"/>
  <c r="W559" i="1"/>
  <c r="V559" i="1"/>
  <c r="U559" i="1"/>
  <c r="T559" i="1"/>
  <c r="S559" i="1"/>
  <c r="R559" i="1"/>
  <c r="Q559" i="1"/>
  <c r="P559" i="1"/>
  <c r="O559" i="1"/>
  <c r="N559" i="1"/>
  <c r="M559" i="1"/>
  <c r="L559" i="1"/>
  <c r="K559" i="1"/>
  <c r="J559" i="1"/>
  <c r="I559" i="1"/>
  <c r="H559" i="1"/>
  <c r="G559" i="1"/>
  <c r="F559" i="1"/>
  <c r="E559" i="1"/>
  <c r="D559" i="1"/>
  <c r="C559" i="1"/>
  <c r="X558" i="1"/>
  <c r="W558" i="1"/>
  <c r="V558" i="1"/>
  <c r="U558" i="1"/>
  <c r="T558" i="1"/>
  <c r="S558" i="1"/>
  <c r="R558" i="1"/>
  <c r="Q558" i="1"/>
  <c r="P558" i="1"/>
  <c r="O558" i="1"/>
  <c r="N558" i="1"/>
  <c r="M558" i="1"/>
  <c r="L558" i="1"/>
  <c r="K558" i="1"/>
  <c r="J558" i="1"/>
  <c r="I558" i="1"/>
  <c r="H558" i="1"/>
  <c r="G558" i="1"/>
  <c r="F558" i="1"/>
  <c r="E558" i="1"/>
  <c r="D558" i="1"/>
  <c r="C558" i="1"/>
  <c r="X557" i="1"/>
  <c r="W557" i="1"/>
  <c r="V557" i="1"/>
  <c r="U557" i="1"/>
  <c r="T557" i="1"/>
  <c r="S557" i="1"/>
  <c r="R557" i="1"/>
  <c r="Q557" i="1"/>
  <c r="P557" i="1"/>
  <c r="O557" i="1"/>
  <c r="N557" i="1"/>
  <c r="M557" i="1"/>
  <c r="L557" i="1"/>
  <c r="K557" i="1"/>
  <c r="J557" i="1"/>
  <c r="I557" i="1"/>
  <c r="H557" i="1"/>
  <c r="G557" i="1"/>
  <c r="F557" i="1"/>
  <c r="E557" i="1"/>
  <c r="D557" i="1"/>
  <c r="C557" i="1"/>
  <c r="X556" i="1"/>
  <c r="W556" i="1"/>
  <c r="V556" i="1"/>
  <c r="U556" i="1"/>
  <c r="T556" i="1"/>
  <c r="S556" i="1"/>
  <c r="R556" i="1"/>
  <c r="Q556" i="1"/>
  <c r="P556" i="1"/>
  <c r="O556" i="1"/>
  <c r="N556" i="1"/>
  <c r="M556" i="1"/>
  <c r="L556" i="1"/>
  <c r="K556" i="1"/>
  <c r="J556" i="1"/>
  <c r="I556" i="1"/>
  <c r="H556" i="1"/>
  <c r="G556" i="1"/>
  <c r="F556" i="1"/>
  <c r="E556" i="1"/>
  <c r="D556" i="1"/>
  <c r="C556" i="1"/>
  <c r="X555" i="1"/>
  <c r="W555" i="1"/>
  <c r="V555" i="1"/>
  <c r="U555" i="1"/>
  <c r="T555" i="1"/>
  <c r="S555" i="1"/>
  <c r="R555" i="1"/>
  <c r="Q555" i="1"/>
  <c r="P555" i="1"/>
  <c r="O555" i="1"/>
  <c r="N555" i="1"/>
  <c r="M555" i="1"/>
  <c r="L555" i="1"/>
  <c r="K555" i="1"/>
  <c r="J555" i="1"/>
  <c r="I555" i="1"/>
  <c r="H555" i="1"/>
  <c r="G555" i="1"/>
  <c r="F555" i="1"/>
  <c r="E555" i="1"/>
  <c r="D555" i="1"/>
  <c r="C555" i="1"/>
  <c r="X554" i="1"/>
  <c r="W554" i="1"/>
  <c r="V554" i="1"/>
  <c r="U554" i="1"/>
  <c r="T554" i="1"/>
  <c r="S554" i="1"/>
  <c r="R554" i="1"/>
  <c r="Q554" i="1"/>
  <c r="P554" i="1"/>
  <c r="O554" i="1"/>
  <c r="N554" i="1"/>
  <c r="M554" i="1"/>
  <c r="L554" i="1"/>
  <c r="K554" i="1"/>
  <c r="J554" i="1"/>
  <c r="I554" i="1"/>
  <c r="H554" i="1"/>
  <c r="G554" i="1"/>
  <c r="F554" i="1"/>
  <c r="E554" i="1"/>
  <c r="D554" i="1"/>
  <c r="C554" i="1"/>
  <c r="X553" i="1"/>
  <c r="W553" i="1"/>
  <c r="V553" i="1"/>
  <c r="U553" i="1"/>
  <c r="T553" i="1"/>
  <c r="S553" i="1"/>
  <c r="R553" i="1"/>
  <c r="Q553" i="1"/>
  <c r="P553" i="1"/>
  <c r="O553" i="1"/>
  <c r="N553" i="1"/>
  <c r="M553" i="1"/>
  <c r="L553" i="1"/>
  <c r="K553" i="1"/>
  <c r="J553" i="1"/>
  <c r="I553" i="1"/>
  <c r="H553" i="1"/>
  <c r="G553" i="1"/>
  <c r="F553" i="1"/>
  <c r="E553" i="1"/>
  <c r="D553" i="1"/>
  <c r="C553" i="1"/>
  <c r="X552" i="1"/>
  <c r="W552" i="1"/>
  <c r="V552" i="1"/>
  <c r="U552" i="1"/>
  <c r="T552" i="1"/>
  <c r="S552" i="1"/>
  <c r="R552" i="1"/>
  <c r="Q552" i="1"/>
  <c r="P552" i="1"/>
  <c r="O552" i="1"/>
  <c r="N552" i="1"/>
  <c r="M552" i="1"/>
  <c r="L552" i="1"/>
  <c r="K552" i="1"/>
  <c r="J552" i="1"/>
  <c r="I552" i="1"/>
  <c r="H552" i="1"/>
  <c r="G552" i="1"/>
  <c r="F552" i="1"/>
  <c r="E552" i="1"/>
  <c r="D552" i="1"/>
  <c r="C552" i="1"/>
  <c r="X551" i="1"/>
  <c r="W551" i="1"/>
  <c r="V551" i="1"/>
  <c r="U551" i="1"/>
  <c r="T551" i="1"/>
  <c r="S551" i="1"/>
  <c r="R551" i="1"/>
  <c r="Q551" i="1"/>
  <c r="P551" i="1"/>
  <c r="O551" i="1"/>
  <c r="N551" i="1"/>
  <c r="M551" i="1"/>
  <c r="L551" i="1"/>
  <c r="K551" i="1"/>
  <c r="J551" i="1"/>
  <c r="I551" i="1"/>
  <c r="H551" i="1"/>
  <c r="G551" i="1"/>
  <c r="F551" i="1"/>
  <c r="E551" i="1"/>
  <c r="D551" i="1"/>
  <c r="C551" i="1"/>
  <c r="X550" i="1"/>
  <c r="W550" i="1"/>
  <c r="V550" i="1"/>
  <c r="U550" i="1"/>
  <c r="T550" i="1"/>
  <c r="S550" i="1"/>
  <c r="R550" i="1"/>
  <c r="Q550" i="1"/>
  <c r="P550" i="1"/>
  <c r="O550" i="1"/>
  <c r="N550" i="1"/>
  <c r="M550" i="1"/>
  <c r="L550" i="1"/>
  <c r="K550" i="1"/>
  <c r="J550" i="1"/>
  <c r="I550" i="1"/>
  <c r="H550" i="1"/>
  <c r="G550" i="1"/>
  <c r="F550" i="1"/>
  <c r="E550" i="1"/>
  <c r="D550" i="1"/>
  <c r="C550" i="1"/>
  <c r="X549" i="1"/>
  <c r="W549" i="1"/>
  <c r="V549" i="1"/>
  <c r="U549" i="1"/>
  <c r="T549" i="1"/>
  <c r="S549" i="1"/>
  <c r="R549" i="1"/>
  <c r="Q549" i="1"/>
  <c r="P549" i="1"/>
  <c r="O549" i="1"/>
  <c r="N549" i="1"/>
  <c r="M549" i="1"/>
  <c r="L549" i="1"/>
  <c r="K549" i="1"/>
  <c r="J549" i="1"/>
  <c r="I549" i="1"/>
  <c r="H549" i="1"/>
  <c r="G549" i="1"/>
  <c r="F549" i="1"/>
  <c r="E549" i="1"/>
  <c r="D549" i="1"/>
  <c r="C549" i="1"/>
  <c r="X548" i="1"/>
  <c r="W548" i="1"/>
  <c r="V548" i="1"/>
  <c r="U548" i="1"/>
  <c r="T548" i="1"/>
  <c r="S548" i="1"/>
  <c r="R548" i="1"/>
  <c r="Q548" i="1"/>
  <c r="P548" i="1"/>
  <c r="O548" i="1"/>
  <c r="N548" i="1"/>
  <c r="M548" i="1"/>
  <c r="L548" i="1"/>
  <c r="K548" i="1"/>
  <c r="J548" i="1"/>
  <c r="I548" i="1"/>
  <c r="H548" i="1"/>
  <c r="G548" i="1"/>
  <c r="F548" i="1"/>
  <c r="E548" i="1"/>
  <c r="D548" i="1"/>
  <c r="C548" i="1"/>
  <c r="X547" i="1"/>
  <c r="W547" i="1"/>
  <c r="V547" i="1"/>
  <c r="U547" i="1"/>
  <c r="T547" i="1"/>
  <c r="S547" i="1"/>
  <c r="R547" i="1"/>
  <c r="Q547" i="1"/>
  <c r="P547" i="1"/>
  <c r="O547" i="1"/>
  <c r="N547" i="1"/>
  <c r="M547" i="1"/>
  <c r="L547" i="1"/>
  <c r="K547" i="1"/>
  <c r="J547" i="1"/>
  <c r="I547" i="1"/>
  <c r="H547" i="1"/>
  <c r="G547" i="1"/>
  <c r="F547" i="1"/>
  <c r="E547" i="1"/>
  <c r="D547" i="1"/>
  <c r="C547" i="1"/>
  <c r="X546" i="1"/>
  <c r="W546" i="1"/>
  <c r="V546" i="1"/>
  <c r="U546" i="1"/>
  <c r="T546" i="1"/>
  <c r="S546" i="1"/>
  <c r="R546" i="1"/>
  <c r="Q546" i="1"/>
  <c r="P546" i="1"/>
  <c r="O546" i="1"/>
  <c r="N546" i="1"/>
  <c r="M546" i="1"/>
  <c r="L546" i="1"/>
  <c r="K546" i="1"/>
  <c r="J546" i="1"/>
  <c r="I546" i="1"/>
  <c r="H546" i="1"/>
  <c r="G546" i="1"/>
  <c r="F546" i="1"/>
  <c r="E546" i="1"/>
  <c r="D546" i="1"/>
  <c r="C546" i="1"/>
  <c r="X545" i="1"/>
  <c r="W545" i="1"/>
  <c r="V545" i="1"/>
  <c r="U545" i="1"/>
  <c r="T545" i="1"/>
  <c r="S545" i="1"/>
  <c r="R545" i="1"/>
  <c r="Q545" i="1"/>
  <c r="P545" i="1"/>
  <c r="O545" i="1"/>
  <c r="N545" i="1"/>
  <c r="M545" i="1"/>
  <c r="L545" i="1"/>
  <c r="K545" i="1"/>
  <c r="J545" i="1"/>
  <c r="I545" i="1"/>
  <c r="H545" i="1"/>
  <c r="G545" i="1"/>
  <c r="F545" i="1"/>
  <c r="E545" i="1"/>
  <c r="D545" i="1"/>
  <c r="C545" i="1"/>
  <c r="X544" i="1"/>
  <c r="W544" i="1"/>
  <c r="V544" i="1"/>
  <c r="U544" i="1"/>
  <c r="T544" i="1"/>
  <c r="S544" i="1"/>
  <c r="R544" i="1"/>
  <c r="Q544" i="1"/>
  <c r="P544" i="1"/>
  <c r="O544" i="1"/>
  <c r="N544" i="1"/>
  <c r="M544" i="1"/>
  <c r="L544" i="1"/>
  <c r="K544" i="1"/>
  <c r="J544" i="1"/>
  <c r="I544" i="1"/>
  <c r="H544" i="1"/>
  <c r="G544" i="1"/>
  <c r="F544" i="1"/>
  <c r="E544" i="1"/>
  <c r="D544" i="1"/>
  <c r="C544" i="1"/>
  <c r="X543" i="1"/>
  <c r="W543" i="1"/>
  <c r="V543" i="1"/>
  <c r="U543" i="1"/>
  <c r="T543" i="1"/>
  <c r="S543" i="1"/>
  <c r="R543" i="1"/>
  <c r="Q543" i="1"/>
  <c r="P543" i="1"/>
  <c r="O543" i="1"/>
  <c r="N543" i="1"/>
  <c r="M543" i="1"/>
  <c r="L543" i="1"/>
  <c r="K543" i="1"/>
  <c r="J543" i="1"/>
  <c r="I543" i="1"/>
  <c r="H543" i="1"/>
  <c r="G543" i="1"/>
  <c r="F543" i="1"/>
  <c r="E543" i="1"/>
  <c r="D543" i="1"/>
  <c r="C543" i="1"/>
  <c r="X542" i="1"/>
  <c r="W542" i="1"/>
  <c r="V542" i="1"/>
  <c r="U542" i="1"/>
  <c r="T542" i="1"/>
  <c r="S542" i="1"/>
  <c r="R542" i="1"/>
  <c r="Q542" i="1"/>
  <c r="P542" i="1"/>
  <c r="O542" i="1"/>
  <c r="N542" i="1"/>
  <c r="M542" i="1"/>
  <c r="L542" i="1"/>
  <c r="K542" i="1"/>
  <c r="J542" i="1"/>
  <c r="I542" i="1"/>
  <c r="H542" i="1"/>
  <c r="G542" i="1"/>
  <c r="F542" i="1"/>
  <c r="E542" i="1"/>
  <c r="D542" i="1"/>
  <c r="C542" i="1"/>
  <c r="X541" i="1"/>
  <c r="W541" i="1"/>
  <c r="V541" i="1"/>
  <c r="U541" i="1"/>
  <c r="T541" i="1"/>
  <c r="S541" i="1"/>
  <c r="R541" i="1"/>
  <c r="Q541" i="1"/>
  <c r="P541" i="1"/>
  <c r="O541" i="1"/>
  <c r="N541" i="1"/>
  <c r="M541" i="1"/>
  <c r="L541" i="1"/>
  <c r="K541" i="1"/>
  <c r="J541" i="1"/>
  <c r="I541" i="1"/>
  <c r="H541" i="1"/>
  <c r="G541" i="1"/>
  <c r="F541" i="1"/>
  <c r="E541" i="1"/>
  <c r="D541" i="1"/>
  <c r="C541" i="1"/>
  <c r="X540" i="1"/>
  <c r="W540" i="1"/>
  <c r="V540" i="1"/>
  <c r="U540" i="1"/>
  <c r="T540" i="1"/>
  <c r="S540" i="1"/>
  <c r="R540" i="1"/>
  <c r="Q540" i="1"/>
  <c r="P540" i="1"/>
  <c r="O540" i="1"/>
  <c r="N540" i="1"/>
  <c r="M540" i="1"/>
  <c r="L540" i="1"/>
  <c r="K540" i="1"/>
  <c r="J540" i="1"/>
  <c r="I540" i="1"/>
  <c r="H540" i="1"/>
  <c r="G540" i="1"/>
  <c r="F540" i="1"/>
  <c r="E540" i="1"/>
  <c r="D540" i="1"/>
  <c r="C540" i="1"/>
  <c r="X539" i="1"/>
  <c r="W539" i="1"/>
  <c r="V539" i="1"/>
  <c r="U539" i="1"/>
  <c r="T539" i="1"/>
  <c r="S539" i="1"/>
  <c r="R539" i="1"/>
  <c r="Q539" i="1"/>
  <c r="P539" i="1"/>
  <c r="O539" i="1"/>
  <c r="N539" i="1"/>
  <c r="M539" i="1"/>
  <c r="L539" i="1"/>
  <c r="K539" i="1"/>
  <c r="J539" i="1"/>
  <c r="I539" i="1"/>
  <c r="H539" i="1"/>
  <c r="G539" i="1"/>
  <c r="F539" i="1"/>
  <c r="E539" i="1"/>
  <c r="D539" i="1"/>
  <c r="C539" i="1"/>
  <c r="X538" i="1"/>
  <c r="W538" i="1"/>
  <c r="V538" i="1"/>
  <c r="U538" i="1"/>
  <c r="T538" i="1"/>
  <c r="S538" i="1"/>
  <c r="R538" i="1"/>
  <c r="Q538" i="1"/>
  <c r="P538" i="1"/>
  <c r="O538" i="1"/>
  <c r="N538" i="1"/>
  <c r="M538" i="1"/>
  <c r="L538" i="1"/>
  <c r="K538" i="1"/>
  <c r="J538" i="1"/>
  <c r="I538" i="1"/>
  <c r="H538" i="1"/>
  <c r="G538" i="1"/>
  <c r="F538" i="1"/>
  <c r="E538" i="1"/>
  <c r="D538" i="1"/>
  <c r="X537" i="1"/>
  <c r="W537" i="1"/>
  <c r="V537" i="1"/>
  <c r="U537" i="1"/>
  <c r="T537" i="1"/>
  <c r="S537" i="1"/>
  <c r="R537" i="1"/>
  <c r="Q537" i="1"/>
  <c r="P537" i="1"/>
  <c r="O537" i="1"/>
  <c r="N537" i="1"/>
  <c r="M537" i="1"/>
  <c r="L537" i="1"/>
  <c r="K537" i="1"/>
  <c r="J537" i="1"/>
  <c r="I537" i="1"/>
  <c r="H537" i="1"/>
  <c r="G537" i="1"/>
  <c r="F537" i="1"/>
  <c r="E537" i="1"/>
  <c r="D537" i="1"/>
  <c r="C537" i="1"/>
  <c r="X536" i="1"/>
  <c r="W536" i="1"/>
  <c r="V536" i="1"/>
  <c r="U536" i="1"/>
  <c r="T536" i="1"/>
  <c r="S536" i="1"/>
  <c r="R536" i="1"/>
  <c r="Q536" i="1"/>
  <c r="P536" i="1"/>
  <c r="O536" i="1"/>
  <c r="N536" i="1"/>
  <c r="M536" i="1"/>
  <c r="L536" i="1"/>
  <c r="K536" i="1"/>
  <c r="J536" i="1"/>
  <c r="I536" i="1"/>
  <c r="H536" i="1"/>
  <c r="G536" i="1"/>
  <c r="F536" i="1"/>
  <c r="E536" i="1"/>
  <c r="D536" i="1"/>
  <c r="C536" i="1"/>
  <c r="X535" i="1"/>
  <c r="W535" i="1"/>
  <c r="V535" i="1"/>
  <c r="U535" i="1"/>
  <c r="T535" i="1"/>
  <c r="S535" i="1"/>
  <c r="R535" i="1"/>
  <c r="Q535" i="1"/>
  <c r="P535" i="1"/>
  <c r="O535" i="1"/>
  <c r="N535" i="1"/>
  <c r="M535" i="1"/>
  <c r="L535" i="1"/>
  <c r="K535" i="1"/>
  <c r="J535" i="1"/>
  <c r="I535" i="1"/>
  <c r="H535" i="1"/>
  <c r="G535" i="1"/>
  <c r="F535" i="1"/>
  <c r="E535" i="1"/>
  <c r="D535" i="1"/>
  <c r="C535" i="1"/>
  <c r="X534" i="1"/>
  <c r="W534" i="1"/>
  <c r="V534" i="1"/>
  <c r="U534" i="1"/>
  <c r="T534" i="1"/>
  <c r="S534" i="1"/>
  <c r="R534" i="1"/>
  <c r="Q534" i="1"/>
  <c r="P534" i="1"/>
  <c r="O534" i="1"/>
  <c r="N534" i="1"/>
  <c r="M534" i="1"/>
  <c r="L534" i="1"/>
  <c r="K534" i="1"/>
  <c r="J534" i="1"/>
  <c r="I534" i="1"/>
  <c r="H534" i="1"/>
  <c r="G534" i="1"/>
  <c r="F534" i="1"/>
  <c r="E534" i="1"/>
  <c r="D534" i="1"/>
  <c r="C534" i="1"/>
  <c r="X533" i="1"/>
  <c r="W533" i="1"/>
  <c r="V533" i="1"/>
  <c r="U533" i="1"/>
  <c r="T533" i="1"/>
  <c r="S533" i="1"/>
  <c r="R533" i="1"/>
  <c r="Q533" i="1"/>
  <c r="P533" i="1"/>
  <c r="O533" i="1"/>
  <c r="N533" i="1"/>
  <c r="M533" i="1"/>
  <c r="L533" i="1"/>
  <c r="K533" i="1"/>
  <c r="J533" i="1"/>
  <c r="I533" i="1"/>
  <c r="H533" i="1"/>
  <c r="G533" i="1"/>
  <c r="F533" i="1"/>
  <c r="E533" i="1"/>
  <c r="D533" i="1"/>
  <c r="C533" i="1"/>
  <c r="X532" i="1"/>
  <c r="W532" i="1"/>
  <c r="V532" i="1"/>
  <c r="U532" i="1"/>
  <c r="T532" i="1"/>
  <c r="S532" i="1"/>
  <c r="R532" i="1"/>
  <c r="Q532" i="1"/>
  <c r="P532" i="1"/>
  <c r="O532" i="1"/>
  <c r="N532" i="1"/>
  <c r="M532" i="1"/>
  <c r="L532" i="1"/>
  <c r="K532" i="1"/>
  <c r="J532" i="1"/>
  <c r="I532" i="1"/>
  <c r="H532" i="1"/>
  <c r="G532" i="1"/>
  <c r="F532" i="1"/>
  <c r="E532" i="1"/>
  <c r="D532" i="1"/>
  <c r="X531" i="1"/>
  <c r="W531" i="1"/>
  <c r="V531" i="1"/>
  <c r="U531" i="1"/>
  <c r="T531" i="1"/>
  <c r="S531" i="1"/>
  <c r="R531" i="1"/>
  <c r="Q531" i="1"/>
  <c r="P531" i="1"/>
  <c r="O531" i="1"/>
  <c r="N531" i="1"/>
  <c r="M531" i="1"/>
  <c r="L531" i="1"/>
  <c r="K531" i="1"/>
  <c r="J531" i="1"/>
  <c r="I531" i="1"/>
  <c r="H531" i="1"/>
  <c r="G531" i="1"/>
  <c r="F531" i="1"/>
  <c r="E531" i="1"/>
  <c r="D531" i="1"/>
  <c r="C531" i="1"/>
  <c r="X530" i="1"/>
  <c r="W530" i="1"/>
  <c r="V530" i="1"/>
  <c r="U530" i="1"/>
  <c r="T530" i="1"/>
  <c r="S530" i="1"/>
  <c r="R530" i="1"/>
  <c r="Q530" i="1"/>
  <c r="P530" i="1"/>
  <c r="O530" i="1"/>
  <c r="N530" i="1"/>
  <c r="M530" i="1"/>
  <c r="L530" i="1"/>
  <c r="K530" i="1"/>
  <c r="J530" i="1"/>
  <c r="I530" i="1"/>
  <c r="H530" i="1"/>
  <c r="G530" i="1"/>
  <c r="F530" i="1"/>
  <c r="E530" i="1"/>
  <c r="D530" i="1"/>
  <c r="C530" i="1"/>
  <c r="X529" i="1"/>
  <c r="W529" i="1"/>
  <c r="V529" i="1"/>
  <c r="U529" i="1"/>
  <c r="T529" i="1"/>
  <c r="S529" i="1"/>
  <c r="R529" i="1"/>
  <c r="Q529" i="1"/>
  <c r="P529" i="1"/>
  <c r="O529" i="1"/>
  <c r="N529" i="1"/>
  <c r="M529" i="1"/>
  <c r="L529" i="1"/>
  <c r="K529" i="1"/>
  <c r="J529" i="1"/>
  <c r="I529" i="1"/>
  <c r="H529" i="1"/>
  <c r="G529" i="1"/>
  <c r="F529" i="1"/>
  <c r="E529" i="1"/>
  <c r="D529" i="1"/>
  <c r="C529" i="1"/>
  <c r="X528" i="1"/>
  <c r="W528" i="1"/>
  <c r="V528" i="1"/>
  <c r="U528" i="1"/>
  <c r="T528" i="1"/>
  <c r="S528" i="1"/>
  <c r="R528" i="1"/>
  <c r="Q528" i="1"/>
  <c r="P528" i="1"/>
  <c r="O528" i="1"/>
  <c r="N528" i="1"/>
  <c r="M528" i="1"/>
  <c r="L528" i="1"/>
  <c r="K528" i="1"/>
  <c r="J528" i="1"/>
  <c r="I528" i="1"/>
  <c r="H528" i="1"/>
  <c r="G528" i="1"/>
  <c r="F528" i="1"/>
  <c r="E528" i="1"/>
  <c r="D528" i="1"/>
  <c r="C528" i="1"/>
  <c r="X527" i="1"/>
  <c r="W527" i="1"/>
  <c r="V527" i="1"/>
  <c r="U527" i="1"/>
  <c r="T527" i="1"/>
  <c r="S527" i="1"/>
  <c r="R527" i="1"/>
  <c r="Q527" i="1"/>
  <c r="P527" i="1"/>
  <c r="O527" i="1"/>
  <c r="N527" i="1"/>
  <c r="M527" i="1"/>
  <c r="L527" i="1"/>
  <c r="K527" i="1"/>
  <c r="J527" i="1"/>
  <c r="I527" i="1"/>
  <c r="H527" i="1"/>
  <c r="G527" i="1"/>
  <c r="F527" i="1"/>
  <c r="E527" i="1"/>
  <c r="D527" i="1"/>
  <c r="X526" i="1"/>
  <c r="W526" i="1"/>
  <c r="V526" i="1"/>
  <c r="U526" i="1"/>
  <c r="T526" i="1"/>
  <c r="S526" i="1"/>
  <c r="R526" i="1"/>
  <c r="Q526" i="1"/>
  <c r="P526" i="1"/>
  <c r="O526" i="1"/>
  <c r="N526" i="1"/>
  <c r="M526" i="1"/>
  <c r="L526" i="1"/>
  <c r="K526" i="1"/>
  <c r="J526" i="1"/>
  <c r="I526" i="1"/>
  <c r="H526" i="1"/>
  <c r="G526" i="1"/>
  <c r="F526" i="1"/>
  <c r="E526" i="1"/>
  <c r="D526" i="1"/>
  <c r="C526" i="1"/>
  <c r="X525" i="1"/>
  <c r="W525" i="1"/>
  <c r="V525" i="1"/>
  <c r="U525" i="1"/>
  <c r="T525" i="1"/>
  <c r="S525" i="1"/>
  <c r="R525" i="1"/>
  <c r="Q525" i="1"/>
  <c r="P525" i="1"/>
  <c r="O525" i="1"/>
  <c r="N525" i="1"/>
  <c r="M525" i="1"/>
  <c r="L525" i="1"/>
  <c r="K525" i="1"/>
  <c r="J525" i="1"/>
  <c r="I525" i="1"/>
  <c r="H525" i="1"/>
  <c r="G525" i="1"/>
  <c r="F525" i="1"/>
  <c r="E525" i="1"/>
  <c r="D525" i="1"/>
  <c r="C525" i="1"/>
  <c r="X524" i="1"/>
  <c r="W524" i="1"/>
  <c r="V524" i="1"/>
  <c r="U524" i="1"/>
  <c r="T524" i="1"/>
  <c r="S524" i="1"/>
  <c r="R524" i="1"/>
  <c r="Q524" i="1"/>
  <c r="P524" i="1"/>
  <c r="O524" i="1"/>
  <c r="N524" i="1"/>
  <c r="M524" i="1"/>
  <c r="L524" i="1"/>
  <c r="K524" i="1"/>
  <c r="J524" i="1"/>
  <c r="I524" i="1"/>
  <c r="H524" i="1"/>
  <c r="G524" i="1"/>
  <c r="F524" i="1"/>
  <c r="E524" i="1"/>
  <c r="D524" i="1"/>
  <c r="C524" i="1"/>
  <c r="X523" i="1"/>
  <c r="W523" i="1"/>
  <c r="V523" i="1"/>
  <c r="U523" i="1"/>
  <c r="T523" i="1"/>
  <c r="S523" i="1"/>
  <c r="R523" i="1"/>
  <c r="Q523" i="1"/>
  <c r="P523" i="1"/>
  <c r="O523" i="1"/>
  <c r="N523" i="1"/>
  <c r="M523" i="1"/>
  <c r="L523" i="1"/>
  <c r="K523" i="1"/>
  <c r="J523" i="1"/>
  <c r="I523" i="1"/>
  <c r="H523" i="1"/>
  <c r="G523" i="1"/>
  <c r="F523" i="1"/>
  <c r="E523" i="1"/>
  <c r="D523" i="1"/>
  <c r="X522" i="1"/>
  <c r="W522" i="1"/>
  <c r="V522" i="1"/>
  <c r="U522" i="1"/>
  <c r="T522" i="1"/>
  <c r="S522" i="1"/>
  <c r="R522" i="1"/>
  <c r="Q522" i="1"/>
  <c r="P522" i="1"/>
  <c r="O522" i="1"/>
  <c r="N522" i="1"/>
  <c r="M522" i="1"/>
  <c r="L522" i="1"/>
  <c r="K522" i="1"/>
  <c r="J522" i="1"/>
  <c r="I522" i="1"/>
  <c r="H522" i="1"/>
  <c r="G522" i="1"/>
  <c r="F522" i="1"/>
  <c r="E522" i="1"/>
  <c r="D522" i="1"/>
  <c r="C522" i="1"/>
  <c r="X521" i="1"/>
  <c r="W521" i="1"/>
  <c r="V521" i="1"/>
  <c r="U521" i="1"/>
  <c r="T521" i="1"/>
  <c r="S521" i="1"/>
  <c r="R521" i="1"/>
  <c r="Q521" i="1"/>
  <c r="P521" i="1"/>
  <c r="O521" i="1"/>
  <c r="N521" i="1"/>
  <c r="M521" i="1"/>
  <c r="L521" i="1"/>
  <c r="K521" i="1"/>
  <c r="J521" i="1"/>
  <c r="I521" i="1"/>
  <c r="H521" i="1"/>
  <c r="G521" i="1"/>
  <c r="F521" i="1"/>
  <c r="E521" i="1"/>
  <c r="D521" i="1"/>
  <c r="C521" i="1"/>
  <c r="X520" i="1"/>
  <c r="W520" i="1"/>
  <c r="V520" i="1"/>
  <c r="U520" i="1"/>
  <c r="T520" i="1"/>
  <c r="S520" i="1"/>
  <c r="R520" i="1"/>
  <c r="Q520" i="1"/>
  <c r="P520" i="1"/>
  <c r="O520" i="1"/>
  <c r="N520" i="1"/>
  <c r="M520" i="1"/>
  <c r="L520" i="1"/>
  <c r="K520" i="1"/>
  <c r="J520" i="1"/>
  <c r="I520" i="1"/>
  <c r="H520" i="1"/>
  <c r="G520" i="1"/>
  <c r="F520" i="1"/>
  <c r="E520" i="1"/>
  <c r="D520" i="1"/>
  <c r="C520" i="1"/>
  <c r="X519" i="1"/>
  <c r="W519" i="1"/>
  <c r="V519" i="1"/>
  <c r="U519" i="1"/>
  <c r="T519" i="1"/>
  <c r="S519" i="1"/>
  <c r="R519" i="1"/>
  <c r="Q519" i="1"/>
  <c r="P519" i="1"/>
  <c r="O519" i="1"/>
  <c r="N519" i="1"/>
  <c r="M519" i="1"/>
  <c r="L519" i="1"/>
  <c r="K519" i="1"/>
  <c r="J519" i="1"/>
  <c r="I519" i="1"/>
  <c r="H519" i="1"/>
  <c r="G519" i="1"/>
  <c r="F519" i="1"/>
  <c r="E519" i="1"/>
  <c r="D519" i="1"/>
  <c r="C519" i="1"/>
  <c r="X518" i="1"/>
  <c r="W518" i="1"/>
  <c r="V518" i="1"/>
  <c r="U518" i="1"/>
  <c r="T518" i="1"/>
  <c r="S518" i="1"/>
  <c r="R518" i="1"/>
  <c r="Q518" i="1"/>
  <c r="P518" i="1"/>
  <c r="O518" i="1"/>
  <c r="N518" i="1"/>
  <c r="M518" i="1"/>
  <c r="L518" i="1"/>
  <c r="K518" i="1"/>
  <c r="J518" i="1"/>
  <c r="I518" i="1"/>
  <c r="H518" i="1"/>
  <c r="G518" i="1"/>
  <c r="F518" i="1"/>
  <c r="E518" i="1"/>
  <c r="D518" i="1"/>
  <c r="C518" i="1"/>
  <c r="X517" i="1"/>
  <c r="W517" i="1"/>
  <c r="V517" i="1"/>
  <c r="U517" i="1"/>
  <c r="T517" i="1"/>
  <c r="S517" i="1"/>
  <c r="R517" i="1"/>
  <c r="Q517" i="1"/>
  <c r="P517" i="1"/>
  <c r="O517" i="1"/>
  <c r="N517" i="1"/>
  <c r="M517" i="1"/>
  <c r="L517" i="1"/>
  <c r="K517" i="1"/>
  <c r="J517" i="1"/>
  <c r="I517" i="1"/>
  <c r="H517" i="1"/>
  <c r="G517" i="1"/>
  <c r="F517" i="1"/>
  <c r="E517" i="1"/>
  <c r="D517" i="1"/>
  <c r="C517" i="1"/>
  <c r="X516" i="1"/>
  <c r="W516" i="1"/>
  <c r="V516" i="1"/>
  <c r="U516" i="1"/>
  <c r="T516" i="1"/>
  <c r="S516" i="1"/>
  <c r="R516" i="1"/>
  <c r="Q516" i="1"/>
  <c r="P516" i="1"/>
  <c r="O516" i="1"/>
  <c r="N516" i="1"/>
  <c r="M516" i="1"/>
  <c r="L516" i="1"/>
  <c r="K516" i="1"/>
  <c r="J516" i="1"/>
  <c r="I516" i="1"/>
  <c r="H516" i="1"/>
  <c r="G516" i="1"/>
  <c r="F516" i="1"/>
  <c r="E516" i="1"/>
  <c r="D516" i="1"/>
  <c r="C516" i="1"/>
  <c r="X515" i="1"/>
  <c r="W515" i="1"/>
  <c r="V515" i="1"/>
  <c r="U515" i="1"/>
  <c r="T515" i="1"/>
  <c r="S515" i="1"/>
  <c r="R515" i="1"/>
  <c r="Q515" i="1"/>
  <c r="P515" i="1"/>
  <c r="O515" i="1"/>
  <c r="N515" i="1"/>
  <c r="M515" i="1"/>
  <c r="L515" i="1"/>
  <c r="K515" i="1"/>
  <c r="J515" i="1"/>
  <c r="I515" i="1"/>
  <c r="H515" i="1"/>
  <c r="G515" i="1"/>
  <c r="F515" i="1"/>
  <c r="E515" i="1"/>
  <c r="D515" i="1"/>
  <c r="C515" i="1"/>
  <c r="X514" i="1"/>
  <c r="W514" i="1"/>
  <c r="V514" i="1"/>
  <c r="U514" i="1"/>
  <c r="T514" i="1"/>
  <c r="S514" i="1"/>
  <c r="R514" i="1"/>
  <c r="Q514" i="1"/>
  <c r="P514" i="1"/>
  <c r="O514" i="1"/>
  <c r="N514" i="1"/>
  <c r="M514" i="1"/>
  <c r="L514" i="1"/>
  <c r="K514" i="1"/>
  <c r="J514" i="1"/>
  <c r="I514" i="1"/>
  <c r="H514" i="1"/>
  <c r="G514" i="1"/>
  <c r="F514" i="1"/>
  <c r="E514" i="1"/>
  <c r="D514" i="1"/>
  <c r="C514" i="1"/>
  <c r="X513" i="1"/>
  <c r="W513" i="1"/>
  <c r="V513" i="1"/>
  <c r="U513" i="1"/>
  <c r="T513" i="1"/>
  <c r="S513" i="1"/>
  <c r="R513" i="1"/>
  <c r="Q513" i="1"/>
  <c r="P513" i="1"/>
  <c r="O513" i="1"/>
  <c r="N513" i="1"/>
  <c r="M513" i="1"/>
  <c r="L513" i="1"/>
  <c r="K513" i="1"/>
  <c r="J513" i="1"/>
  <c r="I513" i="1"/>
  <c r="H513" i="1"/>
  <c r="G513" i="1"/>
  <c r="F513" i="1"/>
  <c r="E513" i="1"/>
  <c r="D513" i="1"/>
  <c r="C513" i="1"/>
  <c r="X512" i="1"/>
  <c r="W512" i="1"/>
  <c r="V512" i="1"/>
  <c r="U512" i="1"/>
  <c r="T512" i="1"/>
  <c r="S512" i="1"/>
  <c r="R512" i="1"/>
  <c r="Q512" i="1"/>
  <c r="P512" i="1"/>
  <c r="O512" i="1"/>
  <c r="N512" i="1"/>
  <c r="M512" i="1"/>
  <c r="L512" i="1"/>
  <c r="K512" i="1"/>
  <c r="J512" i="1"/>
  <c r="I512" i="1"/>
  <c r="H512" i="1"/>
  <c r="G512" i="1"/>
  <c r="F512" i="1"/>
  <c r="E512" i="1"/>
  <c r="D512" i="1"/>
  <c r="C512" i="1"/>
  <c r="X511" i="1"/>
  <c r="W511" i="1"/>
  <c r="V511" i="1"/>
  <c r="U511" i="1"/>
  <c r="T511" i="1"/>
  <c r="S511" i="1"/>
  <c r="R511" i="1"/>
  <c r="Q511" i="1"/>
  <c r="P511" i="1"/>
  <c r="O511" i="1"/>
  <c r="N511" i="1"/>
  <c r="M511" i="1"/>
  <c r="L511" i="1"/>
  <c r="K511" i="1"/>
  <c r="J511" i="1"/>
  <c r="I511" i="1"/>
  <c r="H511" i="1"/>
  <c r="G511" i="1"/>
  <c r="F511" i="1"/>
  <c r="E511" i="1"/>
  <c r="D511" i="1"/>
  <c r="C511" i="1"/>
  <c r="X510" i="1"/>
  <c r="W510" i="1"/>
  <c r="V510" i="1"/>
  <c r="U510" i="1"/>
  <c r="T510" i="1"/>
  <c r="S510" i="1"/>
  <c r="R510" i="1"/>
  <c r="Q510" i="1"/>
  <c r="P510" i="1"/>
  <c r="O510" i="1"/>
  <c r="N510" i="1"/>
  <c r="M510" i="1"/>
  <c r="L510" i="1"/>
  <c r="K510" i="1"/>
  <c r="J510" i="1"/>
  <c r="I510" i="1"/>
  <c r="H510" i="1"/>
  <c r="G510" i="1"/>
  <c r="F510" i="1"/>
  <c r="E510" i="1"/>
  <c r="D510" i="1"/>
  <c r="C510" i="1"/>
  <c r="X509" i="1"/>
  <c r="W509" i="1"/>
  <c r="V509" i="1"/>
  <c r="U509" i="1"/>
  <c r="T509" i="1"/>
  <c r="S509" i="1"/>
  <c r="R509" i="1"/>
  <c r="Q509" i="1"/>
  <c r="P509" i="1"/>
  <c r="O509" i="1"/>
  <c r="N509" i="1"/>
  <c r="M509" i="1"/>
  <c r="L509" i="1"/>
  <c r="K509" i="1"/>
  <c r="J509" i="1"/>
  <c r="I509" i="1"/>
  <c r="H509" i="1"/>
  <c r="G509" i="1"/>
  <c r="F509" i="1"/>
  <c r="E509" i="1"/>
  <c r="D509" i="1"/>
  <c r="C509" i="1"/>
  <c r="X508" i="1"/>
  <c r="W508" i="1"/>
  <c r="V508" i="1"/>
  <c r="U508" i="1"/>
  <c r="T508" i="1"/>
  <c r="S508" i="1"/>
  <c r="R508" i="1"/>
  <c r="Q508" i="1"/>
  <c r="P508" i="1"/>
  <c r="O508" i="1"/>
  <c r="N508" i="1"/>
  <c r="M508" i="1"/>
  <c r="L508" i="1"/>
  <c r="K508" i="1"/>
  <c r="J508" i="1"/>
  <c r="I508" i="1"/>
  <c r="H508" i="1"/>
  <c r="G508" i="1"/>
  <c r="F508" i="1"/>
  <c r="E508" i="1"/>
  <c r="D508" i="1"/>
  <c r="C508" i="1"/>
  <c r="X507" i="1"/>
  <c r="W507" i="1"/>
  <c r="V507" i="1"/>
  <c r="U507" i="1"/>
  <c r="T507" i="1"/>
  <c r="S507" i="1"/>
  <c r="R507" i="1"/>
  <c r="Q507" i="1"/>
  <c r="P507" i="1"/>
  <c r="O507" i="1"/>
  <c r="N507" i="1"/>
  <c r="M507" i="1"/>
  <c r="L507" i="1"/>
  <c r="K507" i="1"/>
  <c r="J507" i="1"/>
  <c r="I507" i="1"/>
  <c r="H507" i="1"/>
  <c r="G507" i="1"/>
  <c r="F507" i="1"/>
  <c r="E507" i="1"/>
  <c r="D507" i="1"/>
  <c r="C507" i="1"/>
  <c r="X506" i="1"/>
  <c r="W506" i="1"/>
  <c r="V506" i="1"/>
  <c r="U506" i="1"/>
  <c r="T506" i="1"/>
  <c r="S506" i="1"/>
  <c r="R506" i="1"/>
  <c r="Q506" i="1"/>
  <c r="P506" i="1"/>
  <c r="O506" i="1"/>
  <c r="N506" i="1"/>
  <c r="M506" i="1"/>
  <c r="L506" i="1"/>
  <c r="K506" i="1"/>
  <c r="J506" i="1"/>
  <c r="I506" i="1"/>
  <c r="H506" i="1"/>
  <c r="G506" i="1"/>
  <c r="F506" i="1"/>
  <c r="E506" i="1"/>
  <c r="D506" i="1"/>
  <c r="X505" i="1"/>
  <c r="W505" i="1"/>
  <c r="V505" i="1"/>
  <c r="U505" i="1"/>
  <c r="T505" i="1"/>
  <c r="S505" i="1"/>
  <c r="R505" i="1"/>
  <c r="Q505" i="1"/>
  <c r="P505" i="1"/>
  <c r="O505" i="1"/>
  <c r="N505" i="1"/>
  <c r="M505" i="1"/>
  <c r="L505" i="1"/>
  <c r="K505" i="1"/>
  <c r="J505" i="1"/>
  <c r="I505" i="1"/>
  <c r="H505" i="1"/>
  <c r="G505" i="1"/>
  <c r="F505" i="1"/>
  <c r="E505" i="1"/>
  <c r="D505" i="1"/>
  <c r="X504" i="1"/>
  <c r="W504" i="1"/>
  <c r="V504" i="1"/>
  <c r="U504" i="1"/>
  <c r="T504" i="1"/>
  <c r="S504" i="1"/>
  <c r="R504" i="1"/>
  <c r="Q504" i="1"/>
  <c r="P504" i="1"/>
  <c r="O504" i="1"/>
  <c r="N504" i="1"/>
  <c r="M504" i="1"/>
  <c r="L504" i="1"/>
  <c r="K504" i="1"/>
  <c r="J504" i="1"/>
  <c r="I504" i="1"/>
  <c r="H504" i="1"/>
  <c r="G504" i="1"/>
  <c r="F504" i="1"/>
  <c r="E504" i="1"/>
  <c r="D504" i="1"/>
  <c r="C504" i="1"/>
  <c r="X503" i="1"/>
  <c r="W503" i="1"/>
  <c r="V503" i="1"/>
  <c r="U503" i="1"/>
  <c r="T503" i="1"/>
  <c r="S503" i="1"/>
  <c r="R503" i="1"/>
  <c r="Q503" i="1"/>
  <c r="P503" i="1"/>
  <c r="O503" i="1"/>
  <c r="N503" i="1"/>
  <c r="M503" i="1"/>
  <c r="L503" i="1"/>
  <c r="K503" i="1"/>
  <c r="J503" i="1"/>
  <c r="I503" i="1"/>
  <c r="H503" i="1"/>
  <c r="G503" i="1"/>
  <c r="F503" i="1"/>
  <c r="E503" i="1"/>
  <c r="D503" i="1"/>
  <c r="C503" i="1"/>
  <c r="X502" i="1"/>
  <c r="W502" i="1"/>
  <c r="V502" i="1"/>
  <c r="U502" i="1"/>
  <c r="T502" i="1"/>
  <c r="S502" i="1"/>
  <c r="R502" i="1"/>
  <c r="Q502" i="1"/>
  <c r="P502" i="1"/>
  <c r="O502" i="1"/>
  <c r="N502" i="1"/>
  <c r="M502" i="1"/>
  <c r="L502" i="1"/>
  <c r="K502" i="1"/>
  <c r="J502" i="1"/>
  <c r="I502" i="1"/>
  <c r="H502" i="1"/>
  <c r="G502" i="1"/>
  <c r="F502" i="1"/>
  <c r="E502" i="1"/>
  <c r="D502" i="1"/>
  <c r="C502" i="1"/>
  <c r="X501" i="1"/>
  <c r="W501" i="1"/>
  <c r="V501" i="1"/>
  <c r="U501" i="1"/>
  <c r="T501" i="1"/>
  <c r="S501" i="1"/>
  <c r="R501" i="1"/>
  <c r="Q501" i="1"/>
  <c r="P501" i="1"/>
  <c r="O501" i="1"/>
  <c r="N501" i="1"/>
  <c r="M501" i="1"/>
  <c r="L501" i="1"/>
  <c r="K501" i="1"/>
  <c r="J501" i="1"/>
  <c r="I501" i="1"/>
  <c r="H501" i="1"/>
  <c r="G501" i="1"/>
  <c r="F501" i="1"/>
  <c r="E501" i="1"/>
  <c r="D501" i="1"/>
  <c r="C501" i="1"/>
  <c r="X500" i="1"/>
  <c r="W500" i="1"/>
  <c r="V500" i="1"/>
  <c r="U500" i="1"/>
  <c r="T500" i="1"/>
  <c r="S500" i="1"/>
  <c r="R500" i="1"/>
  <c r="Q500" i="1"/>
  <c r="P500" i="1"/>
  <c r="O500" i="1"/>
  <c r="N500" i="1"/>
  <c r="M500" i="1"/>
  <c r="L500" i="1"/>
  <c r="K500" i="1"/>
  <c r="J500" i="1"/>
  <c r="I500" i="1"/>
  <c r="H500" i="1"/>
  <c r="G500" i="1"/>
  <c r="F500" i="1"/>
  <c r="E500" i="1"/>
  <c r="D500" i="1"/>
  <c r="C500" i="1"/>
  <c r="X499" i="1"/>
  <c r="W499" i="1"/>
  <c r="V499" i="1"/>
  <c r="U499" i="1"/>
  <c r="T499" i="1"/>
  <c r="S499" i="1"/>
  <c r="R499" i="1"/>
  <c r="Q499" i="1"/>
  <c r="P499" i="1"/>
  <c r="O499" i="1"/>
  <c r="N499" i="1"/>
  <c r="M499" i="1"/>
  <c r="L499" i="1"/>
  <c r="K499" i="1"/>
  <c r="J499" i="1"/>
  <c r="I499" i="1"/>
  <c r="H499" i="1"/>
  <c r="G499" i="1"/>
  <c r="F499" i="1"/>
  <c r="E499" i="1"/>
  <c r="D499" i="1"/>
  <c r="C499" i="1"/>
  <c r="X498" i="1"/>
  <c r="W498" i="1"/>
  <c r="V498" i="1"/>
  <c r="U498" i="1"/>
  <c r="T498" i="1"/>
  <c r="S498" i="1"/>
  <c r="R498" i="1"/>
  <c r="Q498" i="1"/>
  <c r="P498" i="1"/>
  <c r="O498" i="1"/>
  <c r="N498" i="1"/>
  <c r="M498" i="1"/>
  <c r="L498" i="1"/>
  <c r="K498" i="1"/>
  <c r="J498" i="1"/>
  <c r="I498" i="1"/>
  <c r="H498" i="1"/>
  <c r="G498" i="1"/>
  <c r="F498" i="1"/>
  <c r="E498" i="1"/>
  <c r="D498" i="1"/>
  <c r="C498" i="1"/>
  <c r="X497" i="1"/>
  <c r="W497" i="1"/>
  <c r="V497" i="1"/>
  <c r="U497" i="1"/>
  <c r="T497" i="1"/>
  <c r="S497" i="1"/>
  <c r="R497" i="1"/>
  <c r="Q497" i="1"/>
  <c r="P497" i="1"/>
  <c r="O497" i="1"/>
  <c r="N497" i="1"/>
  <c r="M497" i="1"/>
  <c r="L497" i="1"/>
  <c r="K497" i="1"/>
  <c r="J497" i="1"/>
  <c r="I497" i="1"/>
  <c r="H497" i="1"/>
  <c r="G497" i="1"/>
  <c r="F497" i="1"/>
  <c r="E497" i="1"/>
  <c r="D497" i="1"/>
  <c r="C497" i="1"/>
  <c r="X496" i="1"/>
  <c r="W496" i="1"/>
  <c r="V496" i="1"/>
  <c r="U496" i="1"/>
  <c r="T496" i="1"/>
  <c r="S496" i="1"/>
  <c r="R496" i="1"/>
  <c r="Q496" i="1"/>
  <c r="P496" i="1"/>
  <c r="O496" i="1"/>
  <c r="N496" i="1"/>
  <c r="M496" i="1"/>
  <c r="L496" i="1"/>
  <c r="K496" i="1"/>
  <c r="J496" i="1"/>
  <c r="I496" i="1"/>
  <c r="H496" i="1"/>
  <c r="G496" i="1"/>
  <c r="F496" i="1"/>
  <c r="E496" i="1"/>
  <c r="D496" i="1"/>
  <c r="C496" i="1"/>
  <c r="X495" i="1"/>
  <c r="W495" i="1"/>
  <c r="V495" i="1"/>
  <c r="U495" i="1"/>
  <c r="T495" i="1"/>
  <c r="S495" i="1"/>
  <c r="R495" i="1"/>
  <c r="Q495" i="1"/>
  <c r="P495" i="1"/>
  <c r="O495" i="1"/>
  <c r="N495" i="1"/>
  <c r="M495" i="1"/>
  <c r="L495" i="1"/>
  <c r="K495" i="1"/>
  <c r="J495" i="1"/>
  <c r="I495" i="1"/>
  <c r="H495" i="1"/>
  <c r="G495" i="1"/>
  <c r="F495" i="1"/>
  <c r="E495" i="1"/>
  <c r="D495" i="1"/>
  <c r="C495" i="1"/>
  <c r="X494" i="1"/>
  <c r="W494" i="1"/>
  <c r="V494" i="1"/>
  <c r="U494" i="1"/>
  <c r="T494" i="1"/>
  <c r="S494" i="1"/>
  <c r="R494" i="1"/>
  <c r="Q494" i="1"/>
  <c r="P494" i="1"/>
  <c r="O494" i="1"/>
  <c r="N494" i="1"/>
  <c r="M494" i="1"/>
  <c r="L494" i="1"/>
  <c r="K494" i="1"/>
  <c r="J494" i="1"/>
  <c r="I494" i="1"/>
  <c r="H494" i="1"/>
  <c r="G494" i="1"/>
  <c r="F494" i="1"/>
  <c r="E494" i="1"/>
  <c r="D494" i="1"/>
  <c r="C494" i="1"/>
  <c r="X493" i="1"/>
  <c r="W493" i="1"/>
  <c r="V493" i="1"/>
  <c r="U493" i="1"/>
  <c r="T493" i="1"/>
  <c r="S493" i="1"/>
  <c r="R493" i="1"/>
  <c r="Q493" i="1"/>
  <c r="P493" i="1"/>
  <c r="O493" i="1"/>
  <c r="N493" i="1"/>
  <c r="M493" i="1"/>
  <c r="L493" i="1"/>
  <c r="K493" i="1"/>
  <c r="J493" i="1"/>
  <c r="I493" i="1"/>
  <c r="H493" i="1"/>
  <c r="G493" i="1"/>
  <c r="F493" i="1"/>
  <c r="E493" i="1"/>
  <c r="D493" i="1"/>
  <c r="C493" i="1"/>
  <c r="X492" i="1"/>
  <c r="W492" i="1"/>
  <c r="V492" i="1"/>
  <c r="U492" i="1"/>
  <c r="T492" i="1"/>
  <c r="S492" i="1"/>
  <c r="R492" i="1"/>
  <c r="Q492" i="1"/>
  <c r="P492" i="1"/>
  <c r="O492" i="1"/>
  <c r="N492" i="1"/>
  <c r="M492" i="1"/>
  <c r="L492" i="1"/>
  <c r="K492" i="1"/>
  <c r="J492" i="1"/>
  <c r="I492" i="1"/>
  <c r="H492" i="1"/>
  <c r="G492" i="1"/>
  <c r="F492" i="1"/>
  <c r="E492" i="1"/>
  <c r="D492" i="1"/>
  <c r="C492" i="1"/>
  <c r="X491" i="1"/>
  <c r="W491" i="1"/>
  <c r="V491" i="1"/>
  <c r="U491" i="1"/>
  <c r="T491" i="1"/>
  <c r="S491" i="1"/>
  <c r="R491" i="1"/>
  <c r="Q491" i="1"/>
  <c r="P491" i="1"/>
  <c r="O491" i="1"/>
  <c r="N491" i="1"/>
  <c r="M491" i="1"/>
  <c r="L491" i="1"/>
  <c r="K491" i="1"/>
  <c r="J491" i="1"/>
  <c r="I491" i="1"/>
  <c r="H491" i="1"/>
  <c r="G491" i="1"/>
  <c r="F491" i="1"/>
  <c r="E491" i="1"/>
  <c r="D491" i="1"/>
  <c r="C491" i="1"/>
  <c r="X490" i="1"/>
  <c r="W490" i="1"/>
  <c r="V490" i="1"/>
  <c r="U490" i="1"/>
  <c r="T490" i="1"/>
  <c r="S490" i="1"/>
  <c r="R490" i="1"/>
  <c r="Q490" i="1"/>
  <c r="P490" i="1"/>
  <c r="O490" i="1"/>
  <c r="N490" i="1"/>
  <c r="M490" i="1"/>
  <c r="L490" i="1"/>
  <c r="K490" i="1"/>
  <c r="J490" i="1"/>
  <c r="I490" i="1"/>
  <c r="H490" i="1"/>
  <c r="G490" i="1"/>
  <c r="F490" i="1"/>
  <c r="E490" i="1"/>
  <c r="D490" i="1"/>
  <c r="C490" i="1"/>
  <c r="X489" i="1"/>
  <c r="W489" i="1"/>
  <c r="V489" i="1"/>
  <c r="U489" i="1"/>
  <c r="T489" i="1"/>
  <c r="S489" i="1"/>
  <c r="R489" i="1"/>
  <c r="Q489" i="1"/>
  <c r="P489" i="1"/>
  <c r="O489" i="1"/>
  <c r="N489" i="1"/>
  <c r="M489" i="1"/>
  <c r="L489" i="1"/>
  <c r="K489" i="1"/>
  <c r="J489" i="1"/>
  <c r="I489" i="1"/>
  <c r="H489" i="1"/>
  <c r="G489" i="1"/>
  <c r="F489" i="1"/>
  <c r="E489" i="1"/>
  <c r="D489" i="1"/>
  <c r="C489" i="1"/>
  <c r="X488" i="1"/>
  <c r="W488" i="1"/>
  <c r="V488" i="1"/>
  <c r="U488" i="1"/>
  <c r="T488" i="1"/>
  <c r="S488" i="1"/>
  <c r="R488" i="1"/>
  <c r="Q488" i="1"/>
  <c r="P488" i="1"/>
  <c r="O488" i="1"/>
  <c r="N488" i="1"/>
  <c r="M488" i="1"/>
  <c r="L488" i="1"/>
  <c r="K488" i="1"/>
  <c r="J488" i="1"/>
  <c r="I488" i="1"/>
  <c r="H488" i="1"/>
  <c r="G488" i="1"/>
  <c r="F488" i="1"/>
  <c r="E488" i="1"/>
  <c r="D488" i="1"/>
  <c r="C488" i="1"/>
  <c r="X487" i="1"/>
  <c r="W487" i="1"/>
  <c r="V487" i="1"/>
  <c r="U487" i="1"/>
  <c r="T487" i="1"/>
  <c r="S487" i="1"/>
  <c r="R487" i="1"/>
  <c r="Q487" i="1"/>
  <c r="P487" i="1"/>
  <c r="O487" i="1"/>
  <c r="N487" i="1"/>
  <c r="M487" i="1"/>
  <c r="L487" i="1"/>
  <c r="K487" i="1"/>
  <c r="J487" i="1"/>
  <c r="I487" i="1"/>
  <c r="H487" i="1"/>
  <c r="G487" i="1"/>
  <c r="F487" i="1"/>
  <c r="E487" i="1"/>
  <c r="D487" i="1"/>
  <c r="C487" i="1"/>
  <c r="X486" i="1"/>
  <c r="W486" i="1"/>
  <c r="V486" i="1"/>
  <c r="U486" i="1"/>
  <c r="T486" i="1"/>
  <c r="S486" i="1"/>
  <c r="R486" i="1"/>
  <c r="Q486" i="1"/>
  <c r="P486" i="1"/>
  <c r="O486" i="1"/>
  <c r="N486" i="1"/>
  <c r="M486" i="1"/>
  <c r="L486" i="1"/>
  <c r="K486" i="1"/>
  <c r="J486" i="1"/>
  <c r="I486" i="1"/>
  <c r="H486" i="1"/>
  <c r="G486" i="1"/>
  <c r="F486" i="1"/>
  <c r="E486" i="1"/>
  <c r="D486" i="1"/>
  <c r="C486" i="1"/>
  <c r="X485" i="1"/>
  <c r="W485" i="1"/>
  <c r="V485" i="1"/>
  <c r="U485" i="1"/>
  <c r="T485" i="1"/>
  <c r="S485" i="1"/>
  <c r="R485" i="1"/>
  <c r="Q485" i="1"/>
  <c r="P485" i="1"/>
  <c r="O485" i="1"/>
  <c r="N485" i="1"/>
  <c r="M485" i="1"/>
  <c r="L485" i="1"/>
  <c r="K485" i="1"/>
  <c r="J485" i="1"/>
  <c r="I485" i="1"/>
  <c r="H485" i="1"/>
  <c r="G485" i="1"/>
  <c r="F485" i="1"/>
  <c r="E485" i="1"/>
  <c r="D485" i="1"/>
  <c r="C485" i="1"/>
  <c r="X484" i="1"/>
  <c r="W484" i="1"/>
  <c r="V484" i="1"/>
  <c r="U484" i="1"/>
  <c r="T484" i="1"/>
  <c r="S484" i="1"/>
  <c r="R484" i="1"/>
  <c r="Q484" i="1"/>
  <c r="P484" i="1"/>
  <c r="O484" i="1"/>
  <c r="N484" i="1"/>
  <c r="M484" i="1"/>
  <c r="L484" i="1"/>
  <c r="K484" i="1"/>
  <c r="J484" i="1"/>
  <c r="I484" i="1"/>
  <c r="H484" i="1"/>
  <c r="G484" i="1"/>
  <c r="F484" i="1"/>
  <c r="E484" i="1"/>
  <c r="D484" i="1"/>
  <c r="C484" i="1"/>
  <c r="X483" i="1"/>
  <c r="W483" i="1"/>
  <c r="V483" i="1"/>
  <c r="U483" i="1"/>
  <c r="T483" i="1"/>
  <c r="S483" i="1"/>
  <c r="R483" i="1"/>
  <c r="Q483" i="1"/>
  <c r="P483" i="1"/>
  <c r="O483" i="1"/>
  <c r="N483" i="1"/>
  <c r="M483" i="1"/>
  <c r="L483" i="1"/>
  <c r="K483" i="1"/>
  <c r="J483" i="1"/>
  <c r="I483" i="1"/>
  <c r="H483" i="1"/>
  <c r="G483" i="1"/>
  <c r="F483" i="1"/>
  <c r="E483" i="1"/>
  <c r="D483" i="1"/>
  <c r="C483" i="1"/>
  <c r="X482" i="1"/>
  <c r="W482" i="1"/>
  <c r="V482" i="1"/>
  <c r="U482" i="1"/>
  <c r="T482" i="1"/>
  <c r="S482" i="1"/>
  <c r="R482" i="1"/>
  <c r="Q482" i="1"/>
  <c r="P482" i="1"/>
  <c r="O482" i="1"/>
  <c r="N482" i="1"/>
  <c r="M482" i="1"/>
  <c r="L482" i="1"/>
  <c r="K482" i="1"/>
  <c r="J482" i="1"/>
  <c r="I482" i="1"/>
  <c r="H482" i="1"/>
  <c r="G482" i="1"/>
  <c r="F482" i="1"/>
  <c r="E482" i="1"/>
  <c r="D482" i="1"/>
  <c r="C482" i="1"/>
  <c r="X481" i="1"/>
  <c r="W481" i="1"/>
  <c r="V481" i="1"/>
  <c r="U481" i="1"/>
  <c r="T481" i="1"/>
  <c r="S481" i="1"/>
  <c r="R481" i="1"/>
  <c r="Q481" i="1"/>
  <c r="P481" i="1"/>
  <c r="O481" i="1"/>
  <c r="N481" i="1"/>
  <c r="M481" i="1"/>
  <c r="L481" i="1"/>
  <c r="K481" i="1"/>
  <c r="J481" i="1"/>
  <c r="I481" i="1"/>
  <c r="H481" i="1"/>
  <c r="G481" i="1"/>
  <c r="F481" i="1"/>
  <c r="E481" i="1"/>
  <c r="D481" i="1"/>
  <c r="C481" i="1"/>
  <c r="X480" i="1"/>
  <c r="W480" i="1"/>
  <c r="V480" i="1"/>
  <c r="U480" i="1"/>
  <c r="T480" i="1"/>
  <c r="S480" i="1"/>
  <c r="R480" i="1"/>
  <c r="Q480" i="1"/>
  <c r="P480" i="1"/>
  <c r="O480" i="1"/>
  <c r="N480" i="1"/>
  <c r="M480" i="1"/>
  <c r="L480" i="1"/>
  <c r="K480" i="1"/>
  <c r="J480" i="1"/>
  <c r="I480" i="1"/>
  <c r="H480" i="1"/>
  <c r="G480" i="1"/>
  <c r="F480" i="1"/>
  <c r="E480" i="1"/>
  <c r="D480" i="1"/>
  <c r="C480" i="1"/>
  <c r="X479" i="1"/>
  <c r="W479" i="1"/>
  <c r="V479" i="1"/>
  <c r="U479" i="1"/>
  <c r="T479" i="1"/>
  <c r="S479" i="1"/>
  <c r="R479" i="1"/>
  <c r="Q479" i="1"/>
  <c r="P479" i="1"/>
  <c r="O479" i="1"/>
  <c r="N479" i="1"/>
  <c r="M479" i="1"/>
  <c r="L479" i="1"/>
  <c r="K479" i="1"/>
  <c r="J479" i="1"/>
  <c r="I479" i="1"/>
  <c r="H479" i="1"/>
  <c r="G479" i="1"/>
  <c r="F479" i="1"/>
  <c r="E479" i="1"/>
  <c r="D479" i="1"/>
  <c r="C479" i="1"/>
  <c r="X478" i="1"/>
  <c r="W478" i="1"/>
  <c r="V478" i="1"/>
  <c r="U478" i="1"/>
  <c r="T478" i="1"/>
  <c r="S478" i="1"/>
  <c r="R478" i="1"/>
  <c r="Q478" i="1"/>
  <c r="P478" i="1"/>
  <c r="O478" i="1"/>
  <c r="N478" i="1"/>
  <c r="M478" i="1"/>
  <c r="L478" i="1"/>
  <c r="K478" i="1"/>
  <c r="J478" i="1"/>
  <c r="I478" i="1"/>
  <c r="H478" i="1"/>
  <c r="G478" i="1"/>
  <c r="F478" i="1"/>
  <c r="E478" i="1"/>
  <c r="D478" i="1"/>
  <c r="C478" i="1"/>
  <c r="X477" i="1"/>
  <c r="W477" i="1"/>
  <c r="V477" i="1"/>
  <c r="U477" i="1"/>
  <c r="T477" i="1"/>
  <c r="S477" i="1"/>
  <c r="R477" i="1"/>
  <c r="Q477" i="1"/>
  <c r="P477" i="1"/>
  <c r="O477" i="1"/>
  <c r="N477" i="1"/>
  <c r="M477" i="1"/>
  <c r="L477" i="1"/>
  <c r="K477" i="1"/>
  <c r="J477" i="1"/>
  <c r="I477" i="1"/>
  <c r="H477" i="1"/>
  <c r="G477" i="1"/>
  <c r="F477" i="1"/>
  <c r="E477" i="1"/>
  <c r="D477" i="1"/>
  <c r="C477" i="1"/>
  <c r="X476" i="1"/>
  <c r="W476" i="1"/>
  <c r="V476" i="1"/>
  <c r="U476" i="1"/>
  <c r="T476" i="1"/>
  <c r="S476" i="1"/>
  <c r="R476" i="1"/>
  <c r="Q476" i="1"/>
  <c r="P476" i="1"/>
  <c r="O476" i="1"/>
  <c r="N476" i="1"/>
  <c r="M476" i="1"/>
  <c r="L476" i="1"/>
  <c r="K476" i="1"/>
  <c r="J476" i="1"/>
  <c r="I476" i="1"/>
  <c r="H476" i="1"/>
  <c r="G476" i="1"/>
  <c r="F476" i="1"/>
  <c r="E476" i="1"/>
  <c r="D476" i="1"/>
  <c r="C476" i="1"/>
  <c r="X475" i="1"/>
  <c r="W475" i="1"/>
  <c r="V475" i="1"/>
  <c r="U475" i="1"/>
  <c r="T475" i="1"/>
  <c r="S475" i="1"/>
  <c r="R475" i="1"/>
  <c r="Q475" i="1"/>
  <c r="P475" i="1"/>
  <c r="O475" i="1"/>
  <c r="N475" i="1"/>
  <c r="M475" i="1"/>
  <c r="L475" i="1"/>
  <c r="K475" i="1"/>
  <c r="J475" i="1"/>
  <c r="I475" i="1"/>
  <c r="H475" i="1"/>
  <c r="G475" i="1"/>
  <c r="F475" i="1"/>
  <c r="E475" i="1"/>
  <c r="D475" i="1"/>
  <c r="C475" i="1"/>
  <c r="X474" i="1"/>
  <c r="W474" i="1"/>
  <c r="V474" i="1"/>
  <c r="U474" i="1"/>
  <c r="T474" i="1"/>
  <c r="S474" i="1"/>
  <c r="R474" i="1"/>
  <c r="Q474" i="1"/>
  <c r="P474" i="1"/>
  <c r="O474" i="1"/>
  <c r="N474" i="1"/>
  <c r="M474" i="1"/>
  <c r="L474" i="1"/>
  <c r="K474" i="1"/>
  <c r="J474" i="1"/>
  <c r="I474" i="1"/>
  <c r="H474" i="1"/>
  <c r="G474" i="1"/>
  <c r="F474" i="1"/>
  <c r="E474" i="1"/>
  <c r="D474" i="1"/>
  <c r="C474" i="1"/>
  <c r="X473" i="1"/>
  <c r="W473" i="1"/>
  <c r="V473" i="1"/>
  <c r="U473" i="1"/>
  <c r="T473" i="1"/>
  <c r="S473" i="1"/>
  <c r="R473" i="1"/>
  <c r="Q473" i="1"/>
  <c r="P473" i="1"/>
  <c r="O473" i="1"/>
  <c r="N473" i="1"/>
  <c r="M473" i="1"/>
  <c r="L473" i="1"/>
  <c r="K473" i="1"/>
  <c r="J473" i="1"/>
  <c r="I473" i="1"/>
  <c r="H473" i="1"/>
  <c r="G473" i="1"/>
  <c r="F473" i="1"/>
  <c r="E473" i="1"/>
  <c r="D473" i="1"/>
  <c r="C473" i="1"/>
  <c r="X472" i="1"/>
  <c r="W472" i="1"/>
  <c r="V472" i="1"/>
  <c r="U472" i="1"/>
  <c r="T472" i="1"/>
  <c r="S472" i="1"/>
  <c r="R472" i="1"/>
  <c r="Q472" i="1"/>
  <c r="P472" i="1"/>
  <c r="O472" i="1"/>
  <c r="N472" i="1"/>
  <c r="M472" i="1"/>
  <c r="L472" i="1"/>
  <c r="K472" i="1"/>
  <c r="J472" i="1"/>
  <c r="I472" i="1"/>
  <c r="H472" i="1"/>
  <c r="G472" i="1"/>
  <c r="F472" i="1"/>
  <c r="E472" i="1"/>
  <c r="D472" i="1"/>
  <c r="C472" i="1"/>
  <c r="X471" i="1"/>
  <c r="W471" i="1"/>
  <c r="V471" i="1"/>
  <c r="U471" i="1"/>
  <c r="T471" i="1"/>
  <c r="S471" i="1"/>
  <c r="R471" i="1"/>
  <c r="Q471" i="1"/>
  <c r="P471" i="1"/>
  <c r="O471" i="1"/>
  <c r="N471" i="1"/>
  <c r="M471" i="1"/>
  <c r="L471" i="1"/>
  <c r="K471" i="1"/>
  <c r="J471" i="1"/>
  <c r="I471" i="1"/>
  <c r="H471" i="1"/>
  <c r="G471" i="1"/>
  <c r="F471" i="1"/>
  <c r="E471" i="1"/>
  <c r="D471" i="1"/>
  <c r="C471" i="1"/>
  <c r="X470" i="1"/>
  <c r="W470" i="1"/>
  <c r="V470" i="1"/>
  <c r="U470" i="1"/>
  <c r="T470" i="1"/>
  <c r="S470" i="1"/>
  <c r="R470" i="1"/>
  <c r="Q470" i="1"/>
  <c r="P470" i="1"/>
  <c r="O470" i="1"/>
  <c r="N470" i="1"/>
  <c r="M470" i="1"/>
  <c r="L470" i="1"/>
  <c r="K470" i="1"/>
  <c r="J470" i="1"/>
  <c r="I470" i="1"/>
  <c r="H470" i="1"/>
  <c r="G470" i="1"/>
  <c r="F470" i="1"/>
  <c r="E470" i="1"/>
  <c r="D470" i="1"/>
  <c r="C470" i="1"/>
  <c r="X469" i="1"/>
  <c r="W469" i="1"/>
  <c r="V469" i="1"/>
  <c r="U469" i="1"/>
  <c r="T469" i="1"/>
  <c r="S469" i="1"/>
  <c r="R469" i="1"/>
  <c r="Q469" i="1"/>
  <c r="P469" i="1"/>
  <c r="O469" i="1"/>
  <c r="N469" i="1"/>
  <c r="M469" i="1"/>
  <c r="L469" i="1"/>
  <c r="K469" i="1"/>
  <c r="J469" i="1"/>
  <c r="I469" i="1"/>
  <c r="H469" i="1"/>
  <c r="G469" i="1"/>
  <c r="F469" i="1"/>
  <c r="E469" i="1"/>
  <c r="D469" i="1"/>
  <c r="C469" i="1"/>
  <c r="X468" i="1"/>
  <c r="W468" i="1"/>
  <c r="V468" i="1"/>
  <c r="U468" i="1"/>
  <c r="T468" i="1"/>
  <c r="S468" i="1"/>
  <c r="R468" i="1"/>
  <c r="Q468" i="1"/>
  <c r="P468" i="1"/>
  <c r="O468" i="1"/>
  <c r="N468" i="1"/>
  <c r="M468" i="1"/>
  <c r="L468" i="1"/>
  <c r="K468" i="1"/>
  <c r="J468" i="1"/>
  <c r="I468" i="1"/>
  <c r="H468" i="1"/>
  <c r="G468" i="1"/>
  <c r="F468" i="1"/>
  <c r="E468" i="1"/>
  <c r="D468" i="1"/>
  <c r="C468" i="1"/>
  <c r="X467" i="1"/>
  <c r="W467" i="1"/>
  <c r="V467" i="1"/>
  <c r="U467" i="1"/>
  <c r="T467" i="1"/>
  <c r="S467" i="1"/>
  <c r="R467" i="1"/>
  <c r="Q467" i="1"/>
  <c r="P467" i="1"/>
  <c r="O467" i="1"/>
  <c r="N467" i="1"/>
  <c r="M467" i="1"/>
  <c r="L467" i="1"/>
  <c r="K467" i="1"/>
  <c r="J467" i="1"/>
  <c r="I467" i="1"/>
  <c r="H467" i="1"/>
  <c r="G467" i="1"/>
  <c r="F467" i="1"/>
  <c r="E467" i="1"/>
  <c r="D467" i="1"/>
  <c r="C467" i="1"/>
  <c r="X466" i="1"/>
  <c r="W466" i="1"/>
  <c r="V466" i="1"/>
  <c r="U466" i="1"/>
  <c r="T466" i="1"/>
  <c r="S466" i="1"/>
  <c r="R466" i="1"/>
  <c r="Q466" i="1"/>
  <c r="P466" i="1"/>
  <c r="O466" i="1"/>
  <c r="N466" i="1"/>
  <c r="M466" i="1"/>
  <c r="L466" i="1"/>
  <c r="K466" i="1"/>
  <c r="J466" i="1"/>
  <c r="I466" i="1"/>
  <c r="H466" i="1"/>
  <c r="G466" i="1"/>
  <c r="F466" i="1"/>
  <c r="E466" i="1"/>
  <c r="D466" i="1"/>
  <c r="C466" i="1"/>
  <c r="X465" i="1"/>
  <c r="W465" i="1"/>
  <c r="V465" i="1"/>
  <c r="U465" i="1"/>
  <c r="T465" i="1"/>
  <c r="S465" i="1"/>
  <c r="R465" i="1"/>
  <c r="Q465" i="1"/>
  <c r="P465" i="1"/>
  <c r="O465" i="1"/>
  <c r="N465" i="1"/>
  <c r="M465" i="1"/>
  <c r="L465" i="1"/>
  <c r="K465" i="1"/>
  <c r="J465" i="1"/>
  <c r="I465" i="1"/>
  <c r="H465" i="1"/>
  <c r="G465" i="1"/>
  <c r="F465" i="1"/>
  <c r="E465" i="1"/>
  <c r="D465" i="1"/>
  <c r="C465" i="1"/>
  <c r="X464" i="1"/>
  <c r="W464" i="1"/>
  <c r="V464" i="1"/>
  <c r="U464" i="1"/>
  <c r="T464" i="1"/>
  <c r="S464" i="1"/>
  <c r="R464" i="1"/>
  <c r="Q464" i="1"/>
  <c r="P464" i="1"/>
  <c r="O464" i="1"/>
  <c r="N464" i="1"/>
  <c r="M464" i="1"/>
  <c r="L464" i="1"/>
  <c r="K464" i="1"/>
  <c r="J464" i="1"/>
  <c r="I464" i="1"/>
  <c r="H464" i="1"/>
  <c r="G464" i="1"/>
  <c r="F464" i="1"/>
  <c r="E464" i="1"/>
  <c r="D464" i="1"/>
  <c r="C464" i="1"/>
  <c r="X463" i="1"/>
  <c r="W463" i="1"/>
  <c r="V463" i="1"/>
  <c r="U463" i="1"/>
  <c r="T463" i="1"/>
  <c r="S463" i="1"/>
  <c r="R463" i="1"/>
  <c r="Q463" i="1"/>
  <c r="P463" i="1"/>
  <c r="O463" i="1"/>
  <c r="N463" i="1"/>
  <c r="M463" i="1"/>
  <c r="L463" i="1"/>
  <c r="K463" i="1"/>
  <c r="J463" i="1"/>
  <c r="I463" i="1"/>
  <c r="H463" i="1"/>
  <c r="G463" i="1"/>
  <c r="F463" i="1"/>
  <c r="E463" i="1"/>
  <c r="D463" i="1"/>
  <c r="C463" i="1"/>
  <c r="X462" i="1"/>
  <c r="W462" i="1"/>
  <c r="V462" i="1"/>
  <c r="U462" i="1"/>
  <c r="T462" i="1"/>
  <c r="S462" i="1"/>
  <c r="R462" i="1"/>
  <c r="Q462" i="1"/>
  <c r="P462" i="1"/>
  <c r="O462" i="1"/>
  <c r="N462" i="1"/>
  <c r="M462" i="1"/>
  <c r="L462" i="1"/>
  <c r="K462" i="1"/>
  <c r="J462" i="1"/>
  <c r="I462" i="1"/>
  <c r="H462" i="1"/>
  <c r="G462" i="1"/>
  <c r="F462" i="1"/>
  <c r="E462" i="1"/>
  <c r="D462" i="1"/>
  <c r="C462" i="1"/>
  <c r="X461" i="1"/>
  <c r="W461" i="1"/>
  <c r="V461" i="1"/>
  <c r="U461" i="1"/>
  <c r="T461" i="1"/>
  <c r="S461" i="1"/>
  <c r="R461" i="1"/>
  <c r="Q461" i="1"/>
  <c r="P461" i="1"/>
  <c r="O461" i="1"/>
  <c r="N461" i="1"/>
  <c r="M461" i="1"/>
  <c r="L461" i="1"/>
  <c r="K461" i="1"/>
  <c r="J461" i="1"/>
  <c r="I461" i="1"/>
  <c r="H461" i="1"/>
  <c r="G461" i="1"/>
  <c r="F461" i="1"/>
  <c r="E461" i="1"/>
  <c r="D461" i="1"/>
  <c r="C461" i="1"/>
  <c r="X460" i="1"/>
  <c r="W460" i="1"/>
  <c r="V460" i="1"/>
  <c r="U460" i="1"/>
  <c r="T460" i="1"/>
  <c r="S460" i="1"/>
  <c r="R460" i="1"/>
  <c r="Q460" i="1"/>
  <c r="P460" i="1"/>
  <c r="O460" i="1"/>
  <c r="N460" i="1"/>
  <c r="M460" i="1"/>
  <c r="L460" i="1"/>
  <c r="K460" i="1"/>
  <c r="J460" i="1"/>
  <c r="I460" i="1"/>
  <c r="H460" i="1"/>
  <c r="G460" i="1"/>
  <c r="F460" i="1"/>
  <c r="E460" i="1"/>
  <c r="D460" i="1"/>
  <c r="C460" i="1"/>
  <c r="X459" i="1"/>
  <c r="W459" i="1"/>
  <c r="V459" i="1"/>
  <c r="U459" i="1"/>
  <c r="T459" i="1"/>
  <c r="S459" i="1"/>
  <c r="R459" i="1"/>
  <c r="Q459" i="1"/>
  <c r="P459" i="1"/>
  <c r="O459" i="1"/>
  <c r="N459" i="1"/>
  <c r="M459" i="1"/>
  <c r="L459" i="1"/>
  <c r="K459" i="1"/>
  <c r="J459" i="1"/>
  <c r="I459" i="1"/>
  <c r="H459" i="1"/>
  <c r="G459" i="1"/>
  <c r="F459" i="1"/>
  <c r="E459" i="1"/>
  <c r="D459" i="1"/>
  <c r="C459" i="1"/>
  <c r="X458" i="1"/>
  <c r="W458" i="1"/>
  <c r="V458" i="1"/>
  <c r="U458" i="1"/>
  <c r="T458" i="1"/>
  <c r="S458" i="1"/>
  <c r="R458" i="1"/>
  <c r="Q458" i="1"/>
  <c r="P458" i="1"/>
  <c r="O458" i="1"/>
  <c r="N458" i="1"/>
  <c r="M458" i="1"/>
  <c r="L458" i="1"/>
  <c r="K458" i="1"/>
  <c r="J458" i="1"/>
  <c r="I458" i="1"/>
  <c r="H458" i="1"/>
  <c r="G458" i="1"/>
  <c r="F458" i="1"/>
  <c r="E458" i="1"/>
  <c r="D458" i="1"/>
  <c r="C458" i="1"/>
  <c r="X457" i="1"/>
  <c r="W457" i="1"/>
  <c r="V457" i="1"/>
  <c r="U457" i="1"/>
  <c r="T457" i="1"/>
  <c r="S457" i="1"/>
  <c r="R457" i="1"/>
  <c r="Q457" i="1"/>
  <c r="P457" i="1"/>
  <c r="O457" i="1"/>
  <c r="N457" i="1"/>
  <c r="M457" i="1"/>
  <c r="L457" i="1"/>
  <c r="K457" i="1"/>
  <c r="J457" i="1"/>
  <c r="I457" i="1"/>
  <c r="H457" i="1"/>
  <c r="G457" i="1"/>
  <c r="F457" i="1"/>
  <c r="E457" i="1"/>
  <c r="D457" i="1"/>
  <c r="C457" i="1"/>
  <c r="X456" i="1"/>
  <c r="W456" i="1"/>
  <c r="V456" i="1"/>
  <c r="U456" i="1"/>
  <c r="T456" i="1"/>
  <c r="S456" i="1"/>
  <c r="R456" i="1"/>
  <c r="Q456" i="1"/>
  <c r="P456" i="1"/>
  <c r="O456" i="1"/>
  <c r="N456" i="1"/>
  <c r="M456" i="1"/>
  <c r="L456" i="1"/>
  <c r="K456" i="1"/>
  <c r="J456" i="1"/>
  <c r="I456" i="1"/>
  <c r="H456" i="1"/>
  <c r="G456" i="1"/>
  <c r="F456" i="1"/>
  <c r="E456" i="1"/>
  <c r="D456" i="1"/>
  <c r="X455" i="1"/>
  <c r="W455" i="1"/>
  <c r="V455" i="1"/>
  <c r="U455" i="1"/>
  <c r="T455" i="1"/>
  <c r="S455" i="1"/>
  <c r="R455" i="1"/>
  <c r="Q455" i="1"/>
  <c r="P455" i="1"/>
  <c r="O455" i="1"/>
  <c r="N455" i="1"/>
  <c r="M455" i="1"/>
  <c r="L455" i="1"/>
  <c r="K455" i="1"/>
  <c r="J455" i="1"/>
  <c r="I455" i="1"/>
  <c r="H455" i="1"/>
  <c r="G455" i="1"/>
  <c r="F455" i="1"/>
  <c r="E455" i="1"/>
  <c r="D455" i="1"/>
  <c r="X454" i="1"/>
  <c r="W454" i="1"/>
  <c r="V454" i="1"/>
  <c r="U454" i="1"/>
  <c r="T454" i="1"/>
  <c r="S454" i="1"/>
  <c r="R454" i="1"/>
  <c r="Q454" i="1"/>
  <c r="P454" i="1"/>
  <c r="O454" i="1"/>
  <c r="N454" i="1"/>
  <c r="M454" i="1"/>
  <c r="L454" i="1"/>
  <c r="K454" i="1"/>
  <c r="J454" i="1"/>
  <c r="I454" i="1"/>
  <c r="H454" i="1"/>
  <c r="G454" i="1"/>
  <c r="F454" i="1"/>
  <c r="E454" i="1"/>
  <c r="D454" i="1"/>
  <c r="C454" i="1"/>
  <c r="X453" i="1"/>
  <c r="W453" i="1"/>
  <c r="V453" i="1"/>
  <c r="U453" i="1"/>
  <c r="T453" i="1"/>
  <c r="S453" i="1"/>
  <c r="R453" i="1"/>
  <c r="Q453" i="1"/>
  <c r="P453" i="1"/>
  <c r="O453" i="1"/>
  <c r="N453" i="1"/>
  <c r="M453" i="1"/>
  <c r="L453" i="1"/>
  <c r="K453" i="1"/>
  <c r="J453" i="1"/>
  <c r="I453" i="1"/>
  <c r="H453" i="1"/>
  <c r="G453" i="1"/>
  <c r="F453" i="1"/>
  <c r="E453" i="1"/>
  <c r="D453" i="1"/>
  <c r="C453" i="1"/>
  <c r="X452" i="1"/>
  <c r="W452" i="1"/>
  <c r="V452" i="1"/>
  <c r="U452" i="1"/>
  <c r="T452" i="1"/>
  <c r="S452" i="1"/>
  <c r="R452" i="1"/>
  <c r="Q452" i="1"/>
  <c r="P452" i="1"/>
  <c r="O452" i="1"/>
  <c r="N452" i="1"/>
  <c r="M452" i="1"/>
  <c r="L452" i="1"/>
  <c r="K452" i="1"/>
  <c r="J452" i="1"/>
  <c r="I452" i="1"/>
  <c r="H452" i="1"/>
  <c r="G452" i="1"/>
  <c r="F452" i="1"/>
  <c r="E452" i="1"/>
  <c r="D452" i="1"/>
  <c r="C452" i="1"/>
  <c r="X451" i="1"/>
  <c r="W451" i="1"/>
  <c r="V451" i="1"/>
  <c r="U451" i="1"/>
  <c r="T451" i="1"/>
  <c r="S451" i="1"/>
  <c r="R451" i="1"/>
  <c r="Q451" i="1"/>
  <c r="P451" i="1"/>
  <c r="O451" i="1"/>
  <c r="N451" i="1"/>
  <c r="M451" i="1"/>
  <c r="L451" i="1"/>
  <c r="K451" i="1"/>
  <c r="J451" i="1"/>
  <c r="I451" i="1"/>
  <c r="H451" i="1"/>
  <c r="G451" i="1"/>
  <c r="F451" i="1"/>
  <c r="E451" i="1"/>
  <c r="D451" i="1"/>
  <c r="C451" i="1"/>
  <c r="X450" i="1"/>
  <c r="W450" i="1"/>
  <c r="V450" i="1"/>
  <c r="U450" i="1"/>
  <c r="T450" i="1"/>
  <c r="S450" i="1"/>
  <c r="R450" i="1"/>
  <c r="Q450" i="1"/>
  <c r="P450" i="1"/>
  <c r="O450" i="1"/>
  <c r="N450" i="1"/>
  <c r="M450" i="1"/>
  <c r="L450" i="1"/>
  <c r="K450" i="1"/>
  <c r="J450" i="1"/>
  <c r="I450" i="1"/>
  <c r="H450" i="1"/>
  <c r="G450" i="1"/>
  <c r="F450" i="1"/>
  <c r="E450" i="1"/>
  <c r="D450" i="1"/>
  <c r="C450" i="1"/>
  <c r="X449" i="1"/>
  <c r="W449" i="1"/>
  <c r="V449" i="1"/>
  <c r="U449" i="1"/>
  <c r="T449" i="1"/>
  <c r="S449" i="1"/>
  <c r="R449" i="1"/>
  <c r="Q449" i="1"/>
  <c r="P449" i="1"/>
  <c r="O449" i="1"/>
  <c r="N449" i="1"/>
  <c r="M449" i="1"/>
  <c r="L449" i="1"/>
  <c r="K449" i="1"/>
  <c r="J449" i="1"/>
  <c r="I449" i="1"/>
  <c r="H449" i="1"/>
  <c r="G449" i="1"/>
  <c r="F449" i="1"/>
  <c r="E449" i="1"/>
  <c r="D449" i="1"/>
  <c r="C449" i="1"/>
  <c r="X448" i="1"/>
  <c r="W448" i="1"/>
  <c r="V448" i="1"/>
  <c r="U448" i="1"/>
  <c r="T448" i="1"/>
  <c r="S448" i="1"/>
  <c r="R448" i="1"/>
  <c r="Q448" i="1"/>
  <c r="P448" i="1"/>
  <c r="O448" i="1"/>
  <c r="N448" i="1"/>
  <c r="M448" i="1"/>
  <c r="L448" i="1"/>
  <c r="K448" i="1"/>
  <c r="J448" i="1"/>
  <c r="I448" i="1"/>
  <c r="H448" i="1"/>
  <c r="G448" i="1"/>
  <c r="F448" i="1"/>
  <c r="E448" i="1"/>
  <c r="D448" i="1"/>
  <c r="C448" i="1"/>
  <c r="X447" i="1"/>
  <c r="W447" i="1"/>
  <c r="V447" i="1"/>
  <c r="U447" i="1"/>
  <c r="T447" i="1"/>
  <c r="S447" i="1"/>
  <c r="R447" i="1"/>
  <c r="Q447" i="1"/>
  <c r="P447" i="1"/>
  <c r="O447" i="1"/>
  <c r="N447" i="1"/>
  <c r="M447" i="1"/>
  <c r="L447" i="1"/>
  <c r="K447" i="1"/>
  <c r="J447" i="1"/>
  <c r="I447" i="1"/>
  <c r="H447" i="1"/>
  <c r="G447" i="1"/>
  <c r="F447" i="1"/>
  <c r="E447" i="1"/>
  <c r="D447" i="1"/>
  <c r="C447" i="1"/>
  <c r="X446" i="1"/>
  <c r="W446" i="1"/>
  <c r="V446" i="1"/>
  <c r="U446" i="1"/>
  <c r="T446" i="1"/>
  <c r="S446" i="1"/>
  <c r="R446" i="1"/>
  <c r="Q446" i="1"/>
  <c r="P446" i="1"/>
  <c r="O446" i="1"/>
  <c r="N446" i="1"/>
  <c r="M446" i="1"/>
  <c r="L446" i="1"/>
  <c r="K446" i="1"/>
  <c r="J446" i="1"/>
  <c r="I446" i="1"/>
  <c r="H446" i="1"/>
  <c r="G446" i="1"/>
  <c r="F446" i="1"/>
  <c r="E446" i="1"/>
  <c r="D446" i="1"/>
  <c r="X445" i="1"/>
  <c r="W445" i="1"/>
  <c r="V445" i="1"/>
  <c r="U445" i="1"/>
  <c r="T445" i="1"/>
  <c r="S445" i="1"/>
  <c r="R445" i="1"/>
  <c r="Q445" i="1"/>
  <c r="P445" i="1"/>
  <c r="O445" i="1"/>
  <c r="N445" i="1"/>
  <c r="M445" i="1"/>
  <c r="L445" i="1"/>
  <c r="K445" i="1"/>
  <c r="J445" i="1"/>
  <c r="I445" i="1"/>
  <c r="H445" i="1"/>
  <c r="G445" i="1"/>
  <c r="F445" i="1"/>
  <c r="E445" i="1"/>
  <c r="D445" i="1"/>
  <c r="C445" i="1"/>
  <c r="X444" i="1"/>
  <c r="W444" i="1"/>
  <c r="V444" i="1"/>
  <c r="U444" i="1"/>
  <c r="T444" i="1"/>
  <c r="S444" i="1"/>
  <c r="R444" i="1"/>
  <c r="Q444" i="1"/>
  <c r="P444" i="1"/>
  <c r="O444" i="1"/>
  <c r="N444" i="1"/>
  <c r="M444" i="1"/>
  <c r="L444" i="1"/>
  <c r="K444" i="1"/>
  <c r="J444" i="1"/>
  <c r="I444" i="1"/>
  <c r="H444" i="1"/>
  <c r="G444" i="1"/>
  <c r="F444" i="1"/>
  <c r="E444" i="1"/>
  <c r="D444" i="1"/>
  <c r="C444" i="1"/>
  <c r="X443" i="1"/>
  <c r="W443" i="1"/>
  <c r="V443" i="1"/>
  <c r="U443" i="1"/>
  <c r="T443" i="1"/>
  <c r="S443" i="1"/>
  <c r="R443" i="1"/>
  <c r="Q443" i="1"/>
  <c r="P443" i="1"/>
  <c r="O443" i="1"/>
  <c r="N443" i="1"/>
  <c r="M443" i="1"/>
  <c r="L443" i="1"/>
  <c r="K443" i="1"/>
  <c r="J443" i="1"/>
  <c r="I443" i="1"/>
  <c r="H443" i="1"/>
  <c r="G443" i="1"/>
  <c r="F443" i="1"/>
  <c r="E443" i="1"/>
  <c r="D443" i="1"/>
  <c r="C443" i="1"/>
  <c r="X442" i="1"/>
  <c r="W442" i="1"/>
  <c r="V442" i="1"/>
  <c r="U442" i="1"/>
  <c r="T442" i="1"/>
  <c r="S442" i="1"/>
  <c r="R442" i="1"/>
  <c r="Q442" i="1"/>
  <c r="P442" i="1"/>
  <c r="O442" i="1"/>
  <c r="N442" i="1"/>
  <c r="M442" i="1"/>
  <c r="L442" i="1"/>
  <c r="K442" i="1"/>
  <c r="J442" i="1"/>
  <c r="I442" i="1"/>
  <c r="H442" i="1"/>
  <c r="G442" i="1"/>
  <c r="F442" i="1"/>
  <c r="E442" i="1"/>
  <c r="D442" i="1"/>
  <c r="C442" i="1"/>
  <c r="X441" i="1"/>
  <c r="W441" i="1"/>
  <c r="V441" i="1"/>
  <c r="U441" i="1"/>
  <c r="T441" i="1"/>
  <c r="S441" i="1"/>
  <c r="R441" i="1"/>
  <c r="Q441" i="1"/>
  <c r="P441" i="1"/>
  <c r="O441" i="1"/>
  <c r="N441" i="1"/>
  <c r="M441" i="1"/>
  <c r="L441" i="1"/>
  <c r="K441" i="1"/>
  <c r="J441" i="1"/>
  <c r="I441" i="1"/>
  <c r="H441" i="1"/>
  <c r="G441" i="1"/>
  <c r="F441" i="1"/>
  <c r="E441" i="1"/>
  <c r="D441" i="1"/>
  <c r="C441" i="1"/>
  <c r="X440" i="1"/>
  <c r="W440" i="1"/>
  <c r="V440" i="1"/>
  <c r="U440" i="1"/>
  <c r="T440" i="1"/>
  <c r="S440" i="1"/>
  <c r="R440" i="1"/>
  <c r="Q440" i="1"/>
  <c r="P440" i="1"/>
  <c r="O440" i="1"/>
  <c r="N440" i="1"/>
  <c r="M440" i="1"/>
  <c r="L440" i="1"/>
  <c r="K440" i="1"/>
  <c r="J440" i="1"/>
  <c r="I440" i="1"/>
  <c r="H440" i="1"/>
  <c r="G440" i="1"/>
  <c r="F440" i="1"/>
  <c r="E440" i="1"/>
  <c r="D440" i="1"/>
  <c r="C440" i="1"/>
  <c r="X439" i="1"/>
  <c r="W439" i="1"/>
  <c r="V439" i="1"/>
  <c r="U439" i="1"/>
  <c r="T439" i="1"/>
  <c r="S439" i="1"/>
  <c r="R439" i="1"/>
  <c r="Q439" i="1"/>
  <c r="P439" i="1"/>
  <c r="O439" i="1"/>
  <c r="N439" i="1"/>
  <c r="M439" i="1"/>
  <c r="L439" i="1"/>
  <c r="K439" i="1"/>
  <c r="J439" i="1"/>
  <c r="I439" i="1"/>
  <c r="H439" i="1"/>
  <c r="G439" i="1"/>
  <c r="F439" i="1"/>
  <c r="E439" i="1"/>
  <c r="D439" i="1"/>
  <c r="C439" i="1"/>
  <c r="X438" i="1"/>
  <c r="W438" i="1"/>
  <c r="V438" i="1"/>
  <c r="U438" i="1"/>
  <c r="T438" i="1"/>
  <c r="S438" i="1"/>
  <c r="R438" i="1"/>
  <c r="Q438" i="1"/>
  <c r="P438" i="1"/>
  <c r="O438" i="1"/>
  <c r="N438" i="1"/>
  <c r="M438" i="1"/>
  <c r="L438" i="1"/>
  <c r="K438" i="1"/>
  <c r="J438" i="1"/>
  <c r="I438" i="1"/>
  <c r="H438" i="1"/>
  <c r="G438" i="1"/>
  <c r="F438" i="1"/>
  <c r="E438" i="1"/>
  <c r="D438" i="1"/>
  <c r="C438" i="1"/>
  <c r="X437" i="1"/>
  <c r="W437" i="1"/>
  <c r="V437" i="1"/>
  <c r="U437" i="1"/>
  <c r="T437" i="1"/>
  <c r="S437" i="1"/>
  <c r="R437" i="1"/>
  <c r="Q437" i="1"/>
  <c r="P437" i="1"/>
  <c r="O437" i="1"/>
  <c r="N437" i="1"/>
  <c r="M437" i="1"/>
  <c r="L437" i="1"/>
  <c r="K437" i="1"/>
  <c r="J437" i="1"/>
  <c r="I437" i="1"/>
  <c r="H437" i="1"/>
  <c r="G437" i="1"/>
  <c r="F437" i="1"/>
  <c r="E437" i="1"/>
  <c r="D437" i="1"/>
  <c r="X436" i="1"/>
  <c r="W436" i="1"/>
  <c r="V436" i="1"/>
  <c r="U436" i="1"/>
  <c r="T436" i="1"/>
  <c r="S436" i="1"/>
  <c r="R436" i="1"/>
  <c r="Q436" i="1"/>
  <c r="P436" i="1"/>
  <c r="O436" i="1"/>
  <c r="N436" i="1"/>
  <c r="M436" i="1"/>
  <c r="L436" i="1"/>
  <c r="K436" i="1"/>
  <c r="J436" i="1"/>
  <c r="I436" i="1"/>
  <c r="H436" i="1"/>
  <c r="G436" i="1"/>
  <c r="F436" i="1"/>
  <c r="E436" i="1"/>
  <c r="D436" i="1"/>
  <c r="C436" i="1"/>
  <c r="X435" i="1"/>
  <c r="W435" i="1"/>
  <c r="V435" i="1"/>
  <c r="U435" i="1"/>
  <c r="T435" i="1"/>
  <c r="S435" i="1"/>
  <c r="R435" i="1"/>
  <c r="Q435" i="1"/>
  <c r="P435" i="1"/>
  <c r="O435" i="1"/>
  <c r="N435" i="1"/>
  <c r="M435" i="1"/>
  <c r="L435" i="1"/>
  <c r="K435" i="1"/>
  <c r="J435" i="1"/>
  <c r="I435" i="1"/>
  <c r="H435" i="1"/>
  <c r="G435" i="1"/>
  <c r="F435" i="1"/>
  <c r="E435" i="1"/>
  <c r="D435" i="1"/>
  <c r="C435" i="1"/>
  <c r="X434" i="1"/>
  <c r="W434" i="1"/>
  <c r="V434" i="1"/>
  <c r="U434" i="1"/>
  <c r="T434" i="1"/>
  <c r="S434" i="1"/>
  <c r="R434" i="1"/>
  <c r="Q434" i="1"/>
  <c r="P434" i="1"/>
  <c r="O434" i="1"/>
  <c r="N434" i="1"/>
  <c r="M434" i="1"/>
  <c r="L434" i="1"/>
  <c r="K434" i="1"/>
  <c r="J434" i="1"/>
  <c r="I434" i="1"/>
  <c r="H434" i="1"/>
  <c r="G434" i="1"/>
  <c r="F434" i="1"/>
  <c r="E434" i="1"/>
  <c r="D434" i="1"/>
  <c r="C434" i="1"/>
  <c r="X433" i="1"/>
  <c r="W433" i="1"/>
  <c r="V433" i="1"/>
  <c r="U433" i="1"/>
  <c r="T433" i="1"/>
  <c r="S433" i="1"/>
  <c r="R433" i="1"/>
  <c r="Q433" i="1"/>
  <c r="P433" i="1"/>
  <c r="O433" i="1"/>
  <c r="N433" i="1"/>
  <c r="M433" i="1"/>
  <c r="L433" i="1"/>
  <c r="K433" i="1"/>
  <c r="J433" i="1"/>
  <c r="I433" i="1"/>
  <c r="H433" i="1"/>
  <c r="G433" i="1"/>
  <c r="F433" i="1"/>
  <c r="E433" i="1"/>
  <c r="D433" i="1"/>
  <c r="C433" i="1"/>
  <c r="X432" i="1"/>
  <c r="W432" i="1"/>
  <c r="V432" i="1"/>
  <c r="U432" i="1"/>
  <c r="T432" i="1"/>
  <c r="S432" i="1"/>
  <c r="R432" i="1"/>
  <c r="Q432" i="1"/>
  <c r="P432" i="1"/>
  <c r="O432" i="1"/>
  <c r="N432" i="1"/>
  <c r="M432" i="1"/>
  <c r="L432" i="1"/>
  <c r="K432" i="1"/>
  <c r="J432" i="1"/>
  <c r="I432" i="1"/>
  <c r="H432" i="1"/>
  <c r="G432" i="1"/>
  <c r="F432" i="1"/>
  <c r="E432" i="1"/>
  <c r="D432" i="1"/>
  <c r="C432" i="1"/>
  <c r="X431" i="1"/>
  <c r="W431" i="1"/>
  <c r="V431" i="1"/>
  <c r="U431" i="1"/>
  <c r="T431" i="1"/>
  <c r="S431" i="1"/>
  <c r="R431" i="1"/>
  <c r="Q431" i="1"/>
  <c r="P431" i="1"/>
  <c r="O431" i="1"/>
  <c r="N431" i="1"/>
  <c r="M431" i="1"/>
  <c r="L431" i="1"/>
  <c r="K431" i="1"/>
  <c r="J431" i="1"/>
  <c r="I431" i="1"/>
  <c r="H431" i="1"/>
  <c r="G431" i="1"/>
  <c r="F431" i="1"/>
  <c r="E431" i="1"/>
  <c r="D431" i="1"/>
  <c r="C431" i="1"/>
  <c r="X430" i="1"/>
  <c r="W430" i="1"/>
  <c r="V430" i="1"/>
  <c r="U430" i="1"/>
  <c r="T430" i="1"/>
  <c r="S430" i="1"/>
  <c r="R430" i="1"/>
  <c r="Q430" i="1"/>
  <c r="P430" i="1"/>
  <c r="O430" i="1"/>
  <c r="N430" i="1"/>
  <c r="M430" i="1"/>
  <c r="L430" i="1"/>
  <c r="K430" i="1"/>
  <c r="J430" i="1"/>
  <c r="I430" i="1"/>
  <c r="H430" i="1"/>
  <c r="G430" i="1"/>
  <c r="F430" i="1"/>
  <c r="E430" i="1"/>
  <c r="D430" i="1"/>
  <c r="C430" i="1"/>
  <c r="X429" i="1"/>
  <c r="W429" i="1"/>
  <c r="V429" i="1"/>
  <c r="U429" i="1"/>
  <c r="T429" i="1"/>
  <c r="S429" i="1"/>
  <c r="R429" i="1"/>
  <c r="Q429" i="1"/>
  <c r="P429" i="1"/>
  <c r="O429" i="1"/>
  <c r="N429" i="1"/>
  <c r="M429" i="1"/>
  <c r="L429" i="1"/>
  <c r="K429" i="1"/>
  <c r="J429" i="1"/>
  <c r="I429" i="1"/>
  <c r="H429" i="1"/>
  <c r="G429" i="1"/>
  <c r="F429" i="1"/>
  <c r="E429" i="1"/>
  <c r="D429" i="1"/>
  <c r="C429" i="1"/>
  <c r="X428" i="1"/>
  <c r="W428" i="1"/>
  <c r="V428" i="1"/>
  <c r="U428" i="1"/>
  <c r="T428" i="1"/>
  <c r="S428" i="1"/>
  <c r="R428" i="1"/>
  <c r="Q428" i="1"/>
  <c r="P428" i="1"/>
  <c r="O428" i="1"/>
  <c r="N428" i="1"/>
  <c r="M428" i="1"/>
  <c r="L428" i="1"/>
  <c r="K428" i="1"/>
  <c r="J428" i="1"/>
  <c r="I428" i="1"/>
  <c r="H428" i="1"/>
  <c r="G428" i="1"/>
  <c r="F428" i="1"/>
  <c r="E428" i="1"/>
  <c r="D428" i="1"/>
  <c r="C428" i="1"/>
  <c r="X427" i="1"/>
  <c r="W427" i="1"/>
  <c r="V427" i="1"/>
  <c r="U427" i="1"/>
  <c r="T427" i="1"/>
  <c r="S427" i="1"/>
  <c r="R427" i="1"/>
  <c r="Q427" i="1"/>
  <c r="P427" i="1"/>
  <c r="O427" i="1"/>
  <c r="N427" i="1"/>
  <c r="M427" i="1"/>
  <c r="L427" i="1"/>
  <c r="K427" i="1"/>
  <c r="J427" i="1"/>
  <c r="I427" i="1"/>
  <c r="H427" i="1"/>
  <c r="G427" i="1"/>
  <c r="F427" i="1"/>
  <c r="E427" i="1"/>
  <c r="D427" i="1"/>
  <c r="C427" i="1"/>
  <c r="X426" i="1"/>
  <c r="W426" i="1"/>
  <c r="V426" i="1"/>
  <c r="U426" i="1"/>
  <c r="T426" i="1"/>
  <c r="S426" i="1"/>
  <c r="R426" i="1"/>
  <c r="Q426" i="1"/>
  <c r="P426" i="1"/>
  <c r="O426" i="1"/>
  <c r="N426" i="1"/>
  <c r="M426" i="1"/>
  <c r="L426" i="1"/>
  <c r="K426" i="1"/>
  <c r="J426" i="1"/>
  <c r="I426" i="1"/>
  <c r="H426" i="1"/>
  <c r="G426" i="1"/>
  <c r="F426" i="1"/>
  <c r="E426" i="1"/>
  <c r="D426" i="1"/>
  <c r="C426" i="1"/>
  <c r="X425" i="1"/>
  <c r="W425" i="1"/>
  <c r="V425" i="1"/>
  <c r="U425" i="1"/>
  <c r="T425" i="1"/>
  <c r="S425" i="1"/>
  <c r="R425" i="1"/>
  <c r="Q425" i="1"/>
  <c r="P425" i="1"/>
  <c r="O425" i="1"/>
  <c r="N425" i="1"/>
  <c r="M425" i="1"/>
  <c r="L425" i="1"/>
  <c r="K425" i="1"/>
  <c r="J425" i="1"/>
  <c r="I425" i="1"/>
  <c r="H425" i="1"/>
  <c r="G425" i="1"/>
  <c r="F425" i="1"/>
  <c r="E425" i="1"/>
  <c r="D425" i="1"/>
  <c r="C425" i="1"/>
  <c r="X424" i="1"/>
  <c r="W424" i="1"/>
  <c r="V424" i="1"/>
  <c r="U424" i="1"/>
  <c r="T424" i="1"/>
  <c r="S424" i="1"/>
  <c r="R424" i="1"/>
  <c r="Q424" i="1"/>
  <c r="P424" i="1"/>
  <c r="O424" i="1"/>
  <c r="N424" i="1"/>
  <c r="M424" i="1"/>
  <c r="L424" i="1"/>
  <c r="K424" i="1"/>
  <c r="J424" i="1"/>
  <c r="I424" i="1"/>
  <c r="H424" i="1"/>
  <c r="G424" i="1"/>
  <c r="F424" i="1"/>
  <c r="E424" i="1"/>
  <c r="D424" i="1"/>
  <c r="C424" i="1"/>
  <c r="X423" i="1"/>
  <c r="W423" i="1"/>
  <c r="V423" i="1"/>
  <c r="U423" i="1"/>
  <c r="T423" i="1"/>
  <c r="S423" i="1"/>
  <c r="R423" i="1"/>
  <c r="Q423" i="1"/>
  <c r="P423" i="1"/>
  <c r="O423" i="1"/>
  <c r="N423" i="1"/>
  <c r="M423" i="1"/>
  <c r="L423" i="1"/>
  <c r="K423" i="1"/>
  <c r="J423" i="1"/>
  <c r="I423" i="1"/>
  <c r="H423" i="1"/>
  <c r="G423" i="1"/>
  <c r="F423" i="1"/>
  <c r="E423" i="1"/>
  <c r="D423" i="1"/>
  <c r="C423" i="1"/>
  <c r="X422" i="1"/>
  <c r="W422" i="1"/>
  <c r="V422" i="1"/>
  <c r="U422" i="1"/>
  <c r="T422" i="1"/>
  <c r="S422" i="1"/>
  <c r="R422" i="1"/>
  <c r="Q422" i="1"/>
  <c r="P422" i="1"/>
  <c r="O422" i="1"/>
  <c r="N422" i="1"/>
  <c r="M422" i="1"/>
  <c r="L422" i="1"/>
  <c r="K422" i="1"/>
  <c r="J422" i="1"/>
  <c r="I422" i="1"/>
  <c r="H422" i="1"/>
  <c r="G422" i="1"/>
  <c r="F422" i="1"/>
  <c r="E422" i="1"/>
  <c r="D422" i="1"/>
  <c r="C422" i="1"/>
  <c r="X421" i="1"/>
  <c r="W421" i="1"/>
  <c r="V421" i="1"/>
  <c r="U421" i="1"/>
  <c r="T421" i="1"/>
  <c r="S421" i="1"/>
  <c r="R421" i="1"/>
  <c r="Q421" i="1"/>
  <c r="P421" i="1"/>
  <c r="O421" i="1"/>
  <c r="N421" i="1"/>
  <c r="M421" i="1"/>
  <c r="L421" i="1"/>
  <c r="K421" i="1"/>
  <c r="J421" i="1"/>
  <c r="I421" i="1"/>
  <c r="H421" i="1"/>
  <c r="G421" i="1"/>
  <c r="F421" i="1"/>
  <c r="E421" i="1"/>
  <c r="D421" i="1"/>
  <c r="C421" i="1"/>
  <c r="X420" i="1"/>
  <c r="W420" i="1"/>
  <c r="V420" i="1"/>
  <c r="U420" i="1"/>
  <c r="T420" i="1"/>
  <c r="S420" i="1"/>
  <c r="R420" i="1"/>
  <c r="Q420" i="1"/>
  <c r="P420" i="1"/>
  <c r="O420" i="1"/>
  <c r="N420" i="1"/>
  <c r="M420" i="1"/>
  <c r="L420" i="1"/>
  <c r="K420" i="1"/>
  <c r="J420" i="1"/>
  <c r="I420" i="1"/>
  <c r="H420" i="1"/>
  <c r="G420" i="1"/>
  <c r="F420" i="1"/>
  <c r="E420" i="1"/>
  <c r="D420" i="1"/>
  <c r="C420" i="1"/>
  <c r="X419" i="1"/>
  <c r="W419" i="1"/>
  <c r="V419" i="1"/>
  <c r="U419" i="1"/>
  <c r="T419" i="1"/>
  <c r="S419" i="1"/>
  <c r="R419" i="1"/>
  <c r="Q419" i="1"/>
  <c r="P419" i="1"/>
  <c r="O419" i="1"/>
  <c r="N419" i="1"/>
  <c r="M419" i="1"/>
  <c r="L419" i="1"/>
  <c r="K419" i="1"/>
  <c r="J419" i="1"/>
  <c r="I419" i="1"/>
  <c r="H419" i="1"/>
  <c r="G419" i="1"/>
  <c r="F419" i="1"/>
  <c r="E419" i="1"/>
  <c r="D419" i="1"/>
  <c r="C419" i="1"/>
  <c r="X418" i="1"/>
  <c r="W418" i="1"/>
  <c r="V418" i="1"/>
  <c r="U418" i="1"/>
  <c r="T418" i="1"/>
  <c r="S418" i="1"/>
  <c r="R418" i="1"/>
  <c r="Q418" i="1"/>
  <c r="P418" i="1"/>
  <c r="O418" i="1"/>
  <c r="N418" i="1"/>
  <c r="M418" i="1"/>
  <c r="L418" i="1"/>
  <c r="K418" i="1"/>
  <c r="J418" i="1"/>
  <c r="I418" i="1"/>
  <c r="H418" i="1"/>
  <c r="G418" i="1"/>
  <c r="F418" i="1"/>
  <c r="E418" i="1"/>
  <c r="D418" i="1"/>
  <c r="C418" i="1"/>
  <c r="X417" i="1"/>
  <c r="W417" i="1"/>
  <c r="V417" i="1"/>
  <c r="U417" i="1"/>
  <c r="T417" i="1"/>
  <c r="S417" i="1"/>
  <c r="R417" i="1"/>
  <c r="Q417" i="1"/>
  <c r="P417" i="1"/>
  <c r="O417" i="1"/>
  <c r="N417" i="1"/>
  <c r="M417" i="1"/>
  <c r="L417" i="1"/>
  <c r="K417" i="1"/>
  <c r="J417" i="1"/>
  <c r="I417" i="1"/>
  <c r="H417" i="1"/>
  <c r="G417" i="1"/>
  <c r="F417" i="1"/>
  <c r="E417" i="1"/>
  <c r="D417" i="1"/>
  <c r="C417" i="1"/>
  <c r="X416" i="1"/>
  <c r="W416" i="1"/>
  <c r="V416" i="1"/>
  <c r="U416" i="1"/>
  <c r="T416" i="1"/>
  <c r="S416" i="1"/>
  <c r="R416" i="1"/>
  <c r="Q416" i="1"/>
  <c r="P416" i="1"/>
  <c r="O416" i="1"/>
  <c r="N416" i="1"/>
  <c r="M416" i="1"/>
  <c r="L416" i="1"/>
  <c r="K416" i="1"/>
  <c r="J416" i="1"/>
  <c r="I416" i="1"/>
  <c r="H416" i="1"/>
  <c r="G416" i="1"/>
  <c r="F416" i="1"/>
  <c r="E416" i="1"/>
  <c r="D416" i="1"/>
  <c r="C416" i="1"/>
  <c r="X415" i="1"/>
  <c r="W415" i="1"/>
  <c r="V415" i="1"/>
  <c r="U415" i="1"/>
  <c r="T415" i="1"/>
  <c r="S415" i="1"/>
  <c r="R415" i="1"/>
  <c r="Q415" i="1"/>
  <c r="P415" i="1"/>
  <c r="O415" i="1"/>
  <c r="N415" i="1"/>
  <c r="M415" i="1"/>
  <c r="L415" i="1"/>
  <c r="K415" i="1"/>
  <c r="J415" i="1"/>
  <c r="I415" i="1"/>
  <c r="H415" i="1"/>
  <c r="G415" i="1"/>
  <c r="F415" i="1"/>
  <c r="E415" i="1"/>
  <c r="D415" i="1"/>
  <c r="C415" i="1"/>
  <c r="X414" i="1"/>
  <c r="W414" i="1"/>
  <c r="V414" i="1"/>
  <c r="U414" i="1"/>
  <c r="T414" i="1"/>
  <c r="S414" i="1"/>
  <c r="R414" i="1"/>
  <c r="Q414" i="1"/>
  <c r="P414" i="1"/>
  <c r="O414" i="1"/>
  <c r="N414" i="1"/>
  <c r="M414" i="1"/>
  <c r="L414" i="1"/>
  <c r="K414" i="1"/>
  <c r="J414" i="1"/>
  <c r="I414" i="1"/>
  <c r="H414" i="1"/>
  <c r="G414" i="1"/>
  <c r="F414" i="1"/>
  <c r="E414" i="1"/>
  <c r="D414" i="1"/>
  <c r="C414" i="1"/>
  <c r="X413" i="1"/>
  <c r="W413" i="1"/>
  <c r="V413" i="1"/>
  <c r="U413" i="1"/>
  <c r="T413" i="1"/>
  <c r="S413" i="1"/>
  <c r="R413" i="1"/>
  <c r="Q413" i="1"/>
  <c r="P413" i="1"/>
  <c r="O413" i="1"/>
  <c r="N413" i="1"/>
  <c r="M413" i="1"/>
  <c r="L413" i="1"/>
  <c r="K413" i="1"/>
  <c r="J413" i="1"/>
  <c r="I413" i="1"/>
  <c r="H413" i="1"/>
  <c r="G413" i="1"/>
  <c r="F413" i="1"/>
  <c r="E413" i="1"/>
  <c r="D413" i="1"/>
  <c r="C413" i="1"/>
  <c r="X412" i="1"/>
  <c r="W412" i="1"/>
  <c r="V412" i="1"/>
  <c r="U412" i="1"/>
  <c r="T412" i="1"/>
  <c r="S412" i="1"/>
  <c r="R412" i="1"/>
  <c r="Q412" i="1"/>
  <c r="P412" i="1"/>
  <c r="O412" i="1"/>
  <c r="N412" i="1"/>
  <c r="M412" i="1"/>
  <c r="L412" i="1"/>
  <c r="K412" i="1"/>
  <c r="J412" i="1"/>
  <c r="I412" i="1"/>
  <c r="H412" i="1"/>
  <c r="G412" i="1"/>
  <c r="F412" i="1"/>
  <c r="E412" i="1"/>
  <c r="D412" i="1"/>
  <c r="C412" i="1"/>
  <c r="X411" i="1"/>
  <c r="W411" i="1"/>
  <c r="V411" i="1"/>
  <c r="U411" i="1"/>
  <c r="T411" i="1"/>
  <c r="S411" i="1"/>
  <c r="R411" i="1"/>
  <c r="Q411" i="1"/>
  <c r="P411" i="1"/>
  <c r="O411" i="1"/>
  <c r="N411" i="1"/>
  <c r="M411" i="1"/>
  <c r="L411" i="1"/>
  <c r="K411" i="1"/>
  <c r="J411" i="1"/>
  <c r="I411" i="1"/>
  <c r="H411" i="1"/>
  <c r="G411" i="1"/>
  <c r="F411" i="1"/>
  <c r="E411" i="1"/>
  <c r="D411" i="1"/>
  <c r="C411" i="1"/>
  <c r="X410" i="1"/>
  <c r="W410" i="1"/>
  <c r="V410" i="1"/>
  <c r="U410" i="1"/>
  <c r="T410" i="1"/>
  <c r="S410" i="1"/>
  <c r="R410" i="1"/>
  <c r="Q410" i="1"/>
  <c r="P410" i="1"/>
  <c r="O410" i="1"/>
  <c r="N410" i="1"/>
  <c r="M410" i="1"/>
  <c r="L410" i="1"/>
  <c r="K410" i="1"/>
  <c r="J410" i="1"/>
  <c r="I410" i="1"/>
  <c r="H410" i="1"/>
  <c r="G410" i="1"/>
  <c r="F410" i="1"/>
  <c r="E410" i="1"/>
  <c r="D410" i="1"/>
  <c r="C410" i="1"/>
  <c r="X409" i="1"/>
  <c r="W409" i="1"/>
  <c r="V409" i="1"/>
  <c r="U409" i="1"/>
  <c r="T409" i="1"/>
  <c r="S409" i="1"/>
  <c r="R409" i="1"/>
  <c r="Q409" i="1"/>
  <c r="P409" i="1"/>
  <c r="O409" i="1"/>
  <c r="N409" i="1"/>
  <c r="M409" i="1"/>
  <c r="L409" i="1"/>
  <c r="K409" i="1"/>
  <c r="J409" i="1"/>
  <c r="I409" i="1"/>
  <c r="H409" i="1"/>
  <c r="G409" i="1"/>
  <c r="F409" i="1"/>
  <c r="E409" i="1"/>
  <c r="D409" i="1"/>
  <c r="C409" i="1"/>
  <c r="X408" i="1"/>
  <c r="W408" i="1"/>
  <c r="V408" i="1"/>
  <c r="U408" i="1"/>
  <c r="T408" i="1"/>
  <c r="S408" i="1"/>
  <c r="R408" i="1"/>
  <c r="Q408" i="1"/>
  <c r="P408" i="1"/>
  <c r="O408" i="1"/>
  <c r="N408" i="1"/>
  <c r="M408" i="1"/>
  <c r="L408" i="1"/>
  <c r="K408" i="1"/>
  <c r="J408" i="1"/>
  <c r="I408" i="1"/>
  <c r="H408" i="1"/>
  <c r="G408" i="1"/>
  <c r="F408" i="1"/>
  <c r="E408" i="1"/>
  <c r="D408" i="1"/>
  <c r="C408" i="1"/>
  <c r="X407" i="1"/>
  <c r="W407" i="1"/>
  <c r="V407" i="1"/>
  <c r="U407" i="1"/>
  <c r="T407" i="1"/>
  <c r="S407" i="1"/>
  <c r="R407" i="1"/>
  <c r="Q407" i="1"/>
  <c r="P407" i="1"/>
  <c r="O407" i="1"/>
  <c r="N407" i="1"/>
  <c r="M407" i="1"/>
  <c r="L407" i="1"/>
  <c r="K407" i="1"/>
  <c r="J407" i="1"/>
  <c r="I407" i="1"/>
  <c r="H407" i="1"/>
  <c r="G407" i="1"/>
  <c r="F407" i="1"/>
  <c r="E407" i="1"/>
  <c r="D407" i="1"/>
  <c r="C407" i="1"/>
  <c r="X406" i="1"/>
  <c r="W406" i="1"/>
  <c r="V406" i="1"/>
  <c r="U406" i="1"/>
  <c r="T406" i="1"/>
  <c r="S406" i="1"/>
  <c r="R406" i="1"/>
  <c r="Q406" i="1"/>
  <c r="P406" i="1"/>
  <c r="O406" i="1"/>
  <c r="N406" i="1"/>
  <c r="M406" i="1"/>
  <c r="L406" i="1"/>
  <c r="K406" i="1"/>
  <c r="J406" i="1"/>
  <c r="I406" i="1"/>
  <c r="H406" i="1"/>
  <c r="G406" i="1"/>
  <c r="F406" i="1"/>
  <c r="E406" i="1"/>
  <c r="D406" i="1"/>
  <c r="C406" i="1"/>
  <c r="X405" i="1"/>
  <c r="W405" i="1"/>
  <c r="V405" i="1"/>
  <c r="U405" i="1"/>
  <c r="T405" i="1"/>
  <c r="S405" i="1"/>
  <c r="R405" i="1"/>
  <c r="Q405" i="1"/>
  <c r="P405" i="1"/>
  <c r="O405" i="1"/>
  <c r="N405" i="1"/>
  <c r="M405" i="1"/>
  <c r="L405" i="1"/>
  <c r="K405" i="1"/>
  <c r="J405" i="1"/>
  <c r="I405" i="1"/>
  <c r="H405" i="1"/>
  <c r="G405" i="1"/>
  <c r="F405" i="1"/>
  <c r="E405" i="1"/>
  <c r="D405" i="1"/>
  <c r="C405" i="1"/>
  <c r="X404" i="1"/>
  <c r="W404" i="1"/>
  <c r="V404" i="1"/>
  <c r="U404" i="1"/>
  <c r="T404" i="1"/>
  <c r="S404" i="1"/>
  <c r="R404" i="1"/>
  <c r="Q404" i="1"/>
  <c r="P404" i="1"/>
  <c r="O404" i="1"/>
  <c r="N404" i="1"/>
  <c r="M404" i="1"/>
  <c r="L404" i="1"/>
  <c r="K404" i="1"/>
  <c r="J404" i="1"/>
  <c r="I404" i="1"/>
  <c r="H404" i="1"/>
  <c r="G404" i="1"/>
  <c r="F404" i="1"/>
  <c r="E404" i="1"/>
  <c r="D404" i="1"/>
  <c r="C404" i="1"/>
  <c r="X403" i="1"/>
  <c r="W403" i="1"/>
  <c r="V403" i="1"/>
  <c r="U403" i="1"/>
  <c r="T403" i="1"/>
  <c r="S403" i="1"/>
  <c r="R403" i="1"/>
  <c r="Q403" i="1"/>
  <c r="P403" i="1"/>
  <c r="O403" i="1"/>
  <c r="N403" i="1"/>
  <c r="M403" i="1"/>
  <c r="L403" i="1"/>
  <c r="K403" i="1"/>
  <c r="J403" i="1"/>
  <c r="I403" i="1"/>
  <c r="H403" i="1"/>
  <c r="G403" i="1"/>
  <c r="F403" i="1"/>
  <c r="E403" i="1"/>
  <c r="D403" i="1"/>
  <c r="C403" i="1"/>
  <c r="X402" i="1"/>
  <c r="W402" i="1"/>
  <c r="V402" i="1"/>
  <c r="U402" i="1"/>
  <c r="T402" i="1"/>
  <c r="S402" i="1"/>
  <c r="R402" i="1"/>
  <c r="Q402" i="1"/>
  <c r="P402" i="1"/>
  <c r="O402" i="1"/>
  <c r="N402" i="1"/>
  <c r="M402" i="1"/>
  <c r="L402" i="1"/>
  <c r="K402" i="1"/>
  <c r="J402" i="1"/>
  <c r="I402" i="1"/>
  <c r="H402" i="1"/>
  <c r="G402" i="1"/>
  <c r="F402" i="1"/>
  <c r="E402" i="1"/>
  <c r="D402" i="1"/>
  <c r="C402" i="1"/>
  <c r="X401" i="1"/>
  <c r="W401" i="1"/>
  <c r="V401" i="1"/>
  <c r="U401" i="1"/>
  <c r="T401" i="1"/>
  <c r="S401" i="1"/>
  <c r="R401" i="1"/>
  <c r="Q401" i="1"/>
  <c r="P401" i="1"/>
  <c r="O401" i="1"/>
  <c r="N401" i="1"/>
  <c r="M401" i="1"/>
  <c r="L401" i="1"/>
  <c r="K401" i="1"/>
  <c r="J401" i="1"/>
  <c r="I401" i="1"/>
  <c r="H401" i="1"/>
  <c r="G401" i="1"/>
  <c r="F401" i="1"/>
  <c r="E401" i="1"/>
  <c r="D401" i="1"/>
  <c r="C401" i="1"/>
  <c r="X400" i="1"/>
  <c r="W400" i="1"/>
  <c r="V400" i="1"/>
  <c r="U400" i="1"/>
  <c r="T400" i="1"/>
  <c r="S400" i="1"/>
  <c r="R400" i="1"/>
  <c r="Q400" i="1"/>
  <c r="P400" i="1"/>
  <c r="O400" i="1"/>
  <c r="N400" i="1"/>
  <c r="M400" i="1"/>
  <c r="L400" i="1"/>
  <c r="K400" i="1"/>
  <c r="J400" i="1"/>
  <c r="I400" i="1"/>
  <c r="H400" i="1"/>
  <c r="G400" i="1"/>
  <c r="F400" i="1"/>
  <c r="E400" i="1"/>
  <c r="D400" i="1"/>
  <c r="C400" i="1"/>
  <c r="X399" i="1"/>
  <c r="W399" i="1"/>
  <c r="V399" i="1"/>
  <c r="U399" i="1"/>
  <c r="T399" i="1"/>
  <c r="S399" i="1"/>
  <c r="R399" i="1"/>
  <c r="Q399" i="1"/>
  <c r="P399" i="1"/>
  <c r="O399" i="1"/>
  <c r="N399" i="1"/>
  <c r="M399" i="1"/>
  <c r="L399" i="1"/>
  <c r="K399" i="1"/>
  <c r="J399" i="1"/>
  <c r="I399" i="1"/>
  <c r="H399" i="1"/>
  <c r="G399" i="1"/>
  <c r="F399" i="1"/>
  <c r="E399" i="1"/>
  <c r="D399" i="1"/>
  <c r="C399" i="1"/>
  <c r="X398" i="1"/>
  <c r="W398" i="1"/>
  <c r="V398" i="1"/>
  <c r="U398" i="1"/>
  <c r="T398" i="1"/>
  <c r="S398" i="1"/>
  <c r="R398" i="1"/>
  <c r="Q398" i="1"/>
  <c r="P398" i="1"/>
  <c r="O398" i="1"/>
  <c r="N398" i="1"/>
  <c r="M398" i="1"/>
  <c r="L398" i="1"/>
  <c r="K398" i="1"/>
  <c r="J398" i="1"/>
  <c r="I398" i="1"/>
  <c r="H398" i="1"/>
  <c r="G398" i="1"/>
  <c r="F398" i="1"/>
  <c r="E398" i="1"/>
  <c r="D398" i="1"/>
  <c r="C398" i="1"/>
  <c r="X397" i="1"/>
  <c r="W397" i="1"/>
  <c r="V397" i="1"/>
  <c r="U397" i="1"/>
  <c r="T397" i="1"/>
  <c r="S397" i="1"/>
  <c r="R397" i="1"/>
  <c r="Q397" i="1"/>
  <c r="P397" i="1"/>
  <c r="O397" i="1"/>
  <c r="N397" i="1"/>
  <c r="M397" i="1"/>
  <c r="L397" i="1"/>
  <c r="K397" i="1"/>
  <c r="J397" i="1"/>
  <c r="I397" i="1"/>
  <c r="H397" i="1"/>
  <c r="G397" i="1"/>
  <c r="F397" i="1"/>
  <c r="E397" i="1"/>
  <c r="D397" i="1"/>
  <c r="C397" i="1"/>
  <c r="X396" i="1"/>
  <c r="W396" i="1"/>
  <c r="V396" i="1"/>
  <c r="U396" i="1"/>
  <c r="T396" i="1"/>
  <c r="S396" i="1"/>
  <c r="R396" i="1"/>
  <c r="Q396" i="1"/>
  <c r="P396" i="1"/>
  <c r="O396" i="1"/>
  <c r="N396" i="1"/>
  <c r="M396" i="1"/>
  <c r="L396" i="1"/>
  <c r="K396" i="1"/>
  <c r="J396" i="1"/>
  <c r="I396" i="1"/>
  <c r="H396" i="1"/>
  <c r="G396" i="1"/>
  <c r="F396" i="1"/>
  <c r="E396" i="1"/>
  <c r="D396" i="1"/>
  <c r="C396" i="1"/>
  <c r="X395" i="1"/>
  <c r="W395" i="1"/>
  <c r="V395" i="1"/>
  <c r="U395" i="1"/>
  <c r="T395" i="1"/>
  <c r="S395" i="1"/>
  <c r="R395" i="1"/>
  <c r="Q395" i="1"/>
  <c r="P395" i="1"/>
  <c r="O395" i="1"/>
  <c r="N395" i="1"/>
  <c r="M395" i="1"/>
  <c r="L395" i="1"/>
  <c r="K395" i="1"/>
  <c r="J395" i="1"/>
  <c r="I395" i="1"/>
  <c r="H395" i="1"/>
  <c r="G395" i="1"/>
  <c r="F395" i="1"/>
  <c r="E395" i="1"/>
  <c r="D395" i="1"/>
  <c r="C395" i="1"/>
  <c r="X394" i="1"/>
  <c r="W394" i="1"/>
  <c r="V394" i="1"/>
  <c r="U394" i="1"/>
  <c r="T394" i="1"/>
  <c r="S394" i="1"/>
  <c r="R394" i="1"/>
  <c r="Q394" i="1"/>
  <c r="P394" i="1"/>
  <c r="O394" i="1"/>
  <c r="N394" i="1"/>
  <c r="M394" i="1"/>
  <c r="L394" i="1"/>
  <c r="K394" i="1"/>
  <c r="J394" i="1"/>
  <c r="I394" i="1"/>
  <c r="H394" i="1"/>
  <c r="G394" i="1"/>
  <c r="F394" i="1"/>
  <c r="E394" i="1"/>
  <c r="D394" i="1"/>
  <c r="C394" i="1"/>
  <c r="X393" i="1"/>
  <c r="W393" i="1"/>
  <c r="V393" i="1"/>
  <c r="U393" i="1"/>
  <c r="T393" i="1"/>
  <c r="S393" i="1"/>
  <c r="R393" i="1"/>
  <c r="Q393" i="1"/>
  <c r="P393" i="1"/>
  <c r="O393" i="1"/>
  <c r="N393" i="1"/>
  <c r="M393" i="1"/>
  <c r="L393" i="1"/>
  <c r="K393" i="1"/>
  <c r="J393" i="1"/>
  <c r="I393" i="1"/>
  <c r="H393" i="1"/>
  <c r="G393" i="1"/>
  <c r="F393" i="1"/>
  <c r="E393" i="1"/>
  <c r="D393" i="1"/>
  <c r="C393" i="1"/>
  <c r="X392" i="1"/>
  <c r="W392" i="1"/>
  <c r="V392" i="1"/>
  <c r="U392" i="1"/>
  <c r="T392" i="1"/>
  <c r="S392" i="1"/>
  <c r="R392" i="1"/>
  <c r="Q392" i="1"/>
  <c r="P392" i="1"/>
  <c r="O392" i="1"/>
  <c r="N392" i="1"/>
  <c r="M392" i="1"/>
  <c r="L392" i="1"/>
  <c r="K392" i="1"/>
  <c r="J392" i="1"/>
  <c r="I392" i="1"/>
  <c r="H392" i="1"/>
  <c r="G392" i="1"/>
  <c r="F392" i="1"/>
  <c r="E392" i="1"/>
  <c r="D392" i="1"/>
  <c r="C392" i="1"/>
  <c r="X391" i="1"/>
  <c r="W391" i="1"/>
  <c r="V391" i="1"/>
  <c r="U391" i="1"/>
  <c r="T391" i="1"/>
  <c r="S391" i="1"/>
  <c r="R391" i="1"/>
  <c r="Q391" i="1"/>
  <c r="P391" i="1"/>
  <c r="O391" i="1"/>
  <c r="N391" i="1"/>
  <c r="M391" i="1"/>
  <c r="L391" i="1"/>
  <c r="K391" i="1"/>
  <c r="J391" i="1"/>
  <c r="I391" i="1"/>
  <c r="H391" i="1"/>
  <c r="G391" i="1"/>
  <c r="F391" i="1"/>
  <c r="E391" i="1"/>
  <c r="D391" i="1"/>
  <c r="C391" i="1"/>
  <c r="X390" i="1"/>
  <c r="W390" i="1"/>
  <c r="V390" i="1"/>
  <c r="U390" i="1"/>
  <c r="T390" i="1"/>
  <c r="S390" i="1"/>
  <c r="R390" i="1"/>
  <c r="Q390" i="1"/>
  <c r="P390" i="1"/>
  <c r="O390" i="1"/>
  <c r="N390" i="1"/>
  <c r="M390" i="1"/>
  <c r="L390" i="1"/>
  <c r="K390" i="1"/>
  <c r="J390" i="1"/>
  <c r="I390" i="1"/>
  <c r="H390" i="1"/>
  <c r="G390" i="1"/>
  <c r="F390" i="1"/>
  <c r="E390" i="1"/>
  <c r="D390" i="1"/>
  <c r="C390" i="1"/>
  <c r="X389" i="1"/>
  <c r="W389" i="1"/>
  <c r="V389" i="1"/>
  <c r="U389" i="1"/>
  <c r="T389" i="1"/>
  <c r="S389" i="1"/>
  <c r="R389" i="1"/>
  <c r="Q389" i="1"/>
  <c r="P389" i="1"/>
  <c r="O389" i="1"/>
  <c r="N389" i="1"/>
  <c r="M389" i="1"/>
  <c r="L389" i="1"/>
  <c r="K389" i="1"/>
  <c r="J389" i="1"/>
  <c r="I389" i="1"/>
  <c r="H389" i="1"/>
  <c r="G389" i="1"/>
  <c r="F389" i="1"/>
  <c r="E389" i="1"/>
  <c r="D389" i="1"/>
  <c r="C389" i="1"/>
  <c r="X388" i="1"/>
  <c r="W388" i="1"/>
  <c r="V388" i="1"/>
  <c r="U388" i="1"/>
  <c r="T388" i="1"/>
  <c r="S388" i="1"/>
  <c r="R388" i="1"/>
  <c r="Q388" i="1"/>
  <c r="P388" i="1"/>
  <c r="O388" i="1"/>
  <c r="N388" i="1"/>
  <c r="M388" i="1"/>
  <c r="L388" i="1"/>
  <c r="K388" i="1"/>
  <c r="J388" i="1"/>
  <c r="I388" i="1"/>
  <c r="H388" i="1"/>
  <c r="G388" i="1"/>
  <c r="F388" i="1"/>
  <c r="E388" i="1"/>
  <c r="D388" i="1"/>
  <c r="C388" i="1"/>
  <c r="X387" i="1"/>
  <c r="W387" i="1"/>
  <c r="V387" i="1"/>
  <c r="U387" i="1"/>
  <c r="T387" i="1"/>
  <c r="S387" i="1"/>
  <c r="R387" i="1"/>
  <c r="Q387" i="1"/>
  <c r="P387" i="1"/>
  <c r="O387" i="1"/>
  <c r="N387" i="1"/>
  <c r="M387" i="1"/>
  <c r="L387" i="1"/>
  <c r="K387" i="1"/>
  <c r="J387" i="1"/>
  <c r="I387" i="1"/>
  <c r="H387" i="1"/>
  <c r="G387" i="1"/>
  <c r="F387" i="1"/>
  <c r="E387" i="1"/>
  <c r="D387" i="1"/>
  <c r="C387" i="1"/>
  <c r="X386" i="1"/>
  <c r="W386" i="1"/>
  <c r="V386" i="1"/>
  <c r="U386" i="1"/>
  <c r="T386" i="1"/>
  <c r="S386" i="1"/>
  <c r="R386" i="1"/>
  <c r="Q386" i="1"/>
  <c r="P386" i="1"/>
  <c r="O386" i="1"/>
  <c r="N386" i="1"/>
  <c r="M386" i="1"/>
  <c r="L386" i="1"/>
  <c r="K386" i="1"/>
  <c r="J386" i="1"/>
  <c r="I386" i="1"/>
  <c r="H386" i="1"/>
  <c r="G386" i="1"/>
  <c r="F386" i="1"/>
  <c r="E386" i="1"/>
  <c r="D386" i="1"/>
  <c r="C386" i="1"/>
  <c r="X385" i="1"/>
  <c r="W385" i="1"/>
  <c r="V385" i="1"/>
  <c r="U385" i="1"/>
  <c r="T385" i="1"/>
  <c r="S385" i="1"/>
  <c r="R385" i="1"/>
  <c r="Q385" i="1"/>
  <c r="P385" i="1"/>
  <c r="O385" i="1"/>
  <c r="N385" i="1"/>
  <c r="M385" i="1"/>
  <c r="L385" i="1"/>
  <c r="K385" i="1"/>
  <c r="J385" i="1"/>
  <c r="I385" i="1"/>
  <c r="H385" i="1"/>
  <c r="G385" i="1"/>
  <c r="F385" i="1"/>
  <c r="E385" i="1"/>
  <c r="D385" i="1"/>
  <c r="C385" i="1"/>
  <c r="X384" i="1"/>
  <c r="W384" i="1"/>
  <c r="V384" i="1"/>
  <c r="U384" i="1"/>
  <c r="T384" i="1"/>
  <c r="S384" i="1"/>
  <c r="R384" i="1"/>
  <c r="Q384" i="1"/>
  <c r="P384" i="1"/>
  <c r="O384" i="1"/>
  <c r="N384" i="1"/>
  <c r="M384" i="1"/>
  <c r="L384" i="1"/>
  <c r="K384" i="1"/>
  <c r="J384" i="1"/>
  <c r="I384" i="1"/>
  <c r="H384" i="1"/>
  <c r="G384" i="1"/>
  <c r="F384" i="1"/>
  <c r="E384" i="1"/>
  <c r="D384" i="1"/>
  <c r="C384" i="1"/>
  <c r="X383" i="1"/>
  <c r="W383" i="1"/>
  <c r="V383" i="1"/>
  <c r="U383" i="1"/>
  <c r="T383" i="1"/>
  <c r="S383" i="1"/>
  <c r="R383" i="1"/>
  <c r="Q383" i="1"/>
  <c r="P383" i="1"/>
  <c r="O383" i="1"/>
  <c r="N383" i="1"/>
  <c r="M383" i="1"/>
  <c r="L383" i="1"/>
  <c r="K383" i="1"/>
  <c r="J383" i="1"/>
  <c r="I383" i="1"/>
  <c r="H383" i="1"/>
  <c r="G383" i="1"/>
  <c r="F383" i="1"/>
  <c r="E383" i="1"/>
  <c r="D383" i="1"/>
  <c r="C383" i="1"/>
  <c r="X382" i="1"/>
  <c r="W382" i="1"/>
  <c r="V382" i="1"/>
  <c r="U382" i="1"/>
  <c r="T382" i="1"/>
  <c r="S382" i="1"/>
  <c r="R382" i="1"/>
  <c r="Q382" i="1"/>
  <c r="P382" i="1"/>
  <c r="O382" i="1"/>
  <c r="N382" i="1"/>
  <c r="M382" i="1"/>
  <c r="L382" i="1"/>
  <c r="K382" i="1"/>
  <c r="J382" i="1"/>
  <c r="I382" i="1"/>
  <c r="H382" i="1"/>
  <c r="G382" i="1"/>
  <c r="F382" i="1"/>
  <c r="E382" i="1"/>
  <c r="D382" i="1"/>
  <c r="C382" i="1"/>
  <c r="X381" i="1"/>
  <c r="W381" i="1"/>
  <c r="V381" i="1"/>
  <c r="U381" i="1"/>
  <c r="T381" i="1"/>
  <c r="S381" i="1"/>
  <c r="R381" i="1"/>
  <c r="Q381" i="1"/>
  <c r="P381" i="1"/>
  <c r="O381" i="1"/>
  <c r="N381" i="1"/>
  <c r="M381" i="1"/>
  <c r="L381" i="1"/>
  <c r="K381" i="1"/>
  <c r="J381" i="1"/>
  <c r="I381" i="1"/>
  <c r="H381" i="1"/>
  <c r="G381" i="1"/>
  <c r="F381" i="1"/>
  <c r="E381" i="1"/>
  <c r="D381" i="1"/>
  <c r="C381" i="1"/>
  <c r="X380" i="1"/>
  <c r="W380" i="1"/>
  <c r="V380" i="1"/>
  <c r="U380" i="1"/>
  <c r="T380" i="1"/>
  <c r="S380" i="1"/>
  <c r="R380" i="1"/>
  <c r="Q380" i="1"/>
  <c r="P380" i="1"/>
  <c r="O380" i="1"/>
  <c r="N380" i="1"/>
  <c r="M380" i="1"/>
  <c r="L380" i="1"/>
  <c r="K380" i="1"/>
  <c r="J380" i="1"/>
  <c r="I380" i="1"/>
  <c r="H380" i="1"/>
  <c r="G380" i="1"/>
  <c r="F380" i="1"/>
  <c r="E380" i="1"/>
  <c r="D380" i="1"/>
  <c r="C380" i="1"/>
  <c r="X379" i="1"/>
  <c r="W379" i="1"/>
  <c r="V379" i="1"/>
  <c r="U379" i="1"/>
  <c r="T379" i="1"/>
  <c r="S379" i="1"/>
  <c r="R379" i="1"/>
  <c r="Q379" i="1"/>
  <c r="P379" i="1"/>
  <c r="O379" i="1"/>
  <c r="N379" i="1"/>
  <c r="M379" i="1"/>
  <c r="L379" i="1"/>
  <c r="K379" i="1"/>
  <c r="J379" i="1"/>
  <c r="I379" i="1"/>
  <c r="H379" i="1"/>
  <c r="G379" i="1"/>
  <c r="F379" i="1"/>
  <c r="E379" i="1"/>
  <c r="D379" i="1"/>
  <c r="C379" i="1"/>
  <c r="X378" i="1"/>
  <c r="W378" i="1"/>
  <c r="V378" i="1"/>
  <c r="U378" i="1"/>
  <c r="T378" i="1"/>
  <c r="S378" i="1"/>
  <c r="R378" i="1"/>
  <c r="Q378" i="1"/>
  <c r="P378" i="1"/>
  <c r="O378" i="1"/>
  <c r="N378" i="1"/>
  <c r="M378" i="1"/>
  <c r="L378" i="1"/>
  <c r="K378" i="1"/>
  <c r="J378" i="1"/>
  <c r="I378" i="1"/>
  <c r="H378" i="1"/>
  <c r="G378" i="1"/>
  <c r="F378" i="1"/>
  <c r="E378" i="1"/>
  <c r="D378" i="1"/>
  <c r="C378" i="1"/>
  <c r="X377" i="1"/>
  <c r="W377" i="1"/>
  <c r="V377" i="1"/>
  <c r="U377" i="1"/>
  <c r="T377" i="1"/>
  <c r="S377" i="1"/>
  <c r="R377" i="1"/>
  <c r="Q377" i="1"/>
  <c r="P377" i="1"/>
  <c r="O377" i="1"/>
  <c r="N377" i="1"/>
  <c r="M377" i="1"/>
  <c r="L377" i="1"/>
  <c r="K377" i="1"/>
  <c r="J377" i="1"/>
  <c r="I377" i="1"/>
  <c r="H377" i="1"/>
  <c r="G377" i="1"/>
  <c r="F377" i="1"/>
  <c r="E377" i="1"/>
  <c r="D377" i="1"/>
  <c r="C377" i="1"/>
  <c r="X376" i="1"/>
  <c r="W376" i="1"/>
  <c r="V376" i="1"/>
  <c r="U376" i="1"/>
  <c r="T376" i="1"/>
  <c r="S376" i="1"/>
  <c r="R376" i="1"/>
  <c r="Q376" i="1"/>
  <c r="P376" i="1"/>
  <c r="O376" i="1"/>
  <c r="N376" i="1"/>
  <c r="M376" i="1"/>
  <c r="L376" i="1"/>
  <c r="K376" i="1"/>
  <c r="J376" i="1"/>
  <c r="I376" i="1"/>
  <c r="H376" i="1"/>
  <c r="G376" i="1"/>
  <c r="F376" i="1"/>
  <c r="E376" i="1"/>
  <c r="D376" i="1"/>
  <c r="X375" i="1"/>
  <c r="W375" i="1"/>
  <c r="V375" i="1"/>
  <c r="U375" i="1"/>
  <c r="T375" i="1"/>
  <c r="S375" i="1"/>
  <c r="R375" i="1"/>
  <c r="Q375" i="1"/>
  <c r="P375" i="1"/>
  <c r="O375" i="1"/>
  <c r="N375" i="1"/>
  <c r="M375" i="1"/>
  <c r="L375" i="1"/>
  <c r="K375" i="1"/>
  <c r="J375" i="1"/>
  <c r="I375" i="1"/>
  <c r="H375" i="1"/>
  <c r="G375" i="1"/>
  <c r="F375" i="1"/>
  <c r="E375" i="1"/>
  <c r="D375" i="1"/>
  <c r="C375" i="1"/>
  <c r="X374" i="1"/>
  <c r="W374" i="1"/>
  <c r="V374" i="1"/>
  <c r="U374" i="1"/>
  <c r="T374" i="1"/>
  <c r="S374" i="1"/>
  <c r="R374" i="1"/>
  <c r="Q374" i="1"/>
  <c r="P374" i="1"/>
  <c r="O374" i="1"/>
  <c r="N374" i="1"/>
  <c r="M374" i="1"/>
  <c r="L374" i="1"/>
  <c r="K374" i="1"/>
  <c r="J374" i="1"/>
  <c r="I374" i="1"/>
  <c r="H374" i="1"/>
  <c r="G374" i="1"/>
  <c r="F374" i="1"/>
  <c r="E374" i="1"/>
  <c r="D374" i="1"/>
  <c r="C374" i="1"/>
  <c r="X373" i="1"/>
  <c r="W373" i="1"/>
  <c r="V373" i="1"/>
  <c r="U373" i="1"/>
  <c r="T373" i="1"/>
  <c r="S373" i="1"/>
  <c r="R373" i="1"/>
  <c r="Q373" i="1"/>
  <c r="P373" i="1"/>
  <c r="O373" i="1"/>
  <c r="N373" i="1"/>
  <c r="M373" i="1"/>
  <c r="L373" i="1"/>
  <c r="K373" i="1"/>
  <c r="J373" i="1"/>
  <c r="I373" i="1"/>
  <c r="H373" i="1"/>
  <c r="G373" i="1"/>
  <c r="F373" i="1"/>
  <c r="E373" i="1"/>
  <c r="D373" i="1"/>
  <c r="C373" i="1"/>
  <c r="X372" i="1"/>
  <c r="W372" i="1"/>
  <c r="V372" i="1"/>
  <c r="U372" i="1"/>
  <c r="T372" i="1"/>
  <c r="S372" i="1"/>
  <c r="R372" i="1"/>
  <c r="Q372" i="1"/>
  <c r="P372" i="1"/>
  <c r="O372" i="1"/>
  <c r="N372" i="1"/>
  <c r="M372" i="1"/>
  <c r="L372" i="1"/>
  <c r="K372" i="1"/>
  <c r="J372" i="1"/>
  <c r="I372" i="1"/>
  <c r="H372" i="1"/>
  <c r="G372" i="1"/>
  <c r="F372" i="1"/>
  <c r="E372" i="1"/>
  <c r="D372" i="1"/>
  <c r="C372" i="1"/>
  <c r="X371" i="1"/>
  <c r="W371" i="1"/>
  <c r="V371" i="1"/>
  <c r="U371" i="1"/>
  <c r="T371" i="1"/>
  <c r="S371" i="1"/>
  <c r="R371" i="1"/>
  <c r="Q371" i="1"/>
  <c r="P371" i="1"/>
  <c r="O371" i="1"/>
  <c r="N371" i="1"/>
  <c r="M371" i="1"/>
  <c r="L371" i="1"/>
  <c r="K371" i="1"/>
  <c r="J371" i="1"/>
  <c r="I371" i="1"/>
  <c r="H371" i="1"/>
  <c r="G371" i="1"/>
  <c r="F371" i="1"/>
  <c r="E371" i="1"/>
  <c r="D371" i="1"/>
  <c r="C371" i="1"/>
  <c r="X370" i="1"/>
  <c r="W370" i="1"/>
  <c r="V370" i="1"/>
  <c r="U370" i="1"/>
  <c r="T370" i="1"/>
  <c r="S370" i="1"/>
  <c r="R370" i="1"/>
  <c r="Q370" i="1"/>
  <c r="P370" i="1"/>
  <c r="O370" i="1"/>
  <c r="N370" i="1"/>
  <c r="M370" i="1"/>
  <c r="L370" i="1"/>
  <c r="K370" i="1"/>
  <c r="J370" i="1"/>
  <c r="I370" i="1"/>
  <c r="H370" i="1"/>
  <c r="G370" i="1"/>
  <c r="F370" i="1"/>
  <c r="E370" i="1"/>
  <c r="D370" i="1"/>
  <c r="C370" i="1"/>
  <c r="X369" i="1"/>
  <c r="W369" i="1"/>
  <c r="V369" i="1"/>
  <c r="U369" i="1"/>
  <c r="T369" i="1"/>
  <c r="S369" i="1"/>
  <c r="R369" i="1"/>
  <c r="Q369" i="1"/>
  <c r="P369" i="1"/>
  <c r="O369" i="1"/>
  <c r="N369" i="1"/>
  <c r="M369" i="1"/>
  <c r="L369" i="1"/>
  <c r="K369" i="1"/>
  <c r="J369" i="1"/>
  <c r="I369" i="1"/>
  <c r="H369" i="1"/>
  <c r="G369" i="1"/>
  <c r="F369" i="1"/>
  <c r="E369" i="1"/>
  <c r="D369" i="1"/>
  <c r="C369" i="1"/>
  <c r="X368" i="1"/>
  <c r="W368" i="1"/>
  <c r="V368" i="1"/>
  <c r="U368" i="1"/>
  <c r="T368" i="1"/>
  <c r="S368" i="1"/>
  <c r="R368" i="1"/>
  <c r="Q368" i="1"/>
  <c r="P368" i="1"/>
  <c r="O368" i="1"/>
  <c r="N368" i="1"/>
  <c r="M368" i="1"/>
  <c r="L368" i="1"/>
  <c r="K368" i="1"/>
  <c r="J368" i="1"/>
  <c r="I368" i="1"/>
  <c r="H368" i="1"/>
  <c r="G368" i="1"/>
  <c r="F368" i="1"/>
  <c r="E368" i="1"/>
  <c r="D368" i="1"/>
  <c r="C368" i="1"/>
  <c r="X367" i="1"/>
  <c r="W367" i="1"/>
  <c r="V367" i="1"/>
  <c r="U367" i="1"/>
  <c r="T367" i="1"/>
  <c r="S367" i="1"/>
  <c r="R367" i="1"/>
  <c r="Q367" i="1"/>
  <c r="P367" i="1"/>
  <c r="O367" i="1"/>
  <c r="N367" i="1"/>
  <c r="M367" i="1"/>
  <c r="L367" i="1"/>
  <c r="K367" i="1"/>
  <c r="J367" i="1"/>
  <c r="I367" i="1"/>
  <c r="H367" i="1"/>
  <c r="G367" i="1"/>
  <c r="F367" i="1"/>
  <c r="E367" i="1"/>
  <c r="D367" i="1"/>
  <c r="C367" i="1"/>
  <c r="X366" i="1"/>
  <c r="W366" i="1"/>
  <c r="V366" i="1"/>
  <c r="U366" i="1"/>
  <c r="T366" i="1"/>
  <c r="S366" i="1"/>
  <c r="R366" i="1"/>
  <c r="Q366" i="1"/>
  <c r="P366" i="1"/>
  <c r="O366" i="1"/>
  <c r="N366" i="1"/>
  <c r="M366" i="1"/>
  <c r="L366" i="1"/>
  <c r="K366" i="1"/>
  <c r="J366" i="1"/>
  <c r="I366" i="1"/>
  <c r="H366" i="1"/>
  <c r="G366" i="1"/>
  <c r="F366" i="1"/>
  <c r="E366" i="1"/>
  <c r="D366" i="1"/>
  <c r="C366" i="1"/>
  <c r="X365" i="1"/>
  <c r="W365" i="1"/>
  <c r="V365" i="1"/>
  <c r="U365" i="1"/>
  <c r="T365" i="1"/>
  <c r="S365" i="1"/>
  <c r="R365" i="1"/>
  <c r="Q365" i="1"/>
  <c r="P365" i="1"/>
  <c r="O365" i="1"/>
  <c r="N365" i="1"/>
  <c r="M365" i="1"/>
  <c r="L365" i="1"/>
  <c r="K365" i="1"/>
  <c r="J365" i="1"/>
  <c r="I365" i="1"/>
  <c r="H365" i="1"/>
  <c r="G365" i="1"/>
  <c r="F365" i="1"/>
  <c r="E365" i="1"/>
  <c r="D365" i="1"/>
  <c r="C365" i="1"/>
  <c r="X364" i="1"/>
  <c r="W364" i="1"/>
  <c r="V364" i="1"/>
  <c r="U364" i="1"/>
  <c r="T364" i="1"/>
  <c r="S364" i="1"/>
  <c r="R364" i="1"/>
  <c r="Q364" i="1"/>
  <c r="P364" i="1"/>
  <c r="O364" i="1"/>
  <c r="N364" i="1"/>
  <c r="M364" i="1"/>
  <c r="L364" i="1"/>
  <c r="K364" i="1"/>
  <c r="J364" i="1"/>
  <c r="I364" i="1"/>
  <c r="H364" i="1"/>
  <c r="G364" i="1"/>
  <c r="F364" i="1"/>
  <c r="E364" i="1"/>
  <c r="D364" i="1"/>
  <c r="C364" i="1"/>
  <c r="X363" i="1"/>
  <c r="W363" i="1"/>
  <c r="V363" i="1"/>
  <c r="U363" i="1"/>
  <c r="T363" i="1"/>
  <c r="S363" i="1"/>
  <c r="R363" i="1"/>
  <c r="Q363" i="1"/>
  <c r="P363" i="1"/>
  <c r="O363" i="1"/>
  <c r="N363" i="1"/>
  <c r="M363" i="1"/>
  <c r="L363" i="1"/>
  <c r="K363" i="1"/>
  <c r="J363" i="1"/>
  <c r="I363" i="1"/>
  <c r="H363" i="1"/>
  <c r="G363" i="1"/>
  <c r="F363" i="1"/>
  <c r="E363" i="1"/>
  <c r="D363" i="1"/>
  <c r="C363" i="1"/>
  <c r="X362" i="1"/>
  <c r="W362" i="1"/>
  <c r="V362" i="1"/>
  <c r="U362" i="1"/>
  <c r="T362" i="1"/>
  <c r="S362" i="1"/>
  <c r="R362" i="1"/>
  <c r="Q362" i="1"/>
  <c r="P362" i="1"/>
  <c r="O362" i="1"/>
  <c r="N362" i="1"/>
  <c r="M362" i="1"/>
  <c r="L362" i="1"/>
  <c r="K362" i="1"/>
  <c r="J362" i="1"/>
  <c r="I362" i="1"/>
  <c r="H362" i="1"/>
  <c r="G362" i="1"/>
  <c r="F362" i="1"/>
  <c r="E362" i="1"/>
  <c r="D362" i="1"/>
  <c r="C362" i="1"/>
  <c r="X361" i="1"/>
  <c r="W361" i="1"/>
  <c r="V361" i="1"/>
  <c r="U361" i="1"/>
  <c r="T361" i="1"/>
  <c r="S361" i="1"/>
  <c r="R361" i="1"/>
  <c r="Q361" i="1"/>
  <c r="P361" i="1"/>
  <c r="O361" i="1"/>
  <c r="N361" i="1"/>
  <c r="M361" i="1"/>
  <c r="L361" i="1"/>
  <c r="K361" i="1"/>
  <c r="J361" i="1"/>
  <c r="I361" i="1"/>
  <c r="H361" i="1"/>
  <c r="G361" i="1"/>
  <c r="F361" i="1"/>
  <c r="E361" i="1"/>
  <c r="D361" i="1"/>
  <c r="C361" i="1"/>
  <c r="X360" i="1"/>
  <c r="W360" i="1"/>
  <c r="V360" i="1"/>
  <c r="U360" i="1"/>
  <c r="T360" i="1"/>
  <c r="S360" i="1"/>
  <c r="R360" i="1"/>
  <c r="Q360" i="1"/>
  <c r="P360" i="1"/>
  <c r="O360" i="1"/>
  <c r="N360" i="1"/>
  <c r="M360" i="1"/>
  <c r="L360" i="1"/>
  <c r="K360" i="1"/>
  <c r="J360" i="1"/>
  <c r="I360" i="1"/>
  <c r="H360" i="1"/>
  <c r="G360" i="1"/>
  <c r="F360" i="1"/>
  <c r="E360" i="1"/>
  <c r="D360" i="1"/>
  <c r="C360" i="1"/>
  <c r="X359" i="1"/>
  <c r="W359" i="1"/>
  <c r="V359" i="1"/>
  <c r="U359" i="1"/>
  <c r="T359" i="1"/>
  <c r="S359" i="1"/>
  <c r="R359" i="1"/>
  <c r="Q359" i="1"/>
  <c r="P359" i="1"/>
  <c r="O359" i="1"/>
  <c r="N359" i="1"/>
  <c r="M359" i="1"/>
  <c r="L359" i="1"/>
  <c r="K359" i="1"/>
  <c r="J359" i="1"/>
  <c r="I359" i="1"/>
  <c r="H359" i="1"/>
  <c r="G359" i="1"/>
  <c r="F359" i="1"/>
  <c r="E359" i="1"/>
  <c r="D359" i="1"/>
  <c r="C359" i="1"/>
  <c r="X358" i="1"/>
  <c r="W358" i="1"/>
  <c r="V358" i="1"/>
  <c r="U358" i="1"/>
  <c r="T358" i="1"/>
  <c r="S358" i="1"/>
  <c r="R358" i="1"/>
  <c r="Q358" i="1"/>
  <c r="P358" i="1"/>
  <c r="O358" i="1"/>
  <c r="N358" i="1"/>
  <c r="M358" i="1"/>
  <c r="L358" i="1"/>
  <c r="K358" i="1"/>
  <c r="J358" i="1"/>
  <c r="I358" i="1"/>
  <c r="H358" i="1"/>
  <c r="G358" i="1"/>
  <c r="F358" i="1"/>
  <c r="E358" i="1"/>
  <c r="D358" i="1"/>
  <c r="C358" i="1"/>
  <c r="X357" i="1"/>
  <c r="W357" i="1"/>
  <c r="V357" i="1"/>
  <c r="U357" i="1"/>
  <c r="T357" i="1"/>
  <c r="S357" i="1"/>
  <c r="R357" i="1"/>
  <c r="Q357" i="1"/>
  <c r="P357" i="1"/>
  <c r="O357" i="1"/>
  <c r="N357" i="1"/>
  <c r="M357" i="1"/>
  <c r="L357" i="1"/>
  <c r="K357" i="1"/>
  <c r="J357" i="1"/>
  <c r="I357" i="1"/>
  <c r="H357" i="1"/>
  <c r="G357" i="1"/>
  <c r="F357" i="1"/>
  <c r="E357" i="1"/>
  <c r="D357" i="1"/>
  <c r="C357" i="1"/>
  <c r="X356" i="1"/>
  <c r="W356" i="1"/>
  <c r="V356" i="1"/>
  <c r="U356" i="1"/>
  <c r="T356" i="1"/>
  <c r="S356" i="1"/>
  <c r="R356" i="1"/>
  <c r="Q356" i="1"/>
  <c r="P356" i="1"/>
  <c r="O356" i="1"/>
  <c r="N356" i="1"/>
  <c r="M356" i="1"/>
  <c r="L356" i="1"/>
  <c r="K356" i="1"/>
  <c r="J356" i="1"/>
  <c r="I356" i="1"/>
  <c r="H356" i="1"/>
  <c r="G356" i="1"/>
  <c r="F356" i="1"/>
  <c r="E356" i="1"/>
  <c r="D356" i="1"/>
  <c r="C356" i="1"/>
  <c r="X355" i="1"/>
  <c r="W355" i="1"/>
  <c r="V355" i="1"/>
  <c r="U355" i="1"/>
  <c r="T355" i="1"/>
  <c r="S355" i="1"/>
  <c r="R355" i="1"/>
  <c r="Q355" i="1"/>
  <c r="P355" i="1"/>
  <c r="O355" i="1"/>
  <c r="N355" i="1"/>
  <c r="M355" i="1"/>
  <c r="L355" i="1"/>
  <c r="K355" i="1"/>
  <c r="J355" i="1"/>
  <c r="I355" i="1"/>
  <c r="H355" i="1"/>
  <c r="G355" i="1"/>
  <c r="F355" i="1"/>
  <c r="E355" i="1"/>
  <c r="D355" i="1"/>
  <c r="C355" i="1"/>
  <c r="X354" i="1"/>
  <c r="W354" i="1"/>
  <c r="V354" i="1"/>
  <c r="U354" i="1"/>
  <c r="T354" i="1"/>
  <c r="S354" i="1"/>
  <c r="R354" i="1"/>
  <c r="Q354" i="1"/>
  <c r="P354" i="1"/>
  <c r="O354" i="1"/>
  <c r="N354" i="1"/>
  <c r="M354" i="1"/>
  <c r="L354" i="1"/>
  <c r="K354" i="1"/>
  <c r="J354" i="1"/>
  <c r="I354" i="1"/>
  <c r="H354" i="1"/>
  <c r="G354" i="1"/>
  <c r="F354" i="1"/>
  <c r="E354" i="1"/>
  <c r="D354" i="1"/>
  <c r="C354" i="1"/>
  <c r="X353" i="1"/>
  <c r="W353" i="1"/>
  <c r="V353" i="1"/>
  <c r="U353" i="1"/>
  <c r="T353" i="1"/>
  <c r="S353" i="1"/>
  <c r="R353" i="1"/>
  <c r="Q353" i="1"/>
  <c r="P353" i="1"/>
  <c r="O353" i="1"/>
  <c r="N353" i="1"/>
  <c r="M353" i="1"/>
  <c r="L353" i="1"/>
  <c r="K353" i="1"/>
  <c r="J353" i="1"/>
  <c r="I353" i="1"/>
  <c r="H353" i="1"/>
  <c r="G353" i="1"/>
  <c r="F353" i="1"/>
  <c r="E353" i="1"/>
  <c r="D353" i="1"/>
  <c r="C353" i="1"/>
  <c r="X352" i="1"/>
  <c r="W352" i="1"/>
  <c r="V352" i="1"/>
  <c r="U352" i="1"/>
  <c r="T352" i="1"/>
  <c r="S352" i="1"/>
  <c r="R352" i="1"/>
  <c r="Q352" i="1"/>
  <c r="P352" i="1"/>
  <c r="O352" i="1"/>
  <c r="N352" i="1"/>
  <c r="M352" i="1"/>
  <c r="L352" i="1"/>
  <c r="K352" i="1"/>
  <c r="J352" i="1"/>
  <c r="I352" i="1"/>
  <c r="H352" i="1"/>
  <c r="G352" i="1"/>
  <c r="F352" i="1"/>
  <c r="E352" i="1"/>
  <c r="D352" i="1"/>
  <c r="C352" i="1"/>
  <c r="X351" i="1"/>
  <c r="W351" i="1"/>
  <c r="V351" i="1"/>
  <c r="U351" i="1"/>
  <c r="T351" i="1"/>
  <c r="S351" i="1"/>
  <c r="R351" i="1"/>
  <c r="Q351" i="1"/>
  <c r="P351" i="1"/>
  <c r="O351" i="1"/>
  <c r="N351" i="1"/>
  <c r="M351" i="1"/>
  <c r="L351" i="1"/>
  <c r="K351" i="1"/>
  <c r="J351" i="1"/>
  <c r="I351" i="1"/>
  <c r="H351" i="1"/>
  <c r="G351" i="1"/>
  <c r="F351" i="1"/>
  <c r="E351" i="1"/>
  <c r="D351" i="1"/>
  <c r="C351" i="1"/>
  <c r="X350" i="1"/>
  <c r="W350" i="1"/>
  <c r="V350" i="1"/>
  <c r="U350" i="1"/>
  <c r="T350" i="1"/>
  <c r="S350" i="1"/>
  <c r="R350" i="1"/>
  <c r="Q350" i="1"/>
  <c r="P350" i="1"/>
  <c r="O350" i="1"/>
  <c r="N350" i="1"/>
  <c r="M350" i="1"/>
  <c r="L350" i="1"/>
  <c r="K350" i="1"/>
  <c r="J350" i="1"/>
  <c r="I350" i="1"/>
  <c r="H350" i="1"/>
  <c r="G350" i="1"/>
  <c r="F350" i="1"/>
  <c r="E350" i="1"/>
  <c r="D350" i="1"/>
  <c r="C350" i="1"/>
  <c r="X349" i="1"/>
  <c r="W349" i="1"/>
  <c r="V349" i="1"/>
  <c r="U349" i="1"/>
  <c r="T349" i="1"/>
  <c r="S349" i="1"/>
  <c r="R349" i="1"/>
  <c r="Q349" i="1"/>
  <c r="P349" i="1"/>
  <c r="O349" i="1"/>
  <c r="N349" i="1"/>
  <c r="M349" i="1"/>
  <c r="L349" i="1"/>
  <c r="K349" i="1"/>
  <c r="J349" i="1"/>
  <c r="I349" i="1"/>
  <c r="H349" i="1"/>
  <c r="G349" i="1"/>
  <c r="F349" i="1"/>
  <c r="E349" i="1"/>
  <c r="D349" i="1"/>
  <c r="C349" i="1"/>
  <c r="X348" i="1"/>
  <c r="W348" i="1"/>
  <c r="V348" i="1"/>
  <c r="U348" i="1"/>
  <c r="T348" i="1"/>
  <c r="S348" i="1"/>
  <c r="R348" i="1"/>
  <c r="Q348" i="1"/>
  <c r="P348" i="1"/>
  <c r="O348" i="1"/>
  <c r="N348" i="1"/>
  <c r="M348" i="1"/>
  <c r="L348" i="1"/>
  <c r="K348" i="1"/>
  <c r="J348" i="1"/>
  <c r="I348" i="1"/>
  <c r="H348" i="1"/>
  <c r="G348" i="1"/>
  <c r="F348" i="1"/>
  <c r="E348" i="1"/>
  <c r="D348" i="1"/>
  <c r="C348" i="1"/>
  <c r="X347" i="1"/>
  <c r="W347" i="1"/>
  <c r="V347" i="1"/>
  <c r="U347" i="1"/>
  <c r="T347" i="1"/>
  <c r="S347" i="1"/>
  <c r="R347" i="1"/>
  <c r="Q347" i="1"/>
  <c r="P347" i="1"/>
  <c r="O347" i="1"/>
  <c r="N347" i="1"/>
  <c r="M347" i="1"/>
  <c r="L347" i="1"/>
  <c r="K347" i="1"/>
  <c r="J347" i="1"/>
  <c r="I347" i="1"/>
  <c r="H347" i="1"/>
  <c r="G347" i="1"/>
  <c r="F347" i="1"/>
  <c r="E347" i="1"/>
  <c r="D347" i="1"/>
  <c r="C347" i="1"/>
  <c r="X346" i="1"/>
  <c r="W346" i="1"/>
  <c r="V346" i="1"/>
  <c r="U346" i="1"/>
  <c r="T346" i="1"/>
  <c r="S346" i="1"/>
  <c r="R346" i="1"/>
  <c r="Q346" i="1"/>
  <c r="P346" i="1"/>
  <c r="O346" i="1"/>
  <c r="N346" i="1"/>
  <c r="M346" i="1"/>
  <c r="L346" i="1"/>
  <c r="K346" i="1"/>
  <c r="J346" i="1"/>
  <c r="I346" i="1"/>
  <c r="H346" i="1"/>
  <c r="G346" i="1"/>
  <c r="F346" i="1"/>
  <c r="E346" i="1"/>
  <c r="D346" i="1"/>
  <c r="C346" i="1"/>
  <c r="X345" i="1"/>
  <c r="W345" i="1"/>
  <c r="V345" i="1"/>
  <c r="U345" i="1"/>
  <c r="T345" i="1"/>
  <c r="S345" i="1"/>
  <c r="R345" i="1"/>
  <c r="Q345" i="1"/>
  <c r="P345" i="1"/>
  <c r="O345" i="1"/>
  <c r="N345" i="1"/>
  <c r="M345" i="1"/>
  <c r="L345" i="1"/>
  <c r="K345" i="1"/>
  <c r="J345" i="1"/>
  <c r="I345" i="1"/>
  <c r="H345" i="1"/>
  <c r="G345" i="1"/>
  <c r="F345" i="1"/>
  <c r="E345" i="1"/>
  <c r="D345" i="1"/>
  <c r="C345" i="1"/>
  <c r="X344" i="1"/>
  <c r="W344" i="1"/>
  <c r="V344" i="1"/>
  <c r="U344" i="1"/>
  <c r="T344" i="1"/>
  <c r="S344" i="1"/>
  <c r="R344" i="1"/>
  <c r="Q344" i="1"/>
  <c r="P344" i="1"/>
  <c r="O344" i="1"/>
  <c r="N344" i="1"/>
  <c r="M344" i="1"/>
  <c r="L344" i="1"/>
  <c r="K344" i="1"/>
  <c r="J344" i="1"/>
  <c r="I344" i="1"/>
  <c r="H344" i="1"/>
  <c r="G344" i="1"/>
  <c r="F344" i="1"/>
  <c r="E344" i="1"/>
  <c r="D344" i="1"/>
  <c r="C344" i="1"/>
  <c r="X343" i="1"/>
  <c r="W343" i="1"/>
  <c r="V343" i="1"/>
  <c r="U343" i="1"/>
  <c r="T343" i="1"/>
  <c r="S343" i="1"/>
  <c r="R343" i="1"/>
  <c r="Q343" i="1"/>
  <c r="P343" i="1"/>
  <c r="O343" i="1"/>
  <c r="N343" i="1"/>
  <c r="M343" i="1"/>
  <c r="L343" i="1"/>
  <c r="K343" i="1"/>
  <c r="J343" i="1"/>
  <c r="I343" i="1"/>
  <c r="H343" i="1"/>
  <c r="G343" i="1"/>
  <c r="F343" i="1"/>
  <c r="E343" i="1"/>
  <c r="D343" i="1"/>
  <c r="C343" i="1"/>
  <c r="X342" i="1"/>
  <c r="W342" i="1"/>
  <c r="V342" i="1"/>
  <c r="U342" i="1"/>
  <c r="T342" i="1"/>
  <c r="S342" i="1"/>
  <c r="R342" i="1"/>
  <c r="Q342" i="1"/>
  <c r="P342" i="1"/>
  <c r="O342" i="1"/>
  <c r="N342" i="1"/>
  <c r="M342" i="1"/>
  <c r="L342" i="1"/>
  <c r="K342" i="1"/>
  <c r="J342" i="1"/>
  <c r="I342" i="1"/>
  <c r="H342" i="1"/>
  <c r="G342" i="1"/>
  <c r="F342" i="1"/>
  <c r="E342" i="1"/>
  <c r="D342" i="1"/>
  <c r="C342" i="1"/>
  <c r="X341" i="1"/>
  <c r="W341" i="1"/>
  <c r="V341" i="1"/>
  <c r="U341" i="1"/>
  <c r="T341" i="1"/>
  <c r="S341" i="1"/>
  <c r="R341" i="1"/>
  <c r="Q341" i="1"/>
  <c r="P341" i="1"/>
  <c r="O341" i="1"/>
  <c r="N341" i="1"/>
  <c r="M341" i="1"/>
  <c r="L341" i="1"/>
  <c r="K341" i="1"/>
  <c r="J341" i="1"/>
  <c r="I341" i="1"/>
  <c r="H341" i="1"/>
  <c r="G341" i="1"/>
  <c r="F341" i="1"/>
  <c r="E341" i="1"/>
  <c r="D341" i="1"/>
  <c r="C341" i="1"/>
  <c r="X340" i="1"/>
  <c r="W340" i="1"/>
  <c r="V340" i="1"/>
  <c r="U340" i="1"/>
  <c r="T340" i="1"/>
  <c r="S340" i="1"/>
  <c r="R340" i="1"/>
  <c r="Q340" i="1"/>
  <c r="P340" i="1"/>
  <c r="O340" i="1"/>
  <c r="N340" i="1"/>
  <c r="M340" i="1"/>
  <c r="L340" i="1"/>
  <c r="K340" i="1"/>
  <c r="J340" i="1"/>
  <c r="I340" i="1"/>
  <c r="H340" i="1"/>
  <c r="G340" i="1"/>
  <c r="F340" i="1"/>
  <c r="E340" i="1"/>
  <c r="D340" i="1"/>
  <c r="C340" i="1"/>
  <c r="X339" i="1"/>
  <c r="W339" i="1"/>
  <c r="V339" i="1"/>
  <c r="U339" i="1"/>
  <c r="T339" i="1"/>
  <c r="S339" i="1"/>
  <c r="R339" i="1"/>
  <c r="Q339" i="1"/>
  <c r="P339" i="1"/>
  <c r="O339" i="1"/>
  <c r="N339" i="1"/>
  <c r="M339" i="1"/>
  <c r="L339" i="1"/>
  <c r="K339" i="1"/>
  <c r="J339" i="1"/>
  <c r="I339" i="1"/>
  <c r="H339" i="1"/>
  <c r="G339" i="1"/>
  <c r="F339" i="1"/>
  <c r="E339" i="1"/>
  <c r="D339" i="1"/>
  <c r="C339" i="1"/>
  <c r="X338" i="1"/>
  <c r="W338" i="1"/>
  <c r="V338" i="1"/>
  <c r="U338" i="1"/>
  <c r="T338" i="1"/>
  <c r="S338" i="1"/>
  <c r="R338" i="1"/>
  <c r="Q338" i="1"/>
  <c r="P338" i="1"/>
  <c r="O338" i="1"/>
  <c r="N338" i="1"/>
  <c r="M338" i="1"/>
  <c r="L338" i="1"/>
  <c r="K338" i="1"/>
  <c r="J338" i="1"/>
  <c r="I338" i="1"/>
  <c r="H338" i="1"/>
  <c r="G338" i="1"/>
  <c r="F338" i="1"/>
  <c r="E338" i="1"/>
  <c r="D338" i="1"/>
  <c r="C338" i="1"/>
  <c r="X337" i="1"/>
  <c r="W337" i="1"/>
  <c r="V337" i="1"/>
  <c r="U337" i="1"/>
  <c r="T337" i="1"/>
  <c r="S337" i="1"/>
  <c r="R337" i="1"/>
  <c r="Q337" i="1"/>
  <c r="P337" i="1"/>
  <c r="O337" i="1"/>
  <c r="N337" i="1"/>
  <c r="M337" i="1"/>
  <c r="L337" i="1"/>
  <c r="K337" i="1"/>
  <c r="J337" i="1"/>
  <c r="I337" i="1"/>
  <c r="H337" i="1"/>
  <c r="G337" i="1"/>
  <c r="F337" i="1"/>
  <c r="E337" i="1"/>
  <c r="D337" i="1"/>
  <c r="C337" i="1"/>
  <c r="X336" i="1"/>
  <c r="W336" i="1"/>
  <c r="V336" i="1"/>
  <c r="U336" i="1"/>
  <c r="T336" i="1"/>
  <c r="S336" i="1"/>
  <c r="R336" i="1"/>
  <c r="Q336" i="1"/>
  <c r="P336" i="1"/>
  <c r="O336" i="1"/>
  <c r="N336" i="1"/>
  <c r="M336" i="1"/>
  <c r="L336" i="1"/>
  <c r="K336" i="1"/>
  <c r="J336" i="1"/>
  <c r="I336" i="1"/>
  <c r="H336" i="1"/>
  <c r="G336" i="1"/>
  <c r="F336" i="1"/>
  <c r="E336" i="1"/>
  <c r="D336" i="1"/>
  <c r="C336" i="1"/>
  <c r="X335" i="1"/>
  <c r="W335" i="1"/>
  <c r="V335" i="1"/>
  <c r="U335" i="1"/>
  <c r="T335" i="1"/>
  <c r="S335" i="1"/>
  <c r="R335" i="1"/>
  <c r="Q335" i="1"/>
  <c r="P335" i="1"/>
  <c r="O335" i="1"/>
  <c r="N335" i="1"/>
  <c r="M335" i="1"/>
  <c r="L335" i="1"/>
  <c r="K335" i="1"/>
  <c r="J335" i="1"/>
  <c r="I335" i="1"/>
  <c r="H335" i="1"/>
  <c r="G335" i="1"/>
  <c r="F335" i="1"/>
  <c r="E335" i="1"/>
  <c r="D335" i="1"/>
  <c r="C335" i="1"/>
  <c r="X334" i="1"/>
  <c r="W334" i="1"/>
  <c r="V334" i="1"/>
  <c r="U334" i="1"/>
  <c r="T334" i="1"/>
  <c r="S334" i="1"/>
  <c r="R334" i="1"/>
  <c r="Q334" i="1"/>
  <c r="P334" i="1"/>
  <c r="O334" i="1"/>
  <c r="N334" i="1"/>
  <c r="M334" i="1"/>
  <c r="L334" i="1"/>
  <c r="K334" i="1"/>
  <c r="J334" i="1"/>
  <c r="I334" i="1"/>
  <c r="H334" i="1"/>
  <c r="G334" i="1"/>
  <c r="F334" i="1"/>
  <c r="E334" i="1"/>
  <c r="D334" i="1"/>
  <c r="C334" i="1"/>
  <c r="X333" i="1"/>
  <c r="W333" i="1"/>
  <c r="V333" i="1"/>
  <c r="U333" i="1"/>
  <c r="T333" i="1"/>
  <c r="S333" i="1"/>
  <c r="R333" i="1"/>
  <c r="Q333" i="1"/>
  <c r="P333" i="1"/>
  <c r="O333" i="1"/>
  <c r="N333" i="1"/>
  <c r="M333" i="1"/>
  <c r="L333" i="1"/>
  <c r="K333" i="1"/>
  <c r="J333" i="1"/>
  <c r="I333" i="1"/>
  <c r="H333" i="1"/>
  <c r="G333" i="1"/>
  <c r="F333" i="1"/>
  <c r="E333" i="1"/>
  <c r="D333" i="1"/>
  <c r="C333" i="1"/>
  <c r="X332" i="1"/>
  <c r="W332" i="1"/>
  <c r="V332" i="1"/>
  <c r="U332" i="1"/>
  <c r="T332" i="1"/>
  <c r="S332" i="1"/>
  <c r="R332" i="1"/>
  <c r="Q332" i="1"/>
  <c r="P332" i="1"/>
  <c r="O332" i="1"/>
  <c r="N332" i="1"/>
  <c r="M332" i="1"/>
  <c r="L332" i="1"/>
  <c r="K332" i="1"/>
  <c r="J332" i="1"/>
  <c r="I332" i="1"/>
  <c r="H332" i="1"/>
  <c r="G332" i="1"/>
  <c r="F332" i="1"/>
  <c r="E332" i="1"/>
  <c r="D332" i="1"/>
  <c r="C332" i="1"/>
  <c r="X331" i="1"/>
  <c r="W331" i="1"/>
  <c r="V331" i="1"/>
  <c r="U331" i="1"/>
  <c r="T331" i="1"/>
  <c r="S331" i="1"/>
  <c r="R331" i="1"/>
  <c r="Q331" i="1"/>
  <c r="P331" i="1"/>
  <c r="O331" i="1"/>
  <c r="N331" i="1"/>
  <c r="M331" i="1"/>
  <c r="L331" i="1"/>
  <c r="K331" i="1"/>
  <c r="J331" i="1"/>
  <c r="I331" i="1"/>
  <c r="H331" i="1"/>
  <c r="G331" i="1"/>
  <c r="F331" i="1"/>
  <c r="E331" i="1"/>
  <c r="D331" i="1"/>
  <c r="C331" i="1"/>
  <c r="X330" i="1"/>
  <c r="W330" i="1"/>
  <c r="V330" i="1"/>
  <c r="U330" i="1"/>
  <c r="T330" i="1"/>
  <c r="S330" i="1"/>
  <c r="R330" i="1"/>
  <c r="Q330" i="1"/>
  <c r="P330" i="1"/>
  <c r="O330" i="1"/>
  <c r="N330" i="1"/>
  <c r="M330" i="1"/>
  <c r="L330" i="1"/>
  <c r="K330" i="1"/>
  <c r="J330" i="1"/>
  <c r="I330" i="1"/>
  <c r="H330" i="1"/>
  <c r="G330" i="1"/>
  <c r="F330" i="1"/>
  <c r="E330" i="1"/>
  <c r="D330" i="1"/>
  <c r="C330" i="1"/>
  <c r="X329" i="1"/>
  <c r="W329" i="1"/>
  <c r="V329" i="1"/>
  <c r="U329" i="1"/>
  <c r="T329" i="1"/>
  <c r="S329" i="1"/>
  <c r="R329" i="1"/>
  <c r="Q329" i="1"/>
  <c r="P329" i="1"/>
  <c r="O329" i="1"/>
  <c r="N329" i="1"/>
  <c r="M329" i="1"/>
  <c r="L329" i="1"/>
  <c r="K329" i="1"/>
  <c r="J329" i="1"/>
  <c r="I329" i="1"/>
  <c r="H329" i="1"/>
  <c r="G329" i="1"/>
  <c r="F329" i="1"/>
  <c r="E329" i="1"/>
  <c r="D329" i="1"/>
  <c r="C329" i="1"/>
  <c r="X328" i="1"/>
  <c r="W328" i="1"/>
  <c r="V328" i="1"/>
  <c r="U328" i="1"/>
  <c r="T328" i="1"/>
  <c r="S328" i="1"/>
  <c r="R328" i="1"/>
  <c r="Q328" i="1"/>
  <c r="P328" i="1"/>
  <c r="O328" i="1"/>
  <c r="N328" i="1"/>
  <c r="M328" i="1"/>
  <c r="L328" i="1"/>
  <c r="K328" i="1"/>
  <c r="J328" i="1"/>
  <c r="I328" i="1"/>
  <c r="H328" i="1"/>
  <c r="G328" i="1"/>
  <c r="F328" i="1"/>
  <c r="E328" i="1"/>
  <c r="D328" i="1"/>
  <c r="C328" i="1"/>
  <c r="X327" i="1"/>
  <c r="W327" i="1"/>
  <c r="V327" i="1"/>
  <c r="U327" i="1"/>
  <c r="T327" i="1"/>
  <c r="S327" i="1"/>
  <c r="R327" i="1"/>
  <c r="Q327" i="1"/>
  <c r="P327" i="1"/>
  <c r="O327" i="1"/>
  <c r="N327" i="1"/>
  <c r="M327" i="1"/>
  <c r="L327" i="1"/>
  <c r="K327" i="1"/>
  <c r="J327" i="1"/>
  <c r="I327" i="1"/>
  <c r="H327" i="1"/>
  <c r="G327" i="1"/>
  <c r="F327" i="1"/>
  <c r="E327" i="1"/>
  <c r="D327" i="1"/>
  <c r="C327" i="1"/>
  <c r="X326" i="1"/>
  <c r="W326" i="1"/>
  <c r="V326" i="1"/>
  <c r="U326" i="1"/>
  <c r="T326" i="1"/>
  <c r="S326" i="1"/>
  <c r="R326" i="1"/>
  <c r="Q326" i="1"/>
  <c r="P326" i="1"/>
  <c r="O326" i="1"/>
  <c r="N326" i="1"/>
  <c r="M326" i="1"/>
  <c r="L326" i="1"/>
  <c r="K326" i="1"/>
  <c r="J326" i="1"/>
  <c r="I326" i="1"/>
  <c r="H326" i="1"/>
  <c r="G326" i="1"/>
  <c r="F326" i="1"/>
  <c r="E326" i="1"/>
  <c r="D326" i="1"/>
  <c r="C326" i="1"/>
  <c r="X325" i="1"/>
  <c r="W325" i="1"/>
  <c r="V325" i="1"/>
  <c r="U325" i="1"/>
  <c r="T325" i="1"/>
  <c r="S325" i="1"/>
  <c r="R325" i="1"/>
  <c r="Q325" i="1"/>
  <c r="P325" i="1"/>
  <c r="O325" i="1"/>
  <c r="N325" i="1"/>
  <c r="M325" i="1"/>
  <c r="L325" i="1"/>
  <c r="K325" i="1"/>
  <c r="J325" i="1"/>
  <c r="I325" i="1"/>
  <c r="H325" i="1"/>
  <c r="G325" i="1"/>
  <c r="F325" i="1"/>
  <c r="E325" i="1"/>
  <c r="D325" i="1"/>
  <c r="C325" i="1"/>
  <c r="X324" i="1"/>
  <c r="W324" i="1"/>
  <c r="V324" i="1"/>
  <c r="U324" i="1"/>
  <c r="T324" i="1"/>
  <c r="S324" i="1"/>
  <c r="R324" i="1"/>
  <c r="Q324" i="1"/>
  <c r="P324" i="1"/>
  <c r="O324" i="1"/>
  <c r="N324" i="1"/>
  <c r="M324" i="1"/>
  <c r="L324" i="1"/>
  <c r="K324" i="1"/>
  <c r="J324" i="1"/>
  <c r="I324" i="1"/>
  <c r="H324" i="1"/>
  <c r="G324" i="1"/>
  <c r="F324" i="1"/>
  <c r="E324" i="1"/>
  <c r="D324" i="1"/>
  <c r="C324" i="1"/>
  <c r="X323" i="1"/>
  <c r="W323" i="1"/>
  <c r="V323" i="1"/>
  <c r="U323" i="1"/>
  <c r="T323" i="1"/>
  <c r="S323" i="1"/>
  <c r="R323" i="1"/>
  <c r="Q323" i="1"/>
  <c r="P323" i="1"/>
  <c r="O323" i="1"/>
  <c r="N323" i="1"/>
  <c r="M323" i="1"/>
  <c r="L323" i="1"/>
  <c r="K323" i="1"/>
  <c r="J323" i="1"/>
  <c r="I323" i="1"/>
  <c r="H323" i="1"/>
  <c r="G323" i="1"/>
  <c r="F323" i="1"/>
  <c r="E323" i="1"/>
  <c r="D323" i="1"/>
  <c r="C323" i="1"/>
  <c r="X322" i="1"/>
  <c r="W322" i="1"/>
  <c r="V322" i="1"/>
  <c r="U322" i="1"/>
  <c r="T322" i="1"/>
  <c r="S322" i="1"/>
  <c r="R322" i="1"/>
  <c r="Q322" i="1"/>
  <c r="P322" i="1"/>
  <c r="O322" i="1"/>
  <c r="N322" i="1"/>
  <c r="M322" i="1"/>
  <c r="L322" i="1"/>
  <c r="K322" i="1"/>
  <c r="J322" i="1"/>
  <c r="I322" i="1"/>
  <c r="H322" i="1"/>
  <c r="G322" i="1"/>
  <c r="F322" i="1"/>
  <c r="E322" i="1"/>
  <c r="D322" i="1"/>
  <c r="X321" i="1"/>
  <c r="W321" i="1"/>
  <c r="V321" i="1"/>
  <c r="U321" i="1"/>
  <c r="T321" i="1"/>
  <c r="S321" i="1"/>
  <c r="R321" i="1"/>
  <c r="Q321" i="1"/>
  <c r="P321" i="1"/>
  <c r="O321" i="1"/>
  <c r="N321" i="1"/>
  <c r="M321" i="1"/>
  <c r="L321" i="1"/>
  <c r="K321" i="1"/>
  <c r="J321" i="1"/>
  <c r="I321" i="1"/>
  <c r="H321" i="1"/>
  <c r="G321" i="1"/>
  <c r="F321" i="1"/>
  <c r="E321" i="1"/>
  <c r="D321" i="1"/>
  <c r="X320" i="1"/>
  <c r="W320" i="1"/>
  <c r="V320" i="1"/>
  <c r="U320" i="1"/>
  <c r="T320" i="1"/>
  <c r="S320" i="1"/>
  <c r="R320" i="1"/>
  <c r="Q320" i="1"/>
  <c r="P320" i="1"/>
  <c r="O320" i="1"/>
  <c r="N320" i="1"/>
  <c r="M320" i="1"/>
  <c r="L320" i="1"/>
  <c r="K320" i="1"/>
  <c r="J320" i="1"/>
  <c r="I320" i="1"/>
  <c r="H320" i="1"/>
  <c r="G320" i="1"/>
  <c r="F320" i="1"/>
  <c r="E320" i="1"/>
  <c r="D320" i="1"/>
  <c r="C320" i="1"/>
  <c r="X319" i="1"/>
  <c r="W319" i="1"/>
  <c r="V319" i="1"/>
  <c r="U319" i="1"/>
  <c r="T319" i="1"/>
  <c r="S319" i="1"/>
  <c r="R319" i="1"/>
  <c r="Q319" i="1"/>
  <c r="P319" i="1"/>
  <c r="O319" i="1"/>
  <c r="N319" i="1"/>
  <c r="M319" i="1"/>
  <c r="L319" i="1"/>
  <c r="K319" i="1"/>
  <c r="J319" i="1"/>
  <c r="I319" i="1"/>
  <c r="H319" i="1"/>
  <c r="G319" i="1"/>
  <c r="F319" i="1"/>
  <c r="E319" i="1"/>
  <c r="D319" i="1"/>
  <c r="C319" i="1"/>
  <c r="X318" i="1"/>
  <c r="W318" i="1"/>
  <c r="V318" i="1"/>
  <c r="U318" i="1"/>
  <c r="T318" i="1"/>
  <c r="S318" i="1"/>
  <c r="R318" i="1"/>
  <c r="Q318" i="1"/>
  <c r="P318" i="1"/>
  <c r="O318" i="1"/>
  <c r="N318" i="1"/>
  <c r="M318" i="1"/>
  <c r="L318" i="1"/>
  <c r="K318" i="1"/>
  <c r="J318" i="1"/>
  <c r="I318" i="1"/>
  <c r="H318" i="1"/>
  <c r="G318" i="1"/>
  <c r="F318" i="1"/>
  <c r="E318" i="1"/>
  <c r="D318" i="1"/>
  <c r="C318" i="1"/>
  <c r="X317" i="1"/>
  <c r="W317" i="1"/>
  <c r="V317" i="1"/>
  <c r="U317" i="1"/>
  <c r="T317" i="1"/>
  <c r="S317" i="1"/>
  <c r="R317" i="1"/>
  <c r="Q317" i="1"/>
  <c r="P317" i="1"/>
  <c r="O317" i="1"/>
  <c r="N317" i="1"/>
  <c r="M317" i="1"/>
  <c r="L317" i="1"/>
  <c r="K317" i="1"/>
  <c r="J317" i="1"/>
  <c r="I317" i="1"/>
  <c r="H317" i="1"/>
  <c r="G317" i="1"/>
  <c r="F317" i="1"/>
  <c r="E317" i="1"/>
  <c r="D317" i="1"/>
  <c r="C317" i="1"/>
  <c r="X316" i="1"/>
  <c r="W316" i="1"/>
  <c r="V316" i="1"/>
  <c r="U316" i="1"/>
  <c r="T316" i="1"/>
  <c r="S316" i="1"/>
  <c r="R316" i="1"/>
  <c r="Q316" i="1"/>
  <c r="P316" i="1"/>
  <c r="O316" i="1"/>
  <c r="N316" i="1"/>
  <c r="M316" i="1"/>
  <c r="L316" i="1"/>
  <c r="K316" i="1"/>
  <c r="J316" i="1"/>
  <c r="I316" i="1"/>
  <c r="H316" i="1"/>
  <c r="G316" i="1"/>
  <c r="F316" i="1"/>
  <c r="E316" i="1"/>
  <c r="D316" i="1"/>
  <c r="C316" i="1"/>
  <c r="X315" i="1"/>
  <c r="W315" i="1"/>
  <c r="V315" i="1"/>
  <c r="U315" i="1"/>
  <c r="T315" i="1"/>
  <c r="S315" i="1"/>
  <c r="R315" i="1"/>
  <c r="Q315" i="1"/>
  <c r="P315" i="1"/>
  <c r="O315" i="1"/>
  <c r="N315" i="1"/>
  <c r="M315" i="1"/>
  <c r="L315" i="1"/>
  <c r="K315" i="1"/>
  <c r="J315" i="1"/>
  <c r="I315" i="1"/>
  <c r="H315" i="1"/>
  <c r="G315" i="1"/>
  <c r="F315" i="1"/>
  <c r="E315" i="1"/>
  <c r="D315" i="1"/>
  <c r="X314" i="1"/>
  <c r="W314" i="1"/>
  <c r="V314" i="1"/>
  <c r="U314" i="1"/>
  <c r="T314" i="1"/>
  <c r="S314" i="1"/>
  <c r="R314" i="1"/>
  <c r="Q314" i="1"/>
  <c r="P314" i="1"/>
  <c r="O314" i="1"/>
  <c r="N314" i="1"/>
  <c r="M314" i="1"/>
  <c r="L314" i="1"/>
  <c r="K314" i="1"/>
  <c r="J314" i="1"/>
  <c r="I314" i="1"/>
  <c r="H314" i="1"/>
  <c r="G314" i="1"/>
  <c r="F314" i="1"/>
  <c r="E314" i="1"/>
  <c r="D314" i="1"/>
  <c r="C314" i="1"/>
  <c r="X313" i="1"/>
  <c r="W313" i="1"/>
  <c r="V313" i="1"/>
  <c r="U313" i="1"/>
  <c r="T313" i="1"/>
  <c r="S313" i="1"/>
  <c r="R313" i="1"/>
  <c r="Q313" i="1"/>
  <c r="P313" i="1"/>
  <c r="O313" i="1"/>
  <c r="N313" i="1"/>
  <c r="M313" i="1"/>
  <c r="L313" i="1"/>
  <c r="K313" i="1"/>
  <c r="J313" i="1"/>
  <c r="I313" i="1"/>
  <c r="H313" i="1"/>
  <c r="G313" i="1"/>
  <c r="F313" i="1"/>
  <c r="E313" i="1"/>
  <c r="D313" i="1"/>
  <c r="C313" i="1"/>
  <c r="X312" i="1"/>
  <c r="W312" i="1"/>
  <c r="V312" i="1"/>
  <c r="U312" i="1"/>
  <c r="T312" i="1"/>
  <c r="S312" i="1"/>
  <c r="R312" i="1"/>
  <c r="Q312" i="1"/>
  <c r="P312" i="1"/>
  <c r="O312" i="1"/>
  <c r="N312" i="1"/>
  <c r="M312" i="1"/>
  <c r="L312" i="1"/>
  <c r="K312" i="1"/>
  <c r="J312" i="1"/>
  <c r="I312" i="1"/>
  <c r="H312" i="1"/>
  <c r="G312" i="1"/>
  <c r="F312" i="1"/>
  <c r="E312" i="1"/>
  <c r="D312" i="1"/>
  <c r="C312" i="1"/>
  <c r="X311" i="1"/>
  <c r="W311" i="1"/>
  <c r="V311" i="1"/>
  <c r="U311" i="1"/>
  <c r="T311" i="1"/>
  <c r="S311" i="1"/>
  <c r="R311" i="1"/>
  <c r="Q311" i="1"/>
  <c r="P311" i="1"/>
  <c r="O311" i="1"/>
  <c r="N311" i="1"/>
  <c r="M311" i="1"/>
  <c r="L311" i="1"/>
  <c r="K311" i="1"/>
  <c r="J311" i="1"/>
  <c r="I311" i="1"/>
  <c r="H311" i="1"/>
  <c r="G311" i="1"/>
  <c r="F311" i="1"/>
  <c r="E311" i="1"/>
  <c r="D311" i="1"/>
  <c r="C311" i="1"/>
  <c r="X310" i="1"/>
  <c r="W310" i="1"/>
  <c r="V310" i="1"/>
  <c r="U310" i="1"/>
  <c r="T310" i="1"/>
  <c r="S310" i="1"/>
  <c r="R310" i="1"/>
  <c r="Q310" i="1"/>
  <c r="P310" i="1"/>
  <c r="O310" i="1"/>
  <c r="N310" i="1"/>
  <c r="M310" i="1"/>
  <c r="L310" i="1"/>
  <c r="K310" i="1"/>
  <c r="J310" i="1"/>
  <c r="I310" i="1"/>
  <c r="H310" i="1"/>
  <c r="G310" i="1"/>
  <c r="F310" i="1"/>
  <c r="E310" i="1"/>
  <c r="D310" i="1"/>
  <c r="C310" i="1"/>
  <c r="X309" i="1"/>
  <c r="W309" i="1"/>
  <c r="V309" i="1"/>
  <c r="U309" i="1"/>
  <c r="T309" i="1"/>
  <c r="S309" i="1"/>
  <c r="R309" i="1"/>
  <c r="Q309" i="1"/>
  <c r="P309" i="1"/>
  <c r="O309" i="1"/>
  <c r="N309" i="1"/>
  <c r="M309" i="1"/>
  <c r="L309" i="1"/>
  <c r="K309" i="1"/>
  <c r="J309" i="1"/>
  <c r="I309" i="1"/>
  <c r="H309" i="1"/>
  <c r="G309" i="1"/>
  <c r="F309" i="1"/>
  <c r="E309" i="1"/>
  <c r="D309" i="1"/>
  <c r="C309" i="1"/>
  <c r="X308" i="1"/>
  <c r="W308" i="1"/>
  <c r="V308" i="1"/>
  <c r="U308" i="1"/>
  <c r="T308" i="1"/>
  <c r="S308" i="1"/>
  <c r="R308" i="1"/>
  <c r="Q308" i="1"/>
  <c r="P308" i="1"/>
  <c r="O308" i="1"/>
  <c r="N308" i="1"/>
  <c r="M308" i="1"/>
  <c r="L308" i="1"/>
  <c r="K308" i="1"/>
  <c r="J308" i="1"/>
  <c r="I308" i="1"/>
  <c r="H308" i="1"/>
  <c r="G308" i="1"/>
  <c r="F308" i="1"/>
  <c r="E308" i="1"/>
  <c r="D308" i="1"/>
  <c r="C308" i="1"/>
  <c r="X307" i="1"/>
  <c r="W307" i="1"/>
  <c r="V307" i="1"/>
  <c r="U307" i="1"/>
  <c r="T307" i="1"/>
  <c r="S307" i="1"/>
  <c r="R307" i="1"/>
  <c r="Q307" i="1"/>
  <c r="P307" i="1"/>
  <c r="O307" i="1"/>
  <c r="N307" i="1"/>
  <c r="M307" i="1"/>
  <c r="L307" i="1"/>
  <c r="K307" i="1"/>
  <c r="J307" i="1"/>
  <c r="I307" i="1"/>
  <c r="H307" i="1"/>
  <c r="G307" i="1"/>
  <c r="F307" i="1"/>
  <c r="E307" i="1"/>
  <c r="D307" i="1"/>
  <c r="C307" i="1"/>
  <c r="X306" i="1"/>
  <c r="W306" i="1"/>
  <c r="V306" i="1"/>
  <c r="U306" i="1"/>
  <c r="T306" i="1"/>
  <c r="S306" i="1"/>
  <c r="R306" i="1"/>
  <c r="Q306" i="1"/>
  <c r="P306" i="1"/>
  <c r="O306" i="1"/>
  <c r="N306" i="1"/>
  <c r="M306" i="1"/>
  <c r="L306" i="1"/>
  <c r="K306" i="1"/>
  <c r="J306" i="1"/>
  <c r="I306" i="1"/>
  <c r="H306" i="1"/>
  <c r="G306" i="1"/>
  <c r="F306" i="1"/>
  <c r="E306" i="1"/>
  <c r="D306" i="1"/>
  <c r="X305" i="1"/>
  <c r="W305" i="1"/>
  <c r="V305" i="1"/>
  <c r="U305" i="1"/>
  <c r="T305" i="1"/>
  <c r="S305" i="1"/>
  <c r="R305" i="1"/>
  <c r="Q305" i="1"/>
  <c r="P305" i="1"/>
  <c r="O305" i="1"/>
  <c r="N305" i="1"/>
  <c r="M305" i="1"/>
  <c r="L305" i="1"/>
  <c r="K305" i="1"/>
  <c r="J305" i="1"/>
  <c r="I305" i="1"/>
  <c r="H305" i="1"/>
  <c r="G305" i="1"/>
  <c r="F305" i="1"/>
  <c r="E305" i="1"/>
  <c r="D305" i="1"/>
  <c r="C305" i="1"/>
  <c r="X304" i="1"/>
  <c r="W304" i="1"/>
  <c r="V304" i="1"/>
  <c r="U304" i="1"/>
  <c r="T304" i="1"/>
  <c r="S304" i="1"/>
  <c r="R304" i="1"/>
  <c r="Q304" i="1"/>
  <c r="P304" i="1"/>
  <c r="O304" i="1"/>
  <c r="N304" i="1"/>
  <c r="M304" i="1"/>
  <c r="L304" i="1"/>
  <c r="K304" i="1"/>
  <c r="J304" i="1"/>
  <c r="I304" i="1"/>
  <c r="H304" i="1"/>
  <c r="G304" i="1"/>
  <c r="F304" i="1"/>
  <c r="E304" i="1"/>
  <c r="D304" i="1"/>
  <c r="C304" i="1"/>
  <c r="X303" i="1"/>
  <c r="W303" i="1"/>
  <c r="V303" i="1"/>
  <c r="U303" i="1"/>
  <c r="T303" i="1"/>
  <c r="S303" i="1"/>
  <c r="R303" i="1"/>
  <c r="Q303" i="1"/>
  <c r="P303" i="1"/>
  <c r="O303" i="1"/>
  <c r="N303" i="1"/>
  <c r="M303" i="1"/>
  <c r="L303" i="1"/>
  <c r="K303" i="1"/>
  <c r="J303" i="1"/>
  <c r="I303" i="1"/>
  <c r="H303" i="1"/>
  <c r="G303" i="1"/>
  <c r="F303" i="1"/>
  <c r="E303" i="1"/>
  <c r="D303" i="1"/>
  <c r="X302" i="1"/>
  <c r="W302" i="1"/>
  <c r="V302" i="1"/>
  <c r="U302" i="1"/>
  <c r="T302" i="1"/>
  <c r="S302" i="1"/>
  <c r="R302" i="1"/>
  <c r="Q302" i="1"/>
  <c r="P302" i="1"/>
  <c r="O302" i="1"/>
  <c r="N302" i="1"/>
  <c r="M302" i="1"/>
  <c r="L302" i="1"/>
  <c r="K302" i="1"/>
  <c r="J302" i="1"/>
  <c r="I302" i="1"/>
  <c r="H302" i="1"/>
  <c r="G302" i="1"/>
  <c r="F302" i="1"/>
  <c r="E302" i="1"/>
  <c r="D302" i="1"/>
  <c r="C302" i="1"/>
  <c r="X301" i="1"/>
  <c r="W301" i="1"/>
  <c r="V301" i="1"/>
  <c r="U301" i="1"/>
  <c r="T301" i="1"/>
  <c r="S301" i="1"/>
  <c r="R301" i="1"/>
  <c r="Q301" i="1"/>
  <c r="P301" i="1"/>
  <c r="O301" i="1"/>
  <c r="N301" i="1"/>
  <c r="M301" i="1"/>
  <c r="L301" i="1"/>
  <c r="K301" i="1"/>
  <c r="J301" i="1"/>
  <c r="I301" i="1"/>
  <c r="H301" i="1"/>
  <c r="G301" i="1"/>
  <c r="F301" i="1"/>
  <c r="E301" i="1"/>
  <c r="D301" i="1"/>
  <c r="C301" i="1"/>
  <c r="X300" i="1"/>
  <c r="W300" i="1"/>
  <c r="V300" i="1"/>
  <c r="U300" i="1"/>
  <c r="T300" i="1"/>
  <c r="S300" i="1"/>
  <c r="R300" i="1"/>
  <c r="Q300" i="1"/>
  <c r="P300" i="1"/>
  <c r="O300" i="1"/>
  <c r="N300" i="1"/>
  <c r="M300" i="1"/>
  <c r="L300" i="1"/>
  <c r="K300" i="1"/>
  <c r="J300" i="1"/>
  <c r="I300" i="1"/>
  <c r="H300" i="1"/>
  <c r="G300" i="1"/>
  <c r="F300" i="1"/>
  <c r="E300" i="1"/>
  <c r="D300" i="1"/>
  <c r="C300" i="1"/>
  <c r="X299" i="1"/>
  <c r="W299" i="1"/>
  <c r="V299" i="1"/>
  <c r="U299" i="1"/>
  <c r="T299" i="1"/>
  <c r="S299" i="1"/>
  <c r="R299" i="1"/>
  <c r="Q299" i="1"/>
  <c r="P299" i="1"/>
  <c r="O299" i="1"/>
  <c r="N299" i="1"/>
  <c r="M299" i="1"/>
  <c r="L299" i="1"/>
  <c r="K299" i="1"/>
  <c r="J299" i="1"/>
  <c r="I299" i="1"/>
  <c r="H299" i="1"/>
  <c r="G299" i="1"/>
  <c r="F299" i="1"/>
  <c r="E299" i="1"/>
  <c r="D299" i="1"/>
  <c r="C299" i="1"/>
  <c r="X298" i="1"/>
  <c r="W298" i="1"/>
  <c r="V298" i="1"/>
  <c r="U298" i="1"/>
  <c r="T298" i="1"/>
  <c r="S298" i="1"/>
  <c r="R298" i="1"/>
  <c r="Q298" i="1"/>
  <c r="P298" i="1"/>
  <c r="O298" i="1"/>
  <c r="N298" i="1"/>
  <c r="M298" i="1"/>
  <c r="L298" i="1"/>
  <c r="K298" i="1"/>
  <c r="J298" i="1"/>
  <c r="I298" i="1"/>
  <c r="H298" i="1"/>
  <c r="G298" i="1"/>
  <c r="F298" i="1"/>
  <c r="E298" i="1"/>
  <c r="D298" i="1"/>
  <c r="C298" i="1"/>
  <c r="X297" i="1"/>
  <c r="W297" i="1"/>
  <c r="V297" i="1"/>
  <c r="U297" i="1"/>
  <c r="T297" i="1"/>
  <c r="S297" i="1"/>
  <c r="R297" i="1"/>
  <c r="Q297" i="1"/>
  <c r="P297" i="1"/>
  <c r="O297" i="1"/>
  <c r="N297" i="1"/>
  <c r="M297" i="1"/>
  <c r="L297" i="1"/>
  <c r="K297" i="1"/>
  <c r="J297" i="1"/>
  <c r="I297" i="1"/>
  <c r="H297" i="1"/>
  <c r="G297" i="1"/>
  <c r="F297" i="1"/>
  <c r="E297" i="1"/>
  <c r="D297" i="1"/>
  <c r="C297" i="1"/>
  <c r="X296" i="1"/>
  <c r="W296" i="1"/>
  <c r="V296" i="1"/>
  <c r="U296" i="1"/>
  <c r="T296" i="1"/>
  <c r="S296" i="1"/>
  <c r="R296" i="1"/>
  <c r="Q296" i="1"/>
  <c r="P296" i="1"/>
  <c r="O296" i="1"/>
  <c r="N296" i="1"/>
  <c r="M296" i="1"/>
  <c r="L296" i="1"/>
  <c r="K296" i="1"/>
  <c r="J296" i="1"/>
  <c r="I296" i="1"/>
  <c r="H296" i="1"/>
  <c r="G296" i="1"/>
  <c r="F296" i="1"/>
  <c r="E296" i="1"/>
  <c r="D296" i="1"/>
  <c r="C296" i="1"/>
  <c r="X295" i="1"/>
  <c r="W295" i="1"/>
  <c r="V295" i="1"/>
  <c r="U295" i="1"/>
  <c r="T295" i="1"/>
  <c r="S295" i="1"/>
  <c r="R295" i="1"/>
  <c r="Q295" i="1"/>
  <c r="P295" i="1"/>
  <c r="O295" i="1"/>
  <c r="N295" i="1"/>
  <c r="M295" i="1"/>
  <c r="L295" i="1"/>
  <c r="K295" i="1"/>
  <c r="J295" i="1"/>
  <c r="I295" i="1"/>
  <c r="H295" i="1"/>
  <c r="G295" i="1"/>
  <c r="F295" i="1"/>
  <c r="E295" i="1"/>
  <c r="D295" i="1"/>
  <c r="C295" i="1"/>
  <c r="X294" i="1"/>
  <c r="W294" i="1"/>
  <c r="V294" i="1"/>
  <c r="U294" i="1"/>
  <c r="T294" i="1"/>
  <c r="S294" i="1"/>
  <c r="R294" i="1"/>
  <c r="Q294" i="1"/>
  <c r="P294" i="1"/>
  <c r="O294" i="1"/>
  <c r="N294" i="1"/>
  <c r="M294" i="1"/>
  <c r="L294" i="1"/>
  <c r="K294" i="1"/>
  <c r="J294" i="1"/>
  <c r="I294" i="1"/>
  <c r="H294" i="1"/>
  <c r="G294" i="1"/>
  <c r="F294" i="1"/>
  <c r="E294" i="1"/>
  <c r="D294" i="1"/>
  <c r="C294" i="1"/>
  <c r="X293" i="1"/>
  <c r="W293" i="1"/>
  <c r="V293" i="1"/>
  <c r="U293" i="1"/>
  <c r="T293" i="1"/>
  <c r="S293" i="1"/>
  <c r="R293" i="1"/>
  <c r="Q293" i="1"/>
  <c r="P293" i="1"/>
  <c r="O293" i="1"/>
  <c r="N293" i="1"/>
  <c r="M293" i="1"/>
  <c r="L293" i="1"/>
  <c r="K293" i="1"/>
  <c r="J293" i="1"/>
  <c r="I293" i="1"/>
  <c r="H293" i="1"/>
  <c r="G293" i="1"/>
  <c r="F293" i="1"/>
  <c r="E293" i="1"/>
  <c r="D293" i="1"/>
  <c r="C293" i="1"/>
  <c r="X292" i="1"/>
  <c r="W292" i="1"/>
  <c r="V292" i="1"/>
  <c r="U292" i="1"/>
  <c r="T292" i="1"/>
  <c r="S292" i="1"/>
  <c r="R292" i="1"/>
  <c r="Q292" i="1"/>
  <c r="P292" i="1"/>
  <c r="O292" i="1"/>
  <c r="N292" i="1"/>
  <c r="M292" i="1"/>
  <c r="L292" i="1"/>
  <c r="K292" i="1"/>
  <c r="J292" i="1"/>
  <c r="I292" i="1"/>
  <c r="H292" i="1"/>
  <c r="G292" i="1"/>
  <c r="F292" i="1"/>
  <c r="E292" i="1"/>
  <c r="D292" i="1"/>
  <c r="C292" i="1"/>
  <c r="X291" i="1"/>
  <c r="W291" i="1"/>
  <c r="V291" i="1"/>
  <c r="U291" i="1"/>
  <c r="T291" i="1"/>
  <c r="S291" i="1"/>
  <c r="R291" i="1"/>
  <c r="Q291" i="1"/>
  <c r="P291" i="1"/>
  <c r="O291" i="1"/>
  <c r="N291" i="1"/>
  <c r="M291" i="1"/>
  <c r="L291" i="1"/>
  <c r="K291" i="1"/>
  <c r="J291" i="1"/>
  <c r="I291" i="1"/>
  <c r="H291" i="1"/>
  <c r="G291" i="1"/>
  <c r="F291" i="1"/>
  <c r="E291" i="1"/>
  <c r="D291" i="1"/>
  <c r="C291" i="1"/>
  <c r="X290" i="1"/>
  <c r="W290" i="1"/>
  <c r="V290" i="1"/>
  <c r="U290" i="1"/>
  <c r="T290" i="1"/>
  <c r="S290" i="1"/>
  <c r="R290" i="1"/>
  <c r="Q290" i="1"/>
  <c r="P290" i="1"/>
  <c r="O290" i="1"/>
  <c r="N290" i="1"/>
  <c r="M290" i="1"/>
  <c r="L290" i="1"/>
  <c r="K290" i="1"/>
  <c r="J290" i="1"/>
  <c r="I290" i="1"/>
  <c r="H290" i="1"/>
  <c r="G290" i="1"/>
  <c r="F290" i="1"/>
  <c r="E290" i="1"/>
  <c r="D290" i="1"/>
  <c r="X289" i="1"/>
  <c r="W289" i="1"/>
  <c r="V289" i="1"/>
  <c r="U289" i="1"/>
  <c r="T289" i="1"/>
  <c r="S289" i="1"/>
  <c r="R289" i="1"/>
  <c r="Q289" i="1"/>
  <c r="P289" i="1"/>
  <c r="O289" i="1"/>
  <c r="N289" i="1"/>
  <c r="M289" i="1"/>
  <c r="L289" i="1"/>
  <c r="K289" i="1"/>
  <c r="J289" i="1"/>
  <c r="I289" i="1"/>
  <c r="H289" i="1"/>
  <c r="G289" i="1"/>
  <c r="F289" i="1"/>
  <c r="E289" i="1"/>
  <c r="D289" i="1"/>
  <c r="C289" i="1"/>
  <c r="X288" i="1"/>
  <c r="W288" i="1"/>
  <c r="V288" i="1"/>
  <c r="U288" i="1"/>
  <c r="T288" i="1"/>
  <c r="S288" i="1"/>
  <c r="R288" i="1"/>
  <c r="Q288" i="1"/>
  <c r="P288" i="1"/>
  <c r="O288" i="1"/>
  <c r="N288" i="1"/>
  <c r="M288" i="1"/>
  <c r="L288" i="1"/>
  <c r="K288" i="1"/>
  <c r="J288" i="1"/>
  <c r="I288" i="1"/>
  <c r="H288" i="1"/>
  <c r="G288" i="1"/>
  <c r="F288" i="1"/>
  <c r="E288" i="1"/>
  <c r="D288" i="1"/>
  <c r="X287" i="1"/>
  <c r="W287" i="1"/>
  <c r="V287" i="1"/>
  <c r="U287" i="1"/>
  <c r="T287" i="1"/>
  <c r="S287" i="1"/>
  <c r="R287" i="1"/>
  <c r="Q287" i="1"/>
  <c r="P287" i="1"/>
  <c r="O287" i="1"/>
  <c r="N287" i="1"/>
  <c r="M287" i="1"/>
  <c r="L287" i="1"/>
  <c r="K287" i="1"/>
  <c r="J287" i="1"/>
  <c r="I287" i="1"/>
  <c r="H287" i="1"/>
  <c r="G287" i="1"/>
  <c r="F287" i="1"/>
  <c r="E287" i="1"/>
  <c r="D287" i="1"/>
  <c r="C287" i="1"/>
  <c r="X286" i="1"/>
  <c r="W286" i="1"/>
  <c r="V286" i="1"/>
  <c r="U286" i="1"/>
  <c r="T286" i="1"/>
  <c r="S286" i="1"/>
  <c r="R286" i="1"/>
  <c r="Q286" i="1"/>
  <c r="P286" i="1"/>
  <c r="O286" i="1"/>
  <c r="N286" i="1"/>
  <c r="M286" i="1"/>
  <c r="L286" i="1"/>
  <c r="K286" i="1"/>
  <c r="J286" i="1"/>
  <c r="I286" i="1"/>
  <c r="H286" i="1"/>
  <c r="G286" i="1"/>
  <c r="F286" i="1"/>
  <c r="E286" i="1"/>
  <c r="D286" i="1"/>
  <c r="C286" i="1"/>
  <c r="X285" i="1"/>
  <c r="W285" i="1"/>
  <c r="V285" i="1"/>
  <c r="U285" i="1"/>
  <c r="T285" i="1"/>
  <c r="S285" i="1"/>
  <c r="R285" i="1"/>
  <c r="Q285" i="1"/>
  <c r="P285" i="1"/>
  <c r="O285" i="1"/>
  <c r="N285" i="1"/>
  <c r="M285" i="1"/>
  <c r="L285" i="1"/>
  <c r="K285" i="1"/>
  <c r="J285" i="1"/>
  <c r="I285" i="1"/>
  <c r="H285" i="1"/>
  <c r="G285" i="1"/>
  <c r="F285" i="1"/>
  <c r="E285" i="1"/>
  <c r="D285" i="1"/>
  <c r="C285" i="1"/>
  <c r="X284" i="1"/>
  <c r="W284" i="1"/>
  <c r="V284" i="1"/>
  <c r="U284" i="1"/>
  <c r="T284" i="1"/>
  <c r="S284" i="1"/>
  <c r="R284" i="1"/>
  <c r="Q284" i="1"/>
  <c r="P284" i="1"/>
  <c r="O284" i="1"/>
  <c r="N284" i="1"/>
  <c r="M284" i="1"/>
  <c r="L284" i="1"/>
  <c r="K284" i="1"/>
  <c r="J284" i="1"/>
  <c r="I284" i="1"/>
  <c r="H284" i="1"/>
  <c r="G284" i="1"/>
  <c r="F284" i="1"/>
  <c r="E284" i="1"/>
  <c r="D284" i="1"/>
  <c r="C284" i="1"/>
  <c r="X283" i="1"/>
  <c r="W283" i="1"/>
  <c r="V283" i="1"/>
  <c r="U283" i="1"/>
  <c r="T283" i="1"/>
  <c r="S283" i="1"/>
  <c r="R283" i="1"/>
  <c r="Q283" i="1"/>
  <c r="P283" i="1"/>
  <c r="O283" i="1"/>
  <c r="N283" i="1"/>
  <c r="M283" i="1"/>
  <c r="L283" i="1"/>
  <c r="K283" i="1"/>
  <c r="J283" i="1"/>
  <c r="I283" i="1"/>
  <c r="H283" i="1"/>
  <c r="G283" i="1"/>
  <c r="F283" i="1"/>
  <c r="E283" i="1"/>
  <c r="D283" i="1"/>
  <c r="C283" i="1"/>
  <c r="X282" i="1"/>
  <c r="W282" i="1"/>
  <c r="V282" i="1"/>
  <c r="U282" i="1"/>
  <c r="T282" i="1"/>
  <c r="S282" i="1"/>
  <c r="R282" i="1"/>
  <c r="Q282" i="1"/>
  <c r="P282" i="1"/>
  <c r="O282" i="1"/>
  <c r="N282" i="1"/>
  <c r="M282" i="1"/>
  <c r="L282" i="1"/>
  <c r="K282" i="1"/>
  <c r="J282" i="1"/>
  <c r="I282" i="1"/>
  <c r="H282" i="1"/>
  <c r="G282" i="1"/>
  <c r="F282" i="1"/>
  <c r="E282" i="1"/>
  <c r="D282" i="1"/>
  <c r="C282" i="1"/>
  <c r="X281" i="1"/>
  <c r="W281" i="1"/>
  <c r="V281" i="1"/>
  <c r="U281" i="1"/>
  <c r="T281" i="1"/>
  <c r="S281" i="1"/>
  <c r="R281" i="1"/>
  <c r="Q281" i="1"/>
  <c r="P281" i="1"/>
  <c r="O281" i="1"/>
  <c r="N281" i="1"/>
  <c r="M281" i="1"/>
  <c r="L281" i="1"/>
  <c r="K281" i="1"/>
  <c r="J281" i="1"/>
  <c r="I281" i="1"/>
  <c r="H281" i="1"/>
  <c r="G281" i="1"/>
  <c r="F281" i="1"/>
  <c r="E281" i="1"/>
  <c r="D281" i="1"/>
  <c r="C281" i="1"/>
  <c r="X280" i="1"/>
  <c r="W280" i="1"/>
  <c r="V280" i="1"/>
  <c r="U280" i="1"/>
  <c r="T280" i="1"/>
  <c r="S280" i="1"/>
  <c r="R280" i="1"/>
  <c r="Q280" i="1"/>
  <c r="P280" i="1"/>
  <c r="O280" i="1"/>
  <c r="N280" i="1"/>
  <c r="M280" i="1"/>
  <c r="L280" i="1"/>
  <c r="K280" i="1"/>
  <c r="J280" i="1"/>
  <c r="I280" i="1"/>
  <c r="H280" i="1"/>
  <c r="G280" i="1"/>
  <c r="F280" i="1"/>
  <c r="E280" i="1"/>
  <c r="D280" i="1"/>
  <c r="C280" i="1"/>
  <c r="X279" i="1"/>
  <c r="W279" i="1"/>
  <c r="V279" i="1"/>
  <c r="U279" i="1"/>
  <c r="T279" i="1"/>
  <c r="S279" i="1"/>
  <c r="R279" i="1"/>
  <c r="Q279" i="1"/>
  <c r="P279" i="1"/>
  <c r="O279" i="1"/>
  <c r="N279" i="1"/>
  <c r="M279" i="1"/>
  <c r="L279" i="1"/>
  <c r="K279" i="1"/>
  <c r="J279" i="1"/>
  <c r="I279" i="1"/>
  <c r="H279" i="1"/>
  <c r="G279" i="1"/>
  <c r="F279" i="1"/>
  <c r="E279" i="1"/>
  <c r="D279" i="1"/>
  <c r="C279" i="1"/>
  <c r="X278" i="1"/>
  <c r="W278" i="1"/>
  <c r="V278" i="1"/>
  <c r="U278" i="1"/>
  <c r="T278" i="1"/>
  <c r="S278" i="1"/>
  <c r="R278" i="1"/>
  <c r="Q278" i="1"/>
  <c r="P278" i="1"/>
  <c r="O278" i="1"/>
  <c r="N278" i="1"/>
  <c r="M278" i="1"/>
  <c r="L278" i="1"/>
  <c r="K278" i="1"/>
  <c r="J278" i="1"/>
  <c r="I278" i="1"/>
  <c r="H278" i="1"/>
  <c r="G278" i="1"/>
  <c r="F278" i="1"/>
  <c r="E278" i="1"/>
  <c r="D278" i="1"/>
  <c r="X277" i="1"/>
  <c r="W277" i="1"/>
  <c r="V277" i="1"/>
  <c r="U277" i="1"/>
  <c r="T277" i="1"/>
  <c r="S277" i="1"/>
  <c r="R277" i="1"/>
  <c r="Q277" i="1"/>
  <c r="P277" i="1"/>
  <c r="O277" i="1"/>
  <c r="N277" i="1"/>
  <c r="M277" i="1"/>
  <c r="L277" i="1"/>
  <c r="K277" i="1"/>
  <c r="J277" i="1"/>
  <c r="I277" i="1"/>
  <c r="H277" i="1"/>
  <c r="G277" i="1"/>
  <c r="F277" i="1"/>
  <c r="E277" i="1"/>
  <c r="D277" i="1"/>
  <c r="X276" i="1"/>
  <c r="W276" i="1"/>
  <c r="V276" i="1"/>
  <c r="U276" i="1"/>
  <c r="T276" i="1"/>
  <c r="S276" i="1"/>
  <c r="R276" i="1"/>
  <c r="Q276" i="1"/>
  <c r="P276" i="1"/>
  <c r="O276" i="1"/>
  <c r="N276" i="1"/>
  <c r="M276" i="1"/>
  <c r="L276" i="1"/>
  <c r="K276" i="1"/>
  <c r="J276" i="1"/>
  <c r="I276" i="1"/>
  <c r="H276" i="1"/>
  <c r="G276" i="1"/>
  <c r="F276" i="1"/>
  <c r="E276" i="1"/>
  <c r="D276" i="1"/>
  <c r="C276" i="1"/>
  <c r="X275" i="1"/>
  <c r="W275" i="1"/>
  <c r="V275" i="1"/>
  <c r="U275" i="1"/>
  <c r="T275" i="1"/>
  <c r="S275" i="1"/>
  <c r="R275" i="1"/>
  <c r="Q275" i="1"/>
  <c r="P275" i="1"/>
  <c r="O275" i="1"/>
  <c r="N275" i="1"/>
  <c r="M275" i="1"/>
  <c r="L275" i="1"/>
  <c r="K275" i="1"/>
  <c r="J275" i="1"/>
  <c r="I275" i="1"/>
  <c r="H275" i="1"/>
  <c r="G275" i="1"/>
  <c r="F275" i="1"/>
  <c r="E275" i="1"/>
  <c r="D275" i="1"/>
  <c r="C275" i="1"/>
  <c r="X274" i="1"/>
  <c r="W274" i="1"/>
  <c r="V274" i="1"/>
  <c r="U274" i="1"/>
  <c r="T274" i="1"/>
  <c r="S274" i="1"/>
  <c r="R274" i="1"/>
  <c r="Q274" i="1"/>
  <c r="P274" i="1"/>
  <c r="O274" i="1"/>
  <c r="N274" i="1"/>
  <c r="M274" i="1"/>
  <c r="L274" i="1"/>
  <c r="K274" i="1"/>
  <c r="J274" i="1"/>
  <c r="I274" i="1"/>
  <c r="H274" i="1"/>
  <c r="G274" i="1"/>
  <c r="F274" i="1"/>
  <c r="E274" i="1"/>
  <c r="D274" i="1"/>
  <c r="C274" i="1"/>
  <c r="X273" i="1"/>
  <c r="W273" i="1"/>
  <c r="V273" i="1"/>
  <c r="U273" i="1"/>
  <c r="T273" i="1"/>
  <c r="S273" i="1"/>
  <c r="R273" i="1"/>
  <c r="Q273" i="1"/>
  <c r="P273" i="1"/>
  <c r="O273" i="1"/>
  <c r="N273" i="1"/>
  <c r="M273" i="1"/>
  <c r="L273" i="1"/>
  <c r="K273" i="1"/>
  <c r="J273" i="1"/>
  <c r="I273" i="1"/>
  <c r="H273" i="1"/>
  <c r="G273" i="1"/>
  <c r="F273" i="1"/>
  <c r="E273" i="1"/>
  <c r="D273" i="1"/>
  <c r="C273" i="1"/>
  <c r="X272" i="1"/>
  <c r="W272" i="1"/>
  <c r="V272" i="1"/>
  <c r="U272" i="1"/>
  <c r="T272" i="1"/>
  <c r="S272" i="1"/>
  <c r="R272" i="1"/>
  <c r="Q272" i="1"/>
  <c r="P272" i="1"/>
  <c r="O272" i="1"/>
  <c r="N272" i="1"/>
  <c r="M272" i="1"/>
  <c r="L272" i="1"/>
  <c r="K272" i="1"/>
  <c r="J272" i="1"/>
  <c r="I272" i="1"/>
  <c r="H272" i="1"/>
  <c r="G272" i="1"/>
  <c r="F272" i="1"/>
  <c r="E272" i="1"/>
  <c r="D272" i="1"/>
  <c r="C272" i="1"/>
  <c r="X271" i="1"/>
  <c r="W271" i="1"/>
  <c r="V271" i="1"/>
  <c r="U271" i="1"/>
  <c r="T271" i="1"/>
  <c r="S271" i="1"/>
  <c r="R271" i="1"/>
  <c r="Q271" i="1"/>
  <c r="P271" i="1"/>
  <c r="O271" i="1"/>
  <c r="N271" i="1"/>
  <c r="M271" i="1"/>
  <c r="L271" i="1"/>
  <c r="K271" i="1"/>
  <c r="J271" i="1"/>
  <c r="I271" i="1"/>
  <c r="H271" i="1"/>
  <c r="G271" i="1"/>
  <c r="F271" i="1"/>
  <c r="E271" i="1"/>
  <c r="D271" i="1"/>
  <c r="X270" i="1"/>
  <c r="W270" i="1"/>
  <c r="V270" i="1"/>
  <c r="U270" i="1"/>
  <c r="T270" i="1"/>
  <c r="S270" i="1"/>
  <c r="R270" i="1"/>
  <c r="Q270" i="1"/>
  <c r="P270" i="1"/>
  <c r="O270" i="1"/>
  <c r="N270" i="1"/>
  <c r="M270" i="1"/>
  <c r="L270" i="1"/>
  <c r="K270" i="1"/>
  <c r="J270" i="1"/>
  <c r="I270" i="1"/>
  <c r="H270" i="1"/>
  <c r="G270" i="1"/>
  <c r="F270" i="1"/>
  <c r="E270" i="1"/>
  <c r="D270" i="1"/>
  <c r="C270" i="1"/>
  <c r="X269" i="1"/>
  <c r="W269" i="1"/>
  <c r="V269" i="1"/>
  <c r="U269" i="1"/>
  <c r="T269" i="1"/>
  <c r="S269" i="1"/>
  <c r="R269" i="1"/>
  <c r="Q269" i="1"/>
  <c r="P269" i="1"/>
  <c r="O269" i="1"/>
  <c r="N269" i="1"/>
  <c r="M269" i="1"/>
  <c r="L269" i="1"/>
  <c r="K269" i="1"/>
  <c r="J269" i="1"/>
  <c r="I269" i="1"/>
  <c r="H269" i="1"/>
  <c r="G269" i="1"/>
  <c r="F269" i="1"/>
  <c r="E269" i="1"/>
  <c r="D269" i="1"/>
  <c r="C269" i="1"/>
  <c r="X268" i="1"/>
  <c r="W268" i="1"/>
  <c r="V268" i="1"/>
  <c r="U268" i="1"/>
  <c r="T268" i="1"/>
  <c r="S268" i="1"/>
  <c r="R268" i="1"/>
  <c r="Q268" i="1"/>
  <c r="P268" i="1"/>
  <c r="O268" i="1"/>
  <c r="N268" i="1"/>
  <c r="M268" i="1"/>
  <c r="L268" i="1"/>
  <c r="K268" i="1"/>
  <c r="J268" i="1"/>
  <c r="I268" i="1"/>
  <c r="H268" i="1"/>
  <c r="G268" i="1"/>
  <c r="F268" i="1"/>
  <c r="E268" i="1"/>
  <c r="D268" i="1"/>
  <c r="C268" i="1"/>
  <c r="X267" i="1"/>
  <c r="W267" i="1"/>
  <c r="V267" i="1"/>
  <c r="U267" i="1"/>
  <c r="T267" i="1"/>
  <c r="S267" i="1"/>
  <c r="R267" i="1"/>
  <c r="Q267" i="1"/>
  <c r="P267" i="1"/>
  <c r="O267" i="1"/>
  <c r="N267" i="1"/>
  <c r="M267" i="1"/>
  <c r="L267" i="1"/>
  <c r="K267" i="1"/>
  <c r="J267" i="1"/>
  <c r="I267" i="1"/>
  <c r="H267" i="1"/>
  <c r="G267" i="1"/>
  <c r="F267" i="1"/>
  <c r="E267" i="1"/>
  <c r="D267" i="1"/>
  <c r="C267" i="1"/>
  <c r="X266" i="1"/>
  <c r="W266" i="1"/>
  <c r="V266" i="1"/>
  <c r="U266" i="1"/>
  <c r="T266" i="1"/>
  <c r="S266" i="1"/>
  <c r="R266" i="1"/>
  <c r="Q266" i="1"/>
  <c r="P266" i="1"/>
  <c r="O266" i="1"/>
  <c r="N266" i="1"/>
  <c r="M266" i="1"/>
  <c r="L266" i="1"/>
  <c r="K266" i="1"/>
  <c r="J266" i="1"/>
  <c r="I266" i="1"/>
  <c r="H266" i="1"/>
  <c r="G266" i="1"/>
  <c r="F266" i="1"/>
  <c r="E266" i="1"/>
  <c r="D266" i="1"/>
  <c r="C266" i="1"/>
  <c r="X265" i="1"/>
  <c r="W265" i="1"/>
  <c r="V265" i="1"/>
  <c r="U265" i="1"/>
  <c r="T265" i="1"/>
  <c r="S265" i="1"/>
  <c r="R265" i="1"/>
  <c r="Q265" i="1"/>
  <c r="P265" i="1"/>
  <c r="O265" i="1"/>
  <c r="N265" i="1"/>
  <c r="M265" i="1"/>
  <c r="L265" i="1"/>
  <c r="K265" i="1"/>
  <c r="J265" i="1"/>
  <c r="I265" i="1"/>
  <c r="H265" i="1"/>
  <c r="G265" i="1"/>
  <c r="F265" i="1"/>
  <c r="E265" i="1"/>
  <c r="D265" i="1"/>
  <c r="C265" i="1"/>
  <c r="X264" i="1"/>
  <c r="W264" i="1"/>
  <c r="V264" i="1"/>
  <c r="U264" i="1"/>
  <c r="T264" i="1"/>
  <c r="S264" i="1"/>
  <c r="R264" i="1"/>
  <c r="Q264" i="1"/>
  <c r="P264" i="1"/>
  <c r="O264" i="1"/>
  <c r="N264" i="1"/>
  <c r="M264" i="1"/>
  <c r="L264" i="1"/>
  <c r="K264" i="1"/>
  <c r="J264" i="1"/>
  <c r="I264" i="1"/>
  <c r="H264" i="1"/>
  <c r="G264" i="1"/>
  <c r="F264" i="1"/>
  <c r="E264" i="1"/>
  <c r="D264" i="1"/>
  <c r="C264" i="1"/>
  <c r="X263" i="1"/>
  <c r="W263" i="1"/>
  <c r="V263" i="1"/>
  <c r="U263" i="1"/>
  <c r="T263" i="1"/>
  <c r="S263" i="1"/>
  <c r="R263" i="1"/>
  <c r="Q263" i="1"/>
  <c r="P263" i="1"/>
  <c r="O263" i="1"/>
  <c r="N263" i="1"/>
  <c r="M263" i="1"/>
  <c r="L263" i="1"/>
  <c r="K263" i="1"/>
  <c r="J263" i="1"/>
  <c r="I263" i="1"/>
  <c r="H263" i="1"/>
  <c r="G263" i="1"/>
  <c r="F263" i="1"/>
  <c r="E263" i="1"/>
  <c r="D263" i="1"/>
  <c r="C263" i="1"/>
  <c r="X262" i="1"/>
  <c r="W262" i="1"/>
  <c r="V262" i="1"/>
  <c r="U262" i="1"/>
  <c r="T262" i="1"/>
  <c r="S262" i="1"/>
  <c r="R262" i="1"/>
  <c r="Q262" i="1"/>
  <c r="P262" i="1"/>
  <c r="O262" i="1"/>
  <c r="N262" i="1"/>
  <c r="M262" i="1"/>
  <c r="L262" i="1"/>
  <c r="K262" i="1"/>
  <c r="J262" i="1"/>
  <c r="I262" i="1"/>
  <c r="H262" i="1"/>
  <c r="G262" i="1"/>
  <c r="F262" i="1"/>
  <c r="E262" i="1"/>
  <c r="D262" i="1"/>
  <c r="C262" i="1"/>
  <c r="X261" i="1"/>
  <c r="W261" i="1"/>
  <c r="V261" i="1"/>
  <c r="U261" i="1"/>
  <c r="T261" i="1"/>
  <c r="S261" i="1"/>
  <c r="R261" i="1"/>
  <c r="Q261" i="1"/>
  <c r="P261" i="1"/>
  <c r="O261" i="1"/>
  <c r="N261" i="1"/>
  <c r="M261" i="1"/>
  <c r="L261" i="1"/>
  <c r="K261" i="1"/>
  <c r="J261" i="1"/>
  <c r="I261" i="1"/>
  <c r="H261" i="1"/>
  <c r="G261" i="1"/>
  <c r="D261" i="1"/>
  <c r="C261" i="1"/>
  <c r="X260" i="1"/>
  <c r="W260" i="1"/>
  <c r="V260" i="1"/>
  <c r="U260" i="1"/>
  <c r="T260" i="1"/>
  <c r="S260" i="1"/>
  <c r="R260" i="1"/>
  <c r="Q260" i="1"/>
  <c r="P260" i="1"/>
  <c r="O260" i="1"/>
  <c r="N260" i="1"/>
  <c r="M260" i="1"/>
  <c r="L260" i="1"/>
  <c r="K260" i="1"/>
  <c r="J260" i="1"/>
  <c r="I260" i="1"/>
  <c r="H260" i="1"/>
  <c r="G260" i="1"/>
  <c r="D260" i="1"/>
  <c r="C260" i="1"/>
  <c r="X259" i="1"/>
  <c r="W259" i="1"/>
  <c r="V259" i="1"/>
  <c r="U259" i="1"/>
  <c r="T259" i="1"/>
  <c r="S259" i="1"/>
  <c r="R259" i="1"/>
  <c r="Q259" i="1"/>
  <c r="P259" i="1"/>
  <c r="O259" i="1"/>
  <c r="N259" i="1"/>
  <c r="M259" i="1"/>
  <c r="L259" i="1"/>
  <c r="K259" i="1"/>
  <c r="J259" i="1"/>
  <c r="I259" i="1"/>
  <c r="H259" i="1"/>
  <c r="G259" i="1"/>
  <c r="F259" i="1"/>
  <c r="E259" i="1"/>
  <c r="D259" i="1"/>
  <c r="C259" i="1"/>
  <c r="X258" i="1"/>
  <c r="W258" i="1"/>
  <c r="V258" i="1"/>
  <c r="U258" i="1"/>
  <c r="T258" i="1"/>
  <c r="S258" i="1"/>
  <c r="R258" i="1"/>
  <c r="Q258" i="1"/>
  <c r="P258" i="1"/>
  <c r="O258" i="1"/>
  <c r="N258" i="1"/>
  <c r="M258" i="1"/>
  <c r="L258" i="1"/>
  <c r="K258" i="1"/>
  <c r="J258" i="1"/>
  <c r="I258" i="1"/>
  <c r="H258" i="1"/>
  <c r="G258" i="1"/>
  <c r="D258" i="1"/>
  <c r="C258" i="1"/>
  <c r="X257" i="1"/>
  <c r="W257" i="1"/>
  <c r="V257" i="1"/>
  <c r="U257" i="1"/>
  <c r="T257" i="1"/>
  <c r="S257" i="1"/>
  <c r="R257" i="1"/>
  <c r="Q257" i="1"/>
  <c r="P257" i="1"/>
  <c r="O257" i="1"/>
  <c r="N257" i="1"/>
  <c r="M257" i="1"/>
  <c r="L257" i="1"/>
  <c r="K257" i="1"/>
  <c r="J257" i="1"/>
  <c r="I257" i="1"/>
  <c r="H257" i="1"/>
  <c r="G257" i="1"/>
  <c r="F257" i="1"/>
  <c r="E257" i="1"/>
  <c r="D257" i="1"/>
  <c r="C257" i="1"/>
  <c r="X256" i="1"/>
  <c r="W256" i="1"/>
  <c r="V256" i="1"/>
  <c r="U256" i="1"/>
  <c r="T256" i="1"/>
  <c r="S256" i="1"/>
  <c r="R256" i="1"/>
  <c r="Q256" i="1"/>
  <c r="P256" i="1"/>
  <c r="O256" i="1"/>
  <c r="N256" i="1"/>
  <c r="M256" i="1"/>
  <c r="L256" i="1"/>
  <c r="K256" i="1"/>
  <c r="J256" i="1"/>
  <c r="I256" i="1"/>
  <c r="H256" i="1"/>
  <c r="G256" i="1"/>
  <c r="F256" i="1"/>
  <c r="E256" i="1"/>
  <c r="D256" i="1"/>
  <c r="C256" i="1"/>
  <c r="X255" i="1"/>
  <c r="W255" i="1"/>
  <c r="V255" i="1"/>
  <c r="U255" i="1"/>
  <c r="T255" i="1"/>
  <c r="S255" i="1"/>
  <c r="R255" i="1"/>
  <c r="Q255" i="1"/>
  <c r="P255" i="1"/>
  <c r="O255" i="1"/>
  <c r="N255" i="1"/>
  <c r="M255" i="1"/>
  <c r="L255" i="1"/>
  <c r="K255" i="1"/>
  <c r="J255" i="1"/>
  <c r="I255" i="1"/>
  <c r="H255" i="1"/>
  <c r="G255" i="1"/>
  <c r="F255" i="1"/>
  <c r="E255" i="1"/>
  <c r="D255" i="1"/>
  <c r="C255" i="1"/>
  <c r="X254" i="1"/>
  <c r="W254" i="1"/>
  <c r="V254" i="1"/>
  <c r="U254" i="1"/>
  <c r="T254" i="1"/>
  <c r="S254" i="1"/>
  <c r="R254" i="1"/>
  <c r="Q254" i="1"/>
  <c r="P254" i="1"/>
  <c r="O254" i="1"/>
  <c r="N254" i="1"/>
  <c r="M254" i="1"/>
  <c r="L254" i="1"/>
  <c r="K254" i="1"/>
  <c r="J254" i="1"/>
  <c r="I254" i="1"/>
  <c r="H254" i="1"/>
  <c r="G254" i="1"/>
  <c r="D254" i="1"/>
  <c r="C254" i="1"/>
  <c r="X253" i="1"/>
  <c r="W253" i="1"/>
  <c r="V253" i="1"/>
  <c r="U253" i="1"/>
  <c r="T253" i="1"/>
  <c r="S253" i="1"/>
  <c r="R253" i="1"/>
  <c r="Q253" i="1"/>
  <c r="P253" i="1"/>
  <c r="O253" i="1"/>
  <c r="N253" i="1"/>
  <c r="M253" i="1"/>
  <c r="L253" i="1"/>
  <c r="K253" i="1"/>
  <c r="J253" i="1"/>
  <c r="I253" i="1"/>
  <c r="H253" i="1"/>
  <c r="G253" i="1"/>
  <c r="F253" i="1"/>
  <c r="E253" i="1"/>
  <c r="D253" i="1"/>
  <c r="C253" i="1"/>
  <c r="X252" i="1"/>
  <c r="W252" i="1"/>
  <c r="V252" i="1"/>
  <c r="U252" i="1"/>
  <c r="T252" i="1"/>
  <c r="S252" i="1"/>
  <c r="R252" i="1"/>
  <c r="Q252" i="1"/>
  <c r="P252" i="1"/>
  <c r="O252" i="1"/>
  <c r="N252" i="1"/>
  <c r="M252" i="1"/>
  <c r="L252" i="1"/>
  <c r="K252" i="1"/>
  <c r="J252" i="1"/>
  <c r="I252" i="1"/>
  <c r="H252" i="1"/>
  <c r="G252" i="1"/>
  <c r="F252" i="1"/>
  <c r="E252" i="1"/>
  <c r="D252" i="1"/>
  <c r="C252" i="1"/>
  <c r="X251" i="1"/>
  <c r="W251" i="1"/>
  <c r="V251" i="1"/>
  <c r="U251" i="1"/>
  <c r="T251" i="1"/>
  <c r="S251" i="1"/>
  <c r="R251" i="1"/>
  <c r="Q251" i="1"/>
  <c r="P251" i="1"/>
  <c r="O251" i="1"/>
  <c r="N251" i="1"/>
  <c r="M251" i="1"/>
  <c r="L251" i="1"/>
  <c r="K251" i="1"/>
  <c r="J251" i="1"/>
  <c r="I251" i="1"/>
  <c r="H251" i="1"/>
  <c r="G251" i="1"/>
  <c r="F251" i="1"/>
  <c r="E251" i="1"/>
  <c r="D251" i="1"/>
  <c r="C251" i="1"/>
  <c r="X250" i="1"/>
  <c r="W250" i="1"/>
  <c r="V250" i="1"/>
  <c r="U250" i="1"/>
  <c r="T250" i="1"/>
  <c r="S250" i="1"/>
  <c r="R250" i="1"/>
  <c r="Q250" i="1"/>
  <c r="P250" i="1"/>
  <c r="O250" i="1"/>
  <c r="N250" i="1"/>
  <c r="M250" i="1"/>
  <c r="L250" i="1"/>
  <c r="K250" i="1"/>
  <c r="J250" i="1"/>
  <c r="I250" i="1"/>
  <c r="H250" i="1"/>
  <c r="G250" i="1"/>
  <c r="F250" i="1"/>
  <c r="E250" i="1"/>
  <c r="D250" i="1"/>
  <c r="C250" i="1"/>
  <c r="X249" i="1"/>
  <c r="W249" i="1"/>
  <c r="V249" i="1"/>
  <c r="U249" i="1"/>
  <c r="T249" i="1"/>
  <c r="S249" i="1"/>
  <c r="R249" i="1"/>
  <c r="Q249" i="1"/>
  <c r="P249" i="1"/>
  <c r="O249" i="1"/>
  <c r="N249" i="1"/>
  <c r="M249" i="1"/>
  <c r="L249" i="1"/>
  <c r="K249" i="1"/>
  <c r="J249" i="1"/>
  <c r="I249" i="1"/>
  <c r="H249" i="1"/>
  <c r="G249" i="1"/>
  <c r="F249" i="1"/>
  <c r="E249" i="1"/>
  <c r="D249" i="1"/>
  <c r="C249" i="1"/>
  <c r="X248" i="1"/>
  <c r="W248" i="1"/>
  <c r="V248" i="1"/>
  <c r="U248" i="1"/>
  <c r="T248" i="1"/>
  <c r="S248" i="1"/>
  <c r="R248" i="1"/>
  <c r="Q248" i="1"/>
  <c r="P248" i="1"/>
  <c r="O248" i="1"/>
  <c r="N248" i="1"/>
  <c r="M248" i="1"/>
  <c r="L248" i="1"/>
  <c r="K248" i="1"/>
  <c r="J248" i="1"/>
  <c r="I248" i="1"/>
  <c r="H248" i="1"/>
  <c r="G248" i="1"/>
  <c r="F248" i="1"/>
  <c r="E248" i="1"/>
  <c r="D248" i="1"/>
  <c r="C248" i="1"/>
  <c r="X247" i="1"/>
  <c r="W247" i="1"/>
  <c r="V247" i="1"/>
  <c r="U247" i="1"/>
  <c r="T247" i="1"/>
  <c r="S247" i="1"/>
  <c r="R247" i="1"/>
  <c r="Q247" i="1"/>
  <c r="P247" i="1"/>
  <c r="O247" i="1"/>
  <c r="N247" i="1"/>
  <c r="M247" i="1"/>
  <c r="L247" i="1"/>
  <c r="K247" i="1"/>
  <c r="J247" i="1"/>
  <c r="I247" i="1"/>
  <c r="H247" i="1"/>
  <c r="G247" i="1"/>
  <c r="F247" i="1"/>
  <c r="E247" i="1"/>
  <c r="D247" i="1"/>
  <c r="C247" i="1"/>
  <c r="X246" i="1"/>
  <c r="W246" i="1"/>
  <c r="V246" i="1"/>
  <c r="U246" i="1"/>
  <c r="T246" i="1"/>
  <c r="S246" i="1"/>
  <c r="R246" i="1"/>
  <c r="Q246" i="1"/>
  <c r="P246" i="1"/>
  <c r="O246" i="1"/>
  <c r="N246" i="1"/>
  <c r="M246" i="1"/>
  <c r="L246" i="1"/>
  <c r="K246" i="1"/>
  <c r="J246" i="1"/>
  <c r="I246" i="1"/>
  <c r="H246" i="1"/>
  <c r="G246" i="1"/>
  <c r="F246" i="1"/>
  <c r="E246" i="1"/>
  <c r="D246" i="1"/>
  <c r="C246" i="1"/>
  <c r="X245" i="1"/>
  <c r="W245" i="1"/>
  <c r="V245" i="1"/>
  <c r="U245" i="1"/>
  <c r="T245" i="1"/>
  <c r="S245" i="1"/>
  <c r="R245" i="1"/>
  <c r="Q245" i="1"/>
  <c r="P245" i="1"/>
  <c r="O245" i="1"/>
  <c r="N245" i="1"/>
  <c r="M245" i="1"/>
  <c r="L245" i="1"/>
  <c r="K245" i="1"/>
  <c r="J245" i="1"/>
  <c r="I245" i="1"/>
  <c r="H245" i="1"/>
  <c r="G245" i="1"/>
  <c r="F245" i="1"/>
  <c r="E245" i="1"/>
  <c r="D245" i="1"/>
  <c r="C245" i="1"/>
  <c r="X244" i="1"/>
  <c r="W244" i="1"/>
  <c r="V244" i="1"/>
  <c r="U244" i="1"/>
  <c r="T244" i="1"/>
  <c r="S244" i="1"/>
  <c r="R244" i="1"/>
  <c r="Q244" i="1"/>
  <c r="P244" i="1"/>
  <c r="O244" i="1"/>
  <c r="N244" i="1"/>
  <c r="M244" i="1"/>
  <c r="L244" i="1"/>
  <c r="K244" i="1"/>
  <c r="J244" i="1"/>
  <c r="I244" i="1"/>
  <c r="H244" i="1"/>
  <c r="G244" i="1"/>
  <c r="F244" i="1"/>
  <c r="E244" i="1"/>
  <c r="D244" i="1"/>
  <c r="C244" i="1"/>
  <c r="X243" i="1"/>
  <c r="W243" i="1"/>
  <c r="V243" i="1"/>
  <c r="U243" i="1"/>
  <c r="T243" i="1"/>
  <c r="S243" i="1"/>
  <c r="R243" i="1"/>
  <c r="Q243" i="1"/>
  <c r="P243" i="1"/>
  <c r="O243" i="1"/>
  <c r="N243" i="1"/>
  <c r="M243" i="1"/>
  <c r="L243" i="1"/>
  <c r="K243" i="1"/>
  <c r="J243" i="1"/>
  <c r="I243" i="1"/>
  <c r="H243" i="1"/>
  <c r="G243" i="1"/>
  <c r="F243" i="1"/>
  <c r="E243" i="1"/>
  <c r="D243" i="1"/>
  <c r="C243" i="1"/>
  <c r="X242" i="1"/>
  <c r="W242" i="1"/>
  <c r="V242" i="1"/>
  <c r="U242" i="1"/>
  <c r="T242" i="1"/>
  <c r="S242" i="1"/>
  <c r="R242" i="1"/>
  <c r="Q242" i="1"/>
  <c r="P242" i="1"/>
  <c r="O242" i="1"/>
  <c r="N242" i="1"/>
  <c r="M242" i="1"/>
  <c r="L242" i="1"/>
  <c r="K242" i="1"/>
  <c r="J242" i="1"/>
  <c r="I242" i="1"/>
  <c r="H242" i="1"/>
  <c r="G242" i="1"/>
  <c r="F242" i="1"/>
  <c r="E242" i="1"/>
  <c r="D242" i="1"/>
  <c r="C242" i="1"/>
  <c r="X241" i="1"/>
  <c r="W241" i="1"/>
  <c r="V241" i="1"/>
  <c r="U241" i="1"/>
  <c r="T241" i="1"/>
  <c r="S241" i="1"/>
  <c r="R241" i="1"/>
  <c r="Q241" i="1"/>
  <c r="P241" i="1"/>
  <c r="O241" i="1"/>
  <c r="N241" i="1"/>
  <c r="M241" i="1"/>
  <c r="L241" i="1"/>
  <c r="K241" i="1"/>
  <c r="J241" i="1"/>
  <c r="I241" i="1"/>
  <c r="H241" i="1"/>
  <c r="G241" i="1"/>
  <c r="F241" i="1"/>
  <c r="E241" i="1"/>
  <c r="D241" i="1"/>
  <c r="X240" i="1"/>
  <c r="W240" i="1"/>
  <c r="V240" i="1"/>
  <c r="U240" i="1"/>
  <c r="T240" i="1"/>
  <c r="S240" i="1"/>
  <c r="R240" i="1"/>
  <c r="Q240" i="1"/>
  <c r="P240" i="1"/>
  <c r="O240" i="1"/>
  <c r="N240" i="1"/>
  <c r="M240" i="1"/>
  <c r="L240" i="1"/>
  <c r="K240" i="1"/>
  <c r="J240" i="1"/>
  <c r="I240" i="1"/>
  <c r="H240" i="1"/>
  <c r="G240" i="1"/>
  <c r="F240" i="1"/>
  <c r="E240" i="1"/>
  <c r="D240" i="1"/>
  <c r="C240" i="1"/>
  <c r="X239" i="1"/>
  <c r="W239" i="1"/>
  <c r="V239" i="1"/>
  <c r="U239" i="1"/>
  <c r="T239" i="1"/>
  <c r="S239" i="1"/>
  <c r="R239" i="1"/>
  <c r="Q239" i="1"/>
  <c r="P239" i="1"/>
  <c r="O239" i="1"/>
  <c r="N239" i="1"/>
  <c r="M239" i="1"/>
  <c r="L239" i="1"/>
  <c r="K239" i="1"/>
  <c r="J239" i="1"/>
  <c r="I239" i="1"/>
  <c r="H239" i="1"/>
  <c r="G239" i="1"/>
  <c r="F239" i="1"/>
  <c r="E239" i="1"/>
  <c r="D239" i="1"/>
  <c r="C239" i="1"/>
  <c r="X238" i="1"/>
  <c r="W238" i="1"/>
  <c r="V238" i="1"/>
  <c r="U238" i="1"/>
  <c r="T238" i="1"/>
  <c r="S238" i="1"/>
  <c r="R238" i="1"/>
  <c r="Q238" i="1"/>
  <c r="P238" i="1"/>
  <c r="O238" i="1"/>
  <c r="N238" i="1"/>
  <c r="M238" i="1"/>
  <c r="L238" i="1"/>
  <c r="K238" i="1"/>
  <c r="J238" i="1"/>
  <c r="I238" i="1"/>
  <c r="H238" i="1"/>
  <c r="G238" i="1"/>
  <c r="F238" i="1"/>
  <c r="E238" i="1"/>
  <c r="D238" i="1"/>
  <c r="X237" i="1"/>
  <c r="W237" i="1"/>
  <c r="V237" i="1"/>
  <c r="U237" i="1"/>
  <c r="T237" i="1"/>
  <c r="S237" i="1"/>
  <c r="R237" i="1"/>
  <c r="Q237" i="1"/>
  <c r="P237" i="1"/>
  <c r="O237" i="1"/>
  <c r="N237" i="1"/>
  <c r="M237" i="1"/>
  <c r="L237" i="1"/>
  <c r="K237" i="1"/>
  <c r="J237" i="1"/>
  <c r="I237" i="1"/>
  <c r="H237" i="1"/>
  <c r="G237" i="1"/>
  <c r="F237" i="1"/>
  <c r="E237" i="1"/>
  <c r="D237" i="1"/>
  <c r="C237" i="1"/>
  <c r="X236" i="1"/>
  <c r="W236" i="1"/>
  <c r="V236" i="1"/>
  <c r="U236" i="1"/>
  <c r="T236" i="1"/>
  <c r="S236" i="1"/>
  <c r="R236" i="1"/>
  <c r="Q236" i="1"/>
  <c r="P236" i="1"/>
  <c r="O236" i="1"/>
  <c r="N236" i="1"/>
  <c r="M236" i="1"/>
  <c r="L236" i="1"/>
  <c r="K236" i="1"/>
  <c r="J236" i="1"/>
  <c r="I236" i="1"/>
  <c r="H236" i="1"/>
  <c r="G236" i="1"/>
  <c r="D236" i="1"/>
  <c r="C236" i="1"/>
  <c r="X235" i="1"/>
  <c r="W235" i="1"/>
  <c r="V235" i="1"/>
  <c r="U235" i="1"/>
  <c r="T235" i="1"/>
  <c r="S235" i="1"/>
  <c r="R235" i="1"/>
  <c r="Q235" i="1"/>
  <c r="P235" i="1"/>
  <c r="O235" i="1"/>
  <c r="N235" i="1"/>
  <c r="M235" i="1"/>
  <c r="L235" i="1"/>
  <c r="K235" i="1"/>
  <c r="J235" i="1"/>
  <c r="I235" i="1"/>
  <c r="H235" i="1"/>
  <c r="G235" i="1"/>
  <c r="F235" i="1"/>
  <c r="E235" i="1"/>
  <c r="D235" i="1"/>
  <c r="C235" i="1"/>
  <c r="X234" i="1"/>
  <c r="W234" i="1"/>
  <c r="V234" i="1"/>
  <c r="U234" i="1"/>
  <c r="T234" i="1"/>
  <c r="S234" i="1"/>
  <c r="R234" i="1"/>
  <c r="Q234" i="1"/>
  <c r="P234" i="1"/>
  <c r="O234" i="1"/>
  <c r="N234" i="1"/>
  <c r="M234" i="1"/>
  <c r="L234" i="1"/>
  <c r="K234" i="1"/>
  <c r="J234" i="1"/>
  <c r="I234" i="1"/>
  <c r="H234" i="1"/>
  <c r="G234" i="1"/>
  <c r="F234" i="1"/>
  <c r="E234" i="1"/>
  <c r="D234" i="1"/>
  <c r="C234" i="1"/>
  <c r="X233" i="1"/>
  <c r="W233" i="1"/>
  <c r="V233" i="1"/>
  <c r="U233" i="1"/>
  <c r="T233" i="1"/>
  <c r="S233" i="1"/>
  <c r="R233" i="1"/>
  <c r="Q233" i="1"/>
  <c r="P233" i="1"/>
  <c r="O233" i="1"/>
  <c r="N233" i="1"/>
  <c r="M233" i="1"/>
  <c r="L233" i="1"/>
  <c r="K233" i="1"/>
  <c r="J233" i="1"/>
  <c r="I233" i="1"/>
  <c r="H233" i="1"/>
  <c r="G233" i="1"/>
  <c r="F233" i="1"/>
  <c r="E233" i="1"/>
  <c r="D233" i="1"/>
  <c r="C233" i="1"/>
  <c r="X232" i="1"/>
  <c r="W232" i="1"/>
  <c r="V232" i="1"/>
  <c r="U232" i="1"/>
  <c r="T232" i="1"/>
  <c r="S232" i="1"/>
  <c r="R232" i="1"/>
  <c r="Q232" i="1"/>
  <c r="P232" i="1"/>
  <c r="O232" i="1"/>
  <c r="N232" i="1"/>
  <c r="M232" i="1"/>
  <c r="L232" i="1"/>
  <c r="K232" i="1"/>
  <c r="J232" i="1"/>
  <c r="I232" i="1"/>
  <c r="H232" i="1"/>
  <c r="G232" i="1"/>
  <c r="F232" i="1"/>
  <c r="E232" i="1"/>
  <c r="D232" i="1"/>
  <c r="X231" i="1"/>
  <c r="W231" i="1"/>
  <c r="V231" i="1"/>
  <c r="U231" i="1"/>
  <c r="T231" i="1"/>
  <c r="S231" i="1"/>
  <c r="R231" i="1"/>
  <c r="Q231" i="1"/>
  <c r="P231" i="1"/>
  <c r="O231" i="1"/>
  <c r="N231" i="1"/>
  <c r="M231" i="1"/>
  <c r="L231" i="1"/>
  <c r="K231" i="1"/>
  <c r="J231" i="1"/>
  <c r="I231" i="1"/>
  <c r="H231" i="1"/>
  <c r="G231" i="1"/>
  <c r="F231" i="1"/>
  <c r="E231" i="1"/>
  <c r="D231" i="1"/>
  <c r="C231" i="1"/>
  <c r="X230" i="1"/>
  <c r="W230" i="1"/>
  <c r="V230" i="1"/>
  <c r="U230" i="1"/>
  <c r="T230" i="1"/>
  <c r="S230" i="1"/>
  <c r="R230" i="1"/>
  <c r="Q230" i="1"/>
  <c r="P230" i="1"/>
  <c r="O230" i="1"/>
  <c r="N230" i="1"/>
  <c r="M230" i="1"/>
  <c r="L230" i="1"/>
  <c r="K230" i="1"/>
  <c r="J230" i="1"/>
  <c r="I230" i="1"/>
  <c r="H230" i="1"/>
  <c r="G230" i="1"/>
  <c r="D230" i="1"/>
  <c r="X229" i="1"/>
  <c r="W229" i="1"/>
  <c r="V229" i="1"/>
  <c r="U229" i="1"/>
  <c r="T229" i="1"/>
  <c r="S229" i="1"/>
  <c r="R229" i="1"/>
  <c r="Q229" i="1"/>
  <c r="P229" i="1"/>
  <c r="O229" i="1"/>
  <c r="N229" i="1"/>
  <c r="M229" i="1"/>
  <c r="L229" i="1"/>
  <c r="K229" i="1"/>
  <c r="J229" i="1"/>
  <c r="I229" i="1"/>
  <c r="H229" i="1"/>
  <c r="G229" i="1"/>
  <c r="D229" i="1"/>
  <c r="X228" i="1"/>
  <c r="W228" i="1"/>
  <c r="V228" i="1"/>
  <c r="U228" i="1"/>
  <c r="T228" i="1"/>
  <c r="S228" i="1"/>
  <c r="R228" i="1"/>
  <c r="Q228" i="1"/>
  <c r="P228" i="1"/>
  <c r="O228" i="1"/>
  <c r="N228" i="1"/>
  <c r="M228" i="1"/>
  <c r="L228" i="1"/>
  <c r="K228" i="1"/>
  <c r="J228" i="1"/>
  <c r="I228" i="1"/>
  <c r="H228" i="1"/>
  <c r="G228" i="1"/>
  <c r="F228" i="1"/>
  <c r="E228" i="1"/>
  <c r="D228" i="1"/>
  <c r="C228" i="1"/>
  <c r="X227" i="1"/>
  <c r="W227" i="1"/>
  <c r="V227" i="1"/>
  <c r="U227" i="1"/>
  <c r="T227" i="1"/>
  <c r="S227" i="1"/>
  <c r="R227" i="1"/>
  <c r="Q227" i="1"/>
  <c r="P227" i="1"/>
  <c r="O227" i="1"/>
  <c r="N227" i="1"/>
  <c r="M227" i="1"/>
  <c r="L227" i="1"/>
  <c r="K227" i="1"/>
  <c r="J227" i="1"/>
  <c r="I227" i="1"/>
  <c r="H227" i="1"/>
  <c r="G227" i="1"/>
  <c r="F227" i="1"/>
  <c r="E227" i="1"/>
  <c r="D227" i="1"/>
  <c r="X226" i="1"/>
  <c r="W226" i="1"/>
  <c r="V226" i="1"/>
  <c r="U226" i="1"/>
  <c r="T226" i="1"/>
  <c r="S226" i="1"/>
  <c r="R226" i="1"/>
  <c r="Q226" i="1"/>
  <c r="P226" i="1"/>
  <c r="O226" i="1"/>
  <c r="N226" i="1"/>
  <c r="M226" i="1"/>
  <c r="L226" i="1"/>
  <c r="K226" i="1"/>
  <c r="J226" i="1"/>
  <c r="I226" i="1"/>
  <c r="H226" i="1"/>
  <c r="G226" i="1"/>
  <c r="F226" i="1"/>
  <c r="E226" i="1"/>
  <c r="D226" i="1"/>
  <c r="X225" i="1"/>
  <c r="W225" i="1"/>
  <c r="V225" i="1"/>
  <c r="U225" i="1"/>
  <c r="T225" i="1"/>
  <c r="S225" i="1"/>
  <c r="R225" i="1"/>
  <c r="Q225" i="1"/>
  <c r="P225" i="1"/>
  <c r="O225" i="1"/>
  <c r="N225" i="1"/>
  <c r="M225" i="1"/>
  <c r="L225" i="1"/>
  <c r="K225" i="1"/>
  <c r="J225" i="1"/>
  <c r="I225" i="1"/>
  <c r="H225" i="1"/>
  <c r="G225" i="1"/>
  <c r="F225" i="1"/>
  <c r="E225" i="1"/>
  <c r="D225" i="1"/>
  <c r="C225" i="1"/>
  <c r="X224" i="1"/>
  <c r="W224" i="1"/>
  <c r="V224" i="1"/>
  <c r="U224" i="1"/>
  <c r="T224" i="1"/>
  <c r="S224" i="1"/>
  <c r="R224" i="1"/>
  <c r="Q224" i="1"/>
  <c r="P224" i="1"/>
  <c r="O224" i="1"/>
  <c r="N224" i="1"/>
  <c r="M224" i="1"/>
  <c r="L224" i="1"/>
  <c r="K224" i="1"/>
  <c r="J224" i="1"/>
  <c r="I224" i="1"/>
  <c r="H224" i="1"/>
  <c r="G224" i="1"/>
  <c r="F224" i="1"/>
  <c r="E224" i="1"/>
  <c r="D224" i="1"/>
  <c r="C224" i="1"/>
  <c r="X223" i="1"/>
  <c r="W223" i="1"/>
  <c r="V223" i="1"/>
  <c r="U223" i="1"/>
  <c r="T223" i="1"/>
  <c r="S223" i="1"/>
  <c r="R223" i="1"/>
  <c r="Q223" i="1"/>
  <c r="P223" i="1"/>
  <c r="O223" i="1"/>
  <c r="N223" i="1"/>
  <c r="M223" i="1"/>
  <c r="L223" i="1"/>
  <c r="K223" i="1"/>
  <c r="J223" i="1"/>
  <c r="I223" i="1"/>
  <c r="H223" i="1"/>
  <c r="G223" i="1"/>
  <c r="F223" i="1"/>
  <c r="E223" i="1"/>
  <c r="D223" i="1"/>
  <c r="C223" i="1"/>
  <c r="X222" i="1"/>
  <c r="W222" i="1"/>
  <c r="V222" i="1"/>
  <c r="U222" i="1"/>
  <c r="T222" i="1"/>
  <c r="S222" i="1"/>
  <c r="R222" i="1"/>
  <c r="Q222" i="1"/>
  <c r="P222" i="1"/>
  <c r="O222" i="1"/>
  <c r="N222" i="1"/>
  <c r="M222" i="1"/>
  <c r="L222" i="1"/>
  <c r="K222" i="1"/>
  <c r="J222" i="1"/>
  <c r="I222" i="1"/>
  <c r="H222" i="1"/>
  <c r="G222" i="1"/>
  <c r="D222" i="1"/>
  <c r="C222" i="1"/>
  <c r="X221" i="1"/>
  <c r="W221" i="1"/>
  <c r="V221" i="1"/>
  <c r="U221" i="1"/>
  <c r="T221" i="1"/>
  <c r="S221" i="1"/>
  <c r="R221" i="1"/>
  <c r="Q221" i="1"/>
  <c r="P221" i="1"/>
  <c r="O221" i="1"/>
  <c r="N221" i="1"/>
  <c r="M221" i="1"/>
  <c r="L221" i="1"/>
  <c r="K221" i="1"/>
  <c r="J221" i="1"/>
  <c r="I221" i="1"/>
  <c r="H221" i="1"/>
  <c r="G221" i="1"/>
  <c r="F221" i="1"/>
  <c r="E221" i="1"/>
  <c r="D221" i="1"/>
  <c r="C221" i="1"/>
  <c r="X220" i="1"/>
  <c r="W220" i="1"/>
  <c r="V220" i="1"/>
  <c r="U220" i="1"/>
  <c r="T220" i="1"/>
  <c r="S220" i="1"/>
  <c r="R220" i="1"/>
  <c r="Q220" i="1"/>
  <c r="P220" i="1"/>
  <c r="O220" i="1"/>
  <c r="N220" i="1"/>
  <c r="M220" i="1"/>
  <c r="L220" i="1"/>
  <c r="K220" i="1"/>
  <c r="J220" i="1"/>
  <c r="I220" i="1"/>
  <c r="H220" i="1"/>
  <c r="G220" i="1"/>
  <c r="F220" i="1"/>
  <c r="E220" i="1"/>
  <c r="D220" i="1"/>
  <c r="C220" i="1"/>
  <c r="X219" i="1"/>
  <c r="W219" i="1"/>
  <c r="V219" i="1"/>
  <c r="U219" i="1"/>
  <c r="T219" i="1"/>
  <c r="S219" i="1"/>
  <c r="R219" i="1"/>
  <c r="Q219" i="1"/>
  <c r="P219" i="1"/>
  <c r="O219" i="1"/>
  <c r="N219" i="1"/>
  <c r="M219" i="1"/>
  <c r="L219" i="1"/>
  <c r="K219" i="1"/>
  <c r="J219" i="1"/>
  <c r="I219" i="1"/>
  <c r="H219" i="1"/>
  <c r="G219" i="1"/>
  <c r="F219" i="1"/>
  <c r="E219" i="1"/>
  <c r="D219" i="1"/>
  <c r="C219" i="1"/>
  <c r="X218" i="1"/>
  <c r="W218" i="1"/>
  <c r="V218" i="1"/>
  <c r="U218" i="1"/>
  <c r="T218" i="1"/>
  <c r="S218" i="1"/>
  <c r="R218" i="1"/>
  <c r="Q218" i="1"/>
  <c r="P218" i="1"/>
  <c r="O218" i="1"/>
  <c r="N218" i="1"/>
  <c r="M218" i="1"/>
  <c r="L218" i="1"/>
  <c r="K218" i="1"/>
  <c r="J218" i="1"/>
  <c r="I218" i="1"/>
  <c r="H218" i="1"/>
  <c r="G218" i="1"/>
  <c r="F218" i="1"/>
  <c r="E218" i="1"/>
  <c r="D218" i="1"/>
  <c r="X217" i="1"/>
  <c r="W217" i="1"/>
  <c r="V217" i="1"/>
  <c r="U217" i="1"/>
  <c r="T217" i="1"/>
  <c r="S217" i="1"/>
  <c r="R217" i="1"/>
  <c r="Q217" i="1"/>
  <c r="P217" i="1"/>
  <c r="O217" i="1"/>
  <c r="N217" i="1"/>
  <c r="M217" i="1"/>
  <c r="L217" i="1"/>
  <c r="K217" i="1"/>
  <c r="J217" i="1"/>
  <c r="I217" i="1"/>
  <c r="H217" i="1"/>
  <c r="G217" i="1"/>
  <c r="F217" i="1"/>
  <c r="E217" i="1"/>
  <c r="D217" i="1"/>
  <c r="C217" i="1"/>
  <c r="X216" i="1"/>
  <c r="W216" i="1"/>
  <c r="V216" i="1"/>
  <c r="U216" i="1"/>
  <c r="T216" i="1"/>
  <c r="S216" i="1"/>
  <c r="R216" i="1"/>
  <c r="Q216" i="1"/>
  <c r="P216" i="1"/>
  <c r="O216" i="1"/>
  <c r="N216" i="1"/>
  <c r="M216" i="1"/>
  <c r="L216" i="1"/>
  <c r="K216" i="1"/>
  <c r="J216" i="1"/>
  <c r="I216" i="1"/>
  <c r="H216" i="1"/>
  <c r="G216" i="1"/>
  <c r="F216" i="1"/>
  <c r="E216" i="1"/>
  <c r="D216" i="1"/>
  <c r="C216" i="1"/>
  <c r="X215" i="1"/>
  <c r="W215" i="1"/>
  <c r="V215" i="1"/>
  <c r="U215" i="1"/>
  <c r="T215" i="1"/>
  <c r="S215" i="1"/>
  <c r="R215" i="1"/>
  <c r="Q215" i="1"/>
  <c r="P215" i="1"/>
  <c r="O215" i="1"/>
  <c r="N215" i="1"/>
  <c r="M215" i="1"/>
  <c r="L215" i="1"/>
  <c r="K215" i="1"/>
  <c r="J215" i="1"/>
  <c r="I215" i="1"/>
  <c r="H215" i="1"/>
  <c r="G215" i="1"/>
  <c r="F215" i="1"/>
  <c r="E215" i="1"/>
  <c r="D215" i="1"/>
  <c r="C215" i="1"/>
  <c r="X214" i="1"/>
  <c r="W214" i="1"/>
  <c r="V214" i="1"/>
  <c r="U214" i="1"/>
  <c r="T214" i="1"/>
  <c r="S214" i="1"/>
  <c r="R214" i="1"/>
  <c r="Q214" i="1"/>
  <c r="P214" i="1"/>
  <c r="O214" i="1"/>
  <c r="N214" i="1"/>
  <c r="M214" i="1"/>
  <c r="L214" i="1"/>
  <c r="K214" i="1"/>
  <c r="J214" i="1"/>
  <c r="I214" i="1"/>
  <c r="H214" i="1"/>
  <c r="G214" i="1"/>
  <c r="F214" i="1"/>
  <c r="E214" i="1"/>
  <c r="D214" i="1"/>
  <c r="C214" i="1"/>
  <c r="X213" i="1"/>
  <c r="W213" i="1"/>
  <c r="V213" i="1"/>
  <c r="U213" i="1"/>
  <c r="T213" i="1"/>
  <c r="S213" i="1"/>
  <c r="R213" i="1"/>
  <c r="Q213" i="1"/>
  <c r="P213" i="1"/>
  <c r="O213" i="1"/>
  <c r="N213" i="1"/>
  <c r="M213" i="1"/>
  <c r="L213" i="1"/>
  <c r="K213" i="1"/>
  <c r="J213" i="1"/>
  <c r="I213" i="1"/>
  <c r="H213" i="1"/>
  <c r="G213" i="1"/>
  <c r="F213" i="1"/>
  <c r="E213" i="1"/>
  <c r="D213" i="1"/>
  <c r="C213" i="1"/>
  <c r="X212" i="1"/>
  <c r="W212" i="1"/>
  <c r="V212" i="1"/>
  <c r="U212" i="1"/>
  <c r="T212" i="1"/>
  <c r="S212" i="1"/>
  <c r="R212" i="1"/>
  <c r="Q212" i="1"/>
  <c r="P212" i="1"/>
  <c r="O212" i="1"/>
  <c r="N212" i="1"/>
  <c r="M212" i="1"/>
  <c r="L212" i="1"/>
  <c r="K212" i="1"/>
  <c r="J212" i="1"/>
  <c r="I212" i="1"/>
  <c r="H212" i="1"/>
  <c r="G212" i="1"/>
  <c r="F212" i="1"/>
  <c r="E212" i="1"/>
  <c r="D212" i="1"/>
  <c r="C212" i="1"/>
  <c r="X211" i="1"/>
  <c r="W211" i="1"/>
  <c r="V211" i="1"/>
  <c r="U211" i="1"/>
  <c r="T211" i="1"/>
  <c r="S211" i="1"/>
  <c r="R211" i="1"/>
  <c r="Q211" i="1"/>
  <c r="P211" i="1"/>
  <c r="O211" i="1"/>
  <c r="N211" i="1"/>
  <c r="M211" i="1"/>
  <c r="L211" i="1"/>
  <c r="K211" i="1"/>
  <c r="J211" i="1"/>
  <c r="I211" i="1"/>
  <c r="H211" i="1"/>
  <c r="G211" i="1"/>
  <c r="F211" i="1"/>
  <c r="E211" i="1"/>
  <c r="D211" i="1"/>
  <c r="C211" i="1"/>
  <c r="X210" i="1"/>
  <c r="W210" i="1"/>
  <c r="V210" i="1"/>
  <c r="U210" i="1"/>
  <c r="T210" i="1"/>
  <c r="S210" i="1"/>
  <c r="R210" i="1"/>
  <c r="Q210" i="1"/>
  <c r="P210" i="1"/>
  <c r="O210" i="1"/>
  <c r="N210" i="1"/>
  <c r="M210" i="1"/>
  <c r="L210" i="1"/>
  <c r="K210" i="1"/>
  <c r="J210" i="1"/>
  <c r="I210" i="1"/>
  <c r="H210" i="1"/>
  <c r="G210" i="1"/>
  <c r="F210" i="1"/>
  <c r="E210" i="1"/>
  <c r="D210" i="1"/>
  <c r="C210" i="1"/>
  <c r="X209" i="1"/>
  <c r="W209" i="1"/>
  <c r="V209" i="1"/>
  <c r="U209" i="1"/>
  <c r="T209" i="1"/>
  <c r="S209" i="1"/>
  <c r="R209" i="1"/>
  <c r="Q209" i="1"/>
  <c r="P209" i="1"/>
  <c r="O209" i="1"/>
  <c r="N209" i="1"/>
  <c r="M209" i="1"/>
  <c r="L209" i="1"/>
  <c r="K209" i="1"/>
  <c r="J209" i="1"/>
  <c r="I209" i="1"/>
  <c r="H209" i="1"/>
  <c r="G209" i="1"/>
  <c r="F209" i="1"/>
  <c r="E209" i="1"/>
  <c r="D209" i="1"/>
  <c r="C209" i="1"/>
  <c r="X208" i="1"/>
  <c r="W208" i="1"/>
  <c r="V208" i="1"/>
  <c r="U208" i="1"/>
  <c r="T208" i="1"/>
  <c r="S208" i="1"/>
  <c r="R208" i="1"/>
  <c r="Q208" i="1"/>
  <c r="P208" i="1"/>
  <c r="O208" i="1"/>
  <c r="N208" i="1"/>
  <c r="M208" i="1"/>
  <c r="L208" i="1"/>
  <c r="K208" i="1"/>
  <c r="J208" i="1"/>
  <c r="I208" i="1"/>
  <c r="H208" i="1"/>
  <c r="G208" i="1"/>
  <c r="F208" i="1"/>
  <c r="E208" i="1"/>
  <c r="D208" i="1"/>
  <c r="C208" i="1"/>
  <c r="X207" i="1"/>
  <c r="W207" i="1"/>
  <c r="V207" i="1"/>
  <c r="U207" i="1"/>
  <c r="T207" i="1"/>
  <c r="S207" i="1"/>
  <c r="R207" i="1"/>
  <c r="Q207" i="1"/>
  <c r="P207" i="1"/>
  <c r="O207" i="1"/>
  <c r="N207" i="1"/>
  <c r="M207" i="1"/>
  <c r="L207" i="1"/>
  <c r="K207" i="1"/>
  <c r="J207" i="1"/>
  <c r="I207" i="1"/>
  <c r="H207" i="1"/>
  <c r="G207" i="1"/>
  <c r="F207" i="1"/>
  <c r="E207" i="1"/>
  <c r="D207" i="1"/>
  <c r="C207" i="1"/>
  <c r="X206" i="1"/>
  <c r="W206" i="1"/>
  <c r="V206" i="1"/>
  <c r="U206" i="1"/>
  <c r="T206" i="1"/>
  <c r="S206" i="1"/>
  <c r="R206" i="1"/>
  <c r="Q206" i="1"/>
  <c r="P206" i="1"/>
  <c r="O206" i="1"/>
  <c r="N206" i="1"/>
  <c r="M206" i="1"/>
  <c r="L206" i="1"/>
  <c r="K206" i="1"/>
  <c r="J206" i="1"/>
  <c r="I206" i="1"/>
  <c r="H206" i="1"/>
  <c r="G206" i="1"/>
  <c r="F206" i="1"/>
  <c r="E206" i="1"/>
  <c r="D206" i="1"/>
  <c r="C206" i="1"/>
  <c r="X205" i="1"/>
  <c r="W205" i="1"/>
  <c r="V205" i="1"/>
  <c r="U205" i="1"/>
  <c r="T205" i="1"/>
  <c r="S205" i="1"/>
  <c r="R205" i="1"/>
  <c r="Q205" i="1"/>
  <c r="P205" i="1"/>
  <c r="O205" i="1"/>
  <c r="N205" i="1"/>
  <c r="M205" i="1"/>
  <c r="L205" i="1"/>
  <c r="K205" i="1"/>
  <c r="J205" i="1"/>
  <c r="I205" i="1"/>
  <c r="H205" i="1"/>
  <c r="G205" i="1"/>
  <c r="F205" i="1"/>
  <c r="E205" i="1"/>
  <c r="D205" i="1"/>
  <c r="X204" i="1"/>
  <c r="W204" i="1"/>
  <c r="V204" i="1"/>
  <c r="U204" i="1"/>
  <c r="T204" i="1"/>
  <c r="S204" i="1"/>
  <c r="R204" i="1"/>
  <c r="Q204" i="1"/>
  <c r="P204" i="1"/>
  <c r="O204" i="1"/>
  <c r="N204" i="1"/>
  <c r="M204" i="1"/>
  <c r="L204" i="1"/>
  <c r="K204" i="1"/>
  <c r="J204" i="1"/>
  <c r="I204" i="1"/>
  <c r="H204" i="1"/>
  <c r="G204" i="1"/>
  <c r="F204" i="1"/>
  <c r="E204" i="1"/>
  <c r="D204" i="1"/>
  <c r="C204" i="1"/>
  <c r="X203" i="1"/>
  <c r="W203" i="1"/>
  <c r="V203" i="1"/>
  <c r="U203" i="1"/>
  <c r="T203" i="1"/>
  <c r="S203" i="1"/>
  <c r="R203" i="1"/>
  <c r="Q203" i="1"/>
  <c r="P203" i="1"/>
  <c r="O203" i="1"/>
  <c r="N203" i="1"/>
  <c r="M203" i="1"/>
  <c r="L203" i="1"/>
  <c r="K203" i="1"/>
  <c r="J203" i="1"/>
  <c r="I203" i="1"/>
  <c r="H203" i="1"/>
  <c r="G203" i="1"/>
  <c r="F203" i="1"/>
  <c r="E203" i="1"/>
  <c r="D203" i="1"/>
  <c r="C203" i="1"/>
  <c r="X202" i="1"/>
  <c r="W202" i="1"/>
  <c r="V202" i="1"/>
  <c r="U202" i="1"/>
  <c r="T202" i="1"/>
  <c r="S202" i="1"/>
  <c r="R202" i="1"/>
  <c r="Q202" i="1"/>
  <c r="P202" i="1"/>
  <c r="O202" i="1"/>
  <c r="N202" i="1"/>
  <c r="M202" i="1"/>
  <c r="L202" i="1"/>
  <c r="K202" i="1"/>
  <c r="J202" i="1"/>
  <c r="I202" i="1"/>
  <c r="H202" i="1"/>
  <c r="G202" i="1"/>
  <c r="F202" i="1"/>
  <c r="E202" i="1"/>
  <c r="D202" i="1"/>
  <c r="C202" i="1"/>
  <c r="X201" i="1"/>
  <c r="W201" i="1"/>
  <c r="V201" i="1"/>
  <c r="U201" i="1"/>
  <c r="T201" i="1"/>
  <c r="S201" i="1"/>
  <c r="R201" i="1"/>
  <c r="Q201" i="1"/>
  <c r="P201" i="1"/>
  <c r="O201" i="1"/>
  <c r="N201" i="1"/>
  <c r="M201" i="1"/>
  <c r="L201" i="1"/>
  <c r="K201" i="1"/>
  <c r="J201" i="1"/>
  <c r="I201" i="1"/>
  <c r="H201" i="1"/>
  <c r="G201" i="1"/>
  <c r="F201" i="1"/>
  <c r="E201" i="1"/>
  <c r="D201" i="1"/>
  <c r="C201" i="1"/>
  <c r="X200" i="1"/>
  <c r="W200" i="1"/>
  <c r="V200" i="1"/>
  <c r="U200" i="1"/>
  <c r="T200" i="1"/>
  <c r="S200" i="1"/>
  <c r="R200" i="1"/>
  <c r="Q200" i="1"/>
  <c r="P200" i="1"/>
  <c r="O200" i="1"/>
  <c r="N200" i="1"/>
  <c r="M200" i="1"/>
  <c r="L200" i="1"/>
  <c r="K200" i="1"/>
  <c r="J200" i="1"/>
  <c r="I200" i="1"/>
  <c r="H200" i="1"/>
  <c r="G200" i="1"/>
  <c r="F200" i="1"/>
  <c r="E200" i="1"/>
  <c r="D200" i="1"/>
  <c r="C200" i="1"/>
  <c r="X199" i="1"/>
  <c r="W199" i="1"/>
  <c r="V199" i="1"/>
  <c r="U199" i="1"/>
  <c r="T199" i="1"/>
  <c r="S199" i="1"/>
  <c r="R199" i="1"/>
  <c r="Q199" i="1"/>
  <c r="P199" i="1"/>
  <c r="O199" i="1"/>
  <c r="N199" i="1"/>
  <c r="M199" i="1"/>
  <c r="L199" i="1"/>
  <c r="K199" i="1"/>
  <c r="J199" i="1"/>
  <c r="I199" i="1"/>
  <c r="H199" i="1"/>
  <c r="G199" i="1"/>
  <c r="F199" i="1"/>
  <c r="E199" i="1"/>
  <c r="D199" i="1"/>
  <c r="C199" i="1"/>
  <c r="X198" i="1"/>
  <c r="W198" i="1"/>
  <c r="V198" i="1"/>
  <c r="U198" i="1"/>
  <c r="T198" i="1"/>
  <c r="S198" i="1"/>
  <c r="R198" i="1"/>
  <c r="Q198" i="1"/>
  <c r="P198" i="1"/>
  <c r="O198" i="1"/>
  <c r="N198" i="1"/>
  <c r="M198" i="1"/>
  <c r="L198" i="1"/>
  <c r="K198" i="1"/>
  <c r="J198" i="1"/>
  <c r="I198" i="1"/>
  <c r="H198" i="1"/>
  <c r="G198" i="1"/>
  <c r="F198" i="1"/>
  <c r="E198" i="1"/>
  <c r="D198" i="1"/>
  <c r="C198" i="1"/>
  <c r="X197" i="1"/>
  <c r="W197" i="1"/>
  <c r="V197" i="1"/>
  <c r="U197" i="1"/>
  <c r="T197" i="1"/>
  <c r="S197" i="1"/>
  <c r="R197" i="1"/>
  <c r="Q197" i="1"/>
  <c r="P197" i="1"/>
  <c r="O197" i="1"/>
  <c r="N197" i="1"/>
  <c r="M197" i="1"/>
  <c r="L197" i="1"/>
  <c r="K197" i="1"/>
  <c r="J197" i="1"/>
  <c r="I197" i="1"/>
  <c r="H197" i="1"/>
  <c r="G197" i="1"/>
  <c r="F197" i="1"/>
  <c r="E197" i="1"/>
  <c r="D197" i="1"/>
  <c r="C197" i="1"/>
  <c r="X196" i="1"/>
  <c r="W196" i="1"/>
  <c r="V196" i="1"/>
  <c r="U196" i="1"/>
  <c r="T196" i="1"/>
  <c r="S196" i="1"/>
  <c r="R196" i="1"/>
  <c r="Q196" i="1"/>
  <c r="P196" i="1"/>
  <c r="O196" i="1"/>
  <c r="N196" i="1"/>
  <c r="M196" i="1"/>
  <c r="L196" i="1"/>
  <c r="K196" i="1"/>
  <c r="J196" i="1"/>
  <c r="I196" i="1"/>
  <c r="H196" i="1"/>
  <c r="G196" i="1"/>
  <c r="F196" i="1"/>
  <c r="E196" i="1"/>
  <c r="D196" i="1"/>
  <c r="C196" i="1"/>
  <c r="X195" i="1"/>
  <c r="W195" i="1"/>
  <c r="V195" i="1"/>
  <c r="U195" i="1"/>
  <c r="T195" i="1"/>
  <c r="S195" i="1"/>
  <c r="R195" i="1"/>
  <c r="Q195" i="1"/>
  <c r="P195" i="1"/>
  <c r="O195" i="1"/>
  <c r="N195" i="1"/>
  <c r="M195" i="1"/>
  <c r="L195" i="1"/>
  <c r="K195" i="1"/>
  <c r="J195" i="1"/>
  <c r="I195" i="1"/>
  <c r="H195" i="1"/>
  <c r="G195" i="1"/>
  <c r="D195" i="1"/>
  <c r="X194" i="1"/>
  <c r="W194" i="1"/>
  <c r="V194" i="1"/>
  <c r="U194" i="1"/>
  <c r="T194" i="1"/>
  <c r="S194" i="1"/>
  <c r="R194" i="1"/>
  <c r="Q194" i="1"/>
  <c r="P194" i="1"/>
  <c r="O194" i="1"/>
  <c r="N194" i="1"/>
  <c r="M194" i="1"/>
  <c r="L194" i="1"/>
  <c r="K194" i="1"/>
  <c r="J194" i="1"/>
  <c r="I194" i="1"/>
  <c r="H194" i="1"/>
  <c r="G194" i="1"/>
  <c r="F194" i="1"/>
  <c r="E194" i="1"/>
  <c r="D194" i="1"/>
  <c r="C194" i="1"/>
  <c r="X193" i="1"/>
  <c r="W193" i="1"/>
  <c r="V193" i="1"/>
  <c r="U193" i="1"/>
  <c r="T193" i="1"/>
  <c r="S193" i="1"/>
  <c r="R193" i="1"/>
  <c r="Q193" i="1"/>
  <c r="P193" i="1"/>
  <c r="O193" i="1"/>
  <c r="N193" i="1"/>
  <c r="M193" i="1"/>
  <c r="L193" i="1"/>
  <c r="K193" i="1"/>
  <c r="J193" i="1"/>
  <c r="I193" i="1"/>
  <c r="H193" i="1"/>
  <c r="G193" i="1"/>
  <c r="F193" i="1"/>
  <c r="E193" i="1"/>
  <c r="D193" i="1"/>
  <c r="C193" i="1"/>
  <c r="X192" i="1"/>
  <c r="W192" i="1"/>
  <c r="V192" i="1"/>
  <c r="U192" i="1"/>
  <c r="T192" i="1"/>
  <c r="S192" i="1"/>
  <c r="R192" i="1"/>
  <c r="Q192" i="1"/>
  <c r="P192" i="1"/>
  <c r="O192" i="1"/>
  <c r="N192" i="1"/>
  <c r="M192" i="1"/>
  <c r="L192" i="1"/>
  <c r="K192" i="1"/>
  <c r="J192" i="1"/>
  <c r="I192" i="1"/>
  <c r="H192" i="1"/>
  <c r="G192" i="1"/>
  <c r="F192" i="1"/>
  <c r="E192" i="1"/>
  <c r="D192" i="1"/>
  <c r="C192" i="1"/>
  <c r="X191" i="1"/>
  <c r="W191" i="1"/>
  <c r="V191" i="1"/>
  <c r="U191" i="1"/>
  <c r="T191" i="1"/>
  <c r="S191" i="1"/>
  <c r="R191" i="1"/>
  <c r="Q191" i="1"/>
  <c r="P191" i="1"/>
  <c r="O191" i="1"/>
  <c r="N191" i="1"/>
  <c r="M191" i="1"/>
  <c r="L191" i="1"/>
  <c r="K191" i="1"/>
  <c r="J191" i="1"/>
  <c r="I191" i="1"/>
  <c r="H191" i="1"/>
  <c r="G191" i="1"/>
  <c r="F191" i="1"/>
  <c r="E191" i="1"/>
  <c r="D191" i="1"/>
  <c r="X190" i="1"/>
  <c r="W190" i="1"/>
  <c r="V190" i="1"/>
  <c r="U190" i="1"/>
  <c r="T190" i="1"/>
  <c r="S190" i="1"/>
  <c r="R190" i="1"/>
  <c r="Q190" i="1"/>
  <c r="P190" i="1"/>
  <c r="O190" i="1"/>
  <c r="N190" i="1"/>
  <c r="M190" i="1"/>
  <c r="L190" i="1"/>
  <c r="K190" i="1"/>
  <c r="J190" i="1"/>
  <c r="I190" i="1"/>
  <c r="H190" i="1"/>
  <c r="G190" i="1"/>
  <c r="F190" i="1"/>
  <c r="E190" i="1"/>
  <c r="D190" i="1"/>
  <c r="X189" i="1"/>
  <c r="W189" i="1"/>
  <c r="V189" i="1"/>
  <c r="U189" i="1"/>
  <c r="T189" i="1"/>
  <c r="S189" i="1"/>
  <c r="R189" i="1"/>
  <c r="Q189" i="1"/>
  <c r="P189" i="1"/>
  <c r="O189" i="1"/>
  <c r="N189" i="1"/>
  <c r="M189" i="1"/>
  <c r="L189" i="1"/>
  <c r="K189" i="1"/>
  <c r="J189" i="1"/>
  <c r="I189" i="1"/>
  <c r="H189" i="1"/>
  <c r="G189" i="1"/>
  <c r="F189" i="1"/>
  <c r="E189" i="1"/>
  <c r="D189" i="1"/>
  <c r="X188" i="1"/>
  <c r="W188" i="1"/>
  <c r="V188" i="1"/>
  <c r="U188" i="1"/>
  <c r="T188" i="1"/>
  <c r="S188" i="1"/>
  <c r="R188" i="1"/>
  <c r="Q188" i="1"/>
  <c r="P188" i="1"/>
  <c r="O188" i="1"/>
  <c r="N188" i="1"/>
  <c r="M188" i="1"/>
  <c r="L188" i="1"/>
  <c r="K188" i="1"/>
  <c r="J188" i="1"/>
  <c r="I188" i="1"/>
  <c r="H188" i="1"/>
  <c r="G188" i="1"/>
  <c r="F188" i="1"/>
  <c r="E188" i="1"/>
  <c r="D188" i="1"/>
  <c r="C188" i="1"/>
  <c r="X187" i="1"/>
  <c r="W187" i="1"/>
  <c r="V187" i="1"/>
  <c r="U187" i="1"/>
  <c r="T187" i="1"/>
  <c r="S187" i="1"/>
  <c r="R187" i="1"/>
  <c r="Q187" i="1"/>
  <c r="P187" i="1"/>
  <c r="O187" i="1"/>
  <c r="N187" i="1"/>
  <c r="M187" i="1"/>
  <c r="L187" i="1"/>
  <c r="K187" i="1"/>
  <c r="J187" i="1"/>
  <c r="I187" i="1"/>
  <c r="H187" i="1"/>
  <c r="G187" i="1"/>
  <c r="F187" i="1"/>
  <c r="E187" i="1"/>
  <c r="D187" i="1"/>
  <c r="C187" i="1"/>
  <c r="X186" i="1"/>
  <c r="W186" i="1"/>
  <c r="V186" i="1"/>
  <c r="U186" i="1"/>
  <c r="T186" i="1"/>
  <c r="S186" i="1"/>
  <c r="R186" i="1"/>
  <c r="Q186" i="1"/>
  <c r="P186" i="1"/>
  <c r="O186" i="1"/>
  <c r="N186" i="1"/>
  <c r="M186" i="1"/>
  <c r="L186" i="1"/>
  <c r="K186" i="1"/>
  <c r="J186" i="1"/>
  <c r="I186" i="1"/>
  <c r="H186" i="1"/>
  <c r="G186" i="1"/>
  <c r="F186" i="1"/>
  <c r="E186" i="1"/>
  <c r="D186" i="1"/>
  <c r="X185" i="1"/>
  <c r="W185" i="1"/>
  <c r="V185" i="1"/>
  <c r="U185" i="1"/>
  <c r="T185" i="1"/>
  <c r="S185" i="1"/>
  <c r="R185" i="1"/>
  <c r="Q185" i="1"/>
  <c r="P185" i="1"/>
  <c r="O185" i="1"/>
  <c r="N185" i="1"/>
  <c r="M185" i="1"/>
  <c r="L185" i="1"/>
  <c r="K185" i="1"/>
  <c r="J185" i="1"/>
  <c r="I185" i="1"/>
  <c r="H185" i="1"/>
  <c r="G185" i="1"/>
  <c r="F185" i="1"/>
  <c r="E185" i="1"/>
  <c r="D185" i="1"/>
  <c r="C185" i="1"/>
  <c r="X184" i="1"/>
  <c r="W184" i="1"/>
  <c r="V184" i="1"/>
  <c r="U184" i="1"/>
  <c r="T184" i="1"/>
  <c r="S184" i="1"/>
  <c r="R184" i="1"/>
  <c r="Q184" i="1"/>
  <c r="P184" i="1"/>
  <c r="O184" i="1"/>
  <c r="N184" i="1"/>
  <c r="M184" i="1"/>
  <c r="L184" i="1"/>
  <c r="K184" i="1"/>
  <c r="J184" i="1"/>
  <c r="I184" i="1"/>
  <c r="H184" i="1"/>
  <c r="G184" i="1"/>
  <c r="F184" i="1"/>
  <c r="E184" i="1"/>
  <c r="D184" i="1"/>
  <c r="C184" i="1"/>
  <c r="X183" i="1"/>
  <c r="W183" i="1"/>
  <c r="V183" i="1"/>
  <c r="U183" i="1"/>
  <c r="T183" i="1"/>
  <c r="S183" i="1"/>
  <c r="R183" i="1"/>
  <c r="Q183" i="1"/>
  <c r="P183" i="1"/>
  <c r="O183" i="1"/>
  <c r="N183" i="1"/>
  <c r="M183" i="1"/>
  <c r="L183" i="1"/>
  <c r="K183" i="1"/>
  <c r="J183" i="1"/>
  <c r="I183" i="1"/>
  <c r="H183" i="1"/>
  <c r="G183" i="1"/>
  <c r="F183" i="1"/>
  <c r="E183" i="1"/>
  <c r="D183" i="1"/>
  <c r="C183" i="1"/>
  <c r="X182" i="1"/>
  <c r="W182" i="1"/>
  <c r="V182" i="1"/>
  <c r="U182" i="1"/>
  <c r="T182" i="1"/>
  <c r="S182" i="1"/>
  <c r="R182" i="1"/>
  <c r="Q182" i="1"/>
  <c r="P182" i="1"/>
  <c r="O182" i="1"/>
  <c r="N182" i="1"/>
  <c r="M182" i="1"/>
  <c r="L182" i="1"/>
  <c r="K182" i="1"/>
  <c r="J182" i="1"/>
  <c r="I182" i="1"/>
  <c r="H182" i="1"/>
  <c r="G182" i="1"/>
  <c r="F182" i="1"/>
  <c r="E182" i="1"/>
  <c r="D182" i="1"/>
  <c r="C182" i="1"/>
  <c r="X181" i="1"/>
  <c r="W181" i="1"/>
  <c r="V181" i="1"/>
  <c r="U181" i="1"/>
  <c r="T181" i="1"/>
  <c r="S181" i="1"/>
  <c r="R181" i="1"/>
  <c r="Q181" i="1"/>
  <c r="P181" i="1"/>
  <c r="O181" i="1"/>
  <c r="N181" i="1"/>
  <c r="M181" i="1"/>
  <c r="L181" i="1"/>
  <c r="K181" i="1"/>
  <c r="J181" i="1"/>
  <c r="I181" i="1"/>
  <c r="H181" i="1"/>
  <c r="G181" i="1"/>
  <c r="F181" i="1"/>
  <c r="E181" i="1"/>
  <c r="D181" i="1"/>
  <c r="C181" i="1"/>
  <c r="X180" i="1"/>
  <c r="W180" i="1"/>
  <c r="V180" i="1"/>
  <c r="U180" i="1"/>
  <c r="T180" i="1"/>
  <c r="S180" i="1"/>
  <c r="R180" i="1"/>
  <c r="Q180" i="1"/>
  <c r="P180" i="1"/>
  <c r="O180" i="1"/>
  <c r="N180" i="1"/>
  <c r="M180" i="1"/>
  <c r="L180" i="1"/>
  <c r="K180" i="1"/>
  <c r="J180" i="1"/>
  <c r="I180" i="1"/>
  <c r="H180" i="1"/>
  <c r="G180" i="1"/>
  <c r="F180" i="1"/>
  <c r="E180" i="1"/>
  <c r="D180" i="1"/>
  <c r="C180" i="1"/>
  <c r="X179" i="1"/>
  <c r="W179" i="1"/>
  <c r="V179" i="1"/>
  <c r="U179" i="1"/>
  <c r="T179" i="1"/>
  <c r="S179" i="1"/>
  <c r="R179" i="1"/>
  <c r="Q179" i="1"/>
  <c r="P179" i="1"/>
  <c r="O179" i="1"/>
  <c r="N179" i="1"/>
  <c r="M179" i="1"/>
  <c r="L179" i="1"/>
  <c r="K179" i="1"/>
  <c r="J179" i="1"/>
  <c r="I179" i="1"/>
  <c r="H179" i="1"/>
  <c r="G179" i="1"/>
  <c r="F179" i="1"/>
  <c r="E179" i="1"/>
  <c r="D179" i="1"/>
  <c r="C179" i="1"/>
  <c r="X178" i="1"/>
  <c r="W178" i="1"/>
  <c r="V178" i="1"/>
  <c r="U178" i="1"/>
  <c r="T178" i="1"/>
  <c r="S178" i="1"/>
  <c r="R178" i="1"/>
  <c r="Q178" i="1"/>
  <c r="P178" i="1"/>
  <c r="O178" i="1"/>
  <c r="N178" i="1"/>
  <c r="M178" i="1"/>
  <c r="L178" i="1"/>
  <c r="K178" i="1"/>
  <c r="J178" i="1"/>
  <c r="I178" i="1"/>
  <c r="H178" i="1"/>
  <c r="G178" i="1"/>
  <c r="F178" i="1"/>
  <c r="E178" i="1"/>
  <c r="D178" i="1"/>
  <c r="C178" i="1"/>
  <c r="X177" i="1"/>
  <c r="W177" i="1"/>
  <c r="V177" i="1"/>
  <c r="U177" i="1"/>
  <c r="T177" i="1"/>
  <c r="S177" i="1"/>
  <c r="R177" i="1"/>
  <c r="Q177" i="1"/>
  <c r="P177" i="1"/>
  <c r="O177" i="1"/>
  <c r="N177" i="1"/>
  <c r="M177" i="1"/>
  <c r="L177" i="1"/>
  <c r="K177" i="1"/>
  <c r="J177" i="1"/>
  <c r="I177" i="1"/>
  <c r="H177" i="1"/>
  <c r="G177" i="1"/>
  <c r="F177" i="1"/>
  <c r="E177" i="1"/>
  <c r="D177" i="1"/>
  <c r="C177" i="1"/>
  <c r="X176" i="1"/>
  <c r="W176" i="1"/>
  <c r="V176" i="1"/>
  <c r="U176" i="1"/>
  <c r="T176" i="1"/>
  <c r="S176" i="1"/>
  <c r="R176" i="1"/>
  <c r="Q176" i="1"/>
  <c r="P176" i="1"/>
  <c r="O176" i="1"/>
  <c r="N176" i="1"/>
  <c r="M176" i="1"/>
  <c r="L176" i="1"/>
  <c r="K176" i="1"/>
  <c r="J176" i="1"/>
  <c r="I176" i="1"/>
  <c r="H176" i="1"/>
  <c r="G176" i="1"/>
  <c r="F176" i="1"/>
  <c r="E176" i="1"/>
  <c r="D176" i="1"/>
  <c r="C176" i="1"/>
  <c r="X175" i="1"/>
  <c r="W175" i="1"/>
  <c r="V175" i="1"/>
  <c r="U175" i="1"/>
  <c r="T175" i="1"/>
  <c r="S175" i="1"/>
  <c r="R175" i="1"/>
  <c r="Q175" i="1"/>
  <c r="P175" i="1"/>
  <c r="O175" i="1"/>
  <c r="N175" i="1"/>
  <c r="M175" i="1"/>
  <c r="L175" i="1"/>
  <c r="K175" i="1"/>
  <c r="J175" i="1"/>
  <c r="I175" i="1"/>
  <c r="H175" i="1"/>
  <c r="G175" i="1"/>
  <c r="F175" i="1"/>
  <c r="E175" i="1"/>
  <c r="D175" i="1"/>
  <c r="C175" i="1"/>
  <c r="X174" i="1"/>
  <c r="W174" i="1"/>
  <c r="V174" i="1"/>
  <c r="U174" i="1"/>
  <c r="T174" i="1"/>
  <c r="S174" i="1"/>
  <c r="R174" i="1"/>
  <c r="Q174" i="1"/>
  <c r="P174" i="1"/>
  <c r="O174" i="1"/>
  <c r="N174" i="1"/>
  <c r="M174" i="1"/>
  <c r="L174" i="1"/>
  <c r="K174" i="1"/>
  <c r="J174" i="1"/>
  <c r="I174" i="1"/>
  <c r="H174" i="1"/>
  <c r="G174" i="1"/>
  <c r="F174" i="1"/>
  <c r="E174" i="1"/>
  <c r="D174" i="1"/>
  <c r="C174" i="1"/>
  <c r="X173" i="1"/>
  <c r="W173" i="1"/>
  <c r="V173" i="1"/>
  <c r="U173" i="1"/>
  <c r="T173" i="1"/>
  <c r="S173" i="1"/>
  <c r="R173" i="1"/>
  <c r="Q173" i="1"/>
  <c r="P173" i="1"/>
  <c r="O173" i="1"/>
  <c r="N173" i="1"/>
  <c r="M173" i="1"/>
  <c r="L173" i="1"/>
  <c r="K173" i="1"/>
  <c r="J173" i="1"/>
  <c r="I173" i="1"/>
  <c r="H173" i="1"/>
  <c r="G173" i="1"/>
  <c r="F173" i="1"/>
  <c r="E173" i="1"/>
  <c r="D173" i="1"/>
  <c r="C173" i="1"/>
  <c r="X172" i="1"/>
  <c r="W172" i="1"/>
  <c r="V172" i="1"/>
  <c r="U172" i="1"/>
  <c r="T172" i="1"/>
  <c r="S172" i="1"/>
  <c r="R172" i="1"/>
  <c r="Q172" i="1"/>
  <c r="P172" i="1"/>
  <c r="O172" i="1"/>
  <c r="N172" i="1"/>
  <c r="M172" i="1"/>
  <c r="L172" i="1"/>
  <c r="K172" i="1"/>
  <c r="J172" i="1"/>
  <c r="I172" i="1"/>
  <c r="H172" i="1"/>
  <c r="G172" i="1"/>
  <c r="F172" i="1"/>
  <c r="E172" i="1"/>
  <c r="D172" i="1"/>
  <c r="C172" i="1"/>
  <c r="X171" i="1"/>
  <c r="W171" i="1"/>
  <c r="V171" i="1"/>
  <c r="U171" i="1"/>
  <c r="T171" i="1"/>
  <c r="S171" i="1"/>
  <c r="R171" i="1"/>
  <c r="Q171" i="1"/>
  <c r="P171" i="1"/>
  <c r="O171" i="1"/>
  <c r="N171" i="1"/>
  <c r="M171" i="1"/>
  <c r="L171" i="1"/>
  <c r="K171" i="1"/>
  <c r="J171" i="1"/>
  <c r="I171" i="1"/>
  <c r="H171" i="1"/>
  <c r="G171" i="1"/>
  <c r="F171" i="1"/>
  <c r="E171" i="1"/>
  <c r="D171" i="1"/>
  <c r="C171" i="1"/>
  <c r="X170" i="1"/>
  <c r="W170" i="1"/>
  <c r="V170" i="1"/>
  <c r="U170" i="1"/>
  <c r="T170" i="1"/>
  <c r="S170" i="1"/>
  <c r="R170" i="1"/>
  <c r="Q170" i="1"/>
  <c r="P170" i="1"/>
  <c r="O170" i="1"/>
  <c r="N170" i="1"/>
  <c r="M170" i="1"/>
  <c r="L170" i="1"/>
  <c r="K170" i="1"/>
  <c r="J170" i="1"/>
  <c r="I170" i="1"/>
  <c r="H170" i="1"/>
  <c r="G170" i="1"/>
  <c r="F170" i="1"/>
  <c r="E170" i="1"/>
  <c r="D170" i="1"/>
  <c r="C170" i="1"/>
  <c r="X169" i="1"/>
  <c r="W169" i="1"/>
  <c r="V169" i="1"/>
  <c r="U169" i="1"/>
  <c r="T169" i="1"/>
  <c r="S169" i="1"/>
  <c r="R169" i="1"/>
  <c r="Q169" i="1"/>
  <c r="P169" i="1"/>
  <c r="O169" i="1"/>
  <c r="N169" i="1"/>
  <c r="M169" i="1"/>
  <c r="L169" i="1"/>
  <c r="K169" i="1"/>
  <c r="J169" i="1"/>
  <c r="I169" i="1"/>
  <c r="H169" i="1"/>
  <c r="G169" i="1"/>
  <c r="F169" i="1"/>
  <c r="E169" i="1"/>
  <c r="D169" i="1"/>
  <c r="C169" i="1"/>
  <c r="X168" i="1"/>
  <c r="W168" i="1"/>
  <c r="V168" i="1"/>
  <c r="U168" i="1"/>
  <c r="T168" i="1"/>
  <c r="S168" i="1"/>
  <c r="R168" i="1"/>
  <c r="Q168" i="1"/>
  <c r="P168" i="1"/>
  <c r="O168" i="1"/>
  <c r="N168" i="1"/>
  <c r="M168" i="1"/>
  <c r="L168" i="1"/>
  <c r="K168" i="1"/>
  <c r="J168" i="1"/>
  <c r="I168" i="1"/>
  <c r="H168" i="1"/>
  <c r="G168" i="1"/>
  <c r="F168" i="1"/>
  <c r="E168" i="1"/>
  <c r="D168" i="1"/>
  <c r="X167" i="1"/>
  <c r="W167" i="1"/>
  <c r="V167" i="1"/>
  <c r="U167" i="1"/>
  <c r="T167" i="1"/>
  <c r="S167" i="1"/>
  <c r="R167" i="1"/>
  <c r="Q167" i="1"/>
  <c r="P167" i="1"/>
  <c r="O167" i="1"/>
  <c r="N167" i="1"/>
  <c r="M167" i="1"/>
  <c r="L167" i="1"/>
  <c r="K167" i="1"/>
  <c r="J167" i="1"/>
  <c r="I167" i="1"/>
  <c r="H167" i="1"/>
  <c r="G167" i="1"/>
  <c r="D167" i="1"/>
  <c r="C167" i="1"/>
  <c r="X166" i="1"/>
  <c r="W166" i="1"/>
  <c r="V166" i="1"/>
  <c r="U166" i="1"/>
  <c r="T166" i="1"/>
  <c r="S166" i="1"/>
  <c r="R166" i="1"/>
  <c r="Q166" i="1"/>
  <c r="P166" i="1"/>
  <c r="O166" i="1"/>
  <c r="N166" i="1"/>
  <c r="M166" i="1"/>
  <c r="L166" i="1"/>
  <c r="K166" i="1"/>
  <c r="J166" i="1"/>
  <c r="I166" i="1"/>
  <c r="H166" i="1"/>
  <c r="G166" i="1"/>
  <c r="F166" i="1"/>
  <c r="E166" i="1"/>
  <c r="D166" i="1"/>
  <c r="C166" i="1"/>
  <c r="X165" i="1"/>
  <c r="W165" i="1"/>
  <c r="V165" i="1"/>
  <c r="U165" i="1"/>
  <c r="T165" i="1"/>
  <c r="S165" i="1"/>
  <c r="R165" i="1"/>
  <c r="Q165" i="1"/>
  <c r="P165" i="1"/>
  <c r="O165" i="1"/>
  <c r="N165" i="1"/>
  <c r="M165" i="1"/>
  <c r="L165" i="1"/>
  <c r="K165" i="1"/>
  <c r="J165" i="1"/>
  <c r="I165" i="1"/>
  <c r="H165" i="1"/>
  <c r="G165" i="1"/>
  <c r="F165" i="1"/>
  <c r="E165" i="1"/>
  <c r="D165" i="1"/>
  <c r="C165" i="1"/>
  <c r="X164" i="1"/>
  <c r="W164" i="1"/>
  <c r="V164" i="1"/>
  <c r="U164" i="1"/>
  <c r="T164" i="1"/>
  <c r="S164" i="1"/>
  <c r="R164" i="1"/>
  <c r="Q164" i="1"/>
  <c r="P164" i="1"/>
  <c r="O164" i="1"/>
  <c r="N164" i="1"/>
  <c r="M164" i="1"/>
  <c r="L164" i="1"/>
  <c r="K164" i="1"/>
  <c r="J164" i="1"/>
  <c r="I164" i="1"/>
  <c r="H164" i="1"/>
  <c r="G164" i="1"/>
  <c r="F164" i="1"/>
  <c r="E164" i="1"/>
  <c r="D164" i="1"/>
  <c r="C164" i="1"/>
  <c r="X163" i="1"/>
  <c r="W163" i="1"/>
  <c r="V163" i="1"/>
  <c r="U163" i="1"/>
  <c r="T163" i="1"/>
  <c r="S163" i="1"/>
  <c r="R163" i="1"/>
  <c r="Q163" i="1"/>
  <c r="P163" i="1"/>
  <c r="O163" i="1"/>
  <c r="N163" i="1"/>
  <c r="M163" i="1"/>
  <c r="L163" i="1"/>
  <c r="K163" i="1"/>
  <c r="J163" i="1"/>
  <c r="I163" i="1"/>
  <c r="H163" i="1"/>
  <c r="G163" i="1"/>
  <c r="F163" i="1"/>
  <c r="E163" i="1"/>
  <c r="D163" i="1"/>
  <c r="C163" i="1"/>
  <c r="X162" i="1"/>
  <c r="W162" i="1"/>
  <c r="V162" i="1"/>
  <c r="U162" i="1"/>
  <c r="T162" i="1"/>
  <c r="S162" i="1"/>
  <c r="R162" i="1"/>
  <c r="Q162" i="1"/>
  <c r="P162" i="1"/>
  <c r="O162" i="1"/>
  <c r="N162" i="1"/>
  <c r="M162" i="1"/>
  <c r="L162" i="1"/>
  <c r="K162" i="1"/>
  <c r="J162" i="1"/>
  <c r="I162" i="1"/>
  <c r="H162" i="1"/>
  <c r="G162" i="1"/>
  <c r="F162" i="1"/>
  <c r="E162" i="1"/>
  <c r="D162" i="1"/>
  <c r="X161" i="1"/>
  <c r="W161" i="1"/>
  <c r="V161" i="1"/>
  <c r="U161" i="1"/>
  <c r="T161" i="1"/>
  <c r="S161" i="1"/>
  <c r="R161" i="1"/>
  <c r="Q161" i="1"/>
  <c r="P161" i="1"/>
  <c r="O161" i="1"/>
  <c r="N161" i="1"/>
  <c r="M161" i="1"/>
  <c r="L161" i="1"/>
  <c r="K161" i="1"/>
  <c r="J161" i="1"/>
  <c r="I161" i="1"/>
  <c r="H161" i="1"/>
  <c r="G161" i="1"/>
  <c r="F161" i="1"/>
  <c r="E161" i="1"/>
  <c r="D161" i="1"/>
  <c r="C161" i="1"/>
  <c r="X160" i="1"/>
  <c r="W160" i="1"/>
  <c r="V160" i="1"/>
  <c r="U160" i="1"/>
  <c r="T160" i="1"/>
  <c r="S160" i="1"/>
  <c r="R160" i="1"/>
  <c r="Q160" i="1"/>
  <c r="P160" i="1"/>
  <c r="O160" i="1"/>
  <c r="N160" i="1"/>
  <c r="M160" i="1"/>
  <c r="L160" i="1"/>
  <c r="K160" i="1"/>
  <c r="J160" i="1"/>
  <c r="I160" i="1"/>
  <c r="H160" i="1"/>
  <c r="G160" i="1"/>
  <c r="F160" i="1"/>
  <c r="E160" i="1"/>
  <c r="D160" i="1"/>
  <c r="C160" i="1"/>
  <c r="X159" i="1"/>
  <c r="W159" i="1"/>
  <c r="V159" i="1"/>
  <c r="U159" i="1"/>
  <c r="T159" i="1"/>
  <c r="S159" i="1"/>
  <c r="R159" i="1"/>
  <c r="Q159" i="1"/>
  <c r="P159" i="1"/>
  <c r="O159" i="1"/>
  <c r="N159" i="1"/>
  <c r="M159" i="1"/>
  <c r="L159" i="1"/>
  <c r="K159" i="1"/>
  <c r="J159" i="1"/>
  <c r="I159" i="1"/>
  <c r="H159" i="1"/>
  <c r="G159" i="1"/>
  <c r="F159" i="1"/>
  <c r="E159" i="1"/>
  <c r="D159" i="1"/>
  <c r="C159" i="1"/>
  <c r="X158" i="1"/>
  <c r="W158" i="1"/>
  <c r="V158" i="1"/>
  <c r="U158" i="1"/>
  <c r="T158" i="1"/>
  <c r="S158" i="1"/>
  <c r="R158" i="1"/>
  <c r="Q158" i="1"/>
  <c r="P158" i="1"/>
  <c r="O158" i="1"/>
  <c r="N158" i="1"/>
  <c r="M158" i="1"/>
  <c r="L158" i="1"/>
  <c r="K158" i="1"/>
  <c r="J158" i="1"/>
  <c r="I158" i="1"/>
  <c r="H158" i="1"/>
  <c r="G158" i="1"/>
  <c r="F158" i="1"/>
  <c r="E158" i="1"/>
  <c r="D158" i="1"/>
  <c r="C158" i="1"/>
  <c r="X157" i="1"/>
  <c r="W157" i="1"/>
  <c r="V157" i="1"/>
  <c r="U157" i="1"/>
  <c r="T157" i="1"/>
  <c r="S157" i="1"/>
  <c r="R157" i="1"/>
  <c r="Q157" i="1"/>
  <c r="P157" i="1"/>
  <c r="O157" i="1"/>
  <c r="N157" i="1"/>
  <c r="M157" i="1"/>
  <c r="L157" i="1"/>
  <c r="K157" i="1"/>
  <c r="J157" i="1"/>
  <c r="I157" i="1"/>
  <c r="H157" i="1"/>
  <c r="G157" i="1"/>
  <c r="F157" i="1"/>
  <c r="E157" i="1"/>
  <c r="D157" i="1"/>
  <c r="C157" i="1"/>
  <c r="X156" i="1"/>
  <c r="W156" i="1"/>
  <c r="V156" i="1"/>
  <c r="U156" i="1"/>
  <c r="T156" i="1"/>
  <c r="S156" i="1"/>
  <c r="R156" i="1"/>
  <c r="Q156" i="1"/>
  <c r="P156" i="1"/>
  <c r="O156" i="1"/>
  <c r="N156" i="1"/>
  <c r="M156" i="1"/>
  <c r="L156" i="1"/>
  <c r="K156" i="1"/>
  <c r="J156" i="1"/>
  <c r="I156" i="1"/>
  <c r="H156" i="1"/>
  <c r="G156" i="1"/>
  <c r="F156" i="1"/>
  <c r="E156" i="1"/>
  <c r="D156" i="1"/>
  <c r="C156" i="1"/>
  <c r="X155" i="1"/>
  <c r="W155" i="1"/>
  <c r="V155" i="1"/>
  <c r="U155" i="1"/>
  <c r="T155" i="1"/>
  <c r="S155" i="1"/>
  <c r="R155" i="1"/>
  <c r="Q155" i="1"/>
  <c r="P155" i="1"/>
  <c r="O155" i="1"/>
  <c r="N155" i="1"/>
  <c r="M155" i="1"/>
  <c r="L155" i="1"/>
  <c r="K155" i="1"/>
  <c r="J155" i="1"/>
  <c r="I155" i="1"/>
  <c r="H155" i="1"/>
  <c r="G155" i="1"/>
  <c r="F155" i="1"/>
  <c r="E155" i="1"/>
  <c r="D155" i="1"/>
  <c r="C155" i="1"/>
  <c r="X154" i="1"/>
  <c r="W154" i="1"/>
  <c r="V154" i="1"/>
  <c r="U154" i="1"/>
  <c r="T154" i="1"/>
  <c r="S154" i="1"/>
  <c r="R154" i="1"/>
  <c r="Q154" i="1"/>
  <c r="P154" i="1"/>
  <c r="O154" i="1"/>
  <c r="N154" i="1"/>
  <c r="M154" i="1"/>
  <c r="L154" i="1"/>
  <c r="K154" i="1"/>
  <c r="J154" i="1"/>
  <c r="I154" i="1"/>
  <c r="H154" i="1"/>
  <c r="G154" i="1"/>
  <c r="F154" i="1"/>
  <c r="E154" i="1"/>
  <c r="D154" i="1"/>
  <c r="C154" i="1"/>
  <c r="X153" i="1"/>
  <c r="W153" i="1"/>
  <c r="V153" i="1"/>
  <c r="U153" i="1"/>
  <c r="T153" i="1"/>
  <c r="S153" i="1"/>
  <c r="R153" i="1"/>
  <c r="Q153" i="1"/>
  <c r="P153" i="1"/>
  <c r="O153" i="1"/>
  <c r="N153" i="1"/>
  <c r="M153" i="1"/>
  <c r="L153" i="1"/>
  <c r="K153" i="1"/>
  <c r="J153" i="1"/>
  <c r="I153" i="1"/>
  <c r="H153" i="1"/>
  <c r="G153" i="1"/>
  <c r="F153" i="1"/>
  <c r="E153" i="1"/>
  <c r="D153" i="1"/>
  <c r="C153" i="1"/>
  <c r="X152" i="1"/>
  <c r="W152" i="1"/>
  <c r="V152" i="1"/>
  <c r="U152" i="1"/>
  <c r="T152" i="1"/>
  <c r="S152" i="1"/>
  <c r="R152" i="1"/>
  <c r="Q152" i="1"/>
  <c r="P152" i="1"/>
  <c r="O152" i="1"/>
  <c r="N152" i="1"/>
  <c r="M152" i="1"/>
  <c r="L152" i="1"/>
  <c r="K152" i="1"/>
  <c r="J152" i="1"/>
  <c r="I152" i="1"/>
  <c r="H152" i="1"/>
  <c r="G152" i="1"/>
  <c r="F152" i="1"/>
  <c r="E152" i="1"/>
  <c r="D152" i="1"/>
  <c r="C152" i="1"/>
  <c r="X151" i="1"/>
  <c r="W151" i="1"/>
  <c r="V151" i="1"/>
  <c r="U151" i="1"/>
  <c r="T151" i="1"/>
  <c r="S151" i="1"/>
  <c r="R151" i="1"/>
  <c r="Q151" i="1"/>
  <c r="P151" i="1"/>
  <c r="O151" i="1"/>
  <c r="N151" i="1"/>
  <c r="M151" i="1"/>
  <c r="L151" i="1"/>
  <c r="K151" i="1"/>
  <c r="J151" i="1"/>
  <c r="I151" i="1"/>
  <c r="H151" i="1"/>
  <c r="G151" i="1"/>
  <c r="F151" i="1"/>
  <c r="E151" i="1"/>
  <c r="D151" i="1"/>
  <c r="C151" i="1"/>
  <c r="X150" i="1"/>
  <c r="W150" i="1"/>
  <c r="V150" i="1"/>
  <c r="U150" i="1"/>
  <c r="T150" i="1"/>
  <c r="S150" i="1"/>
  <c r="R150" i="1"/>
  <c r="Q150" i="1"/>
  <c r="P150" i="1"/>
  <c r="O150" i="1"/>
  <c r="N150" i="1"/>
  <c r="M150" i="1"/>
  <c r="L150" i="1"/>
  <c r="K150" i="1"/>
  <c r="J150" i="1"/>
  <c r="I150" i="1"/>
  <c r="H150" i="1"/>
  <c r="G150" i="1"/>
  <c r="D150" i="1"/>
  <c r="C150" i="1"/>
  <c r="X149" i="1"/>
  <c r="W149" i="1"/>
  <c r="V149" i="1"/>
  <c r="U149" i="1"/>
  <c r="T149" i="1"/>
  <c r="S149" i="1"/>
  <c r="R149" i="1"/>
  <c r="Q149" i="1"/>
  <c r="P149" i="1"/>
  <c r="O149" i="1"/>
  <c r="N149" i="1"/>
  <c r="M149" i="1"/>
  <c r="L149" i="1"/>
  <c r="K149" i="1"/>
  <c r="J149" i="1"/>
  <c r="I149" i="1"/>
  <c r="H149" i="1"/>
  <c r="G149" i="1"/>
  <c r="F149" i="1"/>
  <c r="E149" i="1"/>
  <c r="D149" i="1"/>
  <c r="C149" i="1"/>
  <c r="X148" i="1"/>
  <c r="W148" i="1"/>
  <c r="V148" i="1"/>
  <c r="U148" i="1"/>
  <c r="T148" i="1"/>
  <c r="S148" i="1"/>
  <c r="R148" i="1"/>
  <c r="Q148" i="1"/>
  <c r="P148" i="1"/>
  <c r="O148" i="1"/>
  <c r="N148" i="1"/>
  <c r="M148" i="1"/>
  <c r="L148" i="1"/>
  <c r="K148" i="1"/>
  <c r="J148" i="1"/>
  <c r="I148" i="1"/>
  <c r="H148" i="1"/>
  <c r="G148" i="1"/>
  <c r="D148" i="1"/>
  <c r="C148" i="1"/>
  <c r="X147" i="1"/>
  <c r="W147" i="1"/>
  <c r="V147" i="1"/>
  <c r="U147" i="1"/>
  <c r="T147" i="1"/>
  <c r="S147" i="1"/>
  <c r="R147" i="1"/>
  <c r="Q147" i="1"/>
  <c r="P147" i="1"/>
  <c r="O147" i="1"/>
  <c r="N147" i="1"/>
  <c r="M147" i="1"/>
  <c r="L147" i="1"/>
  <c r="K147" i="1"/>
  <c r="J147" i="1"/>
  <c r="I147" i="1"/>
  <c r="H147" i="1"/>
  <c r="G147" i="1"/>
  <c r="F147" i="1"/>
  <c r="E147" i="1"/>
  <c r="D147" i="1"/>
  <c r="X146" i="1"/>
  <c r="W146" i="1"/>
  <c r="V146" i="1"/>
  <c r="U146" i="1"/>
  <c r="T146" i="1"/>
  <c r="S146" i="1"/>
  <c r="R146" i="1"/>
  <c r="Q146" i="1"/>
  <c r="P146" i="1"/>
  <c r="O146" i="1"/>
  <c r="N146" i="1"/>
  <c r="M146" i="1"/>
  <c r="L146" i="1"/>
  <c r="K146" i="1"/>
  <c r="J146" i="1"/>
  <c r="I146" i="1"/>
  <c r="H146" i="1"/>
  <c r="G146" i="1"/>
  <c r="F146" i="1"/>
  <c r="E146" i="1"/>
  <c r="D146" i="1"/>
  <c r="X145" i="1"/>
  <c r="W145" i="1"/>
  <c r="V145" i="1"/>
  <c r="U145" i="1"/>
  <c r="T145" i="1"/>
  <c r="S145" i="1"/>
  <c r="R145" i="1"/>
  <c r="Q145" i="1"/>
  <c r="P145" i="1"/>
  <c r="O145" i="1"/>
  <c r="N145" i="1"/>
  <c r="M145" i="1"/>
  <c r="L145" i="1"/>
  <c r="K145" i="1"/>
  <c r="J145" i="1"/>
  <c r="I145" i="1"/>
  <c r="H145" i="1"/>
  <c r="G145" i="1"/>
  <c r="D145" i="1"/>
  <c r="X144" i="1"/>
  <c r="W144" i="1"/>
  <c r="V144" i="1"/>
  <c r="U144" i="1"/>
  <c r="T144" i="1"/>
  <c r="S144" i="1"/>
  <c r="R144" i="1"/>
  <c r="Q144" i="1"/>
  <c r="P144" i="1"/>
  <c r="O144" i="1"/>
  <c r="N144" i="1"/>
  <c r="M144" i="1"/>
  <c r="L144" i="1"/>
  <c r="K144" i="1"/>
  <c r="J144" i="1"/>
  <c r="I144" i="1"/>
  <c r="H144" i="1"/>
  <c r="G144" i="1"/>
  <c r="F144" i="1"/>
  <c r="E144" i="1"/>
  <c r="D144" i="1"/>
  <c r="X143" i="1"/>
  <c r="W143" i="1"/>
  <c r="V143" i="1"/>
  <c r="U143" i="1"/>
  <c r="T143" i="1"/>
  <c r="S143" i="1"/>
  <c r="R143" i="1"/>
  <c r="Q143" i="1"/>
  <c r="P143" i="1"/>
  <c r="O143" i="1"/>
  <c r="N143" i="1"/>
  <c r="M143" i="1"/>
  <c r="L143" i="1"/>
  <c r="K143" i="1"/>
  <c r="J143" i="1"/>
  <c r="I143" i="1"/>
  <c r="H143" i="1"/>
  <c r="G143" i="1"/>
  <c r="F143" i="1"/>
  <c r="E143" i="1"/>
  <c r="D143" i="1"/>
  <c r="C143" i="1"/>
  <c r="X142" i="1"/>
  <c r="W142" i="1"/>
  <c r="V142" i="1"/>
  <c r="U142" i="1"/>
  <c r="T142" i="1"/>
  <c r="S142" i="1"/>
  <c r="R142" i="1"/>
  <c r="Q142" i="1"/>
  <c r="P142" i="1"/>
  <c r="O142" i="1"/>
  <c r="N142" i="1"/>
  <c r="M142" i="1"/>
  <c r="L142" i="1"/>
  <c r="K142" i="1"/>
  <c r="J142" i="1"/>
  <c r="I142" i="1"/>
  <c r="H142" i="1"/>
  <c r="G142" i="1"/>
  <c r="F142" i="1"/>
  <c r="E142" i="1"/>
  <c r="D142" i="1"/>
  <c r="X141" i="1"/>
  <c r="W141" i="1"/>
  <c r="V141" i="1"/>
  <c r="U141" i="1"/>
  <c r="T141" i="1"/>
  <c r="S141" i="1"/>
  <c r="R141" i="1"/>
  <c r="Q141" i="1"/>
  <c r="P141" i="1"/>
  <c r="O141" i="1"/>
  <c r="N141" i="1"/>
  <c r="M141" i="1"/>
  <c r="L141" i="1"/>
  <c r="K141" i="1"/>
  <c r="J141" i="1"/>
  <c r="I141" i="1"/>
  <c r="H141" i="1"/>
  <c r="G141" i="1"/>
  <c r="F141" i="1"/>
  <c r="E141" i="1"/>
  <c r="D141" i="1"/>
  <c r="X140" i="1"/>
  <c r="W140" i="1"/>
  <c r="V140" i="1"/>
  <c r="U140" i="1"/>
  <c r="T140" i="1"/>
  <c r="S140" i="1"/>
  <c r="R140" i="1"/>
  <c r="Q140" i="1"/>
  <c r="P140" i="1"/>
  <c r="O140" i="1"/>
  <c r="N140" i="1"/>
  <c r="M140" i="1"/>
  <c r="L140" i="1"/>
  <c r="K140" i="1"/>
  <c r="J140" i="1"/>
  <c r="I140" i="1"/>
  <c r="H140" i="1"/>
  <c r="G140" i="1"/>
  <c r="D140" i="1"/>
  <c r="X139" i="1"/>
  <c r="W139" i="1"/>
  <c r="V139" i="1"/>
  <c r="U139" i="1"/>
  <c r="T139" i="1"/>
  <c r="S139" i="1"/>
  <c r="R139" i="1"/>
  <c r="Q139" i="1"/>
  <c r="P139" i="1"/>
  <c r="O139" i="1"/>
  <c r="N139" i="1"/>
  <c r="M139" i="1"/>
  <c r="L139" i="1"/>
  <c r="K139" i="1"/>
  <c r="J139" i="1"/>
  <c r="I139" i="1"/>
  <c r="H139" i="1"/>
  <c r="G139" i="1"/>
  <c r="F139" i="1"/>
  <c r="E139" i="1"/>
  <c r="D139" i="1"/>
  <c r="X138" i="1"/>
  <c r="W138" i="1"/>
  <c r="V138" i="1"/>
  <c r="U138" i="1"/>
  <c r="T138" i="1"/>
  <c r="S138" i="1"/>
  <c r="R138" i="1"/>
  <c r="Q138" i="1"/>
  <c r="P138" i="1"/>
  <c r="O138" i="1"/>
  <c r="N138" i="1"/>
  <c r="M138" i="1"/>
  <c r="L138" i="1"/>
  <c r="K138" i="1"/>
  <c r="J138" i="1"/>
  <c r="I138" i="1"/>
  <c r="H138" i="1"/>
  <c r="G138" i="1"/>
  <c r="D138" i="1"/>
  <c r="X137" i="1"/>
  <c r="W137" i="1"/>
  <c r="V137" i="1"/>
  <c r="U137" i="1"/>
  <c r="T137" i="1"/>
  <c r="S137" i="1"/>
  <c r="R137" i="1"/>
  <c r="Q137" i="1"/>
  <c r="P137" i="1"/>
  <c r="O137" i="1"/>
  <c r="N137" i="1"/>
  <c r="M137" i="1"/>
  <c r="L137" i="1"/>
  <c r="K137" i="1"/>
  <c r="J137" i="1"/>
  <c r="I137" i="1"/>
  <c r="H137" i="1"/>
  <c r="G137" i="1"/>
  <c r="F137" i="1"/>
  <c r="E137" i="1"/>
  <c r="D137" i="1"/>
  <c r="X136" i="1"/>
  <c r="W136" i="1"/>
  <c r="V136" i="1"/>
  <c r="U136" i="1"/>
  <c r="T136" i="1"/>
  <c r="S136" i="1"/>
  <c r="R136" i="1"/>
  <c r="Q136" i="1"/>
  <c r="P136" i="1"/>
  <c r="O136" i="1"/>
  <c r="N136" i="1"/>
  <c r="M136" i="1"/>
  <c r="L136" i="1"/>
  <c r="K136" i="1"/>
  <c r="J136" i="1"/>
  <c r="I136" i="1"/>
  <c r="H136" i="1"/>
  <c r="G136" i="1"/>
  <c r="F136" i="1"/>
  <c r="E136" i="1"/>
  <c r="D136" i="1"/>
  <c r="X135" i="1"/>
  <c r="W135" i="1"/>
  <c r="V135" i="1"/>
  <c r="U135" i="1"/>
  <c r="T135" i="1"/>
  <c r="S135" i="1"/>
  <c r="R135" i="1"/>
  <c r="Q135" i="1"/>
  <c r="P135" i="1"/>
  <c r="O135" i="1"/>
  <c r="N135" i="1"/>
  <c r="M135" i="1"/>
  <c r="L135" i="1"/>
  <c r="K135" i="1"/>
  <c r="J135" i="1"/>
  <c r="I135" i="1"/>
  <c r="H135" i="1"/>
  <c r="G135" i="1"/>
  <c r="D135" i="1"/>
  <c r="X134" i="1"/>
  <c r="W134" i="1"/>
  <c r="V134" i="1"/>
  <c r="U134" i="1"/>
  <c r="T134" i="1"/>
  <c r="S134" i="1"/>
  <c r="R134" i="1"/>
  <c r="Q134" i="1"/>
  <c r="P134" i="1"/>
  <c r="O134" i="1"/>
  <c r="N134" i="1"/>
  <c r="M134" i="1"/>
  <c r="L134" i="1"/>
  <c r="K134" i="1"/>
  <c r="J134" i="1"/>
  <c r="I134" i="1"/>
  <c r="H134" i="1"/>
  <c r="G134" i="1"/>
  <c r="F134" i="1"/>
  <c r="E134" i="1"/>
  <c r="D134" i="1"/>
  <c r="C134" i="1"/>
  <c r="X133" i="1"/>
  <c r="W133" i="1"/>
  <c r="V133" i="1"/>
  <c r="U133" i="1"/>
  <c r="T133" i="1"/>
  <c r="S133" i="1"/>
  <c r="R133" i="1"/>
  <c r="Q133" i="1"/>
  <c r="P133" i="1"/>
  <c r="O133" i="1"/>
  <c r="N133" i="1"/>
  <c r="M133" i="1"/>
  <c r="L133" i="1"/>
  <c r="K133" i="1"/>
  <c r="J133" i="1"/>
  <c r="I133" i="1"/>
  <c r="H133" i="1"/>
  <c r="G133" i="1"/>
  <c r="F133" i="1"/>
  <c r="E133" i="1"/>
  <c r="D133" i="1"/>
  <c r="X132" i="1"/>
  <c r="W132" i="1"/>
  <c r="V132" i="1"/>
  <c r="U132" i="1"/>
  <c r="T132" i="1"/>
  <c r="S132" i="1"/>
  <c r="R132" i="1"/>
  <c r="Q132" i="1"/>
  <c r="P132" i="1"/>
  <c r="O132" i="1"/>
  <c r="N132" i="1"/>
  <c r="M132" i="1"/>
  <c r="L132" i="1"/>
  <c r="K132" i="1"/>
  <c r="J132" i="1"/>
  <c r="I132" i="1"/>
  <c r="H132" i="1"/>
  <c r="G132" i="1"/>
  <c r="F132" i="1"/>
  <c r="E132" i="1"/>
  <c r="D132" i="1"/>
  <c r="C132" i="1"/>
  <c r="X131" i="1"/>
  <c r="W131" i="1"/>
  <c r="V131" i="1"/>
  <c r="U131" i="1"/>
  <c r="T131" i="1"/>
  <c r="S131" i="1"/>
  <c r="R131" i="1"/>
  <c r="Q131" i="1"/>
  <c r="P131" i="1"/>
  <c r="O131" i="1"/>
  <c r="N131" i="1"/>
  <c r="M131" i="1"/>
  <c r="L131" i="1"/>
  <c r="K131" i="1"/>
  <c r="J131" i="1"/>
  <c r="I131" i="1"/>
  <c r="H131" i="1"/>
  <c r="G131" i="1"/>
  <c r="D131" i="1"/>
  <c r="C131" i="1"/>
  <c r="X130" i="1"/>
  <c r="W130" i="1"/>
  <c r="V130" i="1"/>
  <c r="U130" i="1"/>
  <c r="T130" i="1"/>
  <c r="S130" i="1"/>
  <c r="R130" i="1"/>
  <c r="Q130" i="1"/>
  <c r="P130" i="1"/>
  <c r="O130" i="1"/>
  <c r="N130" i="1"/>
  <c r="M130" i="1"/>
  <c r="L130" i="1"/>
  <c r="K130" i="1"/>
  <c r="J130" i="1"/>
  <c r="I130" i="1"/>
  <c r="H130" i="1"/>
  <c r="G130" i="1"/>
  <c r="F130" i="1"/>
  <c r="E130" i="1"/>
  <c r="D130" i="1"/>
  <c r="X129" i="1"/>
  <c r="W129" i="1"/>
  <c r="V129" i="1"/>
  <c r="U129" i="1"/>
  <c r="T129" i="1"/>
  <c r="S129" i="1"/>
  <c r="R129" i="1"/>
  <c r="Q129" i="1"/>
  <c r="P129" i="1"/>
  <c r="O129" i="1"/>
  <c r="N129" i="1"/>
  <c r="M129" i="1"/>
  <c r="L129" i="1"/>
  <c r="K129" i="1"/>
  <c r="J129" i="1"/>
  <c r="I129" i="1"/>
  <c r="H129" i="1"/>
  <c r="G129" i="1"/>
  <c r="F129" i="1"/>
  <c r="E129" i="1"/>
  <c r="D129" i="1"/>
  <c r="C129" i="1"/>
  <c r="X128" i="1"/>
  <c r="W128" i="1"/>
  <c r="V128" i="1"/>
  <c r="U128" i="1"/>
  <c r="T128" i="1"/>
  <c r="S128" i="1"/>
  <c r="R128" i="1"/>
  <c r="Q128" i="1"/>
  <c r="P128" i="1"/>
  <c r="O128" i="1"/>
  <c r="N128" i="1"/>
  <c r="M128" i="1"/>
  <c r="L128" i="1"/>
  <c r="K128" i="1"/>
  <c r="J128" i="1"/>
  <c r="I128" i="1"/>
  <c r="H128" i="1"/>
  <c r="G128" i="1"/>
  <c r="F128" i="1"/>
  <c r="E128" i="1"/>
  <c r="D128" i="1"/>
  <c r="C128" i="1"/>
  <c r="X127" i="1"/>
  <c r="W127" i="1"/>
  <c r="V127" i="1"/>
  <c r="U127" i="1"/>
  <c r="T127" i="1"/>
  <c r="S127" i="1"/>
  <c r="R127" i="1"/>
  <c r="Q127" i="1"/>
  <c r="P127" i="1"/>
  <c r="O127" i="1"/>
  <c r="N127" i="1"/>
  <c r="M127" i="1"/>
  <c r="L127" i="1"/>
  <c r="K127" i="1"/>
  <c r="J127" i="1"/>
  <c r="I127" i="1"/>
  <c r="H127" i="1"/>
  <c r="G127" i="1"/>
  <c r="F127" i="1"/>
  <c r="E127" i="1"/>
  <c r="D127" i="1"/>
  <c r="C127" i="1"/>
  <c r="X126" i="1"/>
  <c r="W126" i="1"/>
  <c r="V126" i="1"/>
  <c r="U126" i="1"/>
  <c r="T126" i="1"/>
  <c r="S126" i="1"/>
  <c r="R126" i="1"/>
  <c r="Q126" i="1"/>
  <c r="P126" i="1"/>
  <c r="O126" i="1"/>
  <c r="N126" i="1"/>
  <c r="M126" i="1"/>
  <c r="L126" i="1"/>
  <c r="K126" i="1"/>
  <c r="J126" i="1"/>
  <c r="I126" i="1"/>
  <c r="H126" i="1"/>
  <c r="G126" i="1"/>
  <c r="D126" i="1"/>
  <c r="X125" i="1"/>
  <c r="W125" i="1"/>
  <c r="V125" i="1"/>
  <c r="U125" i="1"/>
  <c r="T125" i="1"/>
  <c r="S125" i="1"/>
  <c r="R125" i="1"/>
  <c r="Q125" i="1"/>
  <c r="P125" i="1"/>
  <c r="O125" i="1"/>
  <c r="N125" i="1"/>
  <c r="M125" i="1"/>
  <c r="L125" i="1"/>
  <c r="K125" i="1"/>
  <c r="J125" i="1"/>
  <c r="I125" i="1"/>
  <c r="H125" i="1"/>
  <c r="G125" i="1"/>
  <c r="F125" i="1"/>
  <c r="E125" i="1"/>
  <c r="D125" i="1"/>
  <c r="C125" i="1"/>
  <c r="X124" i="1"/>
  <c r="W124" i="1"/>
  <c r="V124" i="1"/>
  <c r="U124" i="1"/>
  <c r="T124" i="1"/>
  <c r="S124" i="1"/>
  <c r="R124" i="1"/>
  <c r="Q124" i="1"/>
  <c r="P124" i="1"/>
  <c r="O124" i="1"/>
  <c r="N124" i="1"/>
  <c r="M124" i="1"/>
  <c r="L124" i="1"/>
  <c r="K124" i="1"/>
  <c r="J124" i="1"/>
  <c r="I124" i="1"/>
  <c r="H124" i="1"/>
  <c r="G124" i="1"/>
  <c r="F124" i="1"/>
  <c r="E124" i="1"/>
  <c r="D124" i="1"/>
  <c r="C124" i="1"/>
  <c r="X123" i="1"/>
  <c r="W123" i="1"/>
  <c r="V123" i="1"/>
  <c r="U123" i="1"/>
  <c r="T123" i="1"/>
  <c r="S123" i="1"/>
  <c r="R123" i="1"/>
  <c r="Q123" i="1"/>
  <c r="P123" i="1"/>
  <c r="O123" i="1"/>
  <c r="N123" i="1"/>
  <c r="M123" i="1"/>
  <c r="L123" i="1"/>
  <c r="K123" i="1"/>
  <c r="J123" i="1"/>
  <c r="I123" i="1"/>
  <c r="H123" i="1"/>
  <c r="G123" i="1"/>
  <c r="F123" i="1"/>
  <c r="E123" i="1"/>
  <c r="D123" i="1"/>
  <c r="C123" i="1"/>
  <c r="X122" i="1"/>
  <c r="W122" i="1"/>
  <c r="V122" i="1"/>
  <c r="U122" i="1"/>
  <c r="T122" i="1"/>
  <c r="S122" i="1"/>
  <c r="R122" i="1"/>
  <c r="Q122" i="1"/>
  <c r="P122" i="1"/>
  <c r="O122" i="1"/>
  <c r="N122" i="1"/>
  <c r="M122" i="1"/>
  <c r="L122" i="1"/>
  <c r="K122" i="1"/>
  <c r="J122" i="1"/>
  <c r="I122" i="1"/>
  <c r="H122" i="1"/>
  <c r="G122" i="1"/>
  <c r="F122" i="1"/>
  <c r="E122" i="1"/>
  <c r="D122" i="1"/>
  <c r="C122" i="1"/>
  <c r="X121" i="1"/>
  <c r="W121" i="1"/>
  <c r="V121" i="1"/>
  <c r="U121" i="1"/>
  <c r="T121" i="1"/>
  <c r="S121" i="1"/>
  <c r="R121" i="1"/>
  <c r="Q121" i="1"/>
  <c r="P121" i="1"/>
  <c r="O121" i="1"/>
  <c r="N121" i="1"/>
  <c r="M121" i="1"/>
  <c r="L121" i="1"/>
  <c r="K121" i="1"/>
  <c r="J121" i="1"/>
  <c r="I121" i="1"/>
  <c r="H121" i="1"/>
  <c r="G121" i="1"/>
  <c r="F121" i="1"/>
  <c r="E121" i="1"/>
  <c r="D121" i="1"/>
  <c r="C121" i="1"/>
  <c r="X120" i="1"/>
  <c r="W120" i="1"/>
  <c r="V120" i="1"/>
  <c r="U120" i="1"/>
  <c r="T120" i="1"/>
  <c r="S120" i="1"/>
  <c r="R120" i="1"/>
  <c r="Q120" i="1"/>
  <c r="P120" i="1"/>
  <c r="O120" i="1"/>
  <c r="N120" i="1"/>
  <c r="M120" i="1"/>
  <c r="L120" i="1"/>
  <c r="K120" i="1"/>
  <c r="J120" i="1"/>
  <c r="I120" i="1"/>
  <c r="H120" i="1"/>
  <c r="G120" i="1"/>
  <c r="F120" i="1"/>
  <c r="E120" i="1"/>
  <c r="D120" i="1"/>
  <c r="C120" i="1"/>
  <c r="X119" i="1"/>
  <c r="W119" i="1"/>
  <c r="V119" i="1"/>
  <c r="U119" i="1"/>
  <c r="T119" i="1"/>
  <c r="S119" i="1"/>
  <c r="R119" i="1"/>
  <c r="Q119" i="1"/>
  <c r="P119" i="1"/>
  <c r="O119" i="1"/>
  <c r="N119" i="1"/>
  <c r="M119" i="1"/>
  <c r="L119" i="1"/>
  <c r="K119" i="1"/>
  <c r="J119" i="1"/>
  <c r="I119" i="1"/>
  <c r="H119" i="1"/>
  <c r="G119" i="1"/>
  <c r="D119" i="1"/>
  <c r="C119" i="1"/>
  <c r="X118" i="1"/>
  <c r="W118" i="1"/>
  <c r="V118" i="1"/>
  <c r="U118" i="1"/>
  <c r="T118" i="1"/>
  <c r="S118" i="1"/>
  <c r="R118" i="1"/>
  <c r="Q118" i="1"/>
  <c r="P118" i="1"/>
  <c r="O118" i="1"/>
  <c r="N118" i="1"/>
  <c r="M118" i="1"/>
  <c r="L118" i="1"/>
  <c r="K118" i="1"/>
  <c r="J118" i="1"/>
  <c r="I118" i="1"/>
  <c r="H118" i="1"/>
  <c r="G118" i="1"/>
  <c r="F118" i="1"/>
  <c r="E118" i="1"/>
  <c r="D118" i="1"/>
  <c r="C118" i="1"/>
  <c r="X117" i="1"/>
  <c r="W117" i="1"/>
  <c r="V117" i="1"/>
  <c r="U117" i="1"/>
  <c r="T117" i="1"/>
  <c r="S117" i="1"/>
  <c r="R117" i="1"/>
  <c r="Q117" i="1"/>
  <c r="P117" i="1"/>
  <c r="O117" i="1"/>
  <c r="N117" i="1"/>
  <c r="M117" i="1"/>
  <c r="L117" i="1"/>
  <c r="K117" i="1"/>
  <c r="J117" i="1"/>
  <c r="I117" i="1"/>
  <c r="H117" i="1"/>
  <c r="G117" i="1"/>
  <c r="F117" i="1"/>
  <c r="E117" i="1"/>
  <c r="D117" i="1"/>
  <c r="C117" i="1"/>
  <c r="X116" i="1"/>
  <c r="W116" i="1"/>
  <c r="V116" i="1"/>
  <c r="U116" i="1"/>
  <c r="T116" i="1"/>
  <c r="S116" i="1"/>
  <c r="R116" i="1"/>
  <c r="Q116" i="1"/>
  <c r="P116" i="1"/>
  <c r="O116" i="1"/>
  <c r="N116" i="1"/>
  <c r="M116" i="1"/>
  <c r="L116" i="1"/>
  <c r="K116" i="1"/>
  <c r="J116" i="1"/>
  <c r="I116" i="1"/>
  <c r="H116" i="1"/>
  <c r="G116" i="1"/>
  <c r="F116" i="1"/>
  <c r="E116" i="1"/>
  <c r="D116" i="1"/>
  <c r="C116" i="1"/>
  <c r="X115" i="1"/>
  <c r="W115" i="1"/>
  <c r="V115" i="1"/>
  <c r="U115" i="1"/>
  <c r="T115" i="1"/>
  <c r="S115" i="1"/>
  <c r="R115" i="1"/>
  <c r="Q115" i="1"/>
  <c r="P115" i="1"/>
  <c r="O115" i="1"/>
  <c r="N115" i="1"/>
  <c r="M115" i="1"/>
  <c r="L115" i="1"/>
  <c r="K115" i="1"/>
  <c r="J115" i="1"/>
  <c r="I115" i="1"/>
  <c r="H115" i="1"/>
  <c r="G115" i="1"/>
  <c r="D115" i="1"/>
  <c r="C115" i="1"/>
  <c r="X114" i="1"/>
  <c r="W114" i="1"/>
  <c r="V114" i="1"/>
  <c r="U114" i="1"/>
  <c r="T114" i="1"/>
  <c r="S114" i="1"/>
  <c r="R114" i="1"/>
  <c r="Q114" i="1"/>
  <c r="P114" i="1"/>
  <c r="O114" i="1"/>
  <c r="N114" i="1"/>
  <c r="M114" i="1"/>
  <c r="L114" i="1"/>
  <c r="K114" i="1"/>
  <c r="J114" i="1"/>
  <c r="I114" i="1"/>
  <c r="H114" i="1"/>
  <c r="G114" i="1"/>
  <c r="D114" i="1"/>
  <c r="C114" i="1"/>
  <c r="X113" i="1"/>
  <c r="W113" i="1"/>
  <c r="V113" i="1"/>
  <c r="U113" i="1"/>
  <c r="T113" i="1"/>
  <c r="S113" i="1"/>
  <c r="R113" i="1"/>
  <c r="Q113" i="1"/>
  <c r="P113" i="1"/>
  <c r="O113" i="1"/>
  <c r="N113" i="1"/>
  <c r="M113" i="1"/>
  <c r="L113" i="1"/>
  <c r="K113" i="1"/>
  <c r="J113" i="1"/>
  <c r="I113" i="1"/>
  <c r="H113" i="1"/>
  <c r="G113" i="1"/>
  <c r="D113" i="1"/>
  <c r="X112" i="1"/>
  <c r="W112" i="1"/>
  <c r="V112" i="1"/>
  <c r="U112" i="1"/>
  <c r="T112" i="1"/>
  <c r="S112" i="1"/>
  <c r="R112" i="1"/>
  <c r="Q112" i="1"/>
  <c r="P112" i="1"/>
  <c r="O112" i="1"/>
  <c r="N112" i="1"/>
  <c r="M112" i="1"/>
  <c r="L112" i="1"/>
  <c r="K112" i="1"/>
  <c r="J112" i="1"/>
  <c r="I112" i="1"/>
  <c r="H112" i="1"/>
  <c r="G112" i="1"/>
  <c r="F112" i="1"/>
  <c r="E112" i="1"/>
  <c r="D112" i="1"/>
  <c r="C112" i="1"/>
  <c r="X111" i="1"/>
  <c r="W111" i="1"/>
  <c r="V111" i="1"/>
  <c r="U111" i="1"/>
  <c r="T111" i="1"/>
  <c r="S111" i="1"/>
  <c r="R111" i="1"/>
  <c r="Q111" i="1"/>
  <c r="P111" i="1"/>
  <c r="O111" i="1"/>
  <c r="N111" i="1"/>
  <c r="M111" i="1"/>
  <c r="L111" i="1"/>
  <c r="K111" i="1"/>
  <c r="J111" i="1"/>
  <c r="I111" i="1"/>
  <c r="H111" i="1"/>
  <c r="G111" i="1"/>
  <c r="D111" i="1"/>
  <c r="C111" i="1"/>
  <c r="X110" i="1"/>
  <c r="W110" i="1"/>
  <c r="V110" i="1"/>
  <c r="U110" i="1"/>
  <c r="T110" i="1"/>
  <c r="S110" i="1"/>
  <c r="R110" i="1"/>
  <c r="Q110" i="1"/>
  <c r="P110" i="1"/>
  <c r="O110" i="1"/>
  <c r="N110" i="1"/>
  <c r="M110" i="1"/>
  <c r="L110" i="1"/>
  <c r="K110" i="1"/>
  <c r="J110" i="1"/>
  <c r="I110" i="1"/>
  <c r="H110" i="1"/>
  <c r="G110" i="1"/>
  <c r="F110" i="1"/>
  <c r="E110" i="1"/>
  <c r="D110" i="1"/>
  <c r="C110" i="1"/>
  <c r="X109" i="1"/>
  <c r="W109" i="1"/>
  <c r="V109" i="1"/>
  <c r="U109" i="1"/>
  <c r="T109" i="1"/>
  <c r="S109" i="1"/>
  <c r="R109" i="1"/>
  <c r="Q109" i="1"/>
  <c r="P109" i="1"/>
  <c r="O109" i="1"/>
  <c r="N109" i="1"/>
  <c r="M109" i="1"/>
  <c r="L109" i="1"/>
  <c r="K109" i="1"/>
  <c r="J109" i="1"/>
  <c r="I109" i="1"/>
  <c r="H109" i="1"/>
  <c r="G109" i="1"/>
  <c r="F109" i="1"/>
  <c r="E109" i="1"/>
  <c r="D109" i="1"/>
  <c r="C109" i="1"/>
  <c r="X108" i="1"/>
  <c r="W108" i="1"/>
  <c r="V108" i="1"/>
  <c r="U108" i="1"/>
  <c r="T108" i="1"/>
  <c r="S108" i="1"/>
  <c r="R108" i="1"/>
  <c r="Q108" i="1"/>
  <c r="P108" i="1"/>
  <c r="O108" i="1"/>
  <c r="N108" i="1"/>
  <c r="M108" i="1"/>
  <c r="L108" i="1"/>
  <c r="K108" i="1"/>
  <c r="J108" i="1"/>
  <c r="I108" i="1"/>
  <c r="H108" i="1"/>
  <c r="G108" i="1"/>
  <c r="F108" i="1"/>
  <c r="E108" i="1"/>
  <c r="D108" i="1"/>
  <c r="C108" i="1"/>
  <c r="X107" i="1"/>
  <c r="W107" i="1"/>
  <c r="V107" i="1"/>
  <c r="U107" i="1"/>
  <c r="T107" i="1"/>
  <c r="S107" i="1"/>
  <c r="R107" i="1"/>
  <c r="Q107" i="1"/>
  <c r="P107" i="1"/>
  <c r="O107" i="1"/>
  <c r="N107" i="1"/>
  <c r="M107" i="1"/>
  <c r="L107" i="1"/>
  <c r="K107" i="1"/>
  <c r="J107" i="1"/>
  <c r="I107" i="1"/>
  <c r="H107" i="1"/>
  <c r="G107" i="1"/>
  <c r="F107" i="1"/>
  <c r="E107" i="1"/>
  <c r="D107" i="1"/>
  <c r="C107" i="1"/>
  <c r="X106" i="1"/>
  <c r="W106" i="1"/>
  <c r="V106" i="1"/>
  <c r="U106" i="1"/>
  <c r="T106" i="1"/>
  <c r="S106" i="1"/>
  <c r="R106" i="1"/>
  <c r="Q106" i="1"/>
  <c r="P106" i="1"/>
  <c r="O106" i="1"/>
  <c r="N106" i="1"/>
  <c r="M106" i="1"/>
  <c r="L106" i="1"/>
  <c r="K106" i="1"/>
  <c r="J106" i="1"/>
  <c r="I106" i="1"/>
  <c r="H106" i="1"/>
  <c r="G106" i="1"/>
  <c r="F106" i="1"/>
  <c r="E106" i="1"/>
  <c r="D106" i="1"/>
  <c r="C106" i="1"/>
  <c r="X105" i="1"/>
  <c r="W105" i="1"/>
  <c r="V105" i="1"/>
  <c r="U105" i="1"/>
  <c r="T105" i="1"/>
  <c r="S105" i="1"/>
  <c r="R105" i="1"/>
  <c r="Q105" i="1"/>
  <c r="P105" i="1"/>
  <c r="O105" i="1"/>
  <c r="N105" i="1"/>
  <c r="M105" i="1"/>
  <c r="L105" i="1"/>
  <c r="K105" i="1"/>
  <c r="J105" i="1"/>
  <c r="I105" i="1"/>
  <c r="H105" i="1"/>
  <c r="G105" i="1"/>
  <c r="F105" i="1"/>
  <c r="E105" i="1"/>
  <c r="D105" i="1"/>
  <c r="X104" i="1"/>
  <c r="W104" i="1"/>
  <c r="V104" i="1"/>
  <c r="U104" i="1"/>
  <c r="T104" i="1"/>
  <c r="S104" i="1"/>
  <c r="R104" i="1"/>
  <c r="Q104" i="1"/>
  <c r="P104" i="1"/>
  <c r="O104" i="1"/>
  <c r="N104" i="1"/>
  <c r="M104" i="1"/>
  <c r="L104" i="1"/>
  <c r="K104" i="1"/>
  <c r="J104" i="1"/>
  <c r="I104" i="1"/>
  <c r="H104" i="1"/>
  <c r="G104" i="1"/>
  <c r="F104" i="1"/>
  <c r="E104" i="1"/>
  <c r="D104" i="1"/>
  <c r="C104" i="1"/>
  <c r="X103" i="1"/>
  <c r="W103" i="1"/>
  <c r="V103" i="1"/>
  <c r="U103" i="1"/>
  <c r="T103" i="1"/>
  <c r="S103" i="1"/>
  <c r="R103" i="1"/>
  <c r="Q103" i="1"/>
  <c r="P103" i="1"/>
  <c r="O103" i="1"/>
  <c r="N103" i="1"/>
  <c r="M103" i="1"/>
  <c r="L103" i="1"/>
  <c r="K103" i="1"/>
  <c r="J103" i="1"/>
  <c r="I103" i="1"/>
  <c r="H103" i="1"/>
  <c r="G103" i="1"/>
  <c r="F103" i="1"/>
  <c r="E103" i="1"/>
  <c r="D103" i="1"/>
  <c r="X102" i="1"/>
  <c r="W102" i="1"/>
  <c r="V102" i="1"/>
  <c r="U102" i="1"/>
  <c r="T102" i="1"/>
  <c r="S102" i="1"/>
  <c r="R102" i="1"/>
  <c r="Q102" i="1"/>
  <c r="P102" i="1"/>
  <c r="O102" i="1"/>
  <c r="N102" i="1"/>
  <c r="M102" i="1"/>
  <c r="L102" i="1"/>
  <c r="K102" i="1"/>
  <c r="J102" i="1"/>
  <c r="I102" i="1"/>
  <c r="H102" i="1"/>
  <c r="G102" i="1"/>
  <c r="F102" i="1"/>
  <c r="E102" i="1"/>
  <c r="D102" i="1"/>
  <c r="X101" i="1"/>
  <c r="W101" i="1"/>
  <c r="V101" i="1"/>
  <c r="U101" i="1"/>
  <c r="T101" i="1"/>
  <c r="S101" i="1"/>
  <c r="R101" i="1"/>
  <c r="Q101" i="1"/>
  <c r="P101" i="1"/>
  <c r="O101" i="1"/>
  <c r="N101" i="1"/>
  <c r="M101" i="1"/>
  <c r="L101" i="1"/>
  <c r="K101" i="1"/>
  <c r="J101" i="1"/>
  <c r="I101" i="1"/>
  <c r="H101" i="1"/>
  <c r="G101" i="1"/>
  <c r="F101" i="1"/>
  <c r="E101" i="1"/>
  <c r="D101" i="1"/>
  <c r="X100" i="1"/>
  <c r="W100" i="1"/>
  <c r="V100" i="1"/>
  <c r="U100" i="1"/>
  <c r="T100" i="1"/>
  <c r="S100" i="1"/>
  <c r="R100" i="1"/>
  <c r="Q100" i="1"/>
  <c r="P100" i="1"/>
  <c r="O100" i="1"/>
  <c r="N100" i="1"/>
  <c r="M100" i="1"/>
  <c r="L100" i="1"/>
  <c r="K100" i="1"/>
  <c r="J100" i="1"/>
  <c r="I100" i="1"/>
  <c r="H100" i="1"/>
  <c r="G100" i="1"/>
  <c r="F100" i="1"/>
  <c r="E100" i="1"/>
  <c r="D100" i="1"/>
  <c r="X99" i="1"/>
  <c r="W99" i="1"/>
  <c r="V99" i="1"/>
  <c r="U99" i="1"/>
  <c r="T99" i="1"/>
  <c r="S99" i="1"/>
  <c r="R99" i="1"/>
  <c r="Q99" i="1"/>
  <c r="P99" i="1"/>
  <c r="O99" i="1"/>
  <c r="N99" i="1"/>
  <c r="M99" i="1"/>
  <c r="L99" i="1"/>
  <c r="K99" i="1"/>
  <c r="J99" i="1"/>
  <c r="I99" i="1"/>
  <c r="H99" i="1"/>
  <c r="G99" i="1"/>
  <c r="F99" i="1"/>
  <c r="E99" i="1"/>
  <c r="D99" i="1"/>
  <c r="C99" i="1"/>
  <c r="X98" i="1"/>
  <c r="W98" i="1"/>
  <c r="V98" i="1"/>
  <c r="U98" i="1"/>
  <c r="T98" i="1"/>
  <c r="S98" i="1"/>
  <c r="R98" i="1"/>
  <c r="Q98" i="1"/>
  <c r="P98" i="1"/>
  <c r="O98" i="1"/>
  <c r="N98" i="1"/>
  <c r="M98" i="1"/>
  <c r="L98" i="1"/>
  <c r="K98" i="1"/>
  <c r="J98" i="1"/>
  <c r="I98" i="1"/>
  <c r="H98" i="1"/>
  <c r="G98" i="1"/>
  <c r="D98" i="1"/>
  <c r="C98" i="1"/>
  <c r="X97" i="1"/>
  <c r="W97" i="1"/>
  <c r="V97" i="1"/>
  <c r="U97" i="1"/>
  <c r="T97" i="1"/>
  <c r="S97" i="1"/>
  <c r="R97" i="1"/>
  <c r="Q97" i="1"/>
  <c r="P97" i="1"/>
  <c r="O97" i="1"/>
  <c r="N97" i="1"/>
  <c r="M97" i="1"/>
  <c r="L97" i="1"/>
  <c r="K97" i="1"/>
  <c r="J97" i="1"/>
  <c r="I97" i="1"/>
  <c r="H97" i="1"/>
  <c r="G97" i="1"/>
  <c r="F97" i="1"/>
  <c r="E97" i="1"/>
  <c r="D97" i="1"/>
  <c r="C97" i="1"/>
  <c r="X96" i="1"/>
  <c r="W96" i="1"/>
  <c r="V96" i="1"/>
  <c r="U96" i="1"/>
  <c r="T96" i="1"/>
  <c r="S96" i="1"/>
  <c r="R96" i="1"/>
  <c r="Q96" i="1"/>
  <c r="P96" i="1"/>
  <c r="O96" i="1"/>
  <c r="N96" i="1"/>
  <c r="M96" i="1"/>
  <c r="L96" i="1"/>
  <c r="K96" i="1"/>
  <c r="J96" i="1"/>
  <c r="I96" i="1"/>
  <c r="H96" i="1"/>
  <c r="G96" i="1"/>
  <c r="D96" i="1"/>
  <c r="C96" i="1"/>
  <c r="X95" i="1"/>
  <c r="W95" i="1"/>
  <c r="V95" i="1"/>
  <c r="U95" i="1"/>
  <c r="T95" i="1"/>
  <c r="S95" i="1"/>
  <c r="R95" i="1"/>
  <c r="Q95" i="1"/>
  <c r="P95" i="1"/>
  <c r="O95" i="1"/>
  <c r="N95" i="1"/>
  <c r="M95" i="1"/>
  <c r="L95" i="1"/>
  <c r="K95" i="1"/>
  <c r="J95" i="1"/>
  <c r="I95" i="1"/>
  <c r="H95" i="1"/>
  <c r="G95" i="1"/>
  <c r="F95" i="1"/>
  <c r="E95" i="1"/>
  <c r="D95" i="1"/>
  <c r="C95" i="1"/>
  <c r="X94" i="1"/>
  <c r="W94" i="1"/>
  <c r="V94" i="1"/>
  <c r="U94" i="1"/>
  <c r="T94" i="1"/>
  <c r="S94" i="1"/>
  <c r="R94" i="1"/>
  <c r="Q94" i="1"/>
  <c r="P94" i="1"/>
  <c r="O94" i="1"/>
  <c r="N94" i="1"/>
  <c r="M94" i="1"/>
  <c r="L94" i="1"/>
  <c r="K94" i="1"/>
  <c r="J94" i="1"/>
  <c r="I94" i="1"/>
  <c r="H94" i="1"/>
  <c r="G94" i="1"/>
  <c r="D94" i="1"/>
  <c r="C94" i="1"/>
  <c r="X93" i="1"/>
  <c r="W93" i="1"/>
  <c r="V93" i="1"/>
  <c r="U93" i="1"/>
  <c r="T93" i="1"/>
  <c r="S93" i="1"/>
  <c r="R93" i="1"/>
  <c r="Q93" i="1"/>
  <c r="P93" i="1"/>
  <c r="O93" i="1"/>
  <c r="N93" i="1"/>
  <c r="M93" i="1"/>
  <c r="L93" i="1"/>
  <c r="K93" i="1"/>
  <c r="J93" i="1"/>
  <c r="I93" i="1"/>
  <c r="H93" i="1"/>
  <c r="G93" i="1"/>
  <c r="D93" i="1"/>
  <c r="C93" i="1"/>
  <c r="X92" i="1"/>
  <c r="W92" i="1"/>
  <c r="V92" i="1"/>
  <c r="U92" i="1"/>
  <c r="T92" i="1"/>
  <c r="S92" i="1"/>
  <c r="R92" i="1"/>
  <c r="Q92" i="1"/>
  <c r="P92" i="1"/>
  <c r="O92" i="1"/>
  <c r="N92" i="1"/>
  <c r="M92" i="1"/>
  <c r="L92" i="1"/>
  <c r="K92" i="1"/>
  <c r="J92" i="1"/>
  <c r="I92" i="1"/>
  <c r="H92" i="1"/>
  <c r="G92" i="1"/>
  <c r="D92" i="1"/>
  <c r="C92" i="1"/>
  <c r="X91" i="1"/>
  <c r="W91" i="1"/>
  <c r="V91" i="1"/>
  <c r="U91" i="1"/>
  <c r="T91" i="1"/>
  <c r="S91" i="1"/>
  <c r="R91" i="1"/>
  <c r="Q91" i="1"/>
  <c r="P91" i="1"/>
  <c r="O91" i="1"/>
  <c r="N91" i="1"/>
  <c r="M91" i="1"/>
  <c r="L91" i="1"/>
  <c r="K91" i="1"/>
  <c r="J91" i="1"/>
  <c r="I91" i="1"/>
  <c r="H91" i="1"/>
  <c r="G91" i="1"/>
  <c r="F91" i="1"/>
  <c r="E91" i="1"/>
  <c r="D91" i="1"/>
  <c r="C91" i="1"/>
  <c r="X90" i="1"/>
  <c r="W90" i="1"/>
  <c r="V90" i="1"/>
  <c r="U90" i="1"/>
  <c r="T90" i="1"/>
  <c r="S90" i="1"/>
  <c r="R90" i="1"/>
  <c r="Q90" i="1"/>
  <c r="P90" i="1"/>
  <c r="O90" i="1"/>
  <c r="N90" i="1"/>
  <c r="M90" i="1"/>
  <c r="L90" i="1"/>
  <c r="K90" i="1"/>
  <c r="J90" i="1"/>
  <c r="I90" i="1"/>
  <c r="H90" i="1"/>
  <c r="G90" i="1"/>
  <c r="F90" i="1"/>
  <c r="E90" i="1"/>
  <c r="D90" i="1"/>
  <c r="X89" i="1"/>
  <c r="W89" i="1"/>
  <c r="V89" i="1"/>
  <c r="U89" i="1"/>
  <c r="T89" i="1"/>
  <c r="S89" i="1"/>
  <c r="R89" i="1"/>
  <c r="Q89" i="1"/>
  <c r="P89" i="1"/>
  <c r="O89" i="1"/>
  <c r="N89" i="1"/>
  <c r="M89" i="1"/>
  <c r="L89" i="1"/>
  <c r="K89" i="1"/>
  <c r="J89" i="1"/>
  <c r="I89" i="1"/>
  <c r="H89" i="1"/>
  <c r="G89" i="1"/>
  <c r="F89" i="1"/>
  <c r="E89" i="1"/>
  <c r="D89" i="1"/>
  <c r="X88" i="1"/>
  <c r="W88" i="1"/>
  <c r="V88" i="1"/>
  <c r="U88" i="1"/>
  <c r="T88" i="1"/>
  <c r="S88" i="1"/>
  <c r="R88" i="1"/>
  <c r="Q88" i="1"/>
  <c r="P88" i="1"/>
  <c r="O88" i="1"/>
  <c r="N88" i="1"/>
  <c r="M88" i="1"/>
  <c r="L88" i="1"/>
  <c r="K88" i="1"/>
  <c r="J88" i="1"/>
  <c r="I88" i="1"/>
  <c r="H88" i="1"/>
  <c r="G88" i="1"/>
  <c r="F88" i="1"/>
  <c r="E88" i="1"/>
  <c r="D88" i="1"/>
  <c r="C88" i="1"/>
  <c r="X87" i="1"/>
  <c r="W87" i="1"/>
  <c r="V87" i="1"/>
  <c r="U87" i="1"/>
  <c r="T87" i="1"/>
  <c r="S87" i="1"/>
  <c r="R87" i="1"/>
  <c r="Q87" i="1"/>
  <c r="P87" i="1"/>
  <c r="O87" i="1"/>
  <c r="N87" i="1"/>
  <c r="M87" i="1"/>
  <c r="L87" i="1"/>
  <c r="K87" i="1"/>
  <c r="J87" i="1"/>
  <c r="I87" i="1"/>
  <c r="H87" i="1"/>
  <c r="G87" i="1"/>
  <c r="D87" i="1"/>
  <c r="C87" i="1"/>
  <c r="X86" i="1"/>
  <c r="W86" i="1"/>
  <c r="V86" i="1"/>
  <c r="U86" i="1"/>
  <c r="T86" i="1"/>
  <c r="S86" i="1"/>
  <c r="R86" i="1"/>
  <c r="Q86" i="1"/>
  <c r="P86" i="1"/>
  <c r="O86" i="1"/>
  <c r="N86" i="1"/>
  <c r="M86" i="1"/>
  <c r="L86" i="1"/>
  <c r="K86" i="1"/>
  <c r="J86" i="1"/>
  <c r="I86" i="1"/>
  <c r="H86" i="1"/>
  <c r="G86" i="1"/>
  <c r="F86" i="1"/>
  <c r="E86" i="1"/>
  <c r="D86" i="1"/>
  <c r="X85" i="1"/>
  <c r="W85" i="1"/>
  <c r="V85" i="1"/>
  <c r="U85" i="1"/>
  <c r="T85" i="1"/>
  <c r="S85" i="1"/>
  <c r="R85" i="1"/>
  <c r="Q85" i="1"/>
  <c r="P85" i="1"/>
  <c r="O85" i="1"/>
  <c r="N85" i="1"/>
  <c r="M85" i="1"/>
  <c r="L85" i="1"/>
  <c r="K85" i="1"/>
  <c r="J85" i="1"/>
  <c r="I85" i="1"/>
  <c r="H85" i="1"/>
  <c r="G85" i="1"/>
  <c r="F85" i="1"/>
  <c r="E85" i="1"/>
  <c r="D85" i="1"/>
  <c r="C85" i="1"/>
  <c r="X84" i="1"/>
  <c r="W84" i="1"/>
  <c r="V84" i="1"/>
  <c r="U84" i="1"/>
  <c r="T84" i="1"/>
  <c r="S84" i="1"/>
  <c r="R84" i="1"/>
  <c r="Q84" i="1"/>
  <c r="P84" i="1"/>
  <c r="O84" i="1"/>
  <c r="N84" i="1"/>
  <c r="M84" i="1"/>
  <c r="L84" i="1"/>
  <c r="K84" i="1"/>
  <c r="J84" i="1"/>
  <c r="I84" i="1"/>
  <c r="H84" i="1"/>
  <c r="G84" i="1"/>
  <c r="F84" i="1"/>
  <c r="E84" i="1"/>
  <c r="D84" i="1"/>
  <c r="C84" i="1"/>
  <c r="X83" i="1"/>
  <c r="W83" i="1"/>
  <c r="V83" i="1"/>
  <c r="U83" i="1"/>
  <c r="T83" i="1"/>
  <c r="S83" i="1"/>
  <c r="R83" i="1"/>
  <c r="Q83" i="1"/>
  <c r="P83" i="1"/>
  <c r="O83" i="1"/>
  <c r="N83" i="1"/>
  <c r="M83" i="1"/>
  <c r="L83" i="1"/>
  <c r="K83" i="1"/>
  <c r="J83" i="1"/>
  <c r="I83" i="1"/>
  <c r="H83" i="1"/>
  <c r="G83" i="1"/>
  <c r="F83" i="1"/>
  <c r="E83" i="1"/>
  <c r="D83" i="1"/>
  <c r="C83" i="1"/>
  <c r="X82" i="1"/>
  <c r="W82" i="1"/>
  <c r="V82" i="1"/>
  <c r="U82" i="1"/>
  <c r="T82" i="1"/>
  <c r="S82" i="1"/>
  <c r="R82" i="1"/>
  <c r="Q82" i="1"/>
  <c r="P82" i="1"/>
  <c r="O82" i="1"/>
  <c r="N82" i="1"/>
  <c r="M82" i="1"/>
  <c r="L82" i="1"/>
  <c r="K82" i="1"/>
  <c r="J82" i="1"/>
  <c r="I82" i="1"/>
  <c r="H82" i="1"/>
  <c r="G82" i="1"/>
  <c r="D82" i="1"/>
  <c r="C82" i="1"/>
  <c r="X81" i="1"/>
  <c r="W81" i="1"/>
  <c r="V81" i="1"/>
  <c r="U81" i="1"/>
  <c r="T81" i="1"/>
  <c r="S81" i="1"/>
  <c r="R81" i="1"/>
  <c r="Q81" i="1"/>
  <c r="P81" i="1"/>
  <c r="O81" i="1"/>
  <c r="N81" i="1"/>
  <c r="M81" i="1"/>
  <c r="L81" i="1"/>
  <c r="K81" i="1"/>
  <c r="J81" i="1"/>
  <c r="I81" i="1"/>
  <c r="H81" i="1"/>
  <c r="G81" i="1"/>
  <c r="F81" i="1"/>
  <c r="E81" i="1"/>
  <c r="D81" i="1"/>
  <c r="C81" i="1"/>
  <c r="X80" i="1"/>
  <c r="W80" i="1"/>
  <c r="V80" i="1"/>
  <c r="U80" i="1"/>
  <c r="T80" i="1"/>
  <c r="S80" i="1"/>
  <c r="R80" i="1"/>
  <c r="Q80" i="1"/>
  <c r="P80" i="1"/>
  <c r="O80" i="1"/>
  <c r="N80" i="1"/>
  <c r="M80" i="1"/>
  <c r="L80" i="1"/>
  <c r="K80" i="1"/>
  <c r="J80" i="1"/>
  <c r="I80" i="1"/>
  <c r="H80" i="1"/>
  <c r="G80" i="1"/>
  <c r="D80" i="1"/>
  <c r="C80" i="1"/>
  <c r="X79" i="1"/>
  <c r="W79" i="1"/>
  <c r="V79" i="1"/>
  <c r="U79" i="1"/>
  <c r="T79" i="1"/>
  <c r="S79" i="1"/>
  <c r="R79" i="1"/>
  <c r="Q79" i="1"/>
  <c r="P79" i="1"/>
  <c r="O79" i="1"/>
  <c r="N79" i="1"/>
  <c r="M79" i="1"/>
  <c r="L79" i="1"/>
  <c r="K79" i="1"/>
  <c r="J79" i="1"/>
  <c r="I79" i="1"/>
  <c r="H79" i="1"/>
  <c r="G79" i="1"/>
  <c r="D79" i="1"/>
  <c r="C79" i="1"/>
  <c r="X78" i="1"/>
  <c r="W78" i="1"/>
  <c r="V78" i="1"/>
  <c r="U78" i="1"/>
  <c r="T78" i="1"/>
  <c r="S78" i="1"/>
  <c r="R78" i="1"/>
  <c r="Q78" i="1"/>
  <c r="P78" i="1"/>
  <c r="O78" i="1"/>
  <c r="N78" i="1"/>
  <c r="M78" i="1"/>
  <c r="L78" i="1"/>
  <c r="K78" i="1"/>
  <c r="J78" i="1"/>
  <c r="I78" i="1"/>
  <c r="H78" i="1"/>
  <c r="G78" i="1"/>
  <c r="D78" i="1"/>
  <c r="C78" i="1"/>
  <c r="X77" i="1"/>
  <c r="W77" i="1"/>
  <c r="V77" i="1"/>
  <c r="U77" i="1"/>
  <c r="T77" i="1"/>
  <c r="S77" i="1"/>
  <c r="R77" i="1"/>
  <c r="Q77" i="1"/>
  <c r="P77" i="1"/>
  <c r="O77" i="1"/>
  <c r="N77" i="1"/>
  <c r="M77" i="1"/>
  <c r="L77" i="1"/>
  <c r="K77" i="1"/>
  <c r="J77" i="1"/>
  <c r="I77" i="1"/>
  <c r="H77" i="1"/>
  <c r="G77" i="1"/>
  <c r="F77" i="1"/>
  <c r="E77" i="1"/>
  <c r="D77" i="1"/>
  <c r="C77" i="1"/>
  <c r="X76" i="1"/>
  <c r="W76" i="1"/>
  <c r="V76" i="1"/>
  <c r="U76" i="1"/>
  <c r="T76" i="1"/>
  <c r="S76" i="1"/>
  <c r="R76" i="1"/>
  <c r="Q76" i="1"/>
  <c r="P76" i="1"/>
  <c r="O76" i="1"/>
  <c r="N76" i="1"/>
  <c r="M76" i="1"/>
  <c r="L76" i="1"/>
  <c r="K76" i="1"/>
  <c r="J76" i="1"/>
  <c r="I76" i="1"/>
  <c r="H76" i="1"/>
  <c r="G76" i="1"/>
  <c r="F76" i="1"/>
  <c r="E76" i="1"/>
  <c r="D76" i="1"/>
  <c r="C76" i="1"/>
  <c r="X75" i="1"/>
  <c r="W75" i="1"/>
  <c r="V75" i="1"/>
  <c r="U75" i="1"/>
  <c r="T75" i="1"/>
  <c r="S75" i="1"/>
  <c r="R75" i="1"/>
  <c r="Q75" i="1"/>
  <c r="P75" i="1"/>
  <c r="O75" i="1"/>
  <c r="N75" i="1"/>
  <c r="M75" i="1"/>
  <c r="L75" i="1"/>
  <c r="K75" i="1"/>
  <c r="J75" i="1"/>
  <c r="I75" i="1"/>
  <c r="H75" i="1"/>
  <c r="G75" i="1"/>
  <c r="F75" i="1"/>
  <c r="E75" i="1"/>
  <c r="D75" i="1"/>
  <c r="C75" i="1"/>
  <c r="X74" i="1"/>
  <c r="W74" i="1"/>
  <c r="V74" i="1"/>
  <c r="U74" i="1"/>
  <c r="T74" i="1"/>
  <c r="S74" i="1"/>
  <c r="R74" i="1"/>
  <c r="Q74" i="1"/>
  <c r="P74" i="1"/>
  <c r="O74" i="1"/>
  <c r="N74" i="1"/>
  <c r="M74" i="1"/>
  <c r="L74" i="1"/>
  <c r="K74" i="1"/>
  <c r="J74" i="1"/>
  <c r="I74" i="1"/>
  <c r="H74" i="1"/>
  <c r="G74" i="1"/>
  <c r="F74" i="1"/>
  <c r="E74" i="1"/>
  <c r="D74" i="1"/>
  <c r="C74" i="1"/>
  <c r="X73" i="1"/>
  <c r="W73" i="1"/>
  <c r="V73" i="1"/>
  <c r="U73" i="1"/>
  <c r="T73" i="1"/>
  <c r="S73" i="1"/>
  <c r="R73" i="1"/>
  <c r="Q73" i="1"/>
  <c r="P73" i="1"/>
  <c r="O73" i="1"/>
  <c r="N73" i="1"/>
  <c r="M73" i="1"/>
  <c r="L73" i="1"/>
  <c r="K73" i="1"/>
  <c r="J73" i="1"/>
  <c r="I73" i="1"/>
  <c r="H73" i="1"/>
  <c r="G73" i="1"/>
  <c r="F73" i="1"/>
  <c r="E73" i="1"/>
  <c r="D73" i="1"/>
  <c r="C73" i="1"/>
  <c r="X72" i="1"/>
  <c r="W72" i="1"/>
  <c r="V72" i="1"/>
  <c r="U72" i="1"/>
  <c r="T72" i="1"/>
  <c r="S72" i="1"/>
  <c r="R72" i="1"/>
  <c r="Q72" i="1"/>
  <c r="P72" i="1"/>
  <c r="O72" i="1"/>
  <c r="N72" i="1"/>
  <c r="M72" i="1"/>
  <c r="L72" i="1"/>
  <c r="K72" i="1"/>
  <c r="J72" i="1"/>
  <c r="I72" i="1"/>
  <c r="H72" i="1"/>
  <c r="G72" i="1"/>
  <c r="F72" i="1"/>
  <c r="E72" i="1"/>
  <c r="D72" i="1"/>
  <c r="C72" i="1"/>
  <c r="X71" i="1"/>
  <c r="W71" i="1"/>
  <c r="V71" i="1"/>
  <c r="U71" i="1"/>
  <c r="T71" i="1"/>
  <c r="S71" i="1"/>
  <c r="R71" i="1"/>
  <c r="Q71" i="1"/>
  <c r="P71" i="1"/>
  <c r="O71" i="1"/>
  <c r="N71" i="1"/>
  <c r="M71" i="1"/>
  <c r="L71" i="1"/>
  <c r="K71" i="1"/>
  <c r="J71" i="1"/>
  <c r="I71" i="1"/>
  <c r="H71" i="1"/>
  <c r="G71" i="1"/>
  <c r="F71" i="1"/>
  <c r="E71" i="1"/>
  <c r="D71" i="1"/>
  <c r="C71" i="1"/>
  <c r="X70" i="1"/>
  <c r="W70" i="1"/>
  <c r="V70" i="1"/>
  <c r="U70" i="1"/>
  <c r="T70" i="1"/>
  <c r="S70" i="1"/>
  <c r="R70" i="1"/>
  <c r="Q70" i="1"/>
  <c r="P70" i="1"/>
  <c r="O70" i="1"/>
  <c r="N70" i="1"/>
  <c r="M70" i="1"/>
  <c r="L70" i="1"/>
  <c r="K70" i="1"/>
  <c r="J70" i="1"/>
  <c r="I70" i="1"/>
  <c r="H70" i="1"/>
  <c r="G70" i="1"/>
  <c r="F70" i="1"/>
  <c r="E70" i="1"/>
  <c r="D70" i="1"/>
  <c r="C70" i="1"/>
  <c r="X69" i="1"/>
  <c r="W69" i="1"/>
  <c r="V69" i="1"/>
  <c r="U69" i="1"/>
  <c r="T69" i="1"/>
  <c r="S69" i="1"/>
  <c r="R69" i="1"/>
  <c r="Q69" i="1"/>
  <c r="P69" i="1"/>
  <c r="O69" i="1"/>
  <c r="N69" i="1"/>
  <c r="M69" i="1"/>
  <c r="L69" i="1"/>
  <c r="K69" i="1"/>
  <c r="J69" i="1"/>
  <c r="I69" i="1"/>
  <c r="H69" i="1"/>
  <c r="G69" i="1"/>
  <c r="F69" i="1"/>
  <c r="E69" i="1"/>
  <c r="D69" i="1"/>
  <c r="C69" i="1"/>
  <c r="X68" i="1"/>
  <c r="W68" i="1"/>
  <c r="V68" i="1"/>
  <c r="U68" i="1"/>
  <c r="T68" i="1"/>
  <c r="S68" i="1"/>
  <c r="R68" i="1"/>
  <c r="Q68" i="1"/>
  <c r="P68" i="1"/>
  <c r="O68" i="1"/>
  <c r="N68" i="1"/>
  <c r="M68" i="1"/>
  <c r="L68" i="1"/>
  <c r="K68" i="1"/>
  <c r="J68" i="1"/>
  <c r="I68" i="1"/>
  <c r="H68" i="1"/>
  <c r="G68" i="1"/>
  <c r="F68" i="1"/>
  <c r="E68" i="1"/>
  <c r="D68" i="1"/>
  <c r="C68" i="1"/>
  <c r="X67" i="1"/>
  <c r="W67" i="1"/>
  <c r="V67" i="1"/>
  <c r="U67" i="1"/>
  <c r="T67" i="1"/>
  <c r="S67" i="1"/>
  <c r="R67" i="1"/>
  <c r="Q67" i="1"/>
  <c r="P67" i="1"/>
  <c r="O67" i="1"/>
  <c r="N67" i="1"/>
  <c r="M67" i="1"/>
  <c r="L67" i="1"/>
  <c r="K67" i="1"/>
  <c r="J67" i="1"/>
  <c r="I67" i="1"/>
  <c r="H67" i="1"/>
  <c r="G67" i="1"/>
  <c r="F67" i="1"/>
  <c r="E67" i="1"/>
  <c r="D67" i="1"/>
  <c r="C67" i="1"/>
  <c r="X66" i="1"/>
  <c r="W66" i="1"/>
  <c r="V66" i="1"/>
  <c r="U66" i="1"/>
  <c r="T66" i="1"/>
  <c r="S66" i="1"/>
  <c r="R66" i="1"/>
  <c r="Q66" i="1"/>
  <c r="P66" i="1"/>
  <c r="O66" i="1"/>
  <c r="N66" i="1"/>
  <c r="M66" i="1"/>
  <c r="L66" i="1"/>
  <c r="K66" i="1"/>
  <c r="J66" i="1"/>
  <c r="I66" i="1"/>
  <c r="H66" i="1"/>
  <c r="G66" i="1"/>
  <c r="F66" i="1"/>
  <c r="E66" i="1"/>
  <c r="D66" i="1"/>
  <c r="C66" i="1"/>
  <c r="X65" i="1"/>
  <c r="W65" i="1"/>
  <c r="V65" i="1"/>
  <c r="U65" i="1"/>
  <c r="T65" i="1"/>
  <c r="S65" i="1"/>
  <c r="R65" i="1"/>
  <c r="Q65" i="1"/>
  <c r="P65" i="1"/>
  <c r="O65" i="1"/>
  <c r="N65" i="1"/>
  <c r="M65" i="1"/>
  <c r="L65" i="1"/>
  <c r="K65" i="1"/>
  <c r="J65" i="1"/>
  <c r="I65" i="1"/>
  <c r="H65" i="1"/>
  <c r="G65" i="1"/>
  <c r="F65" i="1"/>
  <c r="E65" i="1"/>
  <c r="D65" i="1"/>
  <c r="C65" i="1"/>
  <c r="X64" i="1"/>
  <c r="W64" i="1"/>
  <c r="V64" i="1"/>
  <c r="U64" i="1"/>
  <c r="T64" i="1"/>
  <c r="S64" i="1"/>
  <c r="R64" i="1"/>
  <c r="Q64" i="1"/>
  <c r="P64" i="1"/>
  <c r="O64" i="1"/>
  <c r="N64" i="1"/>
  <c r="M64" i="1"/>
  <c r="L64" i="1"/>
  <c r="K64" i="1"/>
  <c r="J64" i="1"/>
  <c r="I64" i="1"/>
  <c r="H64" i="1"/>
  <c r="G64" i="1"/>
  <c r="F64" i="1"/>
  <c r="E64" i="1"/>
  <c r="D64" i="1"/>
  <c r="C64" i="1"/>
  <c r="X63" i="1"/>
  <c r="W63" i="1"/>
  <c r="V63" i="1"/>
  <c r="U63" i="1"/>
  <c r="T63" i="1"/>
  <c r="S63" i="1"/>
  <c r="R63" i="1"/>
  <c r="Q63" i="1"/>
  <c r="P63" i="1"/>
  <c r="O63" i="1"/>
  <c r="N63" i="1"/>
  <c r="M63" i="1"/>
  <c r="L63" i="1"/>
  <c r="K63" i="1"/>
  <c r="J63" i="1"/>
  <c r="I63" i="1"/>
  <c r="H63" i="1"/>
  <c r="G63" i="1"/>
  <c r="F63" i="1"/>
  <c r="E63" i="1"/>
  <c r="D63" i="1"/>
  <c r="C63" i="1"/>
  <c r="X62" i="1"/>
  <c r="W62" i="1"/>
  <c r="V62" i="1"/>
  <c r="U62" i="1"/>
  <c r="T62" i="1"/>
  <c r="S62" i="1"/>
  <c r="R62" i="1"/>
  <c r="Q62" i="1"/>
  <c r="P62" i="1"/>
  <c r="O62" i="1"/>
  <c r="N62" i="1"/>
  <c r="M62" i="1"/>
  <c r="L62" i="1"/>
  <c r="K62" i="1"/>
  <c r="J62" i="1"/>
  <c r="I62" i="1"/>
  <c r="H62" i="1"/>
  <c r="G62" i="1"/>
  <c r="F62" i="1"/>
  <c r="E62" i="1"/>
  <c r="D62" i="1"/>
  <c r="C62" i="1"/>
  <c r="X61" i="1"/>
  <c r="W61" i="1"/>
  <c r="V61" i="1"/>
  <c r="U61" i="1"/>
  <c r="T61" i="1"/>
  <c r="S61" i="1"/>
  <c r="R61" i="1"/>
  <c r="Q61" i="1"/>
  <c r="P61" i="1"/>
  <c r="O61" i="1"/>
  <c r="N61" i="1"/>
  <c r="M61" i="1"/>
  <c r="L61" i="1"/>
  <c r="K61" i="1"/>
  <c r="J61" i="1"/>
  <c r="I61" i="1"/>
  <c r="H61" i="1"/>
  <c r="G61" i="1"/>
  <c r="F61" i="1"/>
  <c r="E61" i="1"/>
  <c r="D61" i="1"/>
  <c r="C61" i="1"/>
  <c r="X60" i="1"/>
  <c r="W60" i="1"/>
  <c r="V60" i="1"/>
  <c r="U60" i="1"/>
  <c r="T60" i="1"/>
  <c r="S60" i="1"/>
  <c r="R60" i="1"/>
  <c r="Q60" i="1"/>
  <c r="P60" i="1"/>
  <c r="O60" i="1"/>
  <c r="N60" i="1"/>
  <c r="M60" i="1"/>
  <c r="L60" i="1"/>
  <c r="K60" i="1"/>
  <c r="J60" i="1"/>
  <c r="I60" i="1"/>
  <c r="H60" i="1"/>
  <c r="G60" i="1"/>
  <c r="F60" i="1"/>
  <c r="E60" i="1"/>
  <c r="D60" i="1"/>
  <c r="C60" i="1"/>
  <c r="X59" i="1"/>
  <c r="W59" i="1"/>
  <c r="V59" i="1"/>
  <c r="U59" i="1"/>
  <c r="T59" i="1"/>
  <c r="S59" i="1"/>
  <c r="R59" i="1"/>
  <c r="Q59" i="1"/>
  <c r="P59" i="1"/>
  <c r="O59" i="1"/>
  <c r="N59" i="1"/>
  <c r="M59" i="1"/>
  <c r="L59" i="1"/>
  <c r="K59" i="1"/>
  <c r="J59" i="1"/>
  <c r="I59" i="1"/>
  <c r="H59" i="1"/>
  <c r="G59" i="1"/>
  <c r="F59" i="1"/>
  <c r="E59" i="1"/>
  <c r="D59" i="1"/>
  <c r="X58" i="1"/>
  <c r="W58" i="1"/>
  <c r="V58" i="1"/>
  <c r="U58" i="1"/>
  <c r="T58" i="1"/>
  <c r="S58" i="1"/>
  <c r="R58" i="1"/>
  <c r="Q58" i="1"/>
  <c r="P58" i="1"/>
  <c r="O58" i="1"/>
  <c r="N58" i="1"/>
  <c r="M58" i="1"/>
  <c r="L58" i="1"/>
  <c r="K58" i="1"/>
  <c r="J58" i="1"/>
  <c r="I58" i="1"/>
  <c r="H58" i="1"/>
  <c r="G58" i="1"/>
  <c r="D58" i="1"/>
  <c r="C58" i="1"/>
  <c r="X57" i="1"/>
  <c r="W57" i="1"/>
  <c r="V57" i="1"/>
  <c r="U57" i="1"/>
  <c r="T57" i="1"/>
  <c r="S57" i="1"/>
  <c r="R57" i="1"/>
  <c r="Q57" i="1"/>
  <c r="P57" i="1"/>
  <c r="O57" i="1"/>
  <c r="N57" i="1"/>
  <c r="M57" i="1"/>
  <c r="L57" i="1"/>
  <c r="K57" i="1"/>
  <c r="J57" i="1"/>
  <c r="I57" i="1"/>
  <c r="H57" i="1"/>
  <c r="G57" i="1"/>
  <c r="D57" i="1"/>
  <c r="C57" i="1"/>
  <c r="X56" i="1"/>
  <c r="W56" i="1"/>
  <c r="V56" i="1"/>
  <c r="U56" i="1"/>
  <c r="T56" i="1"/>
  <c r="S56" i="1"/>
  <c r="R56" i="1"/>
  <c r="Q56" i="1"/>
  <c r="P56" i="1"/>
  <c r="O56" i="1"/>
  <c r="N56" i="1"/>
  <c r="M56" i="1"/>
  <c r="L56" i="1"/>
  <c r="K56" i="1"/>
  <c r="J56" i="1"/>
  <c r="I56" i="1"/>
  <c r="H56" i="1"/>
  <c r="G56" i="1"/>
  <c r="F56" i="1"/>
  <c r="E56" i="1"/>
  <c r="D56" i="1"/>
  <c r="C56" i="1"/>
  <c r="X55" i="1"/>
  <c r="W55" i="1"/>
  <c r="V55" i="1"/>
  <c r="U55" i="1"/>
  <c r="T55" i="1"/>
  <c r="S55" i="1"/>
  <c r="R55" i="1"/>
  <c r="Q55" i="1"/>
  <c r="P55" i="1"/>
  <c r="O55" i="1"/>
  <c r="N55" i="1"/>
  <c r="M55" i="1"/>
  <c r="L55" i="1"/>
  <c r="K55" i="1"/>
  <c r="J55" i="1"/>
  <c r="I55" i="1"/>
  <c r="H55" i="1"/>
  <c r="G55" i="1"/>
  <c r="D55" i="1"/>
  <c r="C55" i="1"/>
  <c r="X54" i="1"/>
  <c r="W54" i="1"/>
  <c r="V54" i="1"/>
  <c r="U54" i="1"/>
  <c r="T54" i="1"/>
  <c r="S54" i="1"/>
  <c r="R54" i="1"/>
  <c r="Q54" i="1"/>
  <c r="P54" i="1"/>
  <c r="O54" i="1"/>
  <c r="N54" i="1"/>
  <c r="M54" i="1"/>
  <c r="L54" i="1"/>
  <c r="K54" i="1"/>
  <c r="J54" i="1"/>
  <c r="I54" i="1"/>
  <c r="H54" i="1"/>
  <c r="G54" i="1"/>
  <c r="D54" i="1"/>
  <c r="C54" i="1"/>
  <c r="X53" i="1"/>
  <c r="W53" i="1"/>
  <c r="V53" i="1"/>
  <c r="U53" i="1"/>
  <c r="T53" i="1"/>
  <c r="S53" i="1"/>
  <c r="R53" i="1"/>
  <c r="Q53" i="1"/>
  <c r="P53" i="1"/>
  <c r="O53" i="1"/>
  <c r="N53" i="1"/>
  <c r="M53" i="1"/>
  <c r="L53" i="1"/>
  <c r="K53" i="1"/>
  <c r="J53" i="1"/>
  <c r="I53" i="1"/>
  <c r="H53" i="1"/>
  <c r="G53" i="1"/>
  <c r="D53" i="1"/>
  <c r="C53" i="1"/>
  <c r="X52" i="1"/>
  <c r="W52" i="1"/>
  <c r="V52" i="1"/>
  <c r="U52" i="1"/>
  <c r="T52" i="1"/>
  <c r="S52" i="1"/>
  <c r="R52" i="1"/>
  <c r="Q52" i="1"/>
  <c r="P52" i="1"/>
  <c r="O52" i="1"/>
  <c r="N52" i="1"/>
  <c r="M52" i="1"/>
  <c r="L52" i="1"/>
  <c r="K52" i="1"/>
  <c r="J52" i="1"/>
  <c r="I52" i="1"/>
  <c r="H52" i="1"/>
  <c r="G52" i="1"/>
  <c r="F52" i="1"/>
  <c r="E52" i="1"/>
  <c r="D52" i="1"/>
  <c r="X51" i="1"/>
  <c r="W51" i="1"/>
  <c r="V51" i="1"/>
  <c r="U51" i="1"/>
  <c r="T51" i="1"/>
  <c r="S51" i="1"/>
  <c r="R51" i="1"/>
  <c r="Q51" i="1"/>
  <c r="P51" i="1"/>
  <c r="O51" i="1"/>
  <c r="N51" i="1"/>
  <c r="M51" i="1"/>
  <c r="L51" i="1"/>
  <c r="K51" i="1"/>
  <c r="J51" i="1"/>
  <c r="I51" i="1"/>
  <c r="H51" i="1"/>
  <c r="G51" i="1"/>
  <c r="F51" i="1"/>
  <c r="E51" i="1"/>
  <c r="D51" i="1"/>
  <c r="C51" i="1"/>
  <c r="X50" i="1"/>
  <c r="W50" i="1"/>
  <c r="V50" i="1"/>
  <c r="U50" i="1"/>
  <c r="T50" i="1"/>
  <c r="S50" i="1"/>
  <c r="R50" i="1"/>
  <c r="Q50" i="1"/>
  <c r="P50" i="1"/>
  <c r="O50" i="1"/>
  <c r="N50" i="1"/>
  <c r="M50" i="1"/>
  <c r="L50" i="1"/>
  <c r="K50" i="1"/>
  <c r="J50" i="1"/>
  <c r="I50" i="1"/>
  <c r="H50" i="1"/>
  <c r="G50" i="1"/>
  <c r="F50" i="1"/>
  <c r="E50" i="1"/>
  <c r="D50" i="1"/>
  <c r="X49" i="1"/>
  <c r="W49" i="1"/>
  <c r="V49" i="1"/>
  <c r="U49" i="1"/>
  <c r="T49" i="1"/>
  <c r="S49" i="1"/>
  <c r="R49" i="1"/>
  <c r="Q49" i="1"/>
  <c r="P49" i="1"/>
  <c r="O49" i="1"/>
  <c r="N49" i="1"/>
  <c r="M49" i="1"/>
  <c r="L49" i="1"/>
  <c r="K49" i="1"/>
  <c r="J49" i="1"/>
  <c r="I49" i="1"/>
  <c r="H49" i="1"/>
  <c r="G49" i="1"/>
  <c r="F49" i="1"/>
  <c r="E49" i="1"/>
  <c r="D49" i="1"/>
  <c r="X48" i="1"/>
  <c r="W48" i="1"/>
  <c r="V48" i="1"/>
  <c r="U48" i="1"/>
  <c r="T48" i="1"/>
  <c r="S48" i="1"/>
  <c r="R48" i="1"/>
  <c r="Q48" i="1"/>
  <c r="P48" i="1"/>
  <c r="O48" i="1"/>
  <c r="N48" i="1"/>
  <c r="M48" i="1"/>
  <c r="L48" i="1"/>
  <c r="K48" i="1"/>
  <c r="J48" i="1"/>
  <c r="I48" i="1"/>
  <c r="H48" i="1"/>
  <c r="G48" i="1"/>
  <c r="F48" i="1"/>
  <c r="E48" i="1"/>
  <c r="D48" i="1"/>
  <c r="C48" i="1"/>
  <c r="X47" i="1"/>
  <c r="W47" i="1"/>
  <c r="V47" i="1"/>
  <c r="U47" i="1"/>
  <c r="T47" i="1"/>
  <c r="S47" i="1"/>
  <c r="R47" i="1"/>
  <c r="Q47" i="1"/>
  <c r="P47" i="1"/>
  <c r="O47" i="1"/>
  <c r="N47" i="1"/>
  <c r="M47" i="1"/>
  <c r="L47" i="1"/>
  <c r="K47" i="1"/>
  <c r="J47" i="1"/>
  <c r="I47" i="1"/>
  <c r="H47" i="1"/>
  <c r="G47" i="1"/>
  <c r="F47" i="1"/>
  <c r="E47" i="1"/>
  <c r="D47" i="1"/>
  <c r="C47" i="1"/>
  <c r="X46" i="1"/>
  <c r="W46" i="1"/>
  <c r="V46" i="1"/>
  <c r="U46" i="1"/>
  <c r="T46" i="1"/>
  <c r="S46" i="1"/>
  <c r="R46" i="1"/>
  <c r="Q46" i="1"/>
  <c r="P46" i="1"/>
  <c r="O46" i="1"/>
  <c r="N46" i="1"/>
  <c r="M46" i="1"/>
  <c r="L46" i="1"/>
  <c r="K46" i="1"/>
  <c r="J46" i="1"/>
  <c r="I46" i="1"/>
  <c r="H46" i="1"/>
  <c r="G46" i="1"/>
  <c r="F46" i="1"/>
  <c r="E46" i="1"/>
  <c r="D46" i="1"/>
  <c r="C46" i="1"/>
  <c r="X45" i="1"/>
  <c r="W45" i="1"/>
  <c r="V45" i="1"/>
  <c r="U45" i="1"/>
  <c r="T45" i="1"/>
  <c r="S45" i="1"/>
  <c r="R45" i="1"/>
  <c r="Q45" i="1"/>
  <c r="P45" i="1"/>
  <c r="O45" i="1"/>
  <c r="N45" i="1"/>
  <c r="M45" i="1"/>
  <c r="L45" i="1"/>
  <c r="K45" i="1"/>
  <c r="J45" i="1"/>
  <c r="I45" i="1"/>
  <c r="H45" i="1"/>
  <c r="G45" i="1"/>
  <c r="F45" i="1"/>
  <c r="E45" i="1"/>
  <c r="D45" i="1"/>
  <c r="C45" i="1"/>
  <c r="X44" i="1"/>
  <c r="W44" i="1"/>
  <c r="V44" i="1"/>
  <c r="U44" i="1"/>
  <c r="T44" i="1"/>
  <c r="S44" i="1"/>
  <c r="R44" i="1"/>
  <c r="Q44" i="1"/>
  <c r="P44" i="1"/>
  <c r="O44" i="1"/>
  <c r="N44" i="1"/>
  <c r="M44" i="1"/>
  <c r="L44" i="1"/>
  <c r="K44" i="1"/>
  <c r="J44" i="1"/>
  <c r="I44" i="1"/>
  <c r="H44" i="1"/>
  <c r="G44" i="1"/>
  <c r="F44" i="1"/>
  <c r="E44" i="1"/>
  <c r="D44" i="1"/>
  <c r="C44" i="1"/>
  <c r="X43" i="1"/>
  <c r="W43" i="1"/>
  <c r="V43" i="1"/>
  <c r="U43" i="1"/>
  <c r="T43" i="1"/>
  <c r="S43" i="1"/>
  <c r="R43" i="1"/>
  <c r="Q43" i="1"/>
  <c r="P43" i="1"/>
  <c r="O43" i="1"/>
  <c r="N43" i="1"/>
  <c r="M43" i="1"/>
  <c r="L43" i="1"/>
  <c r="K43" i="1"/>
  <c r="J43" i="1"/>
  <c r="I43" i="1"/>
  <c r="H43" i="1"/>
  <c r="G43" i="1"/>
  <c r="F43" i="1"/>
  <c r="E43" i="1"/>
  <c r="D43" i="1"/>
  <c r="C43" i="1"/>
  <c r="X42" i="1"/>
  <c r="W42" i="1"/>
  <c r="V42" i="1"/>
  <c r="U42" i="1"/>
  <c r="T42" i="1"/>
  <c r="S42" i="1"/>
  <c r="R42" i="1"/>
  <c r="Q42" i="1"/>
  <c r="P42" i="1"/>
  <c r="O42" i="1"/>
  <c r="N42" i="1"/>
  <c r="M42" i="1"/>
  <c r="L42" i="1"/>
  <c r="K42" i="1"/>
  <c r="J42" i="1"/>
  <c r="I42" i="1"/>
  <c r="H42" i="1"/>
  <c r="G42" i="1"/>
  <c r="D42" i="1"/>
  <c r="C42" i="1"/>
  <c r="X41" i="1"/>
  <c r="W41" i="1"/>
  <c r="V41" i="1"/>
  <c r="U41" i="1"/>
  <c r="T41" i="1"/>
  <c r="S41" i="1"/>
  <c r="R41" i="1"/>
  <c r="Q41" i="1"/>
  <c r="P41" i="1"/>
  <c r="O41" i="1"/>
  <c r="N41" i="1"/>
  <c r="M41" i="1"/>
  <c r="L41" i="1"/>
  <c r="K41" i="1"/>
  <c r="J41" i="1"/>
  <c r="I41" i="1"/>
  <c r="H41" i="1"/>
  <c r="G41" i="1"/>
  <c r="D41" i="1"/>
  <c r="C41" i="1"/>
  <c r="X40" i="1"/>
  <c r="W40" i="1"/>
  <c r="V40" i="1"/>
  <c r="U40" i="1"/>
  <c r="T40" i="1"/>
  <c r="S40" i="1"/>
  <c r="R40" i="1"/>
  <c r="Q40" i="1"/>
  <c r="P40" i="1"/>
  <c r="O40" i="1"/>
  <c r="N40" i="1"/>
  <c r="M40" i="1"/>
  <c r="L40" i="1"/>
  <c r="K40" i="1"/>
  <c r="J40" i="1"/>
  <c r="I40" i="1"/>
  <c r="H40" i="1"/>
  <c r="G40" i="1"/>
  <c r="F40" i="1"/>
  <c r="E40" i="1"/>
  <c r="D40" i="1"/>
  <c r="C40" i="1"/>
  <c r="X39" i="1"/>
  <c r="W39" i="1"/>
  <c r="V39" i="1"/>
  <c r="U39" i="1"/>
  <c r="T39" i="1"/>
  <c r="S39" i="1"/>
  <c r="R39" i="1"/>
  <c r="Q39" i="1"/>
  <c r="P39" i="1"/>
  <c r="O39" i="1"/>
  <c r="N39" i="1"/>
  <c r="M39" i="1"/>
  <c r="L39" i="1"/>
  <c r="K39" i="1"/>
  <c r="J39" i="1"/>
  <c r="I39" i="1"/>
  <c r="H39" i="1"/>
  <c r="G39" i="1"/>
  <c r="F39" i="1"/>
  <c r="E39" i="1"/>
  <c r="D39" i="1"/>
  <c r="X38" i="1"/>
  <c r="W38" i="1"/>
  <c r="V38" i="1"/>
  <c r="U38" i="1"/>
  <c r="T38" i="1"/>
  <c r="S38" i="1"/>
  <c r="R38" i="1"/>
  <c r="Q38" i="1"/>
  <c r="P38" i="1"/>
  <c r="O38" i="1"/>
  <c r="N38" i="1"/>
  <c r="M38" i="1"/>
  <c r="L38" i="1"/>
  <c r="K38" i="1"/>
  <c r="J38" i="1"/>
  <c r="I38" i="1"/>
  <c r="H38" i="1"/>
  <c r="G38" i="1"/>
  <c r="F38" i="1"/>
  <c r="E38" i="1"/>
  <c r="D38" i="1"/>
  <c r="C38" i="1"/>
  <c r="X37" i="1"/>
  <c r="W37" i="1"/>
  <c r="V37" i="1"/>
  <c r="U37" i="1"/>
  <c r="T37" i="1"/>
  <c r="S37" i="1"/>
  <c r="R37" i="1"/>
  <c r="Q37" i="1"/>
  <c r="P37" i="1"/>
  <c r="O37" i="1"/>
  <c r="N37" i="1"/>
  <c r="M37" i="1"/>
  <c r="L37" i="1"/>
  <c r="K37" i="1"/>
  <c r="J37" i="1"/>
  <c r="I37" i="1"/>
  <c r="H37" i="1"/>
  <c r="G37" i="1"/>
  <c r="F37" i="1"/>
  <c r="E37" i="1"/>
  <c r="D37" i="1"/>
  <c r="X36" i="1"/>
  <c r="W36" i="1"/>
  <c r="V36" i="1"/>
  <c r="U36" i="1"/>
  <c r="T36" i="1"/>
  <c r="S36" i="1"/>
  <c r="R36" i="1"/>
  <c r="Q36" i="1"/>
  <c r="P36" i="1"/>
  <c r="O36" i="1"/>
  <c r="N36" i="1"/>
  <c r="M36" i="1"/>
  <c r="L36" i="1"/>
  <c r="K36" i="1"/>
  <c r="J36" i="1"/>
  <c r="I36" i="1"/>
  <c r="H36" i="1"/>
  <c r="G36" i="1"/>
  <c r="D36" i="1"/>
  <c r="X35" i="1"/>
  <c r="W35" i="1"/>
  <c r="V35" i="1"/>
  <c r="U35" i="1"/>
  <c r="T35" i="1"/>
  <c r="S35" i="1"/>
  <c r="R35" i="1"/>
  <c r="Q35" i="1"/>
  <c r="P35" i="1"/>
  <c r="O35" i="1"/>
  <c r="N35" i="1"/>
  <c r="M35" i="1"/>
  <c r="L35" i="1"/>
  <c r="K35" i="1"/>
  <c r="J35" i="1"/>
  <c r="I35" i="1"/>
  <c r="H35" i="1"/>
  <c r="G35" i="1"/>
  <c r="F35" i="1"/>
  <c r="E35" i="1"/>
  <c r="D35" i="1"/>
  <c r="X34" i="1"/>
  <c r="W34" i="1"/>
  <c r="V34" i="1"/>
  <c r="U34" i="1"/>
  <c r="T34" i="1"/>
  <c r="S34" i="1"/>
  <c r="R34" i="1"/>
  <c r="Q34" i="1"/>
  <c r="P34" i="1"/>
  <c r="O34" i="1"/>
  <c r="N34" i="1"/>
  <c r="M34" i="1"/>
  <c r="L34" i="1"/>
  <c r="K34" i="1"/>
  <c r="J34" i="1"/>
  <c r="I34" i="1"/>
  <c r="H34" i="1"/>
  <c r="G34" i="1"/>
  <c r="F34" i="1"/>
  <c r="E34" i="1"/>
  <c r="D34" i="1"/>
  <c r="C34" i="1"/>
  <c r="X33" i="1"/>
  <c r="W33" i="1"/>
  <c r="V33" i="1"/>
  <c r="U33" i="1"/>
  <c r="T33" i="1"/>
  <c r="S33" i="1"/>
  <c r="R33" i="1"/>
  <c r="Q33" i="1"/>
  <c r="P33" i="1"/>
  <c r="O33" i="1"/>
  <c r="N33" i="1"/>
  <c r="M33" i="1"/>
  <c r="L33" i="1"/>
  <c r="K33" i="1"/>
  <c r="J33" i="1"/>
  <c r="I33" i="1"/>
  <c r="H33" i="1"/>
  <c r="G33" i="1"/>
  <c r="F33" i="1"/>
  <c r="E33" i="1"/>
  <c r="D33" i="1"/>
  <c r="C33" i="1"/>
  <c r="X32" i="1"/>
  <c r="W32" i="1"/>
  <c r="V32" i="1"/>
  <c r="U32" i="1"/>
  <c r="T32" i="1"/>
  <c r="S32" i="1"/>
  <c r="R32" i="1"/>
  <c r="Q32" i="1"/>
  <c r="P32" i="1"/>
  <c r="O32" i="1"/>
  <c r="N32" i="1"/>
  <c r="M32" i="1"/>
  <c r="L32" i="1"/>
  <c r="K32" i="1"/>
  <c r="J32" i="1"/>
  <c r="I32" i="1"/>
  <c r="H32" i="1"/>
  <c r="G32" i="1"/>
  <c r="F32" i="1"/>
  <c r="E32" i="1"/>
  <c r="D32" i="1"/>
  <c r="X31" i="1"/>
  <c r="W31" i="1"/>
  <c r="V31" i="1"/>
  <c r="U31" i="1"/>
  <c r="T31" i="1"/>
  <c r="S31" i="1"/>
  <c r="R31" i="1"/>
  <c r="Q31" i="1"/>
  <c r="P31" i="1"/>
  <c r="O31" i="1"/>
  <c r="N31" i="1"/>
  <c r="M31" i="1"/>
  <c r="L31" i="1"/>
  <c r="K31" i="1"/>
  <c r="J31" i="1"/>
  <c r="I31" i="1"/>
  <c r="H31" i="1"/>
  <c r="G31" i="1"/>
  <c r="D31" i="1"/>
  <c r="X30" i="1"/>
  <c r="W30" i="1"/>
  <c r="V30" i="1"/>
  <c r="U30" i="1"/>
  <c r="T30" i="1"/>
  <c r="S30" i="1"/>
  <c r="R30" i="1"/>
  <c r="Q30" i="1"/>
  <c r="P30" i="1"/>
  <c r="O30" i="1"/>
  <c r="N30" i="1"/>
  <c r="M30" i="1"/>
  <c r="L30" i="1"/>
  <c r="K30" i="1"/>
  <c r="J30" i="1"/>
  <c r="I30" i="1"/>
  <c r="H30" i="1"/>
  <c r="G30" i="1"/>
  <c r="D30" i="1"/>
  <c r="X29" i="1"/>
  <c r="W29" i="1"/>
  <c r="V29" i="1"/>
  <c r="U29" i="1"/>
  <c r="T29" i="1"/>
  <c r="S29" i="1"/>
  <c r="R29" i="1"/>
  <c r="Q29" i="1"/>
  <c r="P29" i="1"/>
  <c r="O29" i="1"/>
  <c r="N29" i="1"/>
  <c r="M29" i="1"/>
  <c r="L29" i="1"/>
  <c r="K29" i="1"/>
  <c r="J29" i="1"/>
  <c r="I29" i="1"/>
  <c r="H29" i="1"/>
  <c r="G29" i="1"/>
  <c r="D29" i="1"/>
  <c r="C29" i="1"/>
  <c r="X28" i="1"/>
  <c r="W28" i="1"/>
  <c r="V28" i="1"/>
  <c r="U28" i="1"/>
  <c r="T28" i="1"/>
  <c r="S28" i="1"/>
  <c r="R28" i="1"/>
  <c r="Q28" i="1"/>
  <c r="P28" i="1"/>
  <c r="O28" i="1"/>
  <c r="N28" i="1"/>
  <c r="M28" i="1"/>
  <c r="L28" i="1"/>
  <c r="K28" i="1"/>
  <c r="J28" i="1"/>
  <c r="I28" i="1"/>
  <c r="H28" i="1"/>
  <c r="G28" i="1"/>
  <c r="D28" i="1"/>
  <c r="C28" i="1"/>
  <c r="X27" i="1"/>
  <c r="W27" i="1"/>
  <c r="V27" i="1"/>
  <c r="U27" i="1"/>
  <c r="T27" i="1"/>
  <c r="S27" i="1"/>
  <c r="R27" i="1"/>
  <c r="Q27" i="1"/>
  <c r="P27" i="1"/>
  <c r="O27" i="1"/>
  <c r="N27" i="1"/>
  <c r="M27" i="1"/>
  <c r="L27" i="1"/>
  <c r="K27" i="1"/>
  <c r="J27" i="1"/>
  <c r="I27" i="1"/>
  <c r="H27" i="1"/>
  <c r="G27" i="1"/>
  <c r="D27" i="1"/>
  <c r="C27" i="1"/>
  <c r="X26" i="1"/>
  <c r="W26" i="1"/>
  <c r="V26" i="1"/>
  <c r="U26" i="1"/>
  <c r="T26" i="1"/>
  <c r="S26" i="1"/>
  <c r="R26" i="1"/>
  <c r="Q26" i="1"/>
  <c r="P26" i="1"/>
  <c r="O26" i="1"/>
  <c r="N26" i="1"/>
  <c r="M26" i="1"/>
  <c r="L26" i="1"/>
  <c r="K26" i="1"/>
  <c r="J26" i="1"/>
  <c r="I26" i="1"/>
  <c r="H26" i="1"/>
  <c r="G26" i="1"/>
  <c r="D26" i="1"/>
  <c r="C26" i="1"/>
  <c r="X25" i="1"/>
  <c r="W25" i="1"/>
  <c r="V25" i="1"/>
  <c r="U25" i="1"/>
  <c r="T25" i="1"/>
  <c r="S25" i="1"/>
  <c r="R25" i="1"/>
  <c r="Q25" i="1"/>
  <c r="P25" i="1"/>
  <c r="O25" i="1"/>
  <c r="N25" i="1"/>
  <c r="M25" i="1"/>
  <c r="L25" i="1"/>
  <c r="K25" i="1"/>
  <c r="J25" i="1"/>
  <c r="I25" i="1"/>
  <c r="H25" i="1"/>
  <c r="G25" i="1"/>
  <c r="D25" i="1"/>
  <c r="C25" i="1"/>
  <c r="X24" i="1"/>
  <c r="W24" i="1"/>
  <c r="V24" i="1"/>
  <c r="U24" i="1"/>
  <c r="T24" i="1"/>
  <c r="S24" i="1"/>
  <c r="R24" i="1"/>
  <c r="Q24" i="1"/>
  <c r="P24" i="1"/>
  <c r="O24" i="1"/>
  <c r="N24" i="1"/>
  <c r="M24" i="1"/>
  <c r="L24" i="1"/>
  <c r="K24" i="1"/>
  <c r="J24" i="1"/>
  <c r="I24" i="1"/>
  <c r="H24" i="1"/>
  <c r="G24" i="1"/>
  <c r="F24" i="1"/>
  <c r="E24" i="1"/>
  <c r="D24" i="1"/>
  <c r="C24" i="1"/>
  <c r="X23" i="1"/>
  <c r="W23" i="1"/>
  <c r="V23" i="1"/>
  <c r="U23" i="1"/>
  <c r="T23" i="1"/>
  <c r="S23" i="1"/>
  <c r="R23" i="1"/>
  <c r="Q23" i="1"/>
  <c r="P23" i="1"/>
  <c r="O23" i="1"/>
  <c r="N23" i="1"/>
  <c r="M23" i="1"/>
  <c r="L23" i="1"/>
  <c r="K23" i="1"/>
  <c r="J23" i="1"/>
  <c r="I23" i="1"/>
  <c r="H23" i="1"/>
  <c r="G23" i="1"/>
  <c r="D23" i="1"/>
  <c r="C23" i="1"/>
  <c r="X22" i="1"/>
  <c r="W22" i="1"/>
  <c r="V22" i="1"/>
  <c r="U22" i="1"/>
  <c r="T22" i="1"/>
  <c r="S22" i="1"/>
  <c r="R22" i="1"/>
  <c r="Q22" i="1"/>
  <c r="P22" i="1"/>
  <c r="O22" i="1"/>
  <c r="N22" i="1"/>
  <c r="M22" i="1"/>
  <c r="L22" i="1"/>
  <c r="K22" i="1"/>
  <c r="J22" i="1"/>
  <c r="I22" i="1"/>
  <c r="H22" i="1"/>
  <c r="G22" i="1"/>
  <c r="D22" i="1"/>
  <c r="C22" i="1"/>
  <c r="X21" i="1"/>
  <c r="W21" i="1"/>
  <c r="V21" i="1"/>
  <c r="U21" i="1"/>
  <c r="T21" i="1"/>
  <c r="S21" i="1"/>
  <c r="R21" i="1"/>
  <c r="Q21" i="1"/>
  <c r="P21" i="1"/>
  <c r="O21" i="1"/>
  <c r="N21" i="1"/>
  <c r="M21" i="1"/>
  <c r="L21" i="1"/>
  <c r="K21" i="1"/>
  <c r="J21" i="1"/>
  <c r="I21" i="1"/>
  <c r="H21" i="1"/>
  <c r="G21" i="1"/>
  <c r="D21" i="1"/>
  <c r="X20" i="1"/>
  <c r="W20" i="1"/>
  <c r="V20" i="1"/>
  <c r="U20" i="1"/>
  <c r="T20" i="1"/>
  <c r="S20" i="1"/>
  <c r="R20" i="1"/>
  <c r="Q20" i="1"/>
  <c r="P20" i="1"/>
  <c r="O20" i="1"/>
  <c r="N20" i="1"/>
  <c r="M20" i="1"/>
  <c r="L20" i="1"/>
  <c r="K20" i="1"/>
  <c r="J20" i="1"/>
  <c r="I20" i="1"/>
  <c r="H20" i="1"/>
  <c r="G20" i="1"/>
  <c r="D20" i="1"/>
  <c r="C20" i="1"/>
  <c r="X19" i="1"/>
  <c r="W19" i="1"/>
  <c r="V19" i="1"/>
  <c r="U19" i="1"/>
  <c r="T19" i="1"/>
  <c r="S19" i="1"/>
  <c r="R19" i="1"/>
  <c r="Q19" i="1"/>
  <c r="P19" i="1"/>
  <c r="O19" i="1"/>
  <c r="N19" i="1"/>
  <c r="M19" i="1"/>
  <c r="L19" i="1"/>
  <c r="K19" i="1"/>
  <c r="J19" i="1"/>
  <c r="I19" i="1"/>
  <c r="H19" i="1"/>
  <c r="G19" i="1"/>
  <c r="D19" i="1"/>
  <c r="C19" i="1"/>
  <c r="X18" i="1"/>
  <c r="W18" i="1"/>
  <c r="V18" i="1"/>
  <c r="U18" i="1"/>
  <c r="T18" i="1"/>
  <c r="S18" i="1"/>
  <c r="R18" i="1"/>
  <c r="Q18" i="1"/>
  <c r="P18" i="1"/>
  <c r="O18" i="1"/>
  <c r="N18" i="1"/>
  <c r="M18" i="1"/>
  <c r="L18" i="1"/>
  <c r="K18" i="1"/>
  <c r="J18" i="1"/>
  <c r="I18" i="1"/>
  <c r="H18" i="1"/>
  <c r="G18" i="1"/>
  <c r="D18" i="1"/>
  <c r="C18" i="1"/>
  <c r="X17" i="1"/>
  <c r="W17" i="1"/>
  <c r="V17" i="1"/>
  <c r="U17" i="1"/>
  <c r="T17" i="1"/>
  <c r="S17" i="1"/>
  <c r="R17" i="1"/>
  <c r="Q17" i="1"/>
  <c r="P17" i="1"/>
  <c r="O17" i="1"/>
  <c r="N17" i="1"/>
  <c r="M17" i="1"/>
  <c r="L17" i="1"/>
  <c r="K17" i="1"/>
  <c r="J17" i="1"/>
  <c r="I17" i="1"/>
  <c r="H17" i="1"/>
  <c r="G17" i="1"/>
  <c r="D17" i="1"/>
  <c r="X16" i="1"/>
  <c r="W16" i="1"/>
  <c r="V16" i="1"/>
  <c r="U16" i="1"/>
  <c r="T16" i="1"/>
  <c r="S16" i="1"/>
  <c r="R16" i="1"/>
  <c r="Q16" i="1"/>
  <c r="P16" i="1"/>
  <c r="O16" i="1"/>
  <c r="N16" i="1"/>
  <c r="M16" i="1"/>
  <c r="L16" i="1"/>
  <c r="K16" i="1"/>
  <c r="J16" i="1"/>
  <c r="I16" i="1"/>
  <c r="H16" i="1"/>
  <c r="G16" i="1"/>
  <c r="F16" i="1"/>
  <c r="E16" i="1"/>
  <c r="D16" i="1"/>
  <c r="C16" i="1"/>
  <c r="X15" i="1"/>
  <c r="W15" i="1"/>
  <c r="V15" i="1"/>
  <c r="U15" i="1"/>
  <c r="T15" i="1"/>
  <c r="S15" i="1"/>
  <c r="R15" i="1"/>
  <c r="Q15" i="1"/>
  <c r="P15" i="1"/>
  <c r="O15" i="1"/>
  <c r="N15" i="1"/>
  <c r="M15" i="1"/>
  <c r="L15" i="1"/>
  <c r="K15" i="1"/>
  <c r="J15" i="1"/>
  <c r="I15" i="1"/>
  <c r="H15" i="1"/>
  <c r="G15" i="1"/>
  <c r="F15" i="1"/>
  <c r="E15" i="1"/>
  <c r="D15" i="1"/>
  <c r="C15" i="1"/>
  <c r="X14" i="1"/>
  <c r="W14" i="1"/>
  <c r="V14" i="1"/>
  <c r="U14" i="1"/>
  <c r="T14" i="1"/>
  <c r="S14" i="1"/>
  <c r="R14" i="1"/>
  <c r="Q14" i="1"/>
  <c r="P14" i="1"/>
  <c r="O14" i="1"/>
  <c r="N14" i="1"/>
  <c r="M14" i="1"/>
  <c r="L14" i="1"/>
  <c r="K14" i="1"/>
  <c r="J14" i="1"/>
  <c r="I14" i="1"/>
  <c r="H14" i="1"/>
  <c r="G14" i="1"/>
  <c r="D14" i="1"/>
  <c r="C14" i="1"/>
  <c r="X13" i="1"/>
  <c r="W13" i="1"/>
  <c r="V13" i="1"/>
  <c r="U13" i="1"/>
  <c r="T13" i="1"/>
  <c r="S13" i="1"/>
  <c r="R13" i="1"/>
  <c r="Q13" i="1"/>
  <c r="P13" i="1"/>
  <c r="O13" i="1"/>
  <c r="N13" i="1"/>
  <c r="M13" i="1"/>
  <c r="L13" i="1"/>
  <c r="K13" i="1"/>
  <c r="J13" i="1"/>
  <c r="I13" i="1"/>
  <c r="H13" i="1"/>
  <c r="G13" i="1"/>
  <c r="D13" i="1"/>
  <c r="C13" i="1"/>
  <c r="X12" i="1"/>
  <c r="W12" i="1"/>
  <c r="V12" i="1"/>
  <c r="U12" i="1"/>
  <c r="T12" i="1"/>
  <c r="S12" i="1"/>
  <c r="R12" i="1"/>
  <c r="Q12" i="1"/>
  <c r="P12" i="1"/>
  <c r="O12" i="1"/>
  <c r="N12" i="1"/>
  <c r="M12" i="1"/>
  <c r="L12" i="1"/>
  <c r="K12" i="1"/>
  <c r="J12" i="1"/>
  <c r="I12" i="1"/>
  <c r="H12" i="1"/>
  <c r="G12" i="1"/>
  <c r="D12" i="1"/>
  <c r="C12" i="1"/>
  <c r="X11" i="1"/>
  <c r="W11" i="1"/>
  <c r="V11" i="1"/>
  <c r="U11" i="1"/>
  <c r="T11" i="1"/>
  <c r="S11" i="1"/>
  <c r="R11" i="1"/>
  <c r="Q11" i="1"/>
  <c r="P11" i="1"/>
  <c r="O11" i="1"/>
  <c r="N11" i="1"/>
  <c r="M11" i="1"/>
  <c r="L11" i="1"/>
  <c r="K11" i="1"/>
  <c r="J11" i="1"/>
  <c r="I11" i="1"/>
  <c r="H11" i="1"/>
  <c r="G11" i="1"/>
  <c r="D11" i="1"/>
  <c r="C11" i="1"/>
  <c r="X10" i="1"/>
  <c r="W10" i="1"/>
  <c r="V10" i="1"/>
  <c r="U10" i="1"/>
  <c r="T10" i="1"/>
  <c r="S10" i="1"/>
  <c r="R10" i="1"/>
  <c r="Q10" i="1"/>
  <c r="P10" i="1"/>
  <c r="O10" i="1"/>
  <c r="N10" i="1"/>
  <c r="M10" i="1"/>
  <c r="L10" i="1"/>
  <c r="K10" i="1"/>
  <c r="J10" i="1"/>
  <c r="I10" i="1"/>
  <c r="H10" i="1"/>
  <c r="G10" i="1"/>
  <c r="D10" i="1"/>
  <c r="C10" i="1"/>
  <c r="X9" i="1"/>
  <c r="W9" i="1"/>
  <c r="V9" i="1"/>
  <c r="U9" i="1"/>
  <c r="T9" i="1"/>
  <c r="S9" i="1"/>
  <c r="R9" i="1"/>
  <c r="Q9" i="1"/>
  <c r="P9" i="1"/>
  <c r="O9" i="1"/>
  <c r="N9" i="1"/>
  <c r="M9" i="1"/>
  <c r="L9" i="1"/>
  <c r="K9" i="1"/>
  <c r="J9" i="1"/>
  <c r="I9" i="1"/>
  <c r="H9" i="1"/>
  <c r="G9" i="1"/>
  <c r="D9" i="1"/>
  <c r="C9" i="1"/>
  <c r="X8" i="1"/>
  <c r="W8" i="1"/>
  <c r="V8" i="1"/>
  <c r="U8" i="1"/>
  <c r="T8" i="1"/>
  <c r="S8" i="1"/>
  <c r="R8" i="1"/>
  <c r="Q8" i="1"/>
  <c r="P8" i="1"/>
  <c r="O8" i="1"/>
  <c r="N8" i="1"/>
  <c r="M8" i="1"/>
  <c r="L8" i="1"/>
  <c r="K8" i="1"/>
  <c r="J8" i="1"/>
  <c r="I8" i="1"/>
  <c r="H8" i="1"/>
  <c r="G8" i="1"/>
  <c r="F8" i="1"/>
  <c r="E8" i="1"/>
  <c r="D8" i="1"/>
  <c r="C8" i="1"/>
  <c r="X7" i="1"/>
  <c r="W7" i="1"/>
  <c r="V7" i="1"/>
  <c r="U7" i="1"/>
  <c r="T7" i="1"/>
  <c r="S7" i="1"/>
  <c r="R7" i="1"/>
  <c r="Q7" i="1"/>
  <c r="P7" i="1"/>
  <c r="O7" i="1"/>
  <c r="N7" i="1"/>
  <c r="M7" i="1"/>
  <c r="L7" i="1"/>
  <c r="K7" i="1"/>
  <c r="J7" i="1"/>
  <c r="I7" i="1"/>
  <c r="H7" i="1"/>
  <c r="G7" i="1"/>
  <c r="D7" i="1"/>
  <c r="C7" i="1"/>
  <c r="X6" i="1"/>
  <c r="W6" i="1"/>
  <c r="V6" i="1"/>
  <c r="U6" i="1"/>
  <c r="T6" i="1"/>
  <c r="S6" i="1"/>
  <c r="R6" i="1"/>
  <c r="Q6" i="1"/>
  <c r="P6" i="1"/>
  <c r="O6" i="1"/>
  <c r="N6" i="1"/>
  <c r="M6" i="1"/>
  <c r="L6" i="1"/>
  <c r="K6" i="1"/>
  <c r="J6" i="1"/>
  <c r="I6" i="1"/>
  <c r="H6" i="1"/>
  <c r="G6" i="1"/>
  <c r="F6" i="1"/>
  <c r="E6" i="1"/>
  <c r="D6" i="1"/>
  <c r="X5" i="1"/>
  <c r="W5" i="1"/>
  <c r="V5" i="1"/>
  <c r="U5" i="1"/>
  <c r="T5" i="1"/>
  <c r="S5" i="1"/>
  <c r="R5" i="1"/>
  <c r="Q5" i="1"/>
  <c r="P5" i="1"/>
  <c r="O5" i="1"/>
  <c r="N5" i="1"/>
  <c r="M5" i="1"/>
  <c r="L5" i="1"/>
  <c r="K5" i="1"/>
  <c r="J5" i="1"/>
  <c r="I5" i="1"/>
  <c r="H5" i="1"/>
  <c r="G5" i="1"/>
  <c r="F5" i="1"/>
  <c r="E5" i="1"/>
  <c r="D5" i="1"/>
  <c r="C5" i="1"/>
  <c r="X4" i="1"/>
  <c r="W4" i="1"/>
  <c r="V4" i="1"/>
  <c r="U4" i="1"/>
  <c r="T4" i="1"/>
  <c r="S4" i="1"/>
  <c r="R4" i="1"/>
  <c r="Q4" i="1"/>
  <c r="P4" i="1"/>
  <c r="O4" i="1"/>
  <c r="N4" i="1"/>
  <c r="M4" i="1"/>
  <c r="L4" i="1"/>
  <c r="K4" i="1"/>
  <c r="J4" i="1"/>
  <c r="I4" i="1"/>
  <c r="H4" i="1"/>
  <c r="G4" i="1"/>
  <c r="D4" i="1"/>
  <c r="C4" i="1"/>
</calcChain>
</file>

<file path=xl/sharedStrings.xml><?xml version="1.0" encoding="utf-8"?>
<sst xmlns="http://schemas.openxmlformats.org/spreadsheetml/2006/main" count="1944" uniqueCount="1799">
  <si>
    <t>English Master Phrase</t>
  </si>
  <si>
    <t>German</t>
  </si>
  <si>
    <t>Swedish</t>
  </si>
  <si>
    <t>Brazilian</t>
  </si>
  <si>
    <t>Portuguese</t>
  </si>
  <si>
    <t>French</t>
  </si>
  <si>
    <t>Basque</t>
  </si>
  <si>
    <t>Catalan</t>
  </si>
  <si>
    <t>Czech</t>
  </si>
  <si>
    <t>Chinese Simplifed</t>
  </si>
  <si>
    <t>Chinese Traditional</t>
  </si>
  <si>
    <t>Dutch</t>
  </si>
  <si>
    <t>Greek</t>
  </si>
  <si>
    <t>Finnish</t>
  </si>
  <si>
    <t>Irish</t>
  </si>
  <si>
    <t>Farsi</t>
  </si>
  <si>
    <t>Hebrew</t>
  </si>
  <si>
    <t>Icelandic</t>
  </si>
  <si>
    <t>Norwegian</t>
  </si>
  <si>
    <t>Arabic</t>
  </si>
  <si>
    <t>Polish</t>
  </si>
  <si>
    <t>Russian</t>
  </si>
  <si>
    <t>Spanish</t>
  </si>
  <si>
    <t>Resource Name</t>
  </si>
  <si>
    <t xml:space="preserve">en </t>
  </si>
  <si>
    <t>de</t>
  </si>
  <si>
    <t>sv</t>
  </si>
  <si>
    <t>pt-BR</t>
  </si>
  <si>
    <t>pt</t>
  </si>
  <si>
    <t>fr</t>
  </si>
  <si>
    <t>eu</t>
  </si>
  <si>
    <t>ca</t>
  </si>
  <si>
    <t>cs</t>
  </si>
  <si>
    <t>zh-cn</t>
  </si>
  <si>
    <t>zh-tw</t>
  </si>
  <si>
    <t>nl</t>
  </si>
  <si>
    <t>el</t>
  </si>
  <si>
    <t>fi</t>
  </si>
  <si>
    <t>ga</t>
  </si>
  <si>
    <t>fa</t>
  </si>
  <si>
    <t>he</t>
  </si>
  <si>
    <t>is</t>
  </si>
  <si>
    <t>no</t>
  </si>
  <si>
    <t>ar</t>
  </si>
  <si>
    <t>pl</t>
  </si>
  <si>
    <t>ru</t>
  </si>
  <si>
    <t>es</t>
  </si>
  <si>
    <t>Aborted_word</t>
  </si>
  <si>
    <t>Aborted</t>
  </si>
  <si>
    <t>Cancelado</t>
  </si>
  <si>
    <t>About_word</t>
  </si>
  <si>
    <t>About</t>
  </si>
  <si>
    <t>Add_Region_word</t>
  </si>
  <si>
    <t>Add Region</t>
  </si>
  <si>
    <t>Region hinzufügen</t>
  </si>
  <si>
    <t>Add_User_word</t>
  </si>
  <si>
    <t>Add User</t>
  </si>
  <si>
    <t>Adicionar Utilizador</t>
  </si>
  <si>
    <t>Add_word</t>
  </si>
  <si>
    <t>Add</t>
  </si>
  <si>
    <t>Admin_Password_word</t>
  </si>
  <si>
    <t>Admin Password</t>
  </si>
  <si>
    <t>Senha do Administrador</t>
  </si>
  <si>
    <t>Admin_Web_Page_word</t>
  </si>
  <si>
    <t>Admin Web Page</t>
  </si>
  <si>
    <t>Página Web do Administrador</t>
  </si>
  <si>
    <t>Agents_word</t>
  </si>
  <si>
    <t>Agents</t>
  </si>
  <si>
    <t>All_Caches_Cleared_word</t>
  </si>
  <si>
    <t>All Caches cleared</t>
  </si>
  <si>
    <t>Limpar Todas as Caches</t>
  </si>
  <si>
    <t>All_Global_Settings_word</t>
  </si>
  <si>
    <t>All Global settings</t>
  </si>
  <si>
    <t>Todas as Configurações Globais</t>
  </si>
  <si>
    <t>All_Users_All_Sims_word</t>
  </si>
  <si>
    <t>All Users, All Sims</t>
  </si>
  <si>
    <t>Todos os Utilizadores, Todos os Sims</t>
  </si>
  <si>
    <t>All_word</t>
  </si>
  <si>
    <t>All</t>
  </si>
  <si>
    <t>AllNone_word</t>
  </si>
  <si>
    <t>All/None</t>
  </si>
  <si>
    <t>Allow_cloud</t>
  </si>
  <si>
    <t>The original Second Life clouds</t>
  </si>
  <si>
    <t>Orginal Second Life Clouds</t>
  </si>
  <si>
    <t>As Nuvens Originais do Second Life</t>
  </si>
  <si>
    <t>Allow_Items_to_leave_word</t>
  </si>
  <si>
    <t>Allow items to leave</t>
  </si>
  <si>
    <t>Permitir Levar os Objectos</t>
  </si>
  <si>
    <t>Allow_LSL</t>
  </si>
  <si>
    <t>Allow LSL to contact the server</t>
  </si>
  <si>
    <t>Permitir LSL contactar o Servidor</t>
  </si>
  <si>
    <t>Allow_objects</t>
  </si>
  <si>
    <t>Objects can be taken from your grid via Hypergrid</t>
  </si>
  <si>
    <t>Os Objectos podem sair da sua Grelha via Hypegrid</t>
  </si>
  <si>
    <t>Allow_Or_Disallow_Gods_word</t>
  </si>
  <si>
    <t>Allow Level-based gods</t>
  </si>
  <si>
    <t>Permitir ou Não Deuses</t>
  </si>
  <si>
    <t>Allow_Region_Owner_Gods_word</t>
  </si>
  <si>
    <t>Allow Region owner gods</t>
  </si>
  <si>
    <t>Permitir Proprietários Região Deuses</t>
  </si>
  <si>
    <t>AllowGodsTooltip</t>
  </si>
  <si>
    <t>If this box is checked In Settings-&gt;Permissions, then any  user with a level  &gt;= 100 in the Web panel can become a God, anywhere.  This can be set for individual regions if the default in Permissions is UN-checked,  and you override it in the region panel with **Allow Gods In This Region**.  This setting has nothing to do with the other two settings.</t>
  </si>
  <si>
    <t>Permitir Deuses Nivel 200+</t>
  </si>
  <si>
    <t>AlphaNum</t>
  </si>
  <si>
    <t>Alpha-Numeric plus minus sign and space character</t>
  </si>
  <si>
    <t>Another_Region</t>
  </si>
  <si>
    <t>This will allow another region to be placed at this spot. Continue?</t>
  </si>
  <si>
    <t>Isto irá permitir outra Região neste local. Continuar?</t>
  </si>
  <si>
    <t>Apache_Disabled</t>
  </si>
  <si>
    <t>Web server is not enabled</t>
  </si>
  <si>
    <t>Servidor Web não está Activado</t>
  </si>
  <si>
    <t>Apache_Exited</t>
  </si>
  <si>
    <t>Apache exited. Do you want to see the error log file?</t>
  </si>
  <si>
    <t>Apache parou. Quer ver o Ficheiro de Erros?</t>
  </si>
  <si>
    <t>Apache_Failed</t>
  </si>
  <si>
    <t>Web Server  failed to start</t>
  </si>
  <si>
    <t>Servidor Web não Arrancou</t>
  </si>
  <si>
    <t>Apache_has_been_removed</t>
  </si>
  <si>
    <t>Apache has been removed as a service</t>
  </si>
  <si>
    <t>Apache foi removido como Serviço</t>
  </si>
  <si>
    <t>Apache_is_Set</t>
  </si>
  <si>
    <t>Web Server Port is set</t>
  </si>
  <si>
    <t>Der Webserver-Port ist festgelegt</t>
  </si>
  <si>
    <t>Porta do Servidor Web Defenida</t>
  </si>
  <si>
    <t>Apache_running</t>
  </si>
  <si>
    <t>Web Server is running</t>
  </si>
  <si>
    <t>Servidor Web a Trabalhar</t>
  </si>
  <si>
    <t>Apache_starting</t>
  </si>
  <si>
    <t>Starting Web Server</t>
  </si>
  <si>
    <t>Webserver startet</t>
  </si>
  <si>
    <t>Apache_Webserver</t>
  </si>
  <si>
    <t>Apache Webserver</t>
  </si>
  <si>
    <t>Apache_word</t>
  </si>
  <si>
    <t>Apache</t>
  </si>
  <si>
    <t>ApacheFailed</t>
  </si>
  <si>
    <t>Service failed to install</t>
  </si>
  <si>
    <t>Dienst konnte nicht installiert werden</t>
  </si>
  <si>
    <t>ApacheNot_Stopping</t>
  </si>
  <si>
    <t>Web Server did not stop</t>
  </si>
  <si>
    <t>Der Webserver wurde nicht gestoppt</t>
  </si>
  <si>
    <t>Servidor Web não parou</t>
  </si>
  <si>
    <t>ApacheWebServer</t>
  </si>
  <si>
    <t>Webserver + Search and Map</t>
  </si>
  <si>
    <t>Webserver + Suche und Karte</t>
  </si>
  <si>
    <t>Appexception</t>
  </si>
  <si>
    <t>An application exception has occurred. Do you want to try to continue, or abort/exit?</t>
  </si>
  <si>
    <t>Apply_word</t>
  </si>
  <si>
    <t>Apply</t>
  </si>
  <si>
    <t>anwenden</t>
  </si>
  <si>
    <t>Are_You_Sure</t>
  </si>
  <si>
    <t>Are you sure? Your database will rloaded from the backup and all existing content replaced. Avatars, sims, inventory, everyting will be written over.</t>
  </si>
  <si>
    <t>Are_you_Sure_Delete_Region</t>
  </si>
  <si>
    <t>Are you sure you want to delete this region?</t>
  </si>
  <si>
    <t>Tem a certeza que quer apagar esta Região</t>
  </si>
  <si>
    <t>Asset_Cache_word</t>
  </si>
  <si>
    <t>Asset Cache</t>
  </si>
  <si>
    <t>Activos da Cache</t>
  </si>
  <si>
    <t>Assets_as_Files_word</t>
  </si>
  <si>
    <t>Assets as Files</t>
  </si>
  <si>
    <t>Auto_Backup_word</t>
  </si>
  <si>
    <t>Auto Backup</t>
  </si>
  <si>
    <t>Auto_Restart_word</t>
  </si>
  <si>
    <t>Auto Restart</t>
  </si>
  <si>
    <t>Auto_Startup_word</t>
  </si>
  <si>
    <t>Automatic Startup</t>
  </si>
  <si>
    <t>Autobackup_cannot_be_located</t>
  </si>
  <si>
    <t>Autobackup folder cannot be located, so the folder has been reset to the default.</t>
  </si>
  <si>
    <t>Automatic_restart_word</t>
  </si>
  <si>
    <t>Automatic Restart</t>
  </si>
  <si>
    <t>AutorestartBox</t>
  </si>
  <si>
    <t>0  - Off. How many minutes until auto restart occurs?</t>
  </si>
  <si>
    <t>AutorestartTime</t>
  </si>
  <si>
    <t>Increasing Auto Restart Time to let Backups finish by 30 minutes after the Restart Interval</t>
  </si>
  <si>
    <t>Avatar_Bakes_Cache_word</t>
  </si>
  <si>
    <t>Avatar Bakes Cache</t>
  </si>
  <si>
    <t>Avatar_First_and_Last_Name_word</t>
  </si>
  <si>
    <t>Avatar First and Last name</t>
  </si>
  <si>
    <t>Avatar, Vor und Nachname</t>
  </si>
  <si>
    <t>Avatar_Name_word</t>
  </si>
  <si>
    <t>Avatar Name</t>
  </si>
  <si>
    <t>Nome do Avatar</t>
  </si>
  <si>
    <t>Avatar_Password_word</t>
  </si>
  <si>
    <t>Avatar Password</t>
  </si>
  <si>
    <t>Senha do Avatar</t>
  </si>
  <si>
    <t>Avatars_in_World</t>
  </si>
  <si>
    <t>Avatars are in the  world! Do you really wish to quit?</t>
  </si>
  <si>
    <t>Avatares Ligados! Quer mesmo Sair?</t>
  </si>
  <si>
    <t>Avatars_word</t>
  </si>
  <si>
    <t>Avatars</t>
  </si>
  <si>
    <t>Avatarview</t>
  </si>
  <si>
    <t>Click to view avatars</t>
  </si>
  <si>
    <t>Click para ver Avatares</t>
  </si>
  <si>
    <t>Backing_up_Settings_word</t>
  </si>
  <si>
    <t>Backing up Settings</t>
  </si>
  <si>
    <t>Fazer Copia das Configurações</t>
  </si>
  <si>
    <t>Backup_Custom</t>
  </si>
  <si>
    <t>Backup Custom Web Pages</t>
  </si>
  <si>
    <t>Backup_Data_Files_word</t>
  </si>
  <si>
    <t>Backup Data Files</t>
  </si>
  <si>
    <t>Backup_Databases</t>
  </si>
  <si>
    <t>Backup Databases</t>
  </si>
  <si>
    <t>Backup_Folder</t>
  </si>
  <si>
    <t>Backup Folder</t>
  </si>
  <si>
    <t>Backup_FSAssets</t>
  </si>
  <si>
    <t>Backup FSAssets folder</t>
  </si>
  <si>
    <t>Backup_Mysql</t>
  </si>
  <si>
    <t>Backup Mysql Data folder</t>
  </si>
  <si>
    <t>Backup_MySQL_Phrase</t>
  </si>
  <si>
    <t>Backing up MySql\Data Folder. Please Wait. Screen will appear frozen.</t>
  </si>
  <si>
    <t>Backup_Name</t>
  </si>
  <si>
    <t>Backup Name</t>
  </si>
  <si>
    <t>Backup_Region</t>
  </si>
  <si>
    <t>Backup Region INI files</t>
  </si>
  <si>
    <t>Backup_Regions</t>
  </si>
  <si>
    <t>Backing up Regions Folder</t>
  </si>
  <si>
    <t>Backup_Schedule</t>
  </si>
  <si>
    <t>Click to set up your Backup Schedule</t>
  </si>
  <si>
    <t>Backup_Settings_word</t>
  </si>
  <si>
    <t>Backup Settings</t>
  </si>
  <si>
    <t>Backup_word</t>
  </si>
  <si>
    <t>Backup</t>
  </si>
  <si>
    <t>Ban_List_word</t>
  </si>
  <si>
    <t>Ban List</t>
  </si>
  <si>
    <t>BanList_string</t>
  </si>
  <si>
    <t>Click to set up Grid, MAC address and IP bans</t>
  </si>
  <si>
    <t>Banned_word</t>
  </si>
  <si>
    <t>Banned</t>
  </si>
  <si>
    <t>Basque_word</t>
  </si>
  <si>
    <t>Best_Prims</t>
  </si>
  <si>
    <t>Best (Prims + Mesh, Very Slow)</t>
  </si>
  <si>
    <t>Better_Prims</t>
  </si>
  <si>
    <t>Better (Prims, Slow)</t>
  </si>
  <si>
    <t>Bird_Flock_Size_word</t>
  </si>
  <si>
    <t>Bird Flock Size</t>
  </si>
  <si>
    <t>Tamanho do Bando das Aves</t>
  </si>
  <si>
    <t>Bird_help</t>
  </si>
  <si>
    <t>Click for Help on Birds</t>
  </si>
  <si>
    <t>Click para Ajuda nas Aves</t>
  </si>
  <si>
    <t>Bird_Module_word</t>
  </si>
  <si>
    <t>Bird Module</t>
  </si>
  <si>
    <t>Modulo de Aves</t>
  </si>
  <si>
    <t>Bird_Settings_word</t>
  </si>
  <si>
    <t>Bird Settings</t>
  </si>
  <si>
    <t>Birds_word</t>
  </si>
  <si>
    <t>Birds</t>
  </si>
  <si>
    <t>Aves</t>
  </si>
  <si>
    <t>Black_word</t>
  </si>
  <si>
    <t>Black</t>
  </si>
  <si>
    <t>Border_Size</t>
  </si>
  <si>
    <t>Border Size (default=25.0)</t>
  </si>
  <si>
    <t>BP</t>
  </si>
  <si>
    <t>Bullet physics in separate thread</t>
  </si>
  <si>
    <t>Broadcast_Tide_Chat</t>
  </si>
  <si>
    <t>Chat tide info to the region so scripts can move with the tide?</t>
  </si>
  <si>
    <t>Chatten Sie mit Gezeiteninformationen in der Region, damit Skripte mit der Flut verschoben werden können?</t>
  </si>
  <si>
    <t>Broadcast_Tide_Info</t>
  </si>
  <si>
    <t>Broadcast Tide Info</t>
  </si>
  <si>
    <t>Transmitir Informação das Marés</t>
  </si>
  <si>
    <t>Bullet_Physics_word</t>
  </si>
  <si>
    <t>Bullet physics</t>
  </si>
  <si>
    <t>Bullet_Threaded_word</t>
  </si>
  <si>
    <t>Bullet Threaded</t>
  </si>
  <si>
    <t>Bullet eingefädelt</t>
  </si>
  <si>
    <t>Bullet_word_NT</t>
  </si>
  <si>
    <t>Bullet</t>
  </si>
  <si>
    <t>Busy_word</t>
  </si>
  <si>
    <t>Busy</t>
  </si>
  <si>
    <t>Cache_Control_word</t>
  </si>
  <si>
    <t>Cache Control</t>
  </si>
  <si>
    <t>Controlo do Cache</t>
  </si>
  <si>
    <t>Cache_Directory_word</t>
  </si>
  <si>
    <t>Cache Directory</t>
  </si>
  <si>
    <t>Directório do Cache</t>
  </si>
  <si>
    <t>Cache_Enabled_word</t>
  </si>
  <si>
    <t>Cache Enabled</t>
  </si>
  <si>
    <t>Cache Activado</t>
  </si>
  <si>
    <t>Cache_Most_Cleared</t>
  </si>
  <si>
    <t>All Server Caches except Scripts and Avatar bakes were cleared. Opensim must be stopped to clear script and bake caches.</t>
  </si>
  <si>
    <t>Caches_word</t>
  </si>
  <si>
    <t>Caches</t>
  </si>
  <si>
    <t xml:space="preserve">Caches  </t>
  </si>
  <si>
    <t>Cancel_word</t>
  </si>
  <si>
    <t>Cancel</t>
  </si>
  <si>
    <t>Canceled_IAR</t>
  </si>
  <si>
    <t>Load IAR canceled - must use the full user name and password.</t>
  </si>
  <si>
    <t>Cancelar IAR - Deve usar nome completo e senha</t>
  </si>
  <si>
    <t>Cancelled_word</t>
  </si>
  <si>
    <t>Cancelled</t>
  </si>
  <si>
    <t>Cannot_find_region_word</t>
  </si>
  <si>
    <t>Cannot find region</t>
  </si>
  <si>
    <t>Kann den Ordner nicht finden</t>
  </si>
  <si>
    <t>Cannot_locate</t>
  </si>
  <si>
    <t>Cannot locate Default welcome region</t>
  </si>
  <si>
    <t>Findet die Region nicht</t>
  </si>
  <si>
    <t>Cannot_locate_folder_word</t>
  </si>
  <si>
    <t>Cannot locate folder</t>
  </si>
  <si>
    <t>Der Standard-Begrüßungsbereich kann nicht gefunden werden</t>
  </si>
  <si>
    <t>Cannot_Normalize</t>
  </si>
  <si>
    <t>Cannot normalize map as a Region will be at a location less than 0</t>
  </si>
  <si>
    <t>Cannot_resolve_word</t>
  </si>
  <si>
    <t>Cannot resolve</t>
  </si>
  <si>
    <t>Cannot_save_region_word</t>
  </si>
  <si>
    <t>Cannot save region :</t>
  </si>
  <si>
    <t>Kann nicht die Region speichern</t>
  </si>
  <si>
    <t>Category_word</t>
  </si>
  <si>
    <t>Category</t>
  </si>
  <si>
    <t>CenterMap</t>
  </si>
  <si>
    <t>Center of the map coordinate</t>
  </si>
  <si>
    <t>Change_Password_word</t>
  </si>
  <si>
    <t>Change Password</t>
  </si>
  <si>
    <t>Change_UUID</t>
  </si>
  <si>
    <t>Changing the UUID will lose all data in the old sim and create a new, empty sim. Are you sure you wish to change the UUID?</t>
  </si>
  <si>
    <t>Changes_Made</t>
  </si>
  <si>
    <t>Changes have been made.  Save?</t>
  </si>
  <si>
    <t>As Alterações foram feitas. Salvar?</t>
  </si>
  <si>
    <t>Chat_Channel_word</t>
  </si>
  <si>
    <t>Chat Channel</t>
  </si>
  <si>
    <t>Check_and_Repair_Database_word</t>
  </si>
  <si>
    <t>Check and Repair Database</t>
  </si>
  <si>
    <t>Verificar e Reparar Base de Dados</t>
  </si>
  <si>
    <t>Check_Diag</t>
  </si>
  <si>
    <t>Checking Diagnostics port</t>
  </si>
  <si>
    <t>Verificando a Porta de Diagnosticos</t>
  </si>
  <si>
    <t>Check_for_Updates_word</t>
  </si>
  <si>
    <t>Check for Updates</t>
  </si>
  <si>
    <t>Ver se ha Actualizaçoes</t>
  </si>
  <si>
    <t>Checking_Apache_service_word</t>
  </si>
  <si>
    <t>Checking Apache service</t>
  </si>
  <si>
    <t>Checking_for_Updates_word</t>
  </si>
  <si>
    <t>Checking for Updates</t>
  </si>
  <si>
    <t>Checking_LAN_Loopback_word</t>
  </si>
  <si>
    <t>Checking LAN Loopback</t>
  </si>
  <si>
    <t>Checking_Loopback_word</t>
  </si>
  <si>
    <t>Checking Loopback</t>
  </si>
  <si>
    <t>Verificando Auto Retorno (Loopback)</t>
  </si>
  <si>
    <t>Checking_MySql_word</t>
  </si>
  <si>
    <t>Checking MySql</t>
  </si>
  <si>
    <t>Checking_Router_word</t>
  </si>
  <si>
    <t>Checking Router</t>
  </si>
  <si>
    <t>Chinese_Simplifed</t>
  </si>
  <si>
    <t>Chinese_Traditional</t>
  </si>
  <si>
    <t>Choose_a_Folder_word</t>
  </si>
  <si>
    <t>Choose a folder</t>
  </si>
  <si>
    <t>Choose_Cache</t>
  </si>
  <si>
    <t>Choose which cache to empty</t>
  </si>
  <si>
    <t>Wählen Sie, welcher Cache geleert werden soll</t>
  </si>
  <si>
    <t>Escolha qual Cache Limpar</t>
  </si>
  <si>
    <t>Choose_folder_for_backups</t>
  </si>
  <si>
    <t>Choose a  folder to store backups</t>
  </si>
  <si>
    <t>Choose_Region_word</t>
  </si>
  <si>
    <t>Choose Region</t>
  </si>
  <si>
    <t>Choose_Welcome</t>
  </si>
  <si>
    <t>Choose your Welcome region</t>
  </si>
  <si>
    <t>Choose_Where</t>
  </si>
  <si>
    <t>Choose where to put the OAR:</t>
  </si>
  <si>
    <t>Wählen Sie, wo das OAR abgelegt werden soll:</t>
  </si>
  <si>
    <t>Clamp_Prim_Size_word</t>
  </si>
  <si>
    <t>Clamp Prim Size</t>
  </si>
  <si>
    <t>Bloquear Tamanho do Prim</t>
  </si>
  <si>
    <t>ClampSize</t>
  </si>
  <si>
    <t>Clamp Prim Size' is an option to ensure no prim can exceed the set size</t>
  </si>
  <si>
    <t>Clear_and_Load_word</t>
  </si>
  <si>
    <t>Clear and Load</t>
  </si>
  <si>
    <t>Clear_Cache_word</t>
  </si>
  <si>
    <t>Clear Cache</t>
  </si>
  <si>
    <t>Clear_Selected_Caches_word</t>
  </si>
  <si>
    <t>Clear Selected Caches</t>
  </si>
  <si>
    <t>Limpar Caches Seleccionados</t>
  </si>
  <si>
    <t>Clearing_Assets</t>
  </si>
  <si>
    <t>Clearing Asset Cache. This may take a long time.</t>
  </si>
  <si>
    <t>Clearing_Bake_Cache_word</t>
  </si>
  <si>
    <t>Clearing Bake Cache</t>
  </si>
  <si>
    <t>Lösche Bake Cache</t>
  </si>
  <si>
    <t>Clearing_Image_Cache_word</t>
  </si>
  <si>
    <t>Clearing Image Cache</t>
  </si>
  <si>
    <t>Lösche Bild Cache</t>
  </si>
  <si>
    <t>Limpando Cache de Imagens</t>
  </si>
  <si>
    <t>Clearing_Map_tiles_word</t>
  </si>
  <si>
    <t>Clearing Map Tiles</t>
  </si>
  <si>
    <t>Lösche Kartenkacheln</t>
  </si>
  <si>
    <t>Clearing_Mesh_Cache_word</t>
  </si>
  <si>
    <t>Clearing Mesh Cache</t>
  </si>
  <si>
    <t>Lösche Mesh Cache</t>
  </si>
  <si>
    <t>Limpando Cache de Mesh</t>
  </si>
  <si>
    <t>Clearing_Script</t>
  </si>
  <si>
    <t>Clearing Script Cache. This may take a long time.</t>
  </si>
  <si>
    <t>ClearReg</t>
  </si>
  <si>
    <t>Clear All Registrations</t>
  </si>
  <si>
    <t>Alle Registrierungen löschen</t>
  </si>
  <si>
    <t>ClearRegion</t>
  </si>
  <si>
    <t>Clear Region List</t>
  </si>
  <si>
    <t>Click_2_Choose</t>
  </si>
  <si>
    <t>Click to choose a group</t>
  </si>
  <si>
    <t>Click_Birds</t>
  </si>
  <si>
    <t>Click to set up the Birds module</t>
  </si>
  <si>
    <t>Klicken Sie hier, um das Vogel Modul einzurichten</t>
  </si>
  <si>
    <t>Clique para configurar o Modulo de Aves</t>
  </si>
  <si>
    <t>Click_Caches</t>
  </si>
  <si>
    <t>Click to set up Caches for scripts, assets, and images</t>
  </si>
  <si>
    <t>Click_Currency</t>
  </si>
  <si>
    <t>Click to set up Currency</t>
  </si>
  <si>
    <t>Click_Database</t>
  </si>
  <si>
    <t>Click to set up the Database</t>
  </si>
  <si>
    <t>Clique para configurar Base de Dados</t>
  </si>
  <si>
    <t>Click_for_God_Mode</t>
  </si>
  <si>
    <t>Click to set up God mode and other permissions</t>
  </si>
  <si>
    <t>Click_For_Help</t>
  </si>
  <si>
    <t>Click For Help</t>
  </si>
  <si>
    <t>Clique para Ajuda</t>
  </si>
  <si>
    <t>Click_HG</t>
  </si>
  <si>
    <t>Click to Enable Hypergrid or change DNS Name</t>
  </si>
  <si>
    <t>Click_Icecast</t>
  </si>
  <si>
    <t>Click to Setup Shoutcast/Icecast</t>
  </si>
  <si>
    <t>Click_Maps</t>
  </si>
  <si>
    <t>Click to set up Maps</t>
  </si>
  <si>
    <t>Click_Physics</t>
  </si>
  <si>
    <t>Click to set up default Physics</t>
  </si>
  <si>
    <t>Click_Ports</t>
  </si>
  <si>
    <t>Click to set up your Ports</t>
  </si>
  <si>
    <t>Click_Publicity</t>
  </si>
  <si>
    <t>Click to set up Publicity at Hyperica.com</t>
  </si>
  <si>
    <t>Click_Regions</t>
  </si>
  <si>
    <t>Click to set up  Regions</t>
  </si>
  <si>
    <t>Click_Restart</t>
  </si>
  <si>
    <t>Click to Set up Start/Stop</t>
  </si>
  <si>
    <t>Click_Server</t>
  </si>
  <si>
    <t>Click to choose  a Server type. Default = Grid, but you can connect as Region server, OsGrid or Metro Region servers</t>
  </si>
  <si>
    <t>Click_Start</t>
  </si>
  <si>
    <t>Cannot run diagnostics unless the system is running. Click 'Start' and try again.</t>
  </si>
  <si>
    <t>Click_Start_2_Begin</t>
  </si>
  <si>
    <t>Click 'Start' to begin.</t>
  </si>
  <si>
    <t>Click_Tides</t>
  </si>
  <si>
    <t>Click to set up Tides</t>
  </si>
  <si>
    <t>Click_to_change_the_folder</t>
  </si>
  <si>
    <t>Click to change the folder</t>
  </si>
  <si>
    <t>Click_to_load</t>
  </si>
  <si>
    <t>Click to load this content</t>
  </si>
  <si>
    <t>Click_To_Load_Here</t>
  </si>
  <si>
    <t>Click to load the lower left corner of the file into this location.</t>
  </si>
  <si>
    <t>Click_to_Request_Voice_Service</t>
  </si>
  <si>
    <t>Click to request Voice Service</t>
  </si>
  <si>
    <t>Click_to_View_this_word</t>
  </si>
  <si>
    <t>Click to view this</t>
  </si>
  <si>
    <t>Clique para ver isto</t>
  </si>
  <si>
    <t>Click_Voice</t>
  </si>
  <si>
    <t>Click to set up Vivox Voice</t>
  </si>
  <si>
    <t>Click_Web</t>
  </si>
  <si>
    <t>Click to set up your Web Control Panel</t>
  </si>
  <si>
    <t>ClickStartStop</t>
  </si>
  <si>
    <t>Click to Start or Stop Robust</t>
  </si>
  <si>
    <t>ClickStartStoptxt</t>
  </si>
  <si>
    <t>Regions may start or stop in groups, depending upon how your Regions folder is organized.</t>
  </si>
  <si>
    <t>Clouds_word</t>
  </si>
  <si>
    <t>Clouds</t>
  </si>
  <si>
    <t>CMS</t>
  </si>
  <si>
    <t>Content Manager</t>
  </si>
  <si>
    <t>Comment_or_Notes_Word</t>
  </si>
  <si>
    <t>Comment or Notes</t>
  </si>
  <si>
    <t>Common_Settings_word</t>
  </si>
  <si>
    <t>Common Settings</t>
  </si>
  <si>
    <t>Configger</t>
  </si>
  <si>
    <t>Configure All Regions</t>
  </si>
  <si>
    <t>Confirm</t>
  </si>
  <si>
    <t>Confirmation required to log in?</t>
  </si>
  <si>
    <t>Consoles_word</t>
  </si>
  <si>
    <t>Consoles</t>
  </si>
  <si>
    <t>Consoletext</t>
  </si>
  <si>
    <t>The Opensim Dos Box can be minimized automatically</t>
  </si>
  <si>
    <t>Contact_Email_word</t>
  </si>
  <si>
    <t>Contact Email</t>
  </si>
  <si>
    <t>Contact_Info_word</t>
  </si>
  <si>
    <t>Contact Info</t>
  </si>
  <si>
    <t>Contact_Name_word</t>
  </si>
  <si>
    <t>Contact Name</t>
  </si>
  <si>
    <t>Content_Manager_Word</t>
  </si>
  <si>
    <t>Content_word</t>
  </si>
  <si>
    <t>Content</t>
  </si>
  <si>
    <t>Coordx</t>
  </si>
  <si>
    <t>The East-West position on the world map</t>
  </si>
  <si>
    <t>CoordY</t>
  </si>
  <si>
    <t>The North_South position on the world map</t>
  </si>
  <si>
    <t>Die Position von Nord_Süd auf der Weltkarte</t>
  </si>
  <si>
    <t>CPU_Intensive</t>
  </si>
  <si>
    <t>CPU Intensive Backup Started</t>
  </si>
  <si>
    <t>Create_Account</t>
  </si>
  <si>
    <t>Create Production Account</t>
  </si>
  <si>
    <t>Create_DB</t>
  </si>
  <si>
    <t>Creating a new, blank database</t>
  </si>
  <si>
    <t>Create_Sandbox_word</t>
  </si>
  <si>
    <t>Create Sandbox</t>
  </si>
  <si>
    <t>Sandbox erstellen</t>
  </si>
  <si>
    <t>CreateApp</t>
  </si>
  <si>
    <t>Create App and Get Keys</t>
  </si>
  <si>
    <t>App erstellen und Schlüssel holen</t>
  </si>
  <si>
    <t>Creating_INI_Files_word</t>
  </si>
  <si>
    <t>Creating INI Files</t>
  </si>
  <si>
    <t>CSOD</t>
  </si>
  <si>
    <t>Current Size on Disk</t>
  </si>
  <si>
    <t>Current_Size</t>
  </si>
  <si>
    <t>Custom_word</t>
  </si>
  <si>
    <t>Custom</t>
  </si>
  <si>
    <t>Benutzerdefiniert</t>
  </si>
  <si>
    <t>Personalizar</t>
  </si>
  <si>
    <t>Cycle_Time_in_seconds</t>
  </si>
  <si>
    <t>Cycle Time in seconds</t>
  </si>
  <si>
    <t>Cycle_time_text</t>
  </si>
  <si>
    <t>How long in seconds for a complete cycle time. low-&gt;high-&gt;low</t>
  </si>
  <si>
    <t>Data_Folder_word</t>
  </si>
  <si>
    <t>Data Folder</t>
  </si>
  <si>
    <t>Database_Help_word</t>
  </si>
  <si>
    <t>Database Help</t>
  </si>
  <si>
    <t>Database_Setup_word</t>
  </si>
  <si>
    <t>Database Setup</t>
  </si>
  <si>
    <t>Database_word</t>
  </si>
  <si>
    <t>Database</t>
  </si>
  <si>
    <t>DBName_word</t>
  </si>
  <si>
    <t>Database Name</t>
  </si>
  <si>
    <t>DDNS_In_Use</t>
  </si>
  <si>
    <t>Dynamic DNS Name is already used. Maybe you are using the wrong password?</t>
  </si>
  <si>
    <t>Debug_word</t>
  </si>
  <si>
    <t>Debug</t>
  </si>
  <si>
    <t>Fehler</t>
  </si>
  <si>
    <t>Default_8001_word</t>
  </si>
  <si>
    <t>Default 8001</t>
  </si>
  <si>
    <t>Default_8002_word</t>
  </si>
  <si>
    <t>Default 8002</t>
  </si>
  <si>
    <t>Default_8003_word</t>
  </si>
  <si>
    <t>Default 8003</t>
  </si>
  <si>
    <t>Default_8004_word</t>
  </si>
  <si>
    <t>Default 8004</t>
  </si>
  <si>
    <t>Default_Checked_word</t>
  </si>
  <si>
    <t>Default: Checked</t>
  </si>
  <si>
    <t>Default_Not_enabled</t>
  </si>
  <si>
    <t>The default 'Welcome' region is not enabled. Continue?</t>
  </si>
  <si>
    <t>Default_Region_word</t>
  </si>
  <si>
    <t>Default region</t>
  </si>
  <si>
    <t>Default_Welcome</t>
  </si>
  <si>
    <t>The default 'Welcome' region  is not found in the system. Continue?</t>
  </si>
  <si>
    <t>Delete_word</t>
  </si>
  <si>
    <t>Delete</t>
  </si>
  <si>
    <t>Deleted_word</t>
  </si>
  <si>
    <t>Deleted</t>
  </si>
  <si>
    <t>DelMaps</t>
  </si>
  <si>
    <t>Delete All Maps</t>
  </si>
  <si>
    <t>Deregister_All</t>
  </si>
  <si>
    <t>All Regions are deregistered</t>
  </si>
  <si>
    <t>Deregister_word</t>
  </si>
  <si>
    <t>Deregister</t>
  </si>
  <si>
    <t>Abmelden</t>
  </si>
  <si>
    <t>Description_word</t>
  </si>
  <si>
    <t>Description</t>
  </si>
  <si>
    <t>Desired_Separation_word</t>
  </si>
  <si>
    <t>Desired Separation (default=5.0)</t>
  </si>
  <si>
    <t>Details_word</t>
  </si>
  <si>
    <t>Details</t>
  </si>
  <si>
    <t>Determines</t>
  </si>
  <si>
    <t>This determines whether the module does anything</t>
  </si>
  <si>
    <t>Isto determina se o Modulo faz alguma coisa</t>
  </si>
  <si>
    <t>Diag_Broken</t>
  </si>
  <si>
    <t>This port is not working. DreamGrid is  blocked by firewall or anti virus, so region icons are disabled.</t>
  </si>
  <si>
    <t>Diag_Port_word</t>
  </si>
  <si>
    <t>Diagnostics port</t>
  </si>
  <si>
    <t>Diags_Failed</t>
  </si>
  <si>
    <t>Diagnostics failed. Do you want to see the log?</t>
  </si>
  <si>
    <t>did_not_start_word</t>
  </si>
  <si>
    <t>did not start</t>
  </si>
  <si>
    <t>hat nicht gestartet</t>
  </si>
  <si>
    <t>Disable_Foreigners_word</t>
  </si>
  <si>
    <t>Disable Foreign Visitors</t>
  </si>
  <si>
    <t>Deaktivieren Sie fremde Besucher</t>
  </si>
  <si>
    <t>Disable_Gloebits_text</t>
  </si>
  <si>
    <t>The global saetting  Gloebits will not apply to this region if checked.</t>
  </si>
  <si>
    <t>Disable_Gloebits_word</t>
  </si>
  <si>
    <t>Disable All Gloebits</t>
  </si>
  <si>
    <t>Gloebits deaktivieren</t>
  </si>
  <si>
    <t>Desactivar Gloebits</t>
  </si>
  <si>
    <t>Disable_Residents</t>
  </si>
  <si>
    <t>Disable All  Residents</t>
  </si>
  <si>
    <t>Bewohner deaktivieren</t>
  </si>
  <si>
    <t>Desactivar Moradores</t>
  </si>
  <si>
    <t>Disable_Suitcase_txt</t>
  </si>
  <si>
    <t>This will be less secure If you disable the suitcase, but will be easier to rez objects on foreign grids</t>
  </si>
  <si>
    <t>Disabled_word</t>
  </si>
  <si>
    <t>Disabled</t>
  </si>
  <si>
    <t>Deaktivert</t>
  </si>
  <si>
    <t>Disabling_Suitcase</t>
  </si>
  <si>
    <t>Disabling the Inventory Suitcase exposes all your inventory to other grids. But it is easy to give objects.</t>
  </si>
  <si>
    <t>Discard_Exit</t>
  </si>
  <si>
    <t>Discard all changes and Exit?</t>
  </si>
  <si>
    <t>Diva_Panel_word</t>
  </si>
  <si>
    <t>Diva Panel</t>
  </si>
  <si>
    <t>Diva_Wifi_Enabled_word</t>
  </si>
  <si>
    <t>Diva Wifi Enabled</t>
  </si>
  <si>
    <t>Diva Wifi Activado</t>
  </si>
  <si>
    <t>DNS_HG_Name</t>
  </si>
  <si>
    <t>DNS Name &amp; Hypergrid</t>
  </si>
  <si>
    <t>DNSNameText</t>
  </si>
  <si>
    <t>DNS Name or SomeName.Outworldz.net or IP</t>
  </si>
  <si>
    <t>DNS-Name oder irgendein Name.Outworldz.net oder IP</t>
  </si>
  <si>
    <t>Do_Not_Interrupt_word</t>
  </si>
  <si>
    <t>Do not interrupt!</t>
  </si>
  <si>
    <t>Do_NotChange</t>
  </si>
  <si>
    <t>Do not change unless the database has already been created</t>
  </si>
  <si>
    <t>Do_you_still_want_to_Stop_word</t>
  </si>
  <si>
    <t>Do you still want to stop?</t>
  </si>
  <si>
    <t>Willst du  anhalten?</t>
  </si>
  <si>
    <t>DOS_Box_word</t>
  </si>
  <si>
    <t>DOS Box</t>
  </si>
  <si>
    <t>DosBoxRunning</t>
  </si>
  <si>
    <t>A DOS Box named Robust is already running</t>
  </si>
  <si>
    <t>DreamGrid_word</t>
  </si>
  <si>
    <t>DreamGrid</t>
  </si>
  <si>
    <t>Dynamic_DNS_word</t>
  </si>
  <si>
    <t>Dynamic DNS</t>
  </si>
  <si>
    <t>DynDNS</t>
  </si>
  <si>
    <t>Registering DynDNS address</t>
  </si>
  <si>
    <t>DynDNS_password_word</t>
  </si>
  <si>
    <t>DynDNS password</t>
  </si>
  <si>
    <t>Edit_word</t>
  </si>
  <si>
    <t>Edit</t>
  </si>
  <si>
    <t>EditRegion</t>
  </si>
  <si>
    <t>Edit Region</t>
  </si>
  <si>
    <t>Email_word</t>
  </si>
  <si>
    <t>Email</t>
  </si>
  <si>
    <t>EMGod</t>
  </si>
  <si>
    <t>Estate  Manager is God - Estate managers can become gods, but just for this estate</t>
  </si>
  <si>
    <t>Enable_Birds_word</t>
  </si>
  <si>
    <t>Enable Bird Module</t>
  </si>
  <si>
    <t>Activar Modulo de Aves</t>
  </si>
  <si>
    <t>Enable_Events_word</t>
  </si>
  <si>
    <t>Enable Events</t>
  </si>
  <si>
    <t>Enable_Hypergrid_word</t>
  </si>
  <si>
    <t>Enable Hypergrid</t>
  </si>
  <si>
    <t>Enable_Search_word</t>
  </si>
  <si>
    <t>Enable Search</t>
  </si>
  <si>
    <t>Enable_word</t>
  </si>
  <si>
    <t>Enable</t>
  </si>
  <si>
    <t xml:space="preserve">Activar  </t>
  </si>
  <si>
    <t>EnableApache</t>
  </si>
  <si>
    <t>Enable Apache Web server</t>
  </si>
  <si>
    <t>Enabled_word</t>
  </si>
  <si>
    <t>Enabled</t>
  </si>
  <si>
    <t>Activado</t>
  </si>
  <si>
    <t>EnableOneClickStart_word</t>
  </si>
  <si>
    <t>Enable One-Click Start</t>
  </si>
  <si>
    <t>Activar Iniciar com Um Click</t>
  </si>
  <si>
    <t>EnableOther_Word</t>
  </si>
  <si>
    <t>Enable Other</t>
  </si>
  <si>
    <t>English</t>
  </si>
  <si>
    <t>Enter_1_2</t>
  </si>
  <si>
    <t>Enter the First and Last name of the user</t>
  </si>
  <si>
    <t>Enter_Dos_Name</t>
  </si>
  <si>
    <t>Enter the new Dos Box name</t>
  </si>
  <si>
    <t>Enter_Name</t>
  </si>
  <si>
    <t>Enter the Object name ('/' will  backup everything, and '/Objects/box' will back up 'box' in folder Objects</t>
  </si>
  <si>
    <t>Enter_the_Grid_Owner_Information_word</t>
  </si>
  <si>
    <t>Enter the Grid Owner Information</t>
  </si>
  <si>
    <t>EnterName</t>
  </si>
  <si>
    <t>Enter a name for your backup</t>
  </si>
  <si>
    <t>ErrInstall</t>
  </si>
  <si>
    <t>Error: Could not launch DreamGridInstaller.exe.</t>
  </si>
  <si>
    <t>Error_Region</t>
  </si>
  <si>
    <t>Error: Cannot understand the contents of region file :</t>
  </si>
  <si>
    <t>Error_word</t>
  </si>
  <si>
    <t>Error</t>
  </si>
  <si>
    <t>ErrorLevel0</t>
  </si>
  <si>
    <t>0 - (Error) Errors only, Requires Restart</t>
  </si>
  <si>
    <t>ErrorLevel1</t>
  </si>
  <si>
    <t>1 - (Info)  Hit Rate Stats, Requires Restart</t>
  </si>
  <si>
    <t>ErrorLevel2</t>
  </si>
  <si>
    <t>2 - (Debug) Cache Activity, Requires Restart</t>
  </si>
  <si>
    <t>ErrorRegion</t>
  </si>
  <si>
    <t>Error: Failed to set the Opensim.ini for region</t>
  </si>
  <si>
    <t>ErrUpdate</t>
  </si>
  <si>
    <t>Error: Could Not Launch Downloader.exe. Perhaps you can launch it manually.</t>
  </si>
  <si>
    <t>Anwesen</t>
  </si>
  <si>
    <t>Estate_word</t>
  </si>
  <si>
    <t>Estate</t>
  </si>
  <si>
    <t>Anwesen Manager ist Gott</t>
  </si>
  <si>
    <t>EstateManagerIsGod_word</t>
  </si>
  <si>
    <t>Estate Manager is god</t>
  </si>
  <si>
    <t>Exit__word</t>
  </si>
  <si>
    <t>Exit</t>
  </si>
  <si>
    <t>Export_Backup_file_word</t>
  </si>
  <si>
    <t>Export backup file</t>
  </si>
  <si>
    <t>Export_Permission_word</t>
  </si>
  <si>
    <t>Export Permission</t>
  </si>
  <si>
    <t>Export_SQL_file_word</t>
  </si>
  <si>
    <t>Export SQL file</t>
  </si>
  <si>
    <t>External</t>
  </si>
  <si>
    <t>External HostName For Region Servers</t>
  </si>
  <si>
    <t>External_text</t>
  </si>
  <si>
    <t>The default for External Host Name is a blank, which becomes your DNS name or IP. Only set this if you are running a region server with no NAT.</t>
  </si>
  <si>
    <t>FAC</t>
  </si>
  <si>
    <t>Flotsam Asset Cache</t>
  </si>
  <si>
    <t>Failed_LAN</t>
  </si>
  <si>
    <t>Failed to connect to web site.</t>
  </si>
  <si>
    <t>Failed_to_load_Settings_INI_word</t>
  </si>
  <si>
    <t>Failed to load Settings INI</t>
  </si>
  <si>
    <t>Verhängnisvoll</t>
  </si>
  <si>
    <t>Fatal_word</t>
  </si>
  <si>
    <t>Fatal</t>
  </si>
  <si>
    <t>File_word</t>
  </si>
  <si>
    <t>File</t>
  </si>
  <si>
    <t>Finished_with_backup_word</t>
  </si>
  <si>
    <t>Finished with backup:</t>
  </si>
  <si>
    <t>First_name_word</t>
  </si>
  <si>
    <t>First Name</t>
  </si>
  <si>
    <t>Flotsam_Asset_Cache_word</t>
  </si>
  <si>
    <t>Folder_To_Save_To_word</t>
  </si>
  <si>
    <t>Folder to save to</t>
  </si>
  <si>
    <t>Frame_Rate_word</t>
  </si>
  <si>
    <t>Frame Rate</t>
  </si>
  <si>
    <t>FrameRate</t>
  </si>
  <si>
    <t>Frame Rate (0.0909)</t>
  </si>
  <si>
    <t>FrameTime</t>
  </si>
  <si>
    <t>Default 1/11 sec. Default is 0.0909 which is 1/5th of 55 FPS</t>
  </si>
  <si>
    <t>Free_Account</t>
  </si>
  <si>
    <t>Click To Get a Free Gloebits Account So You Can Buy and Sell</t>
  </si>
  <si>
    <t>Free_DLC_word</t>
  </si>
  <si>
    <t>Free DLC</t>
  </si>
  <si>
    <t>FreeName</t>
  </si>
  <si>
    <t>Get a free DYN DNS Name</t>
  </si>
  <si>
    <t>Friendly</t>
  </si>
  <si>
    <t>This Grid's Friendly Name</t>
  </si>
  <si>
    <t>Der freundliche Name dieses Gitters</t>
  </si>
  <si>
    <t>FRText</t>
  </si>
  <si>
    <t>SL runs 55 FPS.  Opensim is 11 FPS.   Default =0.0909, or 1/11</t>
  </si>
  <si>
    <t>FSA</t>
  </si>
  <si>
    <t>FSassets</t>
  </si>
  <si>
    <t>File System Assets Database</t>
  </si>
  <si>
    <t>Dateisystem-Asset-Datenbank</t>
  </si>
  <si>
    <t>FSassets_Server_word</t>
  </si>
  <si>
    <t>FsAssets Server</t>
  </si>
  <si>
    <t>GBoids</t>
  </si>
  <si>
    <t>The global Bird settings will apply to this region</t>
  </si>
  <si>
    <t>Getting_regions_word</t>
  </si>
  <si>
    <t>Getting regions</t>
  </si>
  <si>
    <t>Global_Settings_word</t>
  </si>
  <si>
    <t>Global Settings</t>
  </si>
  <si>
    <t>Global_Tide_Settings_word</t>
  </si>
  <si>
    <t>Global Tide Settings</t>
  </si>
  <si>
    <t>GlobalSettings_word</t>
  </si>
  <si>
    <t>Gloebits_Currency_word</t>
  </si>
  <si>
    <t>Gloebits Currency</t>
  </si>
  <si>
    <t>Good_Warp3D_word</t>
  </si>
  <si>
    <t>Good (Warp3D)</t>
  </si>
  <si>
    <t>Gut (Warp3D)</t>
  </si>
  <si>
    <t>Grid_Address_is_word</t>
  </si>
  <si>
    <t>Grid address is</t>
  </si>
  <si>
    <t>Grid_Address_text</t>
  </si>
  <si>
    <t>You can give this address out to people and they can visit your grid</t>
  </si>
  <si>
    <t>Grid_address_word</t>
  </si>
  <si>
    <t>Grid address</t>
  </si>
  <si>
    <t>Grid_Server_With_Robust_word</t>
  </si>
  <si>
    <t>Grid Server With Robust</t>
  </si>
  <si>
    <t>Grid_TCP_is_set_word</t>
  </si>
  <si>
    <t>Grid TCP Port is set</t>
  </si>
  <si>
    <t>Grid TCP Port ist gesetzt</t>
  </si>
  <si>
    <t>Grid_UDP_is_set_word</t>
  </si>
  <si>
    <t>Grid UDP Port is set</t>
  </si>
  <si>
    <t>Grid UDP Port ist gesetzt</t>
  </si>
  <si>
    <t>Group_word</t>
  </si>
  <si>
    <t>Group</t>
  </si>
  <si>
    <t>GTide</t>
  </si>
  <si>
    <t>The global Tide settings will apply to this region</t>
  </si>
  <si>
    <t>Has_Been_DL</t>
  </si>
  <si>
    <t>Update is available.  Do you want to exit DreamGrid and install the update?</t>
  </si>
  <si>
    <t>Help_Console</t>
  </si>
  <si>
    <t>Help On Console Commands</t>
  </si>
  <si>
    <t>Help_Console_text</t>
  </si>
  <si>
    <t>Wiki Page on Console Commands</t>
  </si>
  <si>
    <t>Help_Forward</t>
  </si>
  <si>
    <t>Help On Port Forwarding</t>
  </si>
  <si>
    <t>Help_Forward_text</t>
  </si>
  <si>
    <t>Web Help For Port Forwarding</t>
  </si>
  <si>
    <t>Help_Godmodes</t>
  </si>
  <si>
    <t>Click for Help on God Modes</t>
  </si>
  <si>
    <t>Help_IARS_text</t>
  </si>
  <si>
    <t>Wiki Page On IAR's</t>
  </si>
  <si>
    <t>Help_Loopback_Text</t>
  </si>
  <si>
    <t>How To fix Loopback On Windows</t>
  </si>
  <si>
    <t>Help_Manuals_word</t>
  </si>
  <si>
    <t>Help Manuals</t>
  </si>
  <si>
    <t>Help_OARS</t>
  </si>
  <si>
    <t>Help On OARs</t>
  </si>
  <si>
    <t>Help_OARS_text</t>
  </si>
  <si>
    <t>Wiki Page on OARS</t>
  </si>
  <si>
    <t>Help_On_IARS_word</t>
  </si>
  <si>
    <t>Help On IARS</t>
  </si>
  <si>
    <t>Help_On_LoopBack_word</t>
  </si>
  <si>
    <t>Help On LoopBack</t>
  </si>
  <si>
    <t>Help_Startup</t>
  </si>
  <si>
    <t>Help on Starting Up the first time</t>
  </si>
  <si>
    <t>Help_Technical</t>
  </si>
  <si>
    <t>Help with Technical Info</t>
  </si>
  <si>
    <t>Help_Technical_text</t>
  </si>
  <si>
    <t>Technical Mumbo Jumbo on how to configure things</t>
  </si>
  <si>
    <t>Help_Troubleshooting_word</t>
  </si>
  <si>
    <t>Help Troubleshooting</t>
  </si>
  <si>
    <t>Help_word</t>
  </si>
  <si>
    <t>Help</t>
  </si>
  <si>
    <t>HG_Failed</t>
  </si>
  <si>
    <t>Hypergrid Diagnostics failed. These can be re-run at any time.  See Help-&gt;Network Diagnostics', 'Loopback', and 'Port Forwards'</t>
  </si>
  <si>
    <t>HG_Works</t>
  </si>
  <si>
    <t>Hypergrid should be working.</t>
  </si>
  <si>
    <t>Hide</t>
  </si>
  <si>
    <t>Hide Regions When Finished</t>
  </si>
  <si>
    <t>Hide_Allways_word</t>
  </si>
  <si>
    <t>Always Hide Regions</t>
  </si>
  <si>
    <t>High_Water_Level</t>
  </si>
  <si>
    <t>High Water Level</t>
  </si>
  <si>
    <t>High_Water_Level_text</t>
  </si>
  <si>
    <t>High water marks in metres</t>
  </si>
  <si>
    <t>Highest_Used_word</t>
  </si>
  <si>
    <t>Highest used:</t>
  </si>
  <si>
    <t>Home_word</t>
  </si>
  <si>
    <t>Home</t>
  </si>
  <si>
    <t>Hours_word</t>
  </si>
  <si>
    <t>Hours</t>
  </si>
  <si>
    <t>How_Close</t>
  </si>
  <si>
    <t>How close to the edges of things can we get without being worried?</t>
  </si>
  <si>
    <t>How_Far</t>
  </si>
  <si>
    <t>How far away from other birds we would like to stay?</t>
  </si>
  <si>
    <t>How_Far_Travel</t>
  </si>
  <si>
    <t>How far in meters each bird can travel per update?</t>
  </si>
  <si>
    <t>How_High</t>
  </si>
  <si>
    <t>How high are we allowed to flock?</t>
  </si>
  <si>
    <t>How_Long</t>
  </si>
  <si>
    <t>How long to keep the backups. The oldest get deleted after this time in days,</t>
  </si>
  <si>
    <t>How_Long_runs</t>
  </si>
  <si>
    <t>How long Opensim runs before an Auto backup occurs</t>
  </si>
  <si>
    <t>How_Many_Avatars</t>
  </si>
  <si>
    <t>How many Avatars + NPC's can be in a region before the region is shown as Full. The actual value is set in Estate Settings in the viewer.</t>
  </si>
  <si>
    <t>Http_Port_word</t>
  </si>
  <si>
    <t>Http Port</t>
  </si>
  <si>
    <t>Hypergrid</t>
  </si>
  <si>
    <t>Hypergrid DNS Name</t>
  </si>
  <si>
    <t>Hypergrid_word</t>
  </si>
  <si>
    <t>IAR_Load_and_Save_word</t>
  </si>
  <si>
    <t>IAR Load and Save</t>
  </si>
  <si>
    <t>Icecast_Desc</t>
  </si>
  <si>
    <t>Icecast lets you stream music into your sim.  Music URL:</t>
  </si>
  <si>
    <t>IceCast_disabled</t>
  </si>
  <si>
    <t>Icecast is disabled</t>
  </si>
  <si>
    <t>Icecast_Exited</t>
  </si>
  <si>
    <t>Icecast exited. Do you want to see the error log file?</t>
  </si>
  <si>
    <t>Icecast_failed</t>
  </si>
  <si>
    <t>Icecast did not start</t>
  </si>
  <si>
    <t>icecast_help</t>
  </si>
  <si>
    <t>Click for Help on setting up Icecast</t>
  </si>
  <si>
    <t>Icecast_is_Set</t>
  </si>
  <si>
    <t>Icecast Port is Set</t>
  </si>
  <si>
    <t>IceCast_Server_word</t>
  </si>
  <si>
    <t>IceCast Server</t>
  </si>
  <si>
    <t>Icecast_Started_word</t>
  </si>
  <si>
    <t>Icecast Started</t>
  </si>
  <si>
    <t>Icecast_starting</t>
  </si>
  <si>
    <t>Starting Icecast</t>
  </si>
  <si>
    <t>Icecast_word</t>
  </si>
  <si>
    <t>Icecast</t>
  </si>
  <si>
    <t>Icons_word</t>
  </si>
  <si>
    <t>Icons</t>
  </si>
  <si>
    <t>If_Enabled_Save_Oars</t>
  </si>
  <si>
    <t>Opensim will save OARS after running this long</t>
  </si>
  <si>
    <t>Opensim speichert OARS nach so langer Laufzeit.</t>
  </si>
  <si>
    <t>Ignore_Parcel_word</t>
  </si>
  <si>
    <t>Ignore Parcel</t>
  </si>
  <si>
    <t>Ignore_Terrain_word</t>
  </si>
  <si>
    <t>Ignore Terrain</t>
  </si>
  <si>
    <t>Image_Cache_word</t>
  </si>
  <si>
    <t>Image Cache</t>
  </si>
  <si>
    <t>Import_word</t>
  </si>
  <si>
    <t>Import</t>
  </si>
  <si>
    <t>Importtext</t>
  </si>
  <si>
    <t>Import Region INI files</t>
  </si>
  <si>
    <t>Incoming_Works</t>
  </si>
  <si>
    <t>Incoming Hypergrid is working</t>
  </si>
  <si>
    <t>Increasing_time_to_word</t>
  </si>
  <si>
    <t>Increasing Time to</t>
  </si>
  <si>
    <t>Info_word</t>
  </si>
  <si>
    <t>Info</t>
  </si>
  <si>
    <t>Information_word</t>
  </si>
  <si>
    <t>Information</t>
  </si>
  <si>
    <t>INI_Filter</t>
  </si>
  <si>
    <t>ini files (*.ini)|*.ini|All files (*.*)|*.*</t>
  </si>
  <si>
    <t>Install_Icon</t>
  </si>
  <si>
    <t>Installing Desktop icon</t>
  </si>
  <si>
    <t>Install_word</t>
  </si>
  <si>
    <t>Install</t>
  </si>
  <si>
    <t>InstallRuntime</t>
  </si>
  <si>
    <t>Install C++ Runtimes</t>
  </si>
  <si>
    <t>Internet_address</t>
  </si>
  <si>
    <t>Internet address</t>
  </si>
  <si>
    <t>Interval_word</t>
  </si>
  <si>
    <t>Interval</t>
  </si>
  <si>
    <t>IPV4_Address_word</t>
  </si>
  <si>
    <t>IPV4 Address</t>
  </si>
  <si>
    <t>is_already_running_word</t>
  </si>
  <si>
    <t>is already running</t>
  </si>
  <si>
    <t>is_Off_word</t>
  </si>
  <si>
    <t>is off</t>
  </si>
  <si>
    <t>Is_Shown</t>
  </si>
  <si>
    <t>The Opensimulator Console will be shown when Opensim is running.</t>
  </si>
  <si>
    <t>isLoading</t>
  </si>
  <si>
    <t>Opensim Is loading your item. You will find it in</t>
  </si>
  <si>
    <t>Issue_Commands</t>
  </si>
  <si>
    <t>Issue Console Commands</t>
  </si>
  <si>
    <t>Items_word</t>
  </si>
  <si>
    <t>Items</t>
  </si>
  <si>
    <t>JobEngine_word</t>
  </si>
  <si>
    <t>Job Engine</t>
  </si>
  <si>
    <t>Just_one_region_word</t>
  </si>
  <si>
    <t>Just one region</t>
  </si>
  <si>
    <t>Keep_for_Days_word</t>
  </si>
  <si>
    <t>Keep for days</t>
  </si>
  <si>
    <t>LAN_IP</t>
  </si>
  <si>
    <t>You are using a LAN IP. This test is skipped.</t>
  </si>
  <si>
    <t>Language</t>
  </si>
  <si>
    <t>LargeMap</t>
  </si>
  <si>
    <t>Large Metro map</t>
  </si>
  <si>
    <t>Last_Name_Word</t>
  </si>
  <si>
    <t>Last Name</t>
  </si>
  <si>
    <t>Last_Name_word</t>
  </si>
  <si>
    <t>ListAvatars</t>
  </si>
  <si>
    <t>View list of Avatars</t>
  </si>
  <si>
    <t>Load_Bird_IAR_word</t>
  </si>
  <si>
    <t>Load Bird IAR</t>
  </si>
  <si>
    <t>Load_Free_Avatar_Inventory</t>
  </si>
  <si>
    <t>Load Free Avatar Inventory</t>
  </si>
  <si>
    <t>Load_Free_Avatar_Inventory_text</t>
  </si>
  <si>
    <t>Load IARS from the Outworldz web site</t>
  </si>
  <si>
    <t>Load_Free_Avatar_Inventory_word</t>
  </si>
  <si>
    <t>Load Free Avatar Inventory (www)</t>
  </si>
  <si>
    <t>Load_Free_DreamGrid_OARs_word</t>
  </si>
  <si>
    <t>Load Free DreamGrid OARs (www)</t>
  </si>
  <si>
    <t>Load_Free_Dreamworld_OARs</t>
  </si>
  <si>
    <t>Load Free Dreamworld OARs</t>
  </si>
  <si>
    <t>Load_Inventory_IAR</t>
  </si>
  <si>
    <t>Load Inventory IAR</t>
  </si>
  <si>
    <t>Load_Local_IARs</t>
  </si>
  <si>
    <t>Load Local IARs from the IAR folder</t>
  </si>
  <si>
    <t>Load_Local_IARs_word</t>
  </si>
  <si>
    <t>Load Local IARs</t>
  </si>
  <si>
    <t>Load_Local_OARs</t>
  </si>
  <si>
    <t>Load Local OARs from the OAR folder</t>
  </si>
  <si>
    <t>Load_Local_OARs_word</t>
  </si>
  <si>
    <t>Load Local OARs</t>
  </si>
  <si>
    <t>Load_Parcel</t>
  </si>
  <si>
    <t>Load Parcel</t>
  </si>
  <si>
    <t>Load_Region_OAR</t>
  </si>
  <si>
    <t>Load Region OAR</t>
  </si>
  <si>
    <t>Load_Terrain</t>
  </si>
  <si>
    <t>Load Terrain</t>
  </si>
  <si>
    <t>Loading_Settings</t>
  </si>
  <si>
    <t>Loading Settings.ini</t>
  </si>
  <si>
    <t>Local</t>
  </si>
  <si>
    <t>Local_Grid</t>
  </si>
  <si>
    <t>Local_Search</t>
  </si>
  <si>
    <t>Local Search</t>
  </si>
  <si>
    <t>Log_Level</t>
  </si>
  <si>
    <t>Log Level</t>
  </si>
  <si>
    <t>Logging_word</t>
  </si>
  <si>
    <t>Logging</t>
  </si>
  <si>
    <t>Loopback_Failed</t>
  </si>
  <si>
    <t>Loopback Test Failed. Web address did not respond.</t>
  </si>
  <si>
    <t>Loopback_Help</t>
  </si>
  <si>
    <t>Loopback Help</t>
  </si>
  <si>
    <t>Loopback_Passed</t>
  </si>
  <si>
    <t>Loopback Test Passed for Port</t>
  </si>
  <si>
    <t>Low_High</t>
  </si>
  <si>
    <t>Low And high water marks in meters</t>
  </si>
  <si>
    <t>Low_Water_Level</t>
  </si>
  <si>
    <t>Low Water Level</t>
  </si>
  <si>
    <t>LSL_Allow</t>
  </si>
  <si>
    <t>LSL scripts cannot reach other LAN PC's.   If you turn this on, they can access ports on your LAN on any PC. This is Dangerous!</t>
  </si>
  <si>
    <t>MAC_Address_word</t>
  </si>
  <si>
    <t>MAC Address</t>
  </si>
  <si>
    <t>Make_a_backup_word</t>
  </si>
  <si>
    <t>Make a backup?</t>
  </si>
  <si>
    <t>Manager_God_word</t>
  </si>
  <si>
    <t>Manager_God</t>
  </si>
  <si>
    <t>Verwalter_Gott</t>
  </si>
  <si>
    <t>Map_Center_Location_word</t>
  </si>
  <si>
    <t>Map Center Location:</t>
  </si>
  <si>
    <t>Maps_Erased</t>
  </si>
  <si>
    <t>All map tiles have been erased. Set the map setting  and reboot to make new maps</t>
  </si>
  <si>
    <t>Maps_word</t>
  </si>
  <si>
    <t>Maps</t>
  </si>
  <si>
    <t>Mapx</t>
  </si>
  <si>
    <t>Map Coords: X</t>
  </si>
  <si>
    <t>Max_Accel</t>
  </si>
  <si>
    <t>The maximum acceleration allowed to the current velocity of the bird</t>
  </si>
  <si>
    <t>Max_Agents</t>
  </si>
  <si>
    <t>Max_Avatars</t>
  </si>
  <si>
    <t>Max number of Avatars + NPCs</t>
  </si>
  <si>
    <t>Max_Dist</t>
  </si>
  <si>
    <t>Max distance for other birds to be considered in the same flock</t>
  </si>
  <si>
    <t>Max_Force</t>
  </si>
  <si>
    <t>Max Force (default=0.2)</t>
  </si>
  <si>
    <t>Maximale Kraft (Standard=0.2)</t>
  </si>
  <si>
    <t>Max_Height</t>
  </si>
  <si>
    <t>Max Height (default=45.0)</t>
  </si>
  <si>
    <t>Max_NonPhys</t>
  </si>
  <si>
    <t>256 meters in Firestorm.  1500 meters with Singularity. You cannot make a regular prim bigger than this</t>
  </si>
  <si>
    <t>Max_NumPrims</t>
  </si>
  <si>
    <t>Max Number of Prims in a Parcel</t>
  </si>
  <si>
    <t>Max_Phys</t>
  </si>
  <si>
    <t>You cannot make a physical prim bigger than this</t>
  </si>
  <si>
    <t>Max_PrimLimit</t>
  </si>
  <si>
    <t>This will limit the number of prims on a parcel.  There is no limit except memory when disabled.</t>
  </si>
  <si>
    <t>Max_Prims</t>
  </si>
  <si>
    <t>Enable MAXPRIMS limits</t>
  </si>
  <si>
    <t>Max_Speed</t>
  </si>
  <si>
    <t>Max Speed (default=1.0)</t>
  </si>
  <si>
    <t>Max4096</t>
  </si>
  <si>
    <t>Maximum of 4096</t>
  </si>
  <si>
    <t>Merge_OAR_word</t>
  </si>
  <si>
    <t>Merge OAR</t>
  </si>
  <si>
    <t>OAR zusammenführen</t>
  </si>
  <si>
    <t>Merge_Objects_word</t>
  </si>
  <si>
    <t>Merge Objects</t>
  </si>
  <si>
    <t>Objekte zusammenführen</t>
  </si>
  <si>
    <t>Mesh_Cache_word</t>
  </si>
  <si>
    <t>Mesh Cache</t>
  </si>
  <si>
    <t>Message_sent_word</t>
  </si>
  <si>
    <t>Message sent</t>
  </si>
  <si>
    <t>MetroOrg</t>
  </si>
  <si>
    <t>Hypergrid.org Region Server</t>
  </si>
  <si>
    <t>Minutes_word</t>
  </si>
  <si>
    <t>Minutes</t>
  </si>
  <si>
    <t>Mode_word</t>
  </si>
  <si>
    <t>Mode</t>
  </si>
  <si>
    <t>Modules_word</t>
  </si>
  <si>
    <t>Modules</t>
  </si>
  <si>
    <t>More_Free_Islands</t>
  </si>
  <si>
    <t>More Free Islands and Parts</t>
  </si>
  <si>
    <t>More_Free_Islands_and_Parts_word</t>
  </si>
  <si>
    <t>More Free Islands and Parts (www)</t>
  </si>
  <si>
    <t>More_Help</t>
  </si>
  <si>
    <t>Click for More Help on the Website</t>
  </si>
  <si>
    <t>Must_be_A_Number</t>
  </si>
  <si>
    <t>Must be a number</t>
  </si>
  <si>
    <t>Must_PNG</t>
  </si>
  <si>
    <t>Must be a PNG file</t>
  </si>
  <si>
    <t>MustHaveName</t>
  </si>
  <si>
    <t>Must have a name of an inventory item</t>
  </si>
  <si>
    <t>MustX</t>
  </si>
  <si>
    <t>Must be the same as X</t>
  </si>
  <si>
    <t>MustY</t>
  </si>
  <si>
    <t>Must be the same as Y</t>
  </si>
  <si>
    <t>MySql_Exited</t>
  </si>
  <si>
    <t>MySQL exited. Do you want to see the error log file?</t>
  </si>
  <si>
    <t>Mysql_Failed</t>
  </si>
  <si>
    <t>The database did not start. Do you want to see the log file?</t>
  </si>
  <si>
    <t>Mysql_is_Running</t>
  </si>
  <si>
    <t>MySQL is Running</t>
  </si>
  <si>
    <t>MySQL_Port_Default</t>
  </si>
  <si>
    <t>Default = 3306</t>
  </si>
  <si>
    <t>Mysql_Starting</t>
  </si>
  <si>
    <t>Starting MySql Database</t>
  </si>
  <si>
    <t>MySQL_Was_Running</t>
  </si>
  <si>
    <t>MySQL was running when I was started, so I am leaving MySQL on.</t>
  </si>
  <si>
    <t>MySqlPort_word</t>
  </si>
  <si>
    <t>MySQL Port</t>
  </si>
  <si>
    <t>Name</t>
  </si>
  <si>
    <t>Name_of_Region_Word</t>
  </si>
  <si>
    <t>Name of Region</t>
  </si>
  <si>
    <t>NameAlreadySet</t>
  </si>
  <si>
    <t>Your system Hypergrid name has been reset. You can change the name in the Setup-Settings-&gt;DNS menu</t>
  </si>
  <si>
    <t>Neighbor_Distance</t>
  </si>
  <si>
    <t>Neighbor Distance (default=25.0)</t>
  </si>
  <si>
    <t>Network_Change</t>
  </si>
  <si>
    <t>A network change occured. A restart may be necessary.</t>
  </si>
  <si>
    <t>Network_Diagnostics</t>
  </si>
  <si>
    <t>Network Diagnostics</t>
  </si>
  <si>
    <t>Network_Diagnostics_text</t>
  </si>
  <si>
    <t>Run the installation diagnostics</t>
  </si>
  <si>
    <t>Network_Ports</t>
  </si>
  <si>
    <t>Network Ports</t>
  </si>
  <si>
    <t>New_Content</t>
  </si>
  <si>
    <t>New content Is loading</t>
  </si>
  <si>
    <t>New_is_Done</t>
  </si>
  <si>
    <t>New content just loaded</t>
  </si>
  <si>
    <t>New_User_Home</t>
  </si>
  <si>
    <t>New User Home X,Y,Z</t>
  </si>
  <si>
    <t>Next_Name</t>
  </si>
  <si>
    <t>Next Name</t>
  </si>
  <si>
    <t>Next1</t>
  </si>
  <si>
    <t>Next</t>
  </si>
  <si>
    <t>No_Autobackup</t>
  </si>
  <si>
    <t>No Autobackup</t>
  </si>
  <si>
    <t>No_Avatars</t>
  </si>
  <si>
    <t>No Avatars</t>
  </si>
  <si>
    <t>no_Default_sim</t>
  </si>
  <si>
    <t>Could not set default sim for visitors. See Regions Panel.</t>
  </si>
  <si>
    <t>No_HG</t>
  </si>
  <si>
    <t>No Hypergrid visitors will be allowed in this region</t>
  </si>
  <si>
    <t>No_Locate_FSassets</t>
  </si>
  <si>
    <t>Cannot locate FSasset folder:</t>
  </si>
  <si>
    <t>No_Publish_Items</t>
  </si>
  <si>
    <t>Do not publish this region</t>
  </si>
  <si>
    <t>No_Regions_Ready</t>
  </si>
  <si>
    <t>No regions are ready, so cannot load the IAR"</t>
  </si>
  <si>
    <t>Nobody_Online</t>
  </si>
  <si>
    <t>No person is online</t>
  </si>
  <si>
    <t>None</t>
  </si>
  <si>
    <t>Nonphysical_Prim</t>
  </si>
  <si>
    <t>Nonphysical Prim Size</t>
  </si>
  <si>
    <t>Normal_Prim</t>
  </si>
  <si>
    <t>You cannot make a regular prim bigger than this.</t>
  </si>
  <si>
    <t>NormalizeRegions</t>
  </si>
  <si>
    <t>Normalize Regions</t>
  </si>
  <si>
    <t>Normally_Set</t>
  </si>
  <si>
    <t>Normally set to  OutworldzFiles/AutoBackup folder with 'AutoBackup'.  Click to change the folder.</t>
  </si>
  <si>
    <t>Not_Forwarded</t>
  </si>
  <si>
    <t>This does not appear to be forwarded to this machine in your router, so Hypergrid is not available. This can possibly be fixed by 'Port Forwards' in your router.  See Help-&gt;Port Forwards.</t>
  </si>
  <si>
    <t>Normalerweise mit'AutoBackup' auf den Ordner OutworldzFiles/AutoBackup eingestellt. Klicken Sie hier, um den Ordner zu ändern</t>
  </si>
  <si>
    <t>Not_Normal</t>
  </si>
  <si>
    <t>Not normally enforced by Opensim.  Viewer will not show more than 45,000. Setting this here and enabling this in settings will enforce the limit and may return prims!</t>
  </si>
  <si>
    <t>Dies scheint nicht an diese Maschine in Ihrem Router weitergeleitet zu werden, so dass Hypergrid nicht verfügbar ist. Dies kann möglicherweise durch'Port Forwards' in Ihrem Router behoben werden. Siehe Hilfe-&gt;Portieren vorwärts.</t>
  </si>
  <si>
    <t>Not_Running</t>
  </si>
  <si>
    <t>Opensim Is not running.</t>
  </si>
  <si>
    <t>Not_Shown</t>
  </si>
  <si>
    <t>The Opensimulator Console will not be shown. You can still interact with it with Help-&gt;Opensim Console</t>
  </si>
  <si>
    <t>Notify_Email</t>
  </si>
  <si>
    <t>Notify Email</t>
  </si>
  <si>
    <t>NotValidUUID</t>
  </si>
  <si>
    <t>Not a valid UUID. Do you want a new, Random UUID?</t>
  </si>
  <si>
    <t>NTSuspend</t>
  </si>
  <si>
    <t>Error: Could Not launch NtSuspendProcess64.exe.</t>
  </si>
  <si>
    <t>Num_Birds</t>
  </si>
  <si>
    <t>The number of birds to flock</t>
  </si>
  <si>
    <t>NVMaxAgents</t>
  </si>
  <si>
    <t>Not a valid Maximujm number of Agents Value. Must be greater than 0.</t>
  </si>
  <si>
    <t>NVMaxPrim</t>
  </si>
  <si>
    <t>Not a valid Maximum Prim Value. Must be greater than 0.</t>
  </si>
  <si>
    <t>NVNonPhysPrim</t>
  </si>
  <si>
    <t>Not a valid Non-Physical Prim Max Value. Must be greater than 0</t>
  </si>
  <si>
    <t>NVPhysPrim</t>
  </si>
  <si>
    <t>Not a valid Physical Prim Max Value. Must be greater than 0.</t>
  </si>
  <si>
    <t>Oar_Files_text</t>
  </si>
  <si>
    <t>OAR files are backups of entire Islands</t>
  </si>
  <si>
    <t>OAR_Load_and_Save</t>
  </si>
  <si>
    <t>OAR Load and Save</t>
  </si>
  <si>
    <t>OAR_load_save_backupp_word</t>
  </si>
  <si>
    <t>OAR Load, Save and Backup</t>
  </si>
  <si>
    <t>Object_Path</t>
  </si>
  <si>
    <t>Object Path and name</t>
  </si>
  <si>
    <t>Object_Path_and_name</t>
  </si>
  <si>
    <t>ODE_text</t>
  </si>
  <si>
    <t>Open Dynamic Engine</t>
  </si>
  <si>
    <t>ODE_word_NT</t>
  </si>
  <si>
    <t>ODE</t>
  </si>
  <si>
    <t>Dynamische Maschine öffnen</t>
  </si>
  <si>
    <t>Off</t>
  </si>
  <si>
    <t>Offline</t>
  </si>
  <si>
    <t>Ok</t>
  </si>
  <si>
    <t>One_region</t>
  </si>
  <si>
    <t>One region is still running</t>
  </si>
  <si>
    <t>in Ordnung</t>
  </si>
  <si>
    <t>OneAvatar</t>
  </si>
  <si>
    <t>There is one avatar</t>
  </si>
  <si>
    <t>Only_Owners</t>
  </si>
  <si>
    <t>Only Owners and Estate Managers will be allowed in this region</t>
  </si>
  <si>
    <t>Open_Router_Ports</t>
  </si>
  <si>
    <t>Open Router Ports using Universal Plug and Play</t>
  </si>
  <si>
    <t>Opensimulator_is_loading</t>
  </si>
  <si>
    <t>Opensimulator is loading</t>
  </si>
  <si>
    <t>Options</t>
  </si>
  <si>
    <t>Opensim wird geladen.</t>
  </si>
  <si>
    <t>ors</t>
  </si>
  <si>
    <t>Or:</t>
  </si>
  <si>
    <t>OSGrid_Region_Server</t>
  </si>
  <si>
    <t>OSGrid Region Server</t>
  </si>
  <si>
    <t>OverridesMap</t>
  </si>
  <si>
    <t>Overrides the global Map Settings for this one region</t>
  </si>
  <si>
    <t>Owner_God</t>
  </si>
  <si>
    <t>Owner God</t>
  </si>
  <si>
    <t>Parcels</t>
  </si>
  <si>
    <t>Passed_LAN</t>
  </si>
  <si>
    <t>Passed LAN Loopback Test</t>
  </si>
  <si>
    <t>Parzellen</t>
  </si>
  <si>
    <t>Password_Text</t>
  </si>
  <si>
    <t>You can only change the password when Opensim is running</t>
  </si>
  <si>
    <t>Password_word</t>
  </si>
  <si>
    <t>Password</t>
  </si>
  <si>
    <t>PDF_Manual_word</t>
  </si>
  <si>
    <t>PDF Manual</t>
  </si>
  <si>
    <t>people_are_in</t>
  </si>
  <si>
    <t>people are in</t>
  </si>
  <si>
    <t>Permissions_word</t>
  </si>
  <si>
    <t>Permissions</t>
  </si>
  <si>
    <t>Photo_Word</t>
  </si>
  <si>
    <t>Photo</t>
  </si>
  <si>
    <t>Physical_Prim</t>
  </si>
  <si>
    <t>Physical Prim Max Size</t>
  </si>
  <si>
    <t>Physics_Engine</t>
  </si>
  <si>
    <t>Physics Engine</t>
  </si>
  <si>
    <t>Physics_word</t>
  </si>
  <si>
    <t>Physics</t>
  </si>
  <si>
    <t>picfilter</t>
  </si>
  <si>
    <t>PNG  (*.PNG,*.png)|*.png;|All Files (*.*)|*.*</t>
  </si>
  <si>
    <t>Please_enter</t>
  </si>
  <si>
    <t>Please enter a valid DNS name such as 'name.outworldz.net', or register for one at http://www.noip.com</t>
  </si>
  <si>
    <t>Please_select_only_one_row</t>
  </si>
  <si>
    <t>Please select only one row</t>
  </si>
  <si>
    <t>Please_type</t>
  </si>
  <si>
    <t>Please type the Grid Owner's avatar name into the Robust window. Press &lt;enter&gt; for UUID and Model name. Then press this OK button</t>
  </si>
  <si>
    <t>Port_Error</t>
  </si>
  <si>
    <t>Port conflict has been detected. All ports have been reset to the defaults</t>
  </si>
  <si>
    <t>Port_Forwarding_Help</t>
  </si>
  <si>
    <t>Port Forwarding Help</t>
  </si>
  <si>
    <t>Port1</t>
  </si>
  <si>
    <t>Port 1</t>
  </si>
  <si>
    <t>port2</t>
  </si>
  <si>
    <t>Port 2</t>
  </si>
  <si>
    <t>Portguese</t>
  </si>
  <si>
    <t>Ports</t>
  </si>
  <si>
    <t>Preview_in_Browser</t>
  </si>
  <si>
    <t>Preview in Browser</t>
  </si>
  <si>
    <t>Prim_Limits</t>
  </si>
  <si>
    <t>Prim Limits</t>
  </si>
  <si>
    <t>Prim_Name</t>
  </si>
  <si>
    <t>Prim Name (default=SeaGull1)</t>
  </si>
  <si>
    <t>Print</t>
  </si>
  <si>
    <t>Private_Port_Word</t>
  </si>
  <si>
    <t>Private Port</t>
  </si>
  <si>
    <t>Production_Mode_Word</t>
  </si>
  <si>
    <t>Production Mode</t>
  </si>
  <si>
    <t>Provide_Info</t>
  </si>
  <si>
    <t>Provide tide information on the console?</t>
  </si>
  <si>
    <t>Public_IP_Setup_Word</t>
  </si>
  <si>
    <t>Public IP setup</t>
  </si>
  <si>
    <t>Public_Photo_Word</t>
  </si>
  <si>
    <t>Public Photo</t>
  </si>
  <si>
    <t>Publicity_Word</t>
  </si>
  <si>
    <t>Publicity</t>
  </si>
  <si>
    <t>Publish_grid</t>
  </si>
  <si>
    <t>Publish Grid to Hyperica.com</t>
  </si>
  <si>
    <t>Publish_Items</t>
  </si>
  <si>
    <t>Publish Items marked for search</t>
  </si>
  <si>
    <t>Quit_Now_Word</t>
  </si>
  <si>
    <t>Quit Now</t>
  </si>
  <si>
    <t>Quit_unexpectedly</t>
  </si>
  <si>
    <t>quit unexpectedly.</t>
  </si>
  <si>
    <t>RAM_Word</t>
  </si>
  <si>
    <t>RAM</t>
  </si>
  <si>
    <t>Reading_Region_files</t>
  </si>
  <si>
    <t>Reading Region files</t>
  </si>
  <si>
    <t>Ready</t>
  </si>
  <si>
    <t>Ready_to_Launch</t>
  </si>
  <si>
    <t>Ready to Launch!</t>
  </si>
  <si>
    <t>Recycle1</t>
  </si>
  <si>
    <t>Recycle</t>
  </si>
  <si>
    <t>Refresh_word</t>
  </si>
  <si>
    <t>Refresh</t>
  </si>
  <si>
    <t>RefreshingIAR</t>
  </si>
  <si>
    <t>Refreshing Free Content (IAR)</t>
  </si>
  <si>
    <t>RefreshingOAR</t>
  </si>
  <si>
    <t>Refreshing Free Content (OAR)</t>
  </si>
  <si>
    <t>Regen_Map</t>
  </si>
  <si>
    <t>If you delete all maps, you need to regenerate maps by restarting with a map setting</t>
  </si>
  <si>
    <t>Region_Already_Exists</t>
  </si>
  <si>
    <t>Region already exists</t>
  </si>
  <si>
    <t>Region_Controls</t>
  </si>
  <si>
    <t>Region Controls</t>
  </si>
  <si>
    <t>Region_Coordinate_X_cannot_be_less_than_0_word</t>
  </si>
  <si>
    <t>Region Coordinate X cannot be less than 0</t>
  </si>
  <si>
    <t>Region_Coordinate_X_is_too_large</t>
  </si>
  <si>
    <t>Region Coordinate X Is too large</t>
  </si>
  <si>
    <t>Region_Coordinate_Y_cannot_be_less_than_32</t>
  </si>
  <si>
    <t>Region Coordinate  Y cannot be less than 32</t>
  </si>
  <si>
    <t>Region_Coordinate_Y_Is_too_large</t>
  </si>
  <si>
    <t>Region Coordinate Y Is too large</t>
  </si>
  <si>
    <t>Region_Database</t>
  </si>
  <si>
    <t>Region Database</t>
  </si>
  <si>
    <t>Region_full_msg</t>
  </si>
  <si>
    <t>Region_List</t>
  </si>
  <si>
    <t>Region List</t>
  </si>
  <si>
    <t>Region_manager_god</t>
  </si>
  <si>
    <t>Region manager is god?</t>
  </si>
  <si>
    <t>Region_Manager_is_God</t>
  </si>
  <si>
    <t>Region Manager is God - Estate managers can become gods, but just for this estate</t>
  </si>
  <si>
    <t>Region_Name</t>
  </si>
  <si>
    <t>Alpha-Numeric plus Spaces</t>
  </si>
  <si>
    <t>Region_name_must_not_be_blank_word</t>
  </si>
  <si>
    <t>Region name must not be blank</t>
  </si>
  <si>
    <t>Region_Names_Special</t>
  </si>
  <si>
    <t>Region name can't use special characters</t>
  </si>
  <si>
    <t>Region_Overrides</t>
  </si>
  <si>
    <t>Region specific settings override default settings</t>
  </si>
  <si>
    <t>Region_Owner_Is_God_word</t>
  </si>
  <si>
    <t>Region Owner is God</t>
  </si>
  <si>
    <t>Region_Port_Start</t>
  </si>
  <si>
    <t>Region Port Start #</t>
  </si>
  <si>
    <t>Region_Port_word</t>
  </si>
  <si>
    <t>Region Port</t>
  </si>
  <si>
    <t>Region_Ports_word</t>
  </si>
  <si>
    <t>Region Ports</t>
  </si>
  <si>
    <t>Region_Removed</t>
  </si>
  <si>
    <t>Region has been removed</t>
  </si>
  <si>
    <t>Region_Server_word</t>
  </si>
  <si>
    <t>Region Server</t>
  </si>
  <si>
    <t>Region_ServerName</t>
  </si>
  <si>
    <t>The server to connect to. 'localhost' is the default.</t>
  </si>
  <si>
    <t>Region_Specific_Settings_word</t>
  </si>
  <si>
    <t>Region Specific Settings</t>
  </si>
  <si>
    <t>Region_Stats</t>
  </si>
  <si>
    <t>Region Stats</t>
  </si>
  <si>
    <t>Region_UUID_Is_invalid_word</t>
  </si>
  <si>
    <t>Region UUID Is invalid</t>
  </si>
  <si>
    <t>Region_word</t>
  </si>
  <si>
    <t>Region</t>
  </si>
  <si>
    <t>Regions_Are_Running</t>
  </si>
  <si>
    <t>regions are still running</t>
  </si>
  <si>
    <t>Regionen laufen noch</t>
  </si>
  <si>
    <t>Regions_word</t>
  </si>
  <si>
    <t>Regions</t>
  </si>
  <si>
    <t>Reload</t>
  </si>
  <si>
    <t>Reload the grid</t>
  </si>
  <si>
    <t>RenderMax</t>
  </si>
  <si>
    <t>Render Max Height</t>
  </si>
  <si>
    <t>RenderMin</t>
  </si>
  <si>
    <t>Render Min Height</t>
  </si>
  <si>
    <t>Repeat_Password_word</t>
  </si>
  <si>
    <t>Repeat Password</t>
  </si>
  <si>
    <t>Request_App</t>
  </si>
  <si>
    <t>Request App Creation</t>
  </si>
  <si>
    <t>Reserve_Password</t>
  </si>
  <si>
    <t>Reserve your DYN DNS name. This is a password for your name.</t>
  </si>
  <si>
    <t>Anfordern der App-Erstellung</t>
  </si>
  <si>
    <t>Reset_To_Default</t>
  </si>
  <si>
    <t>. Reset to default</t>
  </si>
  <si>
    <t>resolved</t>
  </si>
  <si>
    <t>Restart_All_Checked</t>
  </si>
  <si>
    <t>Restarts all Checked Regions</t>
  </si>
  <si>
    <t>Restart_All_word</t>
  </si>
  <si>
    <t>Restart All</t>
  </si>
  <si>
    <t>Restart_Interval</t>
  </si>
  <si>
    <t>Restart Interval in Minutes</t>
  </si>
  <si>
    <t>Restart_On_Crash</t>
  </si>
  <si>
    <t>If a region crashes, the region will be restarted</t>
  </si>
  <si>
    <t>Restart_on_Physics_Crash</t>
  </si>
  <si>
    <t>Restart on Physics Crash</t>
  </si>
  <si>
    <t>Restart_on_Physics_Crash_Text</t>
  </si>
  <si>
    <t>Bulletsim physics crash will force a simulator restart</t>
  </si>
  <si>
    <t>Restart_one_instance_word</t>
  </si>
  <si>
    <t>Restart one instance</t>
  </si>
  <si>
    <t>Der Absturz der Bulletsim-Physik wird einen Neustart des Simulators erzwingen.</t>
  </si>
  <si>
    <t>Restart_one_region_word</t>
  </si>
  <si>
    <t>Restart one region</t>
  </si>
  <si>
    <t>Restart_Pending_word</t>
  </si>
  <si>
    <t>Restart Pending</t>
  </si>
  <si>
    <t>Restart_Periodically_Minutes</t>
  </si>
  <si>
    <t>The regions will all auto restart after so many minutes running</t>
  </si>
  <si>
    <t>Restart_Periodically_word</t>
  </si>
  <si>
    <t>Restart periodically</t>
  </si>
  <si>
    <t>Restart_Queued_word</t>
  </si>
  <si>
    <t>Restart Queued</t>
  </si>
  <si>
    <t>Restart_Region_word</t>
  </si>
  <si>
    <t>Restart Region</t>
  </si>
  <si>
    <t>Neustart in der Warteschlange für</t>
  </si>
  <si>
    <t>Restart_Robust_word</t>
  </si>
  <si>
    <t>Restart Robust</t>
  </si>
  <si>
    <t>Neustart Region</t>
  </si>
  <si>
    <t>Restart_Settings_word</t>
  </si>
  <si>
    <t>Restart Settings</t>
  </si>
  <si>
    <t>Neustart Robust</t>
  </si>
  <si>
    <t>Restart_word</t>
  </si>
  <si>
    <t>Restart</t>
  </si>
  <si>
    <t>Neustart Einstellungen</t>
  </si>
  <si>
    <t>Restarting_word</t>
  </si>
  <si>
    <t>Restarting</t>
  </si>
  <si>
    <t>Restore_Database_word</t>
  </si>
  <si>
    <t>Restore Database</t>
  </si>
  <si>
    <t>Restore_word</t>
  </si>
  <si>
    <t>Restore?</t>
  </si>
  <si>
    <t>Resuming_word</t>
  </si>
  <si>
    <t>Resuming</t>
  </si>
  <si>
    <t>Revision_History_word</t>
  </si>
  <si>
    <t>Revision History</t>
  </si>
  <si>
    <t>Robust_exited</t>
  </si>
  <si>
    <t>Robust exited. Do you want to see the error log file?</t>
  </si>
  <si>
    <t>Robust_failed_to_start</t>
  </si>
  <si>
    <t>Robust failed to start</t>
  </si>
  <si>
    <t>Robust_not_Running</t>
  </si>
  <si>
    <t>Robust is not running on this machine</t>
  </si>
  <si>
    <t>Robust_running</t>
  </si>
  <si>
    <t>Robust is running</t>
  </si>
  <si>
    <t>Robust_word</t>
  </si>
  <si>
    <t>Robust</t>
  </si>
  <si>
    <t>Row</t>
  </si>
  <si>
    <t>Click an enabled row to start or stop the region.  Click a disabled row to edit the region.</t>
  </si>
  <si>
    <t>Run_All_word</t>
  </si>
  <si>
    <t>Run All</t>
  </si>
  <si>
    <t>Run_as_a_Service_word</t>
  </si>
  <si>
    <t>Run As A Service</t>
  </si>
  <si>
    <t>Alle ausführen</t>
  </si>
  <si>
    <t>Running_as_a_Region_Server_word</t>
  </si>
  <si>
    <t>Running as a Region Server</t>
  </si>
  <si>
    <t>Running_Network</t>
  </si>
  <si>
    <t>Running Network Diagnostics</t>
  </si>
  <si>
    <t>Running_word</t>
  </si>
  <si>
    <t>Running</t>
  </si>
  <si>
    <t>Als Dienst ausführen</t>
  </si>
  <si>
    <t>Sandbox_Mode_word</t>
  </si>
  <si>
    <t>Sandbox Mode</t>
  </si>
  <si>
    <t>Save_All_Regions</t>
  </si>
  <si>
    <t>Save All Running Regions to OARs</t>
  </si>
  <si>
    <t>Save_changes_word</t>
  </si>
  <si>
    <t>Save changes?</t>
  </si>
  <si>
    <t>Save_IAR_word</t>
  </si>
  <si>
    <t>Save IAR</t>
  </si>
  <si>
    <t>Save_Inventory_IAR_word</t>
  </si>
  <si>
    <t>Save Inventory IAR</t>
  </si>
  <si>
    <t>Save_Region_OAR_word</t>
  </si>
  <si>
    <t>Save Region OAR</t>
  </si>
  <si>
    <t>Save_word</t>
  </si>
  <si>
    <t>Save</t>
  </si>
  <si>
    <t>Saving_word</t>
  </si>
  <si>
    <t>Saving</t>
  </si>
  <si>
    <t>Script_cache_word</t>
  </si>
  <si>
    <t>Script cache</t>
  </si>
  <si>
    <t>Script_Engine_word</t>
  </si>
  <si>
    <t>Script Engine</t>
  </si>
  <si>
    <t>Script_Rate_word</t>
  </si>
  <si>
    <t>Script Rate</t>
  </si>
  <si>
    <t>Script_Timer_Rate</t>
  </si>
  <si>
    <t>Script Timer Rate (0.0909)</t>
  </si>
  <si>
    <t>Script_Timer_Text</t>
  </si>
  <si>
    <t>Script timer speed setting. 1/11 second is default (0.0909)</t>
  </si>
  <si>
    <t>Scripts_Resume_word</t>
  </si>
  <si>
    <t>Scripts Resume</t>
  </si>
  <si>
    <t>Scripts_Start_word</t>
  </si>
  <si>
    <t>Scripts Start</t>
  </si>
  <si>
    <t>Scripts_Stop_word</t>
  </si>
  <si>
    <t>Scripts Stop</t>
  </si>
  <si>
    <t>Scripts_Suspend_word</t>
  </si>
  <si>
    <t>Scripts Suspend</t>
  </si>
  <si>
    <t>Scripts_word</t>
  </si>
  <si>
    <t>Scripts</t>
  </si>
  <si>
    <t>Search_All_Grids_word</t>
  </si>
  <si>
    <t>Search All Grids</t>
  </si>
  <si>
    <t>Search_Connect_failed</t>
  </si>
  <si>
    <t>Failed to Connect to Search Database</t>
  </si>
  <si>
    <t>Search_word</t>
  </si>
  <si>
    <t>Search</t>
  </si>
  <si>
    <t>Secret_word</t>
  </si>
  <si>
    <t>Secret</t>
  </si>
  <si>
    <t>See_Log</t>
  </si>
  <si>
    <t>Do you want to see the log file?</t>
  </si>
  <si>
    <t>See_Ports_In_Use_word</t>
  </si>
  <si>
    <t>See Ports In Use</t>
  </si>
  <si>
    <t>SeeYouSoon</t>
  </si>
  <si>
    <t>I'll see you again when I wake up all fresh and new!</t>
  </si>
  <si>
    <t>Select_word</t>
  </si>
  <si>
    <t>Select</t>
  </si>
  <si>
    <t>Wir sehen uns wieder, wenn ich ganz frisch und neu aufwache!</t>
  </si>
  <si>
    <t>Selectallnone</t>
  </si>
  <si>
    <t>Selects all or none of the checkboxes</t>
  </si>
  <si>
    <t>Send_Alert_Message_word</t>
  </si>
  <si>
    <t>Send Alert Message</t>
  </si>
  <si>
    <t>Send_Debug_Info</t>
  </si>
  <si>
    <t>Send Debug Info To Console</t>
  </si>
  <si>
    <t>Separation</t>
  </si>
  <si>
    <t>Sequentially_text</t>
  </si>
  <si>
    <t>Each region will start only after the prior region has loaded</t>
  </si>
  <si>
    <t>Server_Type_is</t>
  </si>
  <si>
    <t>Server Type is</t>
  </si>
  <si>
    <t>Server_Type_word</t>
  </si>
  <si>
    <t>Server Type</t>
  </si>
  <si>
    <t>Set_Debug_Level_word</t>
  </si>
  <si>
    <t>Set Debug Level</t>
  </si>
  <si>
    <t>Set_Owner_word</t>
  </si>
  <si>
    <t>Set Owner</t>
  </si>
  <si>
    <t>Debug-Level einstellen</t>
  </si>
  <si>
    <t>Setting_Loopback</t>
  </si>
  <si>
    <t>Setting Loopback Adapter to Public IP address</t>
  </si>
  <si>
    <t>Set-Besitzer</t>
  </si>
  <si>
    <t>Settings_word</t>
  </si>
  <si>
    <t>Settings</t>
  </si>
  <si>
    <t>Setup_Firewall_word</t>
  </si>
  <si>
    <t>Setup Firewall</t>
  </si>
  <si>
    <t>Setup_Graphs_word</t>
  </si>
  <si>
    <t>Setup Graphs</t>
  </si>
  <si>
    <t>Setup_Network</t>
  </si>
  <si>
    <t>Setting up Network</t>
  </si>
  <si>
    <t>Setup_Ports_word</t>
  </si>
  <si>
    <t>Setup Ports</t>
  </si>
  <si>
    <t>Setup_search</t>
  </si>
  <si>
    <t>Setup search database</t>
  </si>
  <si>
    <t>Setup_TOS</t>
  </si>
  <si>
    <t>Click to set up your Terms of Service</t>
  </si>
  <si>
    <t>Setup_Voice_Service</t>
  </si>
  <si>
    <t>Setup Voice Service</t>
  </si>
  <si>
    <t>Setup_word</t>
  </si>
  <si>
    <t>Setup</t>
  </si>
  <si>
    <t>Setup_Wordpress</t>
  </si>
  <si>
    <t>Setup WordPress database</t>
  </si>
  <si>
    <t>Shoutcast_Disabled</t>
  </si>
  <si>
    <t>Icecast is not Enabled.</t>
  </si>
  <si>
    <t>Show_Grid_Address</t>
  </si>
  <si>
    <t>Show Grid Address</t>
  </si>
  <si>
    <t>Show_Stats</t>
  </si>
  <si>
    <t>Show stats on console</t>
  </si>
  <si>
    <t>Show_Status_word</t>
  </si>
  <si>
    <t>Show Status</t>
  </si>
  <si>
    <t>Show_User_Details_word</t>
  </si>
  <si>
    <t>Show User Details</t>
  </si>
  <si>
    <t>Show_word</t>
  </si>
  <si>
    <t>Always Show Regions</t>
  </si>
  <si>
    <t>Shutdown_word</t>
  </si>
  <si>
    <t>Shutdown</t>
  </si>
  <si>
    <t>Sim_Rate</t>
  </si>
  <si>
    <t>This defines the rate of several simulation events. It can be reduced to improve the simulation of moving objects, with possible increase of cpu and network load.</t>
  </si>
  <si>
    <t>Sim_Size_word</t>
  </si>
  <si>
    <t>Sim Size</t>
  </si>
  <si>
    <t>Simple_but_Fast_word</t>
  </si>
  <si>
    <t>Simple but fast</t>
  </si>
  <si>
    <t>Size_word</t>
  </si>
  <si>
    <t>Size</t>
  </si>
  <si>
    <t>Skip_Autobackup_word</t>
  </si>
  <si>
    <t>Skip Autobackup</t>
  </si>
  <si>
    <t>Skip_word</t>
  </si>
  <si>
    <t>Skip</t>
  </si>
  <si>
    <t>Slow_Backup</t>
  </si>
  <si>
    <t>Starting a slow but extensive Database Backup</t>
  </si>
  <si>
    <t>Small_Map</t>
  </si>
  <si>
    <t>Small Metro map</t>
  </si>
  <si>
    <t>Smart_Start_Enable_word</t>
  </si>
  <si>
    <t>Smart Start Enable</t>
  </si>
  <si>
    <t>Smart_Start_word</t>
  </si>
  <si>
    <t>Smart Start</t>
  </si>
  <si>
    <t>SMTP</t>
  </si>
  <si>
    <t>SMTP Send Email Account</t>
  </si>
  <si>
    <t>SMTPHost_word</t>
  </si>
  <si>
    <t>SMTP Host</t>
  </si>
  <si>
    <t>SMTPPassword_word</t>
  </si>
  <si>
    <t>SMTP Password</t>
  </si>
  <si>
    <t>SMTPPort_word</t>
  </si>
  <si>
    <t>SMTP Port</t>
  </si>
  <si>
    <t>Someone_is_in_word</t>
  </si>
  <si>
    <t>Someone is in</t>
  </si>
  <si>
    <t>Sorry_No_Help</t>
  </si>
  <si>
    <t>Sorry, Help is not yet available for this.</t>
  </si>
  <si>
    <t>Source_Code_word</t>
  </si>
  <si>
    <t>Source Code</t>
  </si>
  <si>
    <t>Splash</t>
  </si>
  <si>
    <t>Viewer Splash Screen URL:</t>
  </si>
  <si>
    <t>SplashScreen</t>
  </si>
  <si>
    <t>Splash Screen</t>
  </si>
  <si>
    <t>SQL_Database_Backup_Restore</t>
  </si>
  <si>
    <t>SQL Database Backup/Restore</t>
  </si>
  <si>
    <t>Start_Regions_word</t>
  </si>
  <si>
    <t>Start Regions</t>
  </si>
  <si>
    <t>Start_word</t>
  </si>
  <si>
    <t>Start</t>
  </si>
  <si>
    <t>StartAll</t>
  </si>
  <si>
    <t>Start all checked regions</t>
  </si>
  <si>
    <t>Starting_DiagPort_Webserver</t>
  </si>
  <si>
    <t>Starting Diagnostic Port Webserver</t>
  </si>
  <si>
    <t>Starting_up</t>
  </si>
  <si>
    <t>Starting up the first time</t>
  </si>
  <si>
    <t>Starting_WebServer_word</t>
  </si>
  <si>
    <t>Starting webserver</t>
  </si>
  <si>
    <t>Starting_word</t>
  </si>
  <si>
    <t>Starting</t>
  </si>
  <si>
    <t>StartLaunch</t>
  </si>
  <si>
    <t>There is no need to click the Start button again.  Starts when launched.</t>
  </si>
  <si>
    <t>StartSequentially</t>
  </si>
  <si>
    <t>Start Regions Sequentially</t>
  </si>
  <si>
    <t>StartUPNP</t>
  </si>
  <si>
    <t>Starting the Control Panel</t>
  </si>
  <si>
    <t>Status_word</t>
  </si>
  <si>
    <t>Status</t>
  </si>
  <si>
    <t>STComment</t>
  </si>
  <si>
    <t>Step1_word</t>
  </si>
  <si>
    <t>Step 1:</t>
  </si>
  <si>
    <t>Step2_word</t>
  </si>
  <si>
    <t>Step 2:</t>
  </si>
  <si>
    <t>Step3_word</t>
  </si>
  <si>
    <t>Step 3:</t>
  </si>
  <si>
    <t>Stop_All_word</t>
  </si>
  <si>
    <t>Stop All</t>
  </si>
  <si>
    <t>Stop_word</t>
  </si>
  <si>
    <t>Stop</t>
  </si>
  <si>
    <t>Stopped_word</t>
  </si>
  <si>
    <t>Stopped</t>
  </si>
  <si>
    <t>Stopping_Apache</t>
  </si>
  <si>
    <t>Stopping Apache Webserver</t>
  </si>
  <si>
    <t>Stopping_Webserver</t>
  </si>
  <si>
    <t>Stopping Webserver</t>
  </si>
  <si>
    <t>Stopping_word</t>
  </si>
  <si>
    <t>Stopping</t>
  </si>
  <si>
    <t>Stopsall</t>
  </si>
  <si>
    <t>Stops all checked Regions</t>
  </si>
  <si>
    <t>Suitcase_enable</t>
  </si>
  <si>
    <t>Enable Inventory Suitcase</t>
  </si>
  <si>
    <t>Suspending_word</t>
  </si>
  <si>
    <t>Suspending</t>
  </si>
  <si>
    <t>System_Backup_word</t>
  </si>
  <si>
    <t>System Backup</t>
  </si>
  <si>
    <t>Take_time</t>
  </si>
  <si>
    <t>This may take time to load</t>
  </si>
  <si>
    <t>TechInfo</t>
  </si>
  <si>
    <t>Technical Information</t>
  </si>
  <si>
    <t>Teleport_Tooltip</t>
  </si>
  <si>
    <t>Sends this region status to the Outworldz Teleport signs</t>
  </si>
  <si>
    <t>Teleport_word</t>
  </si>
  <si>
    <t>Teleport</t>
  </si>
  <si>
    <t>Teleporter_Enable_word</t>
  </si>
  <si>
    <t>Teleporter Enable</t>
  </si>
  <si>
    <t>Teleporting_word</t>
  </si>
  <si>
    <t>Teleporting</t>
  </si>
  <si>
    <t>Terms_of_Service</t>
  </si>
  <si>
    <t>Terms of Service</t>
  </si>
  <si>
    <t>Terrain_word</t>
  </si>
  <si>
    <t>Terrain</t>
  </si>
  <si>
    <t>Test_DNS_word</t>
  </si>
  <si>
    <t>Test DNS</t>
  </si>
  <si>
    <t>Theme_Black</t>
  </si>
  <si>
    <t>Theme set to Black</t>
  </si>
  <si>
    <t>theme_Custom</t>
  </si>
  <si>
    <t>Theme set to Custom</t>
  </si>
  <si>
    <t>Theme_White</t>
  </si>
  <si>
    <t>Theme set to White</t>
  </si>
  <si>
    <t>Theme_word</t>
  </si>
  <si>
    <t>Theme:</t>
  </si>
  <si>
    <t>This_Moves</t>
  </si>
  <si>
    <t>This moves all regions so the chosen region is at 1000,1000 to fit the map. Proceed?</t>
  </si>
  <si>
    <t>Thread_pools_word</t>
  </si>
  <si>
    <t>Thread pools</t>
  </si>
  <si>
    <t>Tide_Enable</t>
  </si>
  <si>
    <t>Enable the tide to come in and out?</t>
  </si>
  <si>
    <t>Themenpools</t>
  </si>
  <si>
    <t>Tide_Hi_Lo_Channel_word</t>
  </si>
  <si>
    <t>Tide Hi/Lo Channel</t>
  </si>
  <si>
    <t>Tide_Info_Channel_word</t>
  </si>
  <si>
    <t>Tide Info Channel</t>
  </si>
  <si>
    <t>Gezeiten Hi/Lo-Kanal</t>
  </si>
  <si>
    <t>Tides_word</t>
  </si>
  <si>
    <t>Tides</t>
  </si>
  <si>
    <t>Gezeiten-Info-Kanal</t>
  </si>
  <si>
    <t>Timeout_in_hours_word</t>
  </si>
  <si>
    <t>Timeout in hours</t>
  </si>
  <si>
    <t>Tolerance</t>
  </si>
  <si>
    <t>Tolerance (default=25.0)</t>
  </si>
  <si>
    <t>Auszeit in Stunden</t>
  </si>
  <si>
    <t>TOS</t>
  </si>
  <si>
    <t>The TOS module shows your users and/or visitors this HTML text.</t>
  </si>
  <si>
    <t>Troubleshooting_word</t>
  </si>
  <si>
    <t>Troubleshooting</t>
  </si>
  <si>
    <t>Type_word</t>
  </si>
  <si>
    <t>Type</t>
  </si>
  <si>
    <t>UbitHybrid</t>
  </si>
  <si>
    <t>Ubit ODE/Bullet Hybrid</t>
  </si>
  <si>
    <t>ubODE_Hybrid_word</t>
  </si>
  <si>
    <t>ubODE Hybrid</t>
  </si>
  <si>
    <t>ubODE_word</t>
  </si>
  <si>
    <t>ubODE</t>
  </si>
  <si>
    <t>UBODE_words</t>
  </si>
  <si>
    <t>Ubit Open Dynamic Engine</t>
  </si>
  <si>
    <t>Unable_2_Save</t>
  </si>
  <si>
    <t>Unable to save settings:</t>
  </si>
  <si>
    <t>UnassignedPerson</t>
  </si>
  <si>
    <t>Enter the First and Last name of the person who will own any unassigned objects</t>
  </si>
  <si>
    <t>Unrecognized</t>
  </si>
  <si>
    <t>Unrecognized file type</t>
  </si>
  <si>
    <t>Update_Downloaded</t>
  </si>
  <si>
    <t>Update has been downloaded. Install it now?</t>
  </si>
  <si>
    <t>Update_is_available</t>
  </si>
  <si>
    <t>Update is available. Downloading update in background. Please let it finish.</t>
  </si>
  <si>
    <t>Updated_word</t>
  </si>
  <si>
    <t>Updated</t>
  </si>
  <si>
    <t>Updating_Ports_word</t>
  </si>
  <si>
    <t>Updating Ports</t>
  </si>
  <si>
    <t>UPNP_Disabled</t>
  </si>
  <si>
    <t>UPnP Disabled</t>
  </si>
  <si>
    <t>UPnP_Enabled_text</t>
  </si>
  <si>
    <t>Enable this is you have a small system and want the router ports to be automatically set</t>
  </si>
  <si>
    <t>UPnP_Enabled_word</t>
  </si>
  <si>
    <t>UPnP Enabled</t>
  </si>
  <si>
    <t>UPnP_Setup_Program</t>
  </si>
  <si>
    <t>UPnP Setup Program</t>
  </si>
  <si>
    <t>Use_Default_word</t>
  </si>
  <si>
    <t>Use Default</t>
  </si>
  <si>
    <t>Useful_Size</t>
  </si>
  <si>
    <t>The larger the number, the larger the cache.</t>
  </si>
  <si>
    <t>User_ID_word</t>
  </si>
  <si>
    <t>User ID</t>
  </si>
  <si>
    <t>User_Name_word</t>
  </si>
  <si>
    <t>User Name</t>
  </si>
  <si>
    <t>Users_word</t>
  </si>
  <si>
    <t>Users</t>
  </si>
  <si>
    <t>UUID0</t>
  </si>
  <si>
    <t>Error: UUID Is nothing!</t>
  </si>
  <si>
    <t>Version_word</t>
  </si>
  <si>
    <t>Version</t>
  </si>
  <si>
    <t>View_as_Icons</t>
  </si>
  <si>
    <t>View as Icons</t>
  </si>
  <si>
    <t>View_Console_word</t>
  </si>
  <si>
    <t>View Console</t>
  </si>
  <si>
    <t>View_Details</t>
  </si>
  <si>
    <t>View Region Details</t>
  </si>
  <si>
    <t>View_Icecast</t>
  </si>
  <si>
    <t>View Icecast Web Page</t>
  </si>
  <si>
    <t>View_Log_word</t>
  </si>
  <si>
    <t>View Log</t>
  </si>
  <si>
    <t>View_Logs</t>
  </si>
  <si>
    <t>View Logs</t>
  </si>
  <si>
    <t>View_Map_word</t>
  </si>
  <si>
    <t>View Map</t>
  </si>
  <si>
    <t>View_Maps</t>
  </si>
  <si>
    <t>View Region Maps</t>
  </si>
  <si>
    <t>View_Simulator_Stats</t>
  </si>
  <si>
    <t>View Simulator Stats</t>
  </si>
  <si>
    <t>View_Statistics_Word</t>
  </si>
  <si>
    <t>View Statistics</t>
  </si>
  <si>
    <t>View_Stats</t>
  </si>
  <si>
    <t>View a web page showing statistics for each region</t>
  </si>
  <si>
    <t>View_Web_Interface</t>
  </si>
  <si>
    <t>View Web Interface</t>
  </si>
  <si>
    <t>View_Web_Interface_text</t>
  </si>
  <si>
    <t>The Web Interface can be used to add new users</t>
  </si>
  <si>
    <t>Viewer_Cache_text</t>
  </si>
  <si>
    <t>Default: Enabled. Users may need to reduce viewer bandwidth if some prims or terrain parts fail to rez. Change to false if you need to use old viewers that do not support this feature</t>
  </si>
  <si>
    <t>Viewer_Cache_word</t>
  </si>
  <si>
    <t>Viewer Cache</t>
  </si>
  <si>
    <t>Viewer_Greeting_word</t>
  </si>
  <si>
    <t>Viewer Greeting</t>
  </si>
  <si>
    <t>Viewer_Stops_Counting</t>
  </si>
  <si>
    <t>Viewer stops counting at 45,000</t>
  </si>
  <si>
    <t>Vivox_Voice_word</t>
  </si>
  <si>
    <t>Vivox Voice</t>
  </si>
  <si>
    <t>Voice</t>
  </si>
  <si>
    <t>Voice_Settings_Word</t>
  </si>
  <si>
    <t>Voice Settings</t>
  </si>
  <si>
    <t>Waiting_on_Robust</t>
  </si>
  <si>
    <t>Waiting on Robust to start</t>
  </si>
  <si>
    <t>Waiting_text</t>
  </si>
  <si>
    <t>Waiting for all regions to exit</t>
  </si>
  <si>
    <t>Warn_word</t>
  </si>
  <si>
    <t>Warn</t>
  </si>
  <si>
    <t>Web</t>
  </si>
  <si>
    <t>Web Control Panel</t>
  </si>
  <si>
    <t>Web_Download_Link_Word</t>
  </si>
  <si>
    <t>Web Download Link</t>
  </si>
  <si>
    <t>Web_Port</t>
  </si>
  <si>
    <t>Web Port (80, or 8000)</t>
  </si>
  <si>
    <t>Web_UI</t>
  </si>
  <si>
    <t>The Web UI lets you add or view settings for any avatar.</t>
  </si>
  <si>
    <t>webserver_Search_map</t>
  </si>
  <si>
    <t>WebServerPanel</t>
  </si>
  <si>
    <t>Web Server Panel</t>
  </si>
  <si>
    <t>What_2_say_To_all</t>
  </si>
  <si>
    <t>What do you want to say to everyone on line?</t>
  </si>
  <si>
    <t>What_to_say_2_region</t>
  </si>
  <si>
    <t>What do you want to say to this region?</t>
  </si>
  <si>
    <t>Which_Channel</t>
  </si>
  <si>
    <t>Which channel do birds listen to for in-world commands.  Negative numbers cannot be used by humans</t>
  </si>
  <si>
    <t>White_word</t>
  </si>
  <si>
    <t>White</t>
  </si>
  <si>
    <t>Wifi_interface</t>
  </si>
  <si>
    <t>Wifi Interface Admin</t>
  </si>
  <si>
    <t>WifiMap</t>
  </si>
  <si>
    <t>This is the standard Wifi Map page</t>
  </si>
  <si>
    <t>WillNotSave</t>
  </si>
  <si>
    <t>Will not save an OAR with Autobackup.</t>
  </si>
  <si>
    <t>Wrong</t>
  </si>
  <si>
    <t>Something is wrong with the Internet</t>
  </si>
  <si>
    <t>X</t>
  </si>
  <si>
    <t>X_Engine_word</t>
  </si>
  <si>
    <t>X Engine</t>
  </si>
  <si>
    <t>XMLRP_start</t>
  </si>
  <si>
    <t>XMLRPC Port Start #</t>
  </si>
  <si>
    <t>XMLRPC</t>
  </si>
  <si>
    <t>Y</t>
  </si>
  <si>
    <t>YEngine_word</t>
  </si>
  <si>
    <t>YEngine</t>
  </si>
  <si>
    <t>Yes_word</t>
  </si>
  <si>
    <t>Yes</t>
  </si>
  <si>
    <t>Erlaube oder verbiete Gött Modus</t>
  </si>
  <si>
    <t>Webserver läuft</t>
  </si>
  <si>
    <t>0 - Aus. Wie viele Minuten bis zum automatischen Neustart?</t>
  </si>
  <si>
    <t>Erhöhen der automatischen Neustartzeit, damit Backups 30 Minuten nach dem Neustartintervall beendet werden</t>
  </si>
  <si>
    <t>Benutzerdefinierte Webseiten sichern</t>
  </si>
  <si>
    <t>Karte kann nicht normalisiert werden, da sich eine Region an einer Position befindet, die kleiner als 0 ist</t>
  </si>
  <si>
    <t>Datenbank überprüfen und reparieren</t>
  </si>
  <si>
    <t>Löschen und laden</t>
  </si>
  <si>
    <t>Ausgewählte Caches löschen</t>
  </si>
  <si>
    <t>Lösche Asset Cache Dies kann lange dauern.</t>
  </si>
  <si>
    <t>Lösche Skript Cache  Dies kann lange dauern.</t>
  </si>
  <si>
    <t>Klicken Sie, um eine Gruppe auszuwählen</t>
  </si>
  <si>
    <t>Klicken Sie hier, um Caches für Skripts, Assets und Bilder einzurichten</t>
  </si>
  <si>
    <t>Klicken Sie hier, um die Währung einzurichten</t>
  </si>
  <si>
    <t>Klicken Sie hier, um Gezeiten einzurichten</t>
  </si>
  <si>
    <t>Klicken Sie hier, um Vivox Voice einzurichten</t>
  </si>
  <si>
    <t>Erstellen einer neuen, leeren Datenbank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</si>
</sst>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rgb="FF333333"/>
      <name val="Arial"/>
    </font>
    <font>
      <sz val="10"/>
      <name val="Arial"/>
    </font>
    <font>
      <sz val="13"/>
      <color rgb="FF2F3F50"/>
      <name val="Arial"/>
    </font>
    <font>
      <sz val="11"/>
      <color rgb="FF222222"/>
      <name val="Arial"/>
    </font>
    <font>
      <sz val="10"/>
      <name val="Arial"/>
    </font>
  </fonts>
  <fills count="4">
    <fill>
      <patternFill patternType="none"/>
    </fill>
    <fill>
      <patternFill patternType="gray125"/>
    </fill>
    <fill>
      <patternFill patternType="solid">
        <fgColor rgb="FF9FC5E8"/>
        <bgColor rgb="FF9FC5E8"/>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 fillId="3" borderId="0" xfId="0" applyFont="1" applyFill="1" applyAlignment="1">
      <alignment horizontal="left"/>
    </xf>
    <xf numFmtId="0" fontId="3" fillId="0" borderId="0" xfId="0" applyFont="1" applyAlignment="1">
      <alignment horizontal="left"/>
    </xf>
    <xf numFmtId="0" fontId="4" fillId="3" borderId="0" xfId="0" applyFont="1" applyFill="1" applyAlignment="1">
      <alignment horizontal="left" wrapText="1"/>
    </xf>
    <xf numFmtId="0" fontId="5" fillId="3" borderId="0" xfId="0" applyFont="1" applyFill="1" applyAlignment="1">
      <alignment horizontal="left"/>
    </xf>
    <xf numFmtId="0" fontId="4" fillId="3" borderId="0" xfId="0" applyFont="1" applyFill="1" applyAlignment="1">
      <alignment horizontal="left"/>
    </xf>
    <xf numFmtId="0" fontId="1" fillId="0" borderId="0" xfId="0" applyFont="1" applyAlignment="1"/>
    <xf numFmtId="0" fontId="1" fillId="0" borderId="0" xfId="0" applyFont="1" applyAlignment="1">
      <alignment wrapText="1"/>
    </xf>
    <xf numFmtId="0" fontId="1" fillId="0" borderId="0" xfId="0" applyFont="1" applyAlignment="1">
      <alignment horizontal="left"/>
    </xf>
    <xf numFmtId="0" fontId="6" fillId="0" borderId="0" xfId="0" applyFont="1" applyAlignment="1">
      <alignment horizontal="left"/>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wrapText="1"/>
    </xf>
    <xf numFmtId="0" fontId="3" fillId="0" borderId="0" xfId="0" applyFont="1" applyAlignment="1"/>
    <xf numFmtId="0" fontId="6" fillId="0" borderId="0" xfId="0" applyFont="1" applyAlignment="1">
      <alignment wrapText="1"/>
    </xf>
    <xf numFmtId="0" fontId="1" fillId="0" borderId="0" xfId="0" applyFont="1" applyAlignment="1">
      <alignment wrapText="1"/>
    </xf>
    <xf numFmtId="0" fontId="6" fillId="0" borderId="0" xfId="0" applyFont="1" applyAlignment="1">
      <alignment wrapText="1"/>
    </xf>
    <xf numFmtId="0" fontId="1" fillId="0" borderId="0" xfId="0" applyFont="1" applyAlignment="1">
      <alignment horizontal="left" wrapText="1"/>
    </xf>
    <xf numFmtId="0" fontId="3" fillId="0" borderId="0" xfId="0" applyFont="1" applyAlignment="1">
      <alignment horizontal="left"/>
    </xf>
    <xf numFmtId="0" fontId="3" fillId="0" borderId="0" xfId="0" quotePrefix="1" applyFont="1" applyAlignment="1"/>
    <xf numFmtId="0" fontId="6" fillId="0" borderId="0" xfId="0" applyFont="1" applyAlignment="1">
      <alignment wrapText="1"/>
    </xf>
    <xf numFmtId="0" fontId="6" fillId="0" borderId="0" xfId="0" applyFont="1" applyAlignment="1">
      <alignment horizontal="left" wrapText="1"/>
    </xf>
    <xf numFmtId="0" fontId="3" fillId="2" borderId="0" xfId="0" applyFont="1" applyFill="1" applyAlignment="1">
      <alignment horizontal="left"/>
    </xf>
    <xf numFmtId="0" fontId="3" fillId="0" borderId="0" xfId="0" applyFont="1" applyAlignment="1">
      <alignment horizontal="left" wrapText="1"/>
    </xf>
    <xf numFmtId="0" fontId="6" fillId="0" borderId="0" xfId="0" applyFont="1" applyAlignment="1">
      <alignment horizontal="left"/>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1"/>
  <sheetViews>
    <sheetView tabSelected="1" workbookViewId="0">
      <pane xSplit="2" ySplit="3" topLeftCell="C45" activePane="bottomRight" state="frozen"/>
      <selection pane="topRight" activeCell="C1" sqref="C1"/>
      <selection pane="bottomLeft" activeCell="A4" sqref="A4"/>
      <selection pane="bottomRight" activeCell="C1" sqref="C1"/>
    </sheetView>
  </sheetViews>
  <sheetFormatPr defaultColWidth="14.42578125" defaultRowHeight="15.75" customHeight="1" x14ac:dyDescent="0.2"/>
  <cols>
    <col min="1" max="1" width="29" customWidth="1"/>
    <col min="2" max="2" width="25.5703125" hidden="1" customWidth="1"/>
    <col min="3" max="3" width="45.28515625" customWidth="1"/>
    <col min="4" max="4" width="40.5703125" customWidth="1"/>
    <col min="5" max="6" width="44.7109375" customWidth="1"/>
    <col min="7" max="7" width="21.28515625" customWidth="1"/>
    <col min="10" max="10" width="10.28515625" customWidth="1"/>
    <col min="22" max="22" width="22" customWidth="1"/>
  </cols>
  <sheetData>
    <row r="1" spans="1:26" ht="32.25" customHeight="1" x14ac:dyDescent="0.2">
      <c r="A1" s="1"/>
      <c r="B1" s="2"/>
      <c r="C1" s="3"/>
      <c r="D1" s="4"/>
      <c r="E1" s="4"/>
      <c r="F1" s="4"/>
      <c r="G1" s="4"/>
      <c r="H1" s="5"/>
      <c r="I1" s="4"/>
      <c r="J1" s="5"/>
      <c r="K1" s="5"/>
      <c r="L1" s="4"/>
      <c r="M1" s="4"/>
      <c r="N1" s="4"/>
      <c r="O1" s="4"/>
      <c r="P1" s="4"/>
      <c r="Q1" s="4"/>
      <c r="R1" s="4"/>
      <c r="S1" s="4"/>
      <c r="T1" s="4"/>
      <c r="U1" s="4"/>
      <c r="V1" s="4"/>
      <c r="W1" s="4"/>
      <c r="X1" s="4"/>
      <c r="Y1" s="4"/>
      <c r="Z1" s="4"/>
    </row>
    <row r="2" spans="1:26" ht="32.25" customHeight="1" x14ac:dyDescent="0.2">
      <c r="A2" s="1"/>
      <c r="B2" s="2" t="s">
        <v>0</v>
      </c>
      <c r="C2" s="3" t="s">
        <v>1</v>
      </c>
      <c r="D2" s="4" t="s">
        <v>2</v>
      </c>
      <c r="E2" s="6" t="s">
        <v>3</v>
      </c>
      <c r="F2" s="4" t="s">
        <v>4</v>
      </c>
      <c r="G2" s="4" t="s">
        <v>5</v>
      </c>
      <c r="H2" s="5" t="s">
        <v>6</v>
      </c>
      <c r="I2" s="4" t="s">
        <v>7</v>
      </c>
      <c r="J2" s="5" t="s">
        <v>8</v>
      </c>
      <c r="K2" s="5" t="s">
        <v>9</v>
      </c>
      <c r="L2" s="4" t="s">
        <v>10</v>
      </c>
      <c r="M2" s="4" t="s">
        <v>11</v>
      </c>
      <c r="N2" s="4" t="s">
        <v>12</v>
      </c>
      <c r="O2" s="4" t="s">
        <v>13</v>
      </c>
      <c r="P2" s="4" t="s">
        <v>14</v>
      </c>
      <c r="Q2" s="4" t="s">
        <v>15</v>
      </c>
      <c r="R2" s="4" t="s">
        <v>16</v>
      </c>
      <c r="S2" s="4" t="s">
        <v>17</v>
      </c>
      <c r="T2" s="4" t="s">
        <v>18</v>
      </c>
      <c r="U2" s="4" t="s">
        <v>19</v>
      </c>
      <c r="V2" s="4" t="s">
        <v>20</v>
      </c>
      <c r="W2" s="4" t="s">
        <v>21</v>
      </c>
      <c r="X2" s="4" t="s">
        <v>22</v>
      </c>
      <c r="Y2" s="4"/>
      <c r="Z2" s="4"/>
    </row>
    <row r="3" spans="1:26" ht="32.25" customHeight="1" x14ac:dyDescent="0.25">
      <c r="A3" s="1" t="s">
        <v>23</v>
      </c>
      <c r="B3" s="2" t="s">
        <v>24</v>
      </c>
      <c r="C3" s="7" t="s">
        <v>25</v>
      </c>
      <c r="D3" s="4" t="s">
        <v>26</v>
      </c>
      <c r="E3" s="6" t="s">
        <v>27</v>
      </c>
      <c r="F3" s="4" t="s">
        <v>28</v>
      </c>
      <c r="G3" s="4" t="s">
        <v>29</v>
      </c>
      <c r="H3" s="5" t="s">
        <v>30</v>
      </c>
      <c r="I3" s="4" t="s">
        <v>31</v>
      </c>
      <c r="J3" s="5" t="s">
        <v>32</v>
      </c>
      <c r="K3" s="5" t="s">
        <v>33</v>
      </c>
      <c r="L3" s="5" t="s">
        <v>34</v>
      </c>
      <c r="M3" s="4" t="s">
        <v>35</v>
      </c>
      <c r="N3" s="4" t="s">
        <v>36</v>
      </c>
      <c r="O3" s="4" t="s">
        <v>37</v>
      </c>
      <c r="P3" s="4" t="s">
        <v>38</v>
      </c>
      <c r="Q3" s="4" t="s">
        <v>39</v>
      </c>
      <c r="R3" s="4" t="s">
        <v>40</v>
      </c>
      <c r="S3" s="4" t="s">
        <v>41</v>
      </c>
      <c r="T3" s="4" t="s">
        <v>42</v>
      </c>
      <c r="U3" s="4" t="s">
        <v>43</v>
      </c>
      <c r="V3" s="8" t="s">
        <v>44</v>
      </c>
      <c r="W3" s="8" t="s">
        <v>45</v>
      </c>
      <c r="X3" s="9" t="s">
        <v>46</v>
      </c>
      <c r="Y3" s="9"/>
      <c r="Z3" s="9"/>
    </row>
    <row r="4" spans="1:26" ht="32.25" customHeight="1" x14ac:dyDescent="0.2">
      <c r="A4" s="10" t="s">
        <v>47</v>
      </c>
      <c r="B4" s="10" t="s">
        <v>48</v>
      </c>
      <c r="C4" s="11" t="str">
        <f ca="1">IFERROR(__xludf.DUMMYFUNCTION("GOOGLETRANSLATE($B4,""en"",C$3)"),"abgebrochen")</f>
        <v>abgebrochen</v>
      </c>
      <c r="D4" s="12" t="str">
        <f ca="1">IFERROR(__xludf.DUMMYFUNCTION("GOOGLETRANSLATE($B4,""en"",D$3)"),"Avbruten")</f>
        <v>Avbruten</v>
      </c>
      <c r="E4" s="13" t="s">
        <v>49</v>
      </c>
      <c r="F4" s="14" t="s">
        <v>49</v>
      </c>
      <c r="G4" s="12" t="str">
        <f ca="1">IFERROR(__xludf.DUMMYFUNCTION("Proper(GOOGLETRANSLATE(B4,""en"",""fr""))"),"Avorté")</f>
        <v>Avorté</v>
      </c>
      <c r="H4" s="12" t="str">
        <f ca="1">IFERROR(__xludf.DUMMYFUNCTION("GOOGLETRANSLATE($B4,""en"",H$3)"),"abortatu")</f>
        <v>abortatu</v>
      </c>
      <c r="I4" s="12" t="str">
        <f ca="1">IFERROR(__xludf.DUMMYFUNCTION("GOOGLETRANSLATE($B4,""en"",I$3)"),"avortat")</f>
        <v>avortat</v>
      </c>
      <c r="J4" s="12" t="str">
        <f ca="1">IFERROR(__xludf.DUMMYFUNCTION("GOOGLETRANSLATE($B4,""en"",J$3)"),"Aborted")</f>
        <v>Aborted</v>
      </c>
      <c r="K4" s="12" t="str">
        <f ca="1">IFERROR(__xludf.DUMMYFUNCTION("GOOGLETRANSLATE($B4,""en"",K$3)"),"中止")</f>
        <v>中止</v>
      </c>
      <c r="L4" s="12" t="str">
        <f ca="1">IFERROR(__xludf.DUMMYFUNCTION("GOOGLETRANSLATE($B4,""en"",L$3)"),"中止")</f>
        <v>中止</v>
      </c>
      <c r="M4" s="12" t="str">
        <f ca="1">IFERROR(__xludf.DUMMYFUNCTION("GOOGLETRANSLATE($B4,""en"",M$3)"),"Aborted")</f>
        <v>Aborted</v>
      </c>
      <c r="N4" s="12" t="str">
        <f ca="1">IFERROR(__xludf.DUMMYFUNCTION("GOOGLETRANSLATE($B4,""en"",N$3)"),"Ακύρωσε")</f>
        <v>Ακύρωσε</v>
      </c>
      <c r="O4" s="12" t="str">
        <f ca="1">IFERROR(__xludf.DUMMYFUNCTION("GOOGLETRANSLATE($B4,""en"",O$3)"),"Aborted")</f>
        <v>Aborted</v>
      </c>
      <c r="P4" s="12" t="str">
        <f ca="1">IFERROR(__xludf.DUMMYFUNCTION("GOOGLETRANSLATE($B4,""en"",P$3)"),"á thobscor")</f>
        <v>á thobscor</v>
      </c>
      <c r="Q4" s="12" t="str">
        <f ca="1">IFERROR(__xludf.DUMMYFUNCTION("GOOGLETRANSLATE($B4,""en"",Q$3)"),"سقط")</f>
        <v>سقط</v>
      </c>
      <c r="R4" s="12" t="str">
        <f ca="1">IFERROR(__xludf.DUMMYFUNCTION("GOOGLETRANSLATE($B4,""en"",R$3)"),"Aborted")</f>
        <v>Aborted</v>
      </c>
      <c r="S4" s="12" t="str">
        <f ca="1">IFERROR(__xludf.DUMMYFUNCTION("GOOGLETRANSLATE($B4,""en"",S$3)"),"Hætt")</f>
        <v>Hætt</v>
      </c>
      <c r="T4" s="12" t="str">
        <f ca="1">IFERROR(__xludf.DUMMYFUNCTION("GOOGLETRANSLATE($B4,""en"",T$3)"),"Abortert")</f>
        <v>Abortert</v>
      </c>
      <c r="U4" s="12" t="str">
        <f ca="1">IFERROR(__xludf.DUMMYFUNCTION("GOOGLETRANSLATE($B4,""en"",U$3)"),"إحباط")</f>
        <v>إحباط</v>
      </c>
      <c r="V4" s="15" t="str">
        <f ca="1">IFERROR(__xludf.DUMMYFUNCTION("GOOGLETRANSLATE($B4,""en"",V$3)"),"Niedonoszony")</f>
        <v>Niedonoszony</v>
      </c>
      <c r="W4" s="12" t="str">
        <f ca="1">IFERROR(__xludf.DUMMYFUNCTION("GOOGLETRANSLATE($B4,""en"",W$3)"),"Прерванный")</f>
        <v>Прерванный</v>
      </c>
      <c r="X4" s="12" t="str">
        <f ca="1">IFERROR(__xludf.DUMMYFUNCTION("GOOGLETRANSLATE($B4,""en"",X$3)"),"Abortado")</f>
        <v>Abortado</v>
      </c>
      <c r="Y4" s="12"/>
      <c r="Z4" s="12"/>
    </row>
    <row r="5" spans="1:26" ht="32.25" customHeight="1" x14ac:dyDescent="0.2">
      <c r="A5" s="10" t="s">
        <v>50</v>
      </c>
      <c r="B5" s="10" t="s">
        <v>51</v>
      </c>
      <c r="C5" s="11" t="str">
        <f ca="1">IFERROR(__xludf.DUMMYFUNCTION("GOOGLETRANSLATE($B5,""en"",C$3)"),"Über")</f>
        <v>Über</v>
      </c>
      <c r="D5" s="12" t="str">
        <f ca="1">IFERROR(__xludf.DUMMYFUNCTION("GOOGLETRANSLATE($B5,""en"",D$3)"),"Handla om")</f>
        <v>Handla om</v>
      </c>
      <c r="E5" s="12" t="str">
        <f ca="1">IFERROR(__xludf.DUMMYFUNCTION("GOOGLETRANSLATE($B5,""en"",E$3)"),"Sobre")</f>
        <v>Sobre</v>
      </c>
      <c r="F5" s="12" t="str">
        <f ca="1">IFERROR(__xludf.DUMMYFUNCTION("GOOGLETRANSLATE($B5,""en"",F$3)"),"Sobre")</f>
        <v>Sobre</v>
      </c>
      <c r="G5" s="15" t="str">
        <f ca="1">IFERROR(__xludf.DUMMYFUNCTION("Proper(GOOGLETRANSLATE(B5,""en"",""fr""))"),"À Propos")</f>
        <v>À Propos</v>
      </c>
      <c r="H5" s="12" t="str">
        <f ca="1">IFERROR(__xludf.DUMMYFUNCTION("GOOGLETRANSLATE($B5,""en"",H$3)"),"About")</f>
        <v>About</v>
      </c>
      <c r="I5" s="12" t="str">
        <f ca="1">IFERROR(__xludf.DUMMYFUNCTION("GOOGLETRANSLATE($B5,""en"",I$3)"),"Sobre")</f>
        <v>Sobre</v>
      </c>
      <c r="J5" s="12" t="str">
        <f ca="1">IFERROR(__xludf.DUMMYFUNCTION("GOOGLETRANSLATE($B5,""en"",J$3)"),"O")</f>
        <v>O</v>
      </c>
      <c r="K5" s="12" t="str">
        <f ca="1">IFERROR(__xludf.DUMMYFUNCTION("GOOGLETRANSLATE($B5,""en"",K$3)"),"关于")</f>
        <v>关于</v>
      </c>
      <c r="L5" s="12" t="str">
        <f ca="1">IFERROR(__xludf.DUMMYFUNCTION("GOOGLETRANSLATE($B5,""en"",L$3)"),"關於")</f>
        <v>關於</v>
      </c>
      <c r="M5" s="12" t="str">
        <f ca="1">IFERROR(__xludf.DUMMYFUNCTION("GOOGLETRANSLATE($B5,""en"",M$3)"),"Over")</f>
        <v>Over</v>
      </c>
      <c r="N5" s="12" t="str">
        <f ca="1">IFERROR(__xludf.DUMMYFUNCTION("GOOGLETRANSLATE($B5,""en"",N$3)"),"Σχετικά με")</f>
        <v>Σχετικά με</v>
      </c>
      <c r="O5" s="12" t="str">
        <f ca="1">IFERROR(__xludf.DUMMYFUNCTION("GOOGLETRANSLATE($B5,""en"",O$3)"),"Noin")</f>
        <v>Noin</v>
      </c>
      <c r="P5" s="12" t="str">
        <f ca="1">IFERROR(__xludf.DUMMYFUNCTION("GOOGLETRANSLATE($B5,""en"",P$3)"),"Faoi")</f>
        <v>Faoi</v>
      </c>
      <c r="Q5" s="12" t="str">
        <f ca="1">IFERROR(__xludf.DUMMYFUNCTION("GOOGLETRANSLATE($B5,""en"",Q$3)"),"در باره")</f>
        <v>در باره</v>
      </c>
      <c r="R5" s="12" t="str">
        <f ca="1">IFERROR(__xludf.DUMMYFUNCTION("GOOGLETRANSLATE($B5,""en"",R$3)"),"על אודות")</f>
        <v>על אודות</v>
      </c>
      <c r="S5" s="12" t="str">
        <f ca="1">IFERROR(__xludf.DUMMYFUNCTION("GOOGLETRANSLATE($B5,""en"",S$3)"),"um")</f>
        <v>um</v>
      </c>
      <c r="T5" s="12" t="str">
        <f ca="1">IFERROR(__xludf.DUMMYFUNCTION("GOOGLETRANSLATE($B5,""en"",T$3)"),"Om")</f>
        <v>Om</v>
      </c>
      <c r="U5" s="12" t="str">
        <f ca="1">IFERROR(__xludf.DUMMYFUNCTION("GOOGLETRANSLATE($B5,""en"",U$3)"),"حول")</f>
        <v>حول</v>
      </c>
      <c r="V5" s="15" t="str">
        <f ca="1">IFERROR(__xludf.DUMMYFUNCTION("GOOGLETRANSLATE($B5,""en"",V$3)"),"O")</f>
        <v>O</v>
      </c>
      <c r="W5" s="12" t="str">
        <f ca="1">IFERROR(__xludf.DUMMYFUNCTION("GOOGLETRANSLATE($B5,""en"",W$3)"),"Около")</f>
        <v>Около</v>
      </c>
      <c r="X5" s="12" t="str">
        <f ca="1">IFERROR(__xludf.DUMMYFUNCTION("GOOGLETRANSLATE($B5,""en"",X$3)"),"Acerca de")</f>
        <v>Acerca de</v>
      </c>
      <c r="Y5" s="12"/>
      <c r="Z5" s="12"/>
    </row>
    <row r="6" spans="1:26" ht="32.25" customHeight="1" x14ac:dyDescent="0.2">
      <c r="A6" s="10" t="s">
        <v>52</v>
      </c>
      <c r="B6" s="10" t="s">
        <v>53</v>
      </c>
      <c r="C6" s="11" t="s">
        <v>54</v>
      </c>
      <c r="D6" s="12" t="str">
        <f ca="1">IFERROR(__xludf.DUMMYFUNCTION("GOOGLETRANSLATE($B6,""en"",D$3)"),"Lägg Region")</f>
        <v>Lägg Region</v>
      </c>
      <c r="E6" s="12" t="str">
        <f ca="1">IFERROR(__xludf.DUMMYFUNCTION("GOOGLETRANSLATE($B6,""en"",E$3)"),"Adicionar Região")</f>
        <v>Adicionar Região</v>
      </c>
      <c r="F6" s="12" t="str">
        <f ca="1">IFERROR(__xludf.DUMMYFUNCTION("GOOGLETRANSLATE($B6,""en"",F$3)"),"Adicionar Região")</f>
        <v>Adicionar Região</v>
      </c>
      <c r="G6" s="12" t="str">
        <f ca="1">IFERROR(__xludf.DUMMYFUNCTION("Proper(GOOGLETRANSLATE(B6,""en"",""fr""))"),"Ajouter Région")</f>
        <v>Ajouter Région</v>
      </c>
      <c r="H6" s="12" t="str">
        <f ca="1">IFERROR(__xludf.DUMMYFUNCTION("GOOGLETRANSLATE($B6,""en"",H$3)"),"Gehitu eskualdea")</f>
        <v>Gehitu eskualdea</v>
      </c>
      <c r="I6" s="12" t="str">
        <f ca="1">IFERROR(__xludf.DUMMYFUNCTION("GOOGLETRANSLATE($B6,""en"",I$3)"),"Afegir Regió")</f>
        <v>Afegir Regió</v>
      </c>
      <c r="J6" s="12" t="str">
        <f ca="1">IFERROR(__xludf.DUMMYFUNCTION("GOOGLETRANSLATE($B6,""en"",J$3)"),"Přidat oblast")</f>
        <v>Přidat oblast</v>
      </c>
      <c r="K6" s="12" t="str">
        <f ca="1">IFERROR(__xludf.DUMMYFUNCTION("GOOGLETRANSLATE($B6,""en"",K$3)"),"添加地区")</f>
        <v>添加地区</v>
      </c>
      <c r="L6" s="12" t="str">
        <f ca="1">IFERROR(__xludf.DUMMYFUNCTION("GOOGLETRANSLATE($B6,""en"",L$3)"),"添加地區")</f>
        <v>添加地區</v>
      </c>
      <c r="M6" s="12" t="str">
        <f ca="1">IFERROR(__xludf.DUMMYFUNCTION("GOOGLETRANSLATE($B6,""en"",M$3)"),"Voeg Region")</f>
        <v>Voeg Region</v>
      </c>
      <c r="N6" s="12" t="str">
        <f ca="1">IFERROR(__xludf.DUMMYFUNCTION("GOOGLETRANSLATE($B6,""en"",N$3)"),"Προσθήκη Περιφέρεια")</f>
        <v>Προσθήκη Περιφέρεια</v>
      </c>
      <c r="O6" s="12" t="str">
        <f ca="1">IFERROR(__xludf.DUMMYFUNCTION("GOOGLETRANSLATE($B6,""en"",O$3)"),"Lisää alue")</f>
        <v>Lisää alue</v>
      </c>
      <c r="P6" s="12" t="str">
        <f ca="1">IFERROR(__xludf.DUMMYFUNCTION("GOOGLETRANSLATE($B6,""en"",P$3)"),"Cuir Réigiún")</f>
        <v>Cuir Réigiún</v>
      </c>
      <c r="Q6" s="12" t="str">
        <f ca="1">IFERROR(__xludf.DUMMYFUNCTION("GOOGLETRANSLATE($B6,""en"",Q$3)"),"اضافه کردن منطقه")</f>
        <v>اضافه کردن منطقه</v>
      </c>
      <c r="R6" s="12" t="str">
        <f ca="1">IFERROR(__xludf.DUMMYFUNCTION("GOOGLETRANSLATE($B6,""en"",R$3)"),"הוספת האזור")</f>
        <v>הוספת האזור</v>
      </c>
      <c r="S6" s="12" t="str">
        <f ca="1">IFERROR(__xludf.DUMMYFUNCTION("GOOGLETRANSLATE($B6,""en"",S$3)"),"bæta við Norðurlönd")</f>
        <v>bæta við Norðurlönd</v>
      </c>
      <c r="T6" s="12" t="str">
        <f ca="1">IFERROR(__xludf.DUMMYFUNCTION("GOOGLETRANSLATE($B6,""en"",T$3)"),"Legg Region")</f>
        <v>Legg Region</v>
      </c>
      <c r="U6" s="12" t="str">
        <f ca="1">IFERROR(__xludf.DUMMYFUNCTION("GOOGLETRANSLATE($B6,""en"",U$3)"),"إضافة منطقة")</f>
        <v>إضافة منطقة</v>
      </c>
      <c r="V6" s="15" t="str">
        <f ca="1">IFERROR(__xludf.DUMMYFUNCTION("GOOGLETRANSLATE($B6,""en"",V$3)"),"Dodaj obszar")</f>
        <v>Dodaj obszar</v>
      </c>
      <c r="W6" s="12" t="str">
        <f ca="1">IFERROR(__xludf.DUMMYFUNCTION("GOOGLETRANSLATE($B6,""en"",W$3)"),"Добавить область")</f>
        <v>Добавить область</v>
      </c>
      <c r="X6" s="12" t="str">
        <f ca="1">IFERROR(__xludf.DUMMYFUNCTION("GOOGLETRANSLATE($B6,""en"",X$3)"),"Añadir Región")</f>
        <v>Añadir Región</v>
      </c>
      <c r="Y6" s="12"/>
      <c r="Z6" s="12"/>
    </row>
    <row r="7" spans="1:26" ht="32.25" customHeight="1" x14ac:dyDescent="0.2">
      <c r="A7" s="10" t="s">
        <v>55</v>
      </c>
      <c r="B7" s="10" t="s">
        <v>56</v>
      </c>
      <c r="C7" s="11" t="str">
        <f ca="1">IFERROR(__xludf.DUMMYFUNCTION("GOOGLETRANSLATE($B7,""en"",C$3)"),"Nutzer hinzufügen")</f>
        <v>Nutzer hinzufügen</v>
      </c>
      <c r="D7" s="12" t="str">
        <f ca="1">IFERROR(__xludf.DUMMYFUNCTION("GOOGLETRANSLATE($B7,""en"",D$3)"),"Lägg till användare")</f>
        <v>Lägg till användare</v>
      </c>
      <c r="E7" s="13" t="s">
        <v>57</v>
      </c>
      <c r="F7" s="14" t="s">
        <v>57</v>
      </c>
      <c r="G7" s="12" t="str">
        <f ca="1">IFERROR(__xludf.DUMMYFUNCTION("Proper(GOOGLETRANSLATE(B7,""en"",""fr""))"),"Ajouter Un Utilisateur")</f>
        <v>Ajouter Un Utilisateur</v>
      </c>
      <c r="H7" s="12" t="str">
        <f ca="1">IFERROR(__xludf.DUMMYFUNCTION("GOOGLETRANSLATE($B7,""en"",H$3)"),"Gehitu erabiltzailea")</f>
        <v>Gehitu erabiltzailea</v>
      </c>
      <c r="I7" s="12" t="str">
        <f ca="1">IFERROR(__xludf.DUMMYFUNCTION("GOOGLETRANSLATE($B7,""en"",I$3)"),"afegir usuari")</f>
        <v>afegir usuari</v>
      </c>
      <c r="J7" s="12" t="str">
        <f ca="1">IFERROR(__xludf.DUMMYFUNCTION("GOOGLETRANSLATE($B7,""en"",J$3)"),"Přidat uživatele")</f>
        <v>Přidat uživatele</v>
      </c>
      <c r="K7" s="12" t="str">
        <f ca="1">IFERROR(__xludf.DUMMYFUNCTION("GOOGLETRANSLATE($B7,""en"",K$3)"),"添加用户")</f>
        <v>添加用户</v>
      </c>
      <c r="L7" s="12" t="str">
        <f ca="1">IFERROR(__xludf.DUMMYFUNCTION("GOOGLETRANSLATE($B7,""en"",L$3)"),"添加用戶")</f>
        <v>添加用戶</v>
      </c>
      <c r="M7" s="12" t="str">
        <f ca="1">IFERROR(__xludf.DUMMYFUNCTION("GOOGLETRANSLATE($B7,""en"",M$3)"),"Voeg gebruiker toe")</f>
        <v>Voeg gebruiker toe</v>
      </c>
      <c r="N7" s="12" t="str">
        <f ca="1">IFERROR(__xludf.DUMMYFUNCTION("GOOGLETRANSLATE($B7,""en"",N$3)"),"Πρόσθεσε χρήστη")</f>
        <v>Πρόσθεσε χρήστη</v>
      </c>
      <c r="O7" s="12" t="str">
        <f ca="1">IFERROR(__xludf.DUMMYFUNCTION("GOOGLETRANSLATE($B7,""en"",O$3)"),"Lisää käyttäjä")</f>
        <v>Lisää käyttäjä</v>
      </c>
      <c r="P7" s="12" t="str">
        <f ca="1">IFERROR(__xludf.DUMMYFUNCTION("GOOGLETRANSLATE($B7,""en"",P$3)"),"Cuir Úsáideora")</f>
        <v>Cuir Úsáideora</v>
      </c>
      <c r="Q7" s="12" t="str">
        <f ca="1">IFERROR(__xludf.DUMMYFUNCTION("GOOGLETRANSLATE($B7,""en"",Q$3)"),"اضافه کردن کاربر")</f>
        <v>اضافه کردن کاربر</v>
      </c>
      <c r="R7" s="12" t="str">
        <f ca="1">IFERROR(__xludf.DUMMYFUNCTION("GOOGLETRANSLATE($B7,""en"",R$3)"),"הוסף משתמש")</f>
        <v>הוסף משתמש</v>
      </c>
      <c r="S7" s="12" t="str">
        <f ca="1">IFERROR(__xludf.DUMMYFUNCTION("GOOGLETRANSLATE($B7,""en"",S$3)"),"Bæta notanda")</f>
        <v>Bæta notanda</v>
      </c>
      <c r="T7" s="12" t="str">
        <f ca="1">IFERROR(__xludf.DUMMYFUNCTION("GOOGLETRANSLATE($B7,""en"",T$3)"),"Legg til bruker")</f>
        <v>Legg til bruker</v>
      </c>
      <c r="U7" s="12" t="str">
        <f ca="1">IFERROR(__xludf.DUMMYFUNCTION("GOOGLETRANSLATE($B7,""en"",U$3)"),"إضافة مستخدم")</f>
        <v>إضافة مستخدم</v>
      </c>
      <c r="V7" s="15" t="str">
        <f ca="1">IFERROR(__xludf.DUMMYFUNCTION("GOOGLETRANSLATE($B7,""en"",V$3)"),"Dodaj użytkownika")</f>
        <v>Dodaj użytkownika</v>
      </c>
      <c r="W7" s="12" t="str">
        <f ca="1">IFERROR(__xludf.DUMMYFUNCTION("GOOGLETRANSLATE($B7,""en"",W$3)"),"Добавить пользователя")</f>
        <v>Добавить пользователя</v>
      </c>
      <c r="X7" s="12" t="str">
        <f ca="1">IFERROR(__xludf.DUMMYFUNCTION("GOOGLETRANSLATE($B7,""en"",X$3)"),"Agregar usuario")</f>
        <v>Agregar usuario</v>
      </c>
      <c r="Y7" s="12"/>
      <c r="Z7" s="12"/>
    </row>
    <row r="8" spans="1:26" ht="32.25" customHeight="1" x14ac:dyDescent="0.2">
      <c r="A8" s="10" t="s">
        <v>58</v>
      </c>
      <c r="B8" s="10" t="s">
        <v>59</v>
      </c>
      <c r="C8" s="11" t="str">
        <f ca="1">IFERROR(__xludf.DUMMYFUNCTION("GOOGLETRANSLATE($B8,""en"",C$3)"),"Hinzufügen")</f>
        <v>Hinzufügen</v>
      </c>
      <c r="D8" s="12" t="str">
        <f ca="1">IFERROR(__xludf.DUMMYFUNCTION("GOOGLETRANSLATE($B8,""en"",D$3)"),"Lägg till")</f>
        <v>Lägg till</v>
      </c>
      <c r="E8" s="12" t="str">
        <f ca="1">IFERROR(__xludf.DUMMYFUNCTION("GOOGLETRANSLATE($B8,""en"",E$3)"),"Adicionar")</f>
        <v>Adicionar</v>
      </c>
      <c r="F8" s="12" t="str">
        <f ca="1">IFERROR(__xludf.DUMMYFUNCTION("GOOGLETRANSLATE($B8,""en"",F$3)"),"Adicionar")</f>
        <v>Adicionar</v>
      </c>
      <c r="G8" s="12" t="str">
        <f ca="1">IFERROR(__xludf.DUMMYFUNCTION("Proper(GOOGLETRANSLATE(B8,""en"",""fr""))"),"Ajouter")</f>
        <v>Ajouter</v>
      </c>
      <c r="H8" s="12" t="str">
        <f ca="1">IFERROR(__xludf.DUMMYFUNCTION("GOOGLETRANSLATE($B8,""en"",H$3)"),"Gehitu")</f>
        <v>Gehitu</v>
      </c>
      <c r="I8" s="12" t="str">
        <f ca="1">IFERROR(__xludf.DUMMYFUNCTION("GOOGLETRANSLATE($B8,""en"",I$3)"),"afegir")</f>
        <v>afegir</v>
      </c>
      <c r="J8" s="12" t="str">
        <f ca="1">IFERROR(__xludf.DUMMYFUNCTION("GOOGLETRANSLATE($B8,""en"",J$3)"),"Přidat")</f>
        <v>Přidat</v>
      </c>
      <c r="K8" s="12" t="str">
        <f ca="1">IFERROR(__xludf.DUMMYFUNCTION("GOOGLETRANSLATE($B8,""en"",K$3)"),"加")</f>
        <v>加</v>
      </c>
      <c r="L8" s="12" t="str">
        <f ca="1">IFERROR(__xludf.DUMMYFUNCTION("GOOGLETRANSLATE($B8,""en"",L$3)"),"加")</f>
        <v>加</v>
      </c>
      <c r="M8" s="12" t="str">
        <f ca="1">IFERROR(__xludf.DUMMYFUNCTION("GOOGLETRANSLATE($B8,""en"",M$3)"),"Toevoegen")</f>
        <v>Toevoegen</v>
      </c>
      <c r="N8" s="12" t="str">
        <f ca="1">IFERROR(__xludf.DUMMYFUNCTION("GOOGLETRANSLATE($B8,""en"",N$3)"),"Προσθήκη")</f>
        <v>Προσθήκη</v>
      </c>
      <c r="O8" s="12" t="str">
        <f ca="1">IFERROR(__xludf.DUMMYFUNCTION("GOOGLETRANSLATE($B8,""en"",O$3)"),"Lisätä")</f>
        <v>Lisätä</v>
      </c>
      <c r="P8" s="12" t="str">
        <f ca="1">IFERROR(__xludf.DUMMYFUNCTION("GOOGLETRANSLATE($B8,""en"",P$3)"),"Cuir")</f>
        <v>Cuir</v>
      </c>
      <c r="Q8" s="12" t="str">
        <f ca="1">IFERROR(__xludf.DUMMYFUNCTION("GOOGLETRANSLATE($B8,""en"",Q$3)"),"اضافه کردن")</f>
        <v>اضافه کردن</v>
      </c>
      <c r="R8" s="12" t="str">
        <f ca="1">IFERROR(__xludf.DUMMYFUNCTION("GOOGLETRANSLATE($B8,""en"",R$3)"),"לְהוֹסִיף")</f>
        <v>לְהוֹסִיף</v>
      </c>
      <c r="S8" s="12" t="str">
        <f ca="1">IFERROR(__xludf.DUMMYFUNCTION("GOOGLETRANSLATE($B8,""en"",S$3)"),"Bæta við")</f>
        <v>Bæta við</v>
      </c>
      <c r="T8" s="12" t="str">
        <f ca="1">IFERROR(__xludf.DUMMYFUNCTION("GOOGLETRANSLATE($B8,""en"",T$3)"),"Legg til")</f>
        <v>Legg til</v>
      </c>
      <c r="U8" s="12" t="str">
        <f ca="1">IFERROR(__xludf.DUMMYFUNCTION("GOOGLETRANSLATE($B8,""en"",U$3)"),"إضافة")</f>
        <v>إضافة</v>
      </c>
      <c r="V8" s="15" t="str">
        <f ca="1">IFERROR(__xludf.DUMMYFUNCTION("GOOGLETRANSLATE($B8,""en"",V$3)"),"Dodaj")</f>
        <v>Dodaj</v>
      </c>
      <c r="W8" s="12" t="str">
        <f ca="1">IFERROR(__xludf.DUMMYFUNCTION("GOOGLETRANSLATE($B8,""en"",W$3)"),"Добавить")</f>
        <v>Добавить</v>
      </c>
      <c r="X8" s="12" t="str">
        <f ca="1">IFERROR(__xludf.DUMMYFUNCTION("GOOGLETRANSLATE($B8,""en"",X$3)"),"Añadir")</f>
        <v>Añadir</v>
      </c>
      <c r="Y8" s="12"/>
      <c r="Z8" s="12"/>
    </row>
    <row r="9" spans="1:26" ht="32.25" customHeight="1" x14ac:dyDescent="0.2">
      <c r="A9" s="10" t="s">
        <v>60</v>
      </c>
      <c r="B9" s="10" t="s">
        <v>61</v>
      </c>
      <c r="C9" s="11" t="str">
        <f ca="1">IFERROR(__xludf.DUMMYFUNCTION("GOOGLETRANSLATE($B9,""en"",C$3)"),"Administrator-Passwort")</f>
        <v>Administrator-Passwort</v>
      </c>
      <c r="D9" s="12" t="str">
        <f ca="1">IFERROR(__xludf.DUMMYFUNCTION("GOOGLETRANSLATE($B9,""en"",D$3)"),"Admin lösenord")</f>
        <v>Admin lösenord</v>
      </c>
      <c r="E9" s="13" t="s">
        <v>62</v>
      </c>
      <c r="F9" s="14" t="s">
        <v>62</v>
      </c>
      <c r="G9" s="12" t="str">
        <f ca="1">IFERROR(__xludf.DUMMYFUNCTION("Proper(GOOGLETRANSLATE(B9,""en"",""fr""))"),"Mot De Passe D'Administrateur")</f>
        <v>Mot De Passe D'Administrateur</v>
      </c>
      <c r="H9" s="12" t="str">
        <f ca="1">IFERROR(__xludf.DUMMYFUNCTION("GOOGLETRANSLATE($B9,""en"",H$3)"),"admin Password")</f>
        <v>admin Password</v>
      </c>
      <c r="I9" s="12" t="str">
        <f ca="1">IFERROR(__xludf.DUMMYFUNCTION("GOOGLETRANSLATE($B9,""en"",I$3)"),"contrasenya d'administrador")</f>
        <v>contrasenya d'administrador</v>
      </c>
      <c r="J9" s="12" t="str">
        <f ca="1">IFERROR(__xludf.DUMMYFUNCTION("GOOGLETRANSLATE($B9,""en"",J$3)"),"admin Password")</f>
        <v>admin Password</v>
      </c>
      <c r="K9" s="12" t="str">
        <f ca="1">IFERROR(__xludf.DUMMYFUNCTION("GOOGLETRANSLATE($B9,""en"",K$3)"),"管理员密码")</f>
        <v>管理员密码</v>
      </c>
      <c r="L9" s="12" t="str">
        <f ca="1">IFERROR(__xludf.DUMMYFUNCTION("GOOGLETRANSLATE($B9,""en"",L$3)"),"管理員密碼")</f>
        <v>管理員密碼</v>
      </c>
      <c r="M9" s="12" t="str">
        <f ca="1">IFERROR(__xludf.DUMMYFUNCTION("GOOGLETRANSLATE($B9,""en"",M$3)"),"Administrator wachtwoord")</f>
        <v>Administrator wachtwoord</v>
      </c>
      <c r="N9" s="12" t="str">
        <f ca="1">IFERROR(__xludf.DUMMYFUNCTION("GOOGLETRANSLATE($B9,""en"",N$3)"),"Admin Password")</f>
        <v>Admin Password</v>
      </c>
      <c r="O9" s="12" t="str">
        <f ca="1">IFERROR(__xludf.DUMMYFUNCTION("GOOGLETRANSLATE($B9,""en"",O$3)"),"Pääkäyt.salasana")</f>
        <v>Pääkäyt.salasana</v>
      </c>
      <c r="P9" s="12" t="str">
        <f ca="1">IFERROR(__xludf.DUMMYFUNCTION("GOOGLETRANSLATE($B9,""en"",P$3)"),"Focal Faire admin")</f>
        <v>Focal Faire admin</v>
      </c>
      <c r="Q9" s="12" t="str">
        <f ca="1">IFERROR(__xludf.DUMMYFUNCTION("GOOGLETRANSLATE($B9,""en"",Q$3)"),"کلمه عبور کاربر admin")</f>
        <v>کلمه عبور کاربر admin</v>
      </c>
      <c r="R9" s="12" t="str">
        <f ca="1">IFERROR(__xludf.DUMMYFUNCTION("GOOGLETRANSLATE($B9,""en"",R$3)"),"סיסמה Admin")</f>
        <v>סיסמה Admin</v>
      </c>
      <c r="S9" s="12" t="str">
        <f ca="1">IFERROR(__xludf.DUMMYFUNCTION("GOOGLETRANSLATE($B9,""en"",S$3)"),"admin lykilorð")</f>
        <v>admin lykilorð</v>
      </c>
      <c r="T9" s="12" t="str">
        <f ca="1">IFERROR(__xludf.DUMMYFUNCTION("GOOGLETRANSLATE($B9,""en"",T$3)"),"admin Password")</f>
        <v>admin Password</v>
      </c>
      <c r="U9" s="12" t="str">
        <f ca="1">IFERROR(__xludf.DUMMYFUNCTION("GOOGLETRANSLATE($B9,""en"",U$3)"),"كلمة سر المشرف")</f>
        <v>كلمة سر المشرف</v>
      </c>
      <c r="V9" s="15" t="str">
        <f ca="1">IFERROR(__xludf.DUMMYFUNCTION("GOOGLETRANSLATE($B9,""en"",V$3)"),"Hasło administratora")</f>
        <v>Hasło administratora</v>
      </c>
      <c r="W9" s="12" t="str">
        <f ca="1">IFERROR(__xludf.DUMMYFUNCTION("GOOGLETRANSLATE($B9,""en"",W$3)"),"Пароль администратора")</f>
        <v>Пароль администратора</v>
      </c>
      <c r="X9" s="12" t="str">
        <f ca="1">IFERROR(__xludf.DUMMYFUNCTION("GOOGLETRANSLATE($B9,""en"",X$3)"),"Clave de administrador")</f>
        <v>Clave de administrador</v>
      </c>
      <c r="Y9" s="12"/>
      <c r="Z9" s="12"/>
    </row>
    <row r="10" spans="1:26" ht="32.25" customHeight="1" x14ac:dyDescent="0.2">
      <c r="A10" s="10" t="s">
        <v>63</v>
      </c>
      <c r="B10" s="10" t="s">
        <v>64</v>
      </c>
      <c r="C10" s="11" t="str">
        <f ca="1">IFERROR(__xludf.DUMMYFUNCTION("GOOGLETRANSLATE($B10,""en"",C$3)"),"Admin-Webseite")</f>
        <v>Admin-Webseite</v>
      </c>
      <c r="D10" s="12" t="str">
        <f ca="1">IFERROR(__xludf.DUMMYFUNCTION("GOOGLETRANSLATE($B10,""en"",D$3)"),"Admin webbsida")</f>
        <v>Admin webbsida</v>
      </c>
      <c r="E10" s="6" t="s">
        <v>65</v>
      </c>
      <c r="F10" s="4" t="s">
        <v>65</v>
      </c>
      <c r="G10" s="15" t="str">
        <f ca="1">IFERROR(__xludf.DUMMYFUNCTION("Proper(GOOGLETRANSLATE(B10,""en"",""fr""))"),"Administrateur Page Web")</f>
        <v>Administrateur Page Web</v>
      </c>
      <c r="H10" s="15" t="str">
        <f ca="1">IFERROR(__xludf.DUMMYFUNCTION("GOOGLETRANSLATE($B10,""en"",H$3)"),"Admin Web Page")</f>
        <v>Admin Web Page</v>
      </c>
      <c r="I10" s="15" t="str">
        <f ca="1">IFERROR(__xludf.DUMMYFUNCTION("GOOGLETRANSLATE($B10,""en"",I$3)"),"Pàgina d'administració web")</f>
        <v>Pàgina d'administració web</v>
      </c>
      <c r="J10" s="15" t="str">
        <f ca="1">IFERROR(__xludf.DUMMYFUNCTION("GOOGLETRANSLATE($B10,""en"",J$3)"),"Admin webové stránky")</f>
        <v>Admin webové stránky</v>
      </c>
      <c r="K10" s="15" t="str">
        <f ca="1">IFERROR(__xludf.DUMMYFUNCTION("GOOGLETRANSLATE($B10,""en"",K$3)"),"管理Web页")</f>
        <v>管理Web页</v>
      </c>
      <c r="L10" s="15" t="str">
        <f ca="1">IFERROR(__xludf.DUMMYFUNCTION("GOOGLETRANSLATE($B10,""en"",L$3)"),"管理Web頁")</f>
        <v>管理Web頁</v>
      </c>
      <c r="M10" s="15" t="str">
        <f ca="1">IFERROR(__xludf.DUMMYFUNCTION("GOOGLETRANSLATE($B10,""en"",M$3)"),"Admin Webpagina")</f>
        <v>Admin Webpagina</v>
      </c>
      <c r="N10" s="15" t="str">
        <f ca="1">IFERROR(__xludf.DUMMYFUNCTION("GOOGLETRANSLATE($B10,""en"",N$3)"),"Διαχειριστής Ιστοσελίδας")</f>
        <v>Διαχειριστής Ιστοσελίδας</v>
      </c>
      <c r="O10" s="15" t="str">
        <f ca="1">IFERROR(__xludf.DUMMYFUNCTION("GOOGLETRANSLATE($B10,""en"",O$3)"),"Admin Verkkosivu")</f>
        <v>Admin Verkkosivu</v>
      </c>
      <c r="P10" s="15" t="str">
        <f ca="1">IFERROR(__xludf.DUMMYFUNCTION("GOOGLETRANSLATE($B10,""en"",P$3)"),"Riarachán Leathanach Gréasáin")</f>
        <v>Riarachán Leathanach Gréasáin</v>
      </c>
      <c r="Q10" s="15" t="str">
        <f ca="1">IFERROR(__xludf.DUMMYFUNCTION("GOOGLETRANSLATE($B10,""en"",Q$3)"),"محیط مدیریت وب سایت صفحه")</f>
        <v>محیط مدیریت وب سایت صفحه</v>
      </c>
      <c r="R10" s="15" t="str">
        <f ca="1">IFERROR(__xludf.DUMMYFUNCTION("GOOGLETRANSLATE($B10,""en"",R$3)"),"עמוד Admin אינטרנט")</f>
        <v>עמוד Admin אינטרנט</v>
      </c>
      <c r="S10" s="15" t="str">
        <f ca="1">IFERROR(__xludf.DUMMYFUNCTION("GOOGLETRANSLATE($B10,""en"",S$3)"),"Admin Web Page")</f>
        <v>Admin Web Page</v>
      </c>
      <c r="T10" s="15" t="str">
        <f ca="1">IFERROR(__xludf.DUMMYFUNCTION("GOOGLETRANSLATE($B10,""en"",T$3)"),"Admin Web Page")</f>
        <v>Admin Web Page</v>
      </c>
      <c r="U10" s="15" t="str">
        <f ca="1">IFERROR(__xludf.DUMMYFUNCTION("GOOGLETRANSLATE($B10,""en"",U$3)"),"صفحة ويب المشرف")</f>
        <v>صفحة ويب المشرف</v>
      </c>
      <c r="V10" s="15" t="str">
        <f ca="1">IFERROR(__xludf.DUMMYFUNCTION("GOOGLETRANSLATE($B10,""en"",V$3)"),"Administrator strony WWW")</f>
        <v>Administrator strony WWW</v>
      </c>
      <c r="W10" s="15" t="str">
        <f ca="1">IFERROR(__xludf.DUMMYFUNCTION("GOOGLETRANSLATE($B10,""en"",W$3)"),"Администратор веб-страница")</f>
        <v>Администратор веб-страница</v>
      </c>
      <c r="X10" s="15" t="str">
        <f ca="1">IFERROR(__xludf.DUMMYFUNCTION("GOOGLETRANSLATE($B10,""en"",X$3)"),"Página de administración Web")</f>
        <v>Página de administración Web</v>
      </c>
      <c r="Y10" s="15"/>
      <c r="Z10" s="15"/>
    </row>
    <row r="11" spans="1:26" ht="32.25" customHeight="1" x14ac:dyDescent="0.2">
      <c r="A11" s="10" t="s">
        <v>66</v>
      </c>
      <c r="B11" s="10" t="s">
        <v>67</v>
      </c>
      <c r="C11" s="11" t="str">
        <f ca="1">IFERROR(__xludf.DUMMYFUNCTION("GOOGLETRANSLATE($B11,""en"",C$3)"),"Agents")</f>
        <v>Agents</v>
      </c>
      <c r="D11" s="12" t="str">
        <f ca="1">IFERROR(__xludf.DUMMYFUNCTION("GOOGLETRANSLATE($B11,""en"",D$3)"),"agenter")</f>
        <v>agenter</v>
      </c>
      <c r="E11" s="6" t="s">
        <v>67</v>
      </c>
      <c r="F11" s="4" t="s">
        <v>67</v>
      </c>
      <c r="G11" s="15" t="str">
        <f ca="1">IFERROR(__xludf.DUMMYFUNCTION("Proper(GOOGLETRANSLATE(B11,""en"",""fr""))"),"Agents")</f>
        <v>Agents</v>
      </c>
      <c r="H11" s="15" t="str">
        <f ca="1">IFERROR(__xludf.DUMMYFUNCTION("GOOGLETRANSLATE($B11,""en"",H$3)"),"agenteak")</f>
        <v>agenteak</v>
      </c>
      <c r="I11" s="15" t="str">
        <f ca="1">IFERROR(__xludf.DUMMYFUNCTION("GOOGLETRANSLATE($B11,""en"",I$3)"),"agents")</f>
        <v>agents</v>
      </c>
      <c r="J11" s="15" t="str">
        <f ca="1">IFERROR(__xludf.DUMMYFUNCTION("GOOGLETRANSLATE($B11,""en"",J$3)"),"Agents")</f>
        <v>Agents</v>
      </c>
      <c r="K11" s="15" t="str">
        <f ca="1">IFERROR(__xludf.DUMMYFUNCTION("GOOGLETRANSLATE($B11,""en"",K$3)"),"代理")</f>
        <v>代理</v>
      </c>
      <c r="L11" s="15" t="str">
        <f ca="1">IFERROR(__xludf.DUMMYFUNCTION("GOOGLETRANSLATE($B11,""en"",L$3)"),"代理")</f>
        <v>代理</v>
      </c>
      <c r="M11" s="15" t="str">
        <f ca="1">IFERROR(__xludf.DUMMYFUNCTION("GOOGLETRANSLATE($B11,""en"",M$3)"),"agenten")</f>
        <v>agenten</v>
      </c>
      <c r="N11" s="15" t="str">
        <f ca="1">IFERROR(__xludf.DUMMYFUNCTION("GOOGLETRANSLATE($B11,""en"",N$3)"),"πράκτορες")</f>
        <v>πράκτορες</v>
      </c>
      <c r="O11" s="15" t="str">
        <f ca="1">IFERROR(__xludf.DUMMYFUNCTION("GOOGLETRANSLATE($B11,""en"",O$3)"),"agents")</f>
        <v>agents</v>
      </c>
      <c r="P11" s="15" t="str">
        <f ca="1">IFERROR(__xludf.DUMMYFUNCTION("GOOGLETRANSLATE($B11,""en"",P$3)"),"gníomhairí")</f>
        <v>gníomhairí</v>
      </c>
      <c r="Q11" s="15" t="str">
        <f ca="1">IFERROR(__xludf.DUMMYFUNCTION("GOOGLETRANSLATE($B11,""en"",Q$3)"),"عوامل")</f>
        <v>عوامل</v>
      </c>
      <c r="R11" s="15" t="str">
        <f ca="1">IFERROR(__xludf.DUMMYFUNCTION("GOOGLETRANSLATE($B11,""en"",R$3)"),"סוכני")</f>
        <v>סוכני</v>
      </c>
      <c r="S11" s="15" t="str">
        <f ca="1">IFERROR(__xludf.DUMMYFUNCTION("GOOGLETRANSLATE($B11,""en"",S$3)"),"lyf")</f>
        <v>lyf</v>
      </c>
      <c r="T11" s="15" t="str">
        <f ca="1">IFERROR(__xludf.DUMMYFUNCTION("GOOGLETRANSLATE($B11,""en"",T$3)"),"agenter")</f>
        <v>agenter</v>
      </c>
      <c r="U11" s="15" t="str">
        <f ca="1">IFERROR(__xludf.DUMMYFUNCTION("GOOGLETRANSLATE($B11,""en"",U$3)"),"عملاء")</f>
        <v>عملاء</v>
      </c>
      <c r="V11" s="15" t="str">
        <f ca="1">IFERROR(__xludf.DUMMYFUNCTION("GOOGLETRANSLATE($B11,""en"",V$3)"),"Agencje")</f>
        <v>Agencje</v>
      </c>
      <c r="W11" s="15" t="str">
        <f ca="1">IFERROR(__xludf.DUMMYFUNCTION("GOOGLETRANSLATE($B11,""en"",W$3)"),"Агенты")</f>
        <v>Агенты</v>
      </c>
      <c r="X11" s="15" t="str">
        <f ca="1">IFERROR(__xludf.DUMMYFUNCTION("GOOGLETRANSLATE($B11,""en"",X$3)"),"agentes")</f>
        <v>agentes</v>
      </c>
      <c r="Y11" s="15"/>
      <c r="Z11" s="15"/>
    </row>
    <row r="12" spans="1:26" ht="32.25" customHeight="1" x14ac:dyDescent="0.2">
      <c r="A12" s="10" t="s">
        <v>68</v>
      </c>
      <c r="B12" s="10" t="s">
        <v>69</v>
      </c>
      <c r="C12" s="11" t="str">
        <f ca="1">IFERROR(__xludf.DUMMYFUNCTION("GOOGLETRANSLATE($B12,""en"",C$3)"),"Alle Caches gelöscht")</f>
        <v>Alle Caches gelöscht</v>
      </c>
      <c r="D12" s="12" t="str">
        <f ca="1">IFERROR(__xludf.DUMMYFUNCTION("GOOGLETRANSLATE($B12,""en"",D$3)"),"Alla cachar rensas")</f>
        <v>Alla cachar rensas</v>
      </c>
      <c r="E12" s="6" t="s">
        <v>70</v>
      </c>
      <c r="F12" s="4" t="s">
        <v>70</v>
      </c>
      <c r="G12" s="15" t="str">
        <f ca="1">IFERROR(__xludf.DUMMYFUNCTION("Proper(GOOGLETRANSLATE(B12,""en"",""fr""))"),"Tous Les Caches Effacés")</f>
        <v>Tous Les Caches Effacés</v>
      </c>
      <c r="H12" s="15" t="str">
        <f ca="1">IFERROR(__xludf.DUMMYFUNCTION("GOOGLETRANSLATE($B12,""en"",H$3)"),"Cacheak guztia garbitu")</f>
        <v>Cacheak guztia garbitu</v>
      </c>
      <c r="I12" s="15" t="str">
        <f ca="1">IFERROR(__xludf.DUMMYFUNCTION("GOOGLETRANSLATE($B12,""en"",I$3)"),"Tots els caixets s'esborren")</f>
        <v>Tots els caixets s'esborren</v>
      </c>
      <c r="J12" s="15" t="str">
        <f ca="1">IFERROR(__xludf.DUMMYFUNCTION("GOOGLETRANSLATE($B12,""en"",J$3)"),"Všechny vyrovnávací paměti vymazány")</f>
        <v>Všechny vyrovnávací paměti vymazány</v>
      </c>
      <c r="K12" s="15" t="str">
        <f ca="1">IFERROR(__xludf.DUMMYFUNCTION("GOOGLETRANSLATE($B12,""en"",K$3)"),"所有的缓存清除")</f>
        <v>所有的缓存清除</v>
      </c>
      <c r="L12" s="15" t="str">
        <f ca="1">IFERROR(__xludf.DUMMYFUNCTION("GOOGLETRANSLATE($B12,""en"",L$3)"),"所有的緩存清除")</f>
        <v>所有的緩存清除</v>
      </c>
      <c r="M12" s="15" t="str">
        <f ca="1">IFERROR(__xludf.DUMMYFUNCTION("GOOGLETRANSLATE($B12,""en"",M$3)"),"Alle Caches ontruimd")</f>
        <v>Alle Caches ontruimd</v>
      </c>
      <c r="N12" s="15" t="str">
        <f ca="1">IFERROR(__xludf.DUMMYFUNCTION("GOOGLETRANSLATE($B12,""en"",N$3)"),"Όλα τα Caches εκκαθαριστεί")</f>
        <v>Όλα τα Caches εκκαθαριστεί</v>
      </c>
      <c r="O12" s="15" t="str">
        <f ca="1">IFERROR(__xludf.DUMMYFUNCTION("GOOGLETRANSLATE($B12,""en"",O$3)"),"Kaikki välimuistit tyhjennetään")</f>
        <v>Kaikki välimuistit tyhjennetään</v>
      </c>
      <c r="P12" s="15" t="str">
        <f ca="1">IFERROR(__xludf.DUMMYFUNCTION("GOOGLETRANSLATE($B12,""en"",P$3)"),"Gach Caches glanta")</f>
        <v>Gach Caches glanta</v>
      </c>
      <c r="Q12" s="15" t="str">
        <f ca="1">IFERROR(__xludf.DUMMYFUNCTION("GOOGLETRANSLATE($B12,""en"",Q$3)"),"همه انبارها پاک")</f>
        <v>همه انبارها پاک</v>
      </c>
      <c r="R12" s="15" t="str">
        <f ca="1">IFERROR(__xludf.DUMMYFUNCTION("GOOGLETRANSLATE($B12,""en"",R$3)"),"כל מטמוני פינה")</f>
        <v>כל מטמוני פינה</v>
      </c>
      <c r="S12" s="15" t="str">
        <f ca="1">IFERROR(__xludf.DUMMYFUNCTION("GOOGLETRANSLATE($B12,""en"",S$3)"),"Allar Skyndiminni hreinsað")</f>
        <v>Allar Skyndiminni hreinsað</v>
      </c>
      <c r="T12" s="15" t="str">
        <f ca="1">IFERROR(__xludf.DUMMYFUNCTION("GOOGLETRANSLATE($B12,""en"",T$3)"),"Alle Caches ryddet")</f>
        <v>Alle Caches ryddet</v>
      </c>
      <c r="U12" s="15" t="str">
        <f ca="1">IFERROR(__xludf.DUMMYFUNCTION("GOOGLETRANSLATE($B12,""en"",U$3)"),"كل المخابئ برأت")</f>
        <v>كل المخابئ برأت</v>
      </c>
      <c r="V12" s="15" t="str">
        <f ca="1">IFERROR(__xludf.DUMMYFUNCTION("GOOGLETRANSLATE($B12,""en"",V$3)"),"Wszystkie Skrytki wyczyszczone")</f>
        <v>Wszystkie Skrytki wyczyszczone</v>
      </c>
      <c r="W12" s="15" t="str">
        <f ca="1">IFERROR(__xludf.DUMMYFUNCTION("GOOGLETRANSLATE($B12,""en"",W$3)"),"Все кэша очищаются")</f>
        <v>Все кэша очищаются</v>
      </c>
      <c r="X12" s="15" t="str">
        <f ca="1">IFERROR(__xludf.DUMMYFUNCTION("GOOGLETRANSLATE($B12,""en"",X$3)"),"Todos los cachés borran")</f>
        <v>Todos los cachés borran</v>
      </c>
      <c r="Y12" s="15"/>
      <c r="Z12" s="15"/>
    </row>
    <row r="13" spans="1:26" ht="32.25" customHeight="1" x14ac:dyDescent="0.2">
      <c r="A13" s="10" t="s">
        <v>71</v>
      </c>
      <c r="B13" s="10" t="s">
        <v>72</v>
      </c>
      <c r="C13" s="11" t="str">
        <f ca="1">IFERROR(__xludf.DUMMYFUNCTION("GOOGLETRANSLATE($B13,""en"",C$3)"),"Alle Globale Einstellungen")</f>
        <v>Alle Globale Einstellungen</v>
      </c>
      <c r="D13" s="12" t="str">
        <f ca="1">IFERROR(__xludf.DUMMYFUNCTION("GOOGLETRANSLATE($B13,""en"",D$3)"),"Alla Globala inställningar")</f>
        <v>Alla Globala inställningar</v>
      </c>
      <c r="E13" s="6" t="s">
        <v>73</v>
      </c>
      <c r="F13" s="4" t="s">
        <v>73</v>
      </c>
      <c r="G13" s="15" t="str">
        <f ca="1">IFERROR(__xludf.DUMMYFUNCTION("Proper(GOOGLETRANSLATE(B13,""en"",""fr""))"),"Tous Les Paramètres Globaux")</f>
        <v>Tous Les Paramètres Globaux</v>
      </c>
      <c r="H13" s="15" t="str">
        <f ca="1">IFERROR(__xludf.DUMMYFUNCTION("GOOGLETRANSLATE($B13,""en"",H$3)"),"Global ezarpenak Guztiak")</f>
        <v>Global ezarpenak Guztiak</v>
      </c>
      <c r="I13" s="15" t="str">
        <f ca="1">IFERROR(__xludf.DUMMYFUNCTION("GOOGLETRANSLATE($B13,""en"",I$3)"),"Tots els ajustos globals")</f>
        <v>Tots els ajustos globals</v>
      </c>
      <c r="J13" s="15" t="str">
        <f ca="1">IFERROR(__xludf.DUMMYFUNCTION("GOOGLETRANSLATE($B13,""en"",J$3)"),"Všechna nastavení Globální")</f>
        <v>Všechna nastavení Globální</v>
      </c>
      <c r="K13" s="15" t="str">
        <f ca="1">IFERROR(__xludf.DUMMYFUNCTION("GOOGLETRANSLATE($B13,""en"",K$3)"),"所有的全局设置")</f>
        <v>所有的全局设置</v>
      </c>
      <c r="L13" s="15" t="str">
        <f ca="1">IFERROR(__xludf.DUMMYFUNCTION("GOOGLETRANSLATE($B13,""en"",L$3)"),"所有的全局設置")</f>
        <v>所有的全局設置</v>
      </c>
      <c r="M13" s="15" t="str">
        <f ca="1">IFERROR(__xludf.DUMMYFUNCTION("GOOGLETRANSLATE($B13,""en"",M$3)"),"Alle Algemene instellingen")</f>
        <v>Alle Algemene instellingen</v>
      </c>
      <c r="N13" s="15" t="str">
        <f ca="1">IFERROR(__xludf.DUMMYFUNCTION("GOOGLETRANSLATE($B13,""en"",N$3)"),"Όλες οι ρυθμίσεις Παγκόσμια")</f>
        <v>Όλες οι ρυθμίσεις Παγκόσμια</v>
      </c>
      <c r="O13" s="15" t="str">
        <f ca="1">IFERROR(__xludf.DUMMYFUNCTION("GOOGLETRANSLATE($B13,""en"",O$3)"),"Kaikki Global asetukset")</f>
        <v>Kaikki Global asetukset</v>
      </c>
      <c r="P13" s="15" t="str">
        <f ca="1">IFERROR(__xludf.DUMMYFUNCTION("GOOGLETRANSLATE($B13,""en"",P$3)"),"Ngach suíomh Global")</f>
        <v>Ngach suíomh Global</v>
      </c>
      <c r="Q13" s="15" t="str">
        <f ca="1">IFERROR(__xludf.DUMMYFUNCTION("GOOGLETRANSLATE($B13,""en"",Q$3)"),"همه تنظیمات جهانی")</f>
        <v>همه تنظیمات جهانی</v>
      </c>
      <c r="R13" s="15" t="str">
        <f ca="1">IFERROR(__xludf.DUMMYFUNCTION("GOOGLETRANSLATE($B13,""en"",R$3)"),"כל ההגדרות הגלובליות")</f>
        <v>כל ההגדרות הגלובליות</v>
      </c>
      <c r="S13" s="15" t="str">
        <f ca="1">IFERROR(__xludf.DUMMYFUNCTION("GOOGLETRANSLATE($B13,""en"",S$3)"),"Allar Global stillingar")</f>
        <v>Allar Global stillingar</v>
      </c>
      <c r="T13" s="15" t="str">
        <f ca="1">IFERROR(__xludf.DUMMYFUNCTION("GOOGLETRANSLATE($B13,""en"",T$3)"),"Alle Globale innstillinger")</f>
        <v>Alle Globale innstillinger</v>
      </c>
      <c r="U13" s="15" t="str">
        <f ca="1">IFERROR(__xludf.DUMMYFUNCTION("GOOGLETRANSLATE($B13,""en"",U$3)"),"كافة الإعدادات العالمية")</f>
        <v>كافة الإعدادات العالمية</v>
      </c>
      <c r="V13" s="15" t="str">
        <f ca="1">IFERROR(__xludf.DUMMYFUNCTION("GOOGLETRANSLATE($B13,""en"",V$3)"),"Wszystkie ustawienia globalne")</f>
        <v>Wszystkie ustawienia globalne</v>
      </c>
      <c r="W13" s="15" t="str">
        <f ca="1">IFERROR(__xludf.DUMMYFUNCTION("GOOGLETRANSLATE($B13,""en"",W$3)"),"Все настройки Глобальные")</f>
        <v>Все настройки Глобальные</v>
      </c>
      <c r="X13" s="15" t="str">
        <f ca="1">IFERROR(__xludf.DUMMYFUNCTION("GOOGLETRANSLATE($B13,""en"",X$3)"),"Todos los ajustes globales")</f>
        <v>Todos los ajustes globales</v>
      </c>
      <c r="Y13" s="15"/>
      <c r="Z13" s="15"/>
    </row>
    <row r="14" spans="1:26" ht="32.25" customHeight="1" x14ac:dyDescent="0.2">
      <c r="A14" s="10" t="s">
        <v>74</v>
      </c>
      <c r="B14" s="10" t="s">
        <v>75</v>
      </c>
      <c r="C14" s="11" t="str">
        <f ca="1">IFERROR(__xludf.DUMMYFUNCTION("GOOGLETRANSLATE($B14,""en"",C$3)"),"Alle Benutzer, Alle Sims")</f>
        <v>Alle Benutzer, Alle Sims</v>
      </c>
      <c r="D14" s="12" t="str">
        <f ca="1">IFERROR(__xludf.DUMMYFUNCTION("GOOGLETRANSLATE($B14,""en"",D$3)"),"Alla användare, alla Sims")</f>
        <v>Alla användare, alla Sims</v>
      </c>
      <c r="E14" s="6" t="s">
        <v>76</v>
      </c>
      <c r="F14" s="4" t="s">
        <v>76</v>
      </c>
      <c r="G14" s="15" t="str">
        <f ca="1">IFERROR(__xludf.DUMMYFUNCTION("Proper(GOOGLETRANSLATE(B14,""en"",""fr""))"),"Tous Les Utilisateurs, Tous Les Sims")</f>
        <v>Tous Les Utilisateurs, Tous Les Sims</v>
      </c>
      <c r="H14" s="15" t="str">
        <f ca="1">IFERROR(__xludf.DUMMYFUNCTION("GOOGLETRANSLATE($B14,""en"",H$3)"),"Erabiltzaile guztiak, Sims guztiak")</f>
        <v>Erabiltzaile guztiak, Sims guztiak</v>
      </c>
      <c r="I14" s="15" t="str">
        <f ca="1">IFERROR(__xludf.DUMMYFUNCTION("GOOGLETRANSLATE($B14,""en"",I$3)"),"Tots els usuaris, tots els Sims")</f>
        <v>Tots els usuaris, tots els Sims</v>
      </c>
      <c r="J14" s="15" t="str">
        <f ca="1">IFERROR(__xludf.DUMMYFUNCTION("GOOGLETRANSLATE($B14,""en"",J$3)"),"Všichni uživatelé, všechny Sims")</f>
        <v>Všichni uživatelé, všechny Sims</v>
      </c>
      <c r="K14" s="15" t="str">
        <f ca="1">IFERROR(__xludf.DUMMYFUNCTION("GOOGLETRANSLATE($B14,""en"",K$3)"),"所有用户，所有的模拟人生")</f>
        <v>所有用户，所有的模拟人生</v>
      </c>
      <c r="L14" s="15" t="str">
        <f ca="1">IFERROR(__xludf.DUMMYFUNCTION("GOOGLETRANSLATE($B14,""en"",L$3)"),"所有用戶，所有的模擬人生")</f>
        <v>所有用戶，所有的模擬人生</v>
      </c>
      <c r="M14" s="15" t="str">
        <f ca="1">IFERROR(__xludf.DUMMYFUNCTION("GOOGLETRANSLATE($B14,""en"",M$3)"),"Alle gebruikers, All Sims")</f>
        <v>Alle gebruikers, All Sims</v>
      </c>
      <c r="N14" s="15" t="str">
        <f ca="1">IFERROR(__xludf.DUMMYFUNCTION("GOOGLETRANSLATE($B14,""en"",N$3)"),"Όλοι οι χρήστες, σε όλους τους Sims")</f>
        <v>Όλοι οι χρήστες, σε όλους τους Sims</v>
      </c>
      <c r="O14" s="15" t="str">
        <f ca="1">IFERROR(__xludf.DUMMYFUNCTION("GOOGLETRANSLATE($B14,""en"",O$3)"),"Kaikki käyttäjät, kaikki Sims")</f>
        <v>Kaikki käyttäjät, kaikki Sims</v>
      </c>
      <c r="P14" s="15" t="str">
        <f ca="1">IFERROR(__xludf.DUMMYFUNCTION("GOOGLETRANSLATE($B14,""en"",P$3)"),"Gach Úsáideoirí, All Sims")</f>
        <v>Gach Úsáideoirí, All Sims</v>
      </c>
      <c r="Q14" s="15" t="str">
        <f ca="1">IFERROR(__xludf.DUMMYFUNCTION("GOOGLETRANSLATE($B14,""en"",Q$3)"),"همه کاربران، همه سیمز")</f>
        <v>همه کاربران، همه سیمز</v>
      </c>
      <c r="R14" s="15" t="str">
        <f ca="1">IFERROR(__xludf.DUMMYFUNCTION("GOOGLETRANSLATE($B14,""en"",R$3)"),"כל המשתמשים, כל Sims")</f>
        <v>כל המשתמשים, כל Sims</v>
      </c>
      <c r="S14" s="15" t="str">
        <f ca="1">IFERROR(__xludf.DUMMYFUNCTION("GOOGLETRANSLATE($B14,""en"",S$3)"),"Allir notendur, All Sims")</f>
        <v>Allir notendur, All Sims</v>
      </c>
      <c r="T14" s="15" t="str">
        <f ca="1">IFERROR(__xludf.DUMMYFUNCTION("GOOGLETRANSLATE($B14,""en"",T$3)"),"Alle brukere, alle Sims")</f>
        <v>Alle brukere, alle Sims</v>
      </c>
      <c r="U14" s="15" t="str">
        <f ca="1">IFERROR(__xludf.DUMMYFUNCTION("GOOGLETRANSLATE($B14,""en"",U$3)"),"جميع الاعضاء، جميع سيمز")</f>
        <v>جميع الاعضاء، جميع سيمز</v>
      </c>
      <c r="V14" s="15" t="str">
        <f ca="1">IFERROR(__xludf.DUMMYFUNCTION("GOOGLETRANSLATE($B14,""en"",V$3)"),"Wszyscy użytkownicy, wszystkie Sims")</f>
        <v>Wszyscy użytkownicy, wszystkie Sims</v>
      </c>
      <c r="W14" s="15" t="str">
        <f ca="1">IFERROR(__xludf.DUMMYFUNCTION("GOOGLETRANSLATE($B14,""en"",W$3)"),"Все пользователи, все Sims")</f>
        <v>Все пользователи, все Sims</v>
      </c>
      <c r="X14" s="15" t="str">
        <f ca="1">IFERROR(__xludf.DUMMYFUNCTION("GOOGLETRANSLATE($B14,""en"",X$3)"),"Todos los usuarios, todos los Sims")</f>
        <v>Todos los usuarios, todos los Sims</v>
      </c>
      <c r="Y14" s="15"/>
      <c r="Z14" s="15"/>
    </row>
    <row r="15" spans="1:26" ht="32.25" customHeight="1" x14ac:dyDescent="0.2">
      <c r="A15" s="10" t="s">
        <v>77</v>
      </c>
      <c r="B15" s="10" t="s">
        <v>78</v>
      </c>
      <c r="C15" s="11" t="str">
        <f ca="1">IFERROR(__xludf.DUMMYFUNCTION("GOOGLETRANSLATE($B15,""en"",C$3)"),"Alles")</f>
        <v>Alles</v>
      </c>
      <c r="D15" s="12" t="str">
        <f ca="1">IFERROR(__xludf.DUMMYFUNCTION("GOOGLETRANSLATE($B15,""en"",D$3)"),"Allt")</f>
        <v>Allt</v>
      </c>
      <c r="E15" s="15" t="str">
        <f ca="1">IFERROR(__xludf.DUMMYFUNCTION("GOOGLETRANSLATE($B15,""en"",E$3)"),"Tudo")</f>
        <v>Tudo</v>
      </c>
      <c r="F15" s="15" t="str">
        <f ca="1">IFERROR(__xludf.DUMMYFUNCTION("GOOGLETRANSLATE($B15,""en"",F$3)"),"Tudo")</f>
        <v>Tudo</v>
      </c>
      <c r="G15" s="15" t="str">
        <f ca="1">IFERROR(__xludf.DUMMYFUNCTION("Proper(GOOGLETRANSLATE(B15,""en"",""fr""))"),"Tout")</f>
        <v>Tout</v>
      </c>
      <c r="H15" s="15" t="str">
        <f ca="1">IFERROR(__xludf.DUMMYFUNCTION("GOOGLETRANSLATE($B15,""en"",H$3)"),"guztiak")</f>
        <v>guztiak</v>
      </c>
      <c r="I15" s="15" t="str">
        <f ca="1">IFERROR(__xludf.DUMMYFUNCTION("GOOGLETRANSLATE($B15,""en"",I$3)"),"tots")</f>
        <v>tots</v>
      </c>
      <c r="J15" s="15" t="str">
        <f ca="1">IFERROR(__xludf.DUMMYFUNCTION("GOOGLETRANSLATE($B15,""en"",J$3)"),"Všechno")</f>
        <v>Všechno</v>
      </c>
      <c r="K15" s="15" t="str">
        <f ca="1">IFERROR(__xludf.DUMMYFUNCTION("GOOGLETRANSLATE($B15,""en"",K$3)"),"所有")</f>
        <v>所有</v>
      </c>
      <c r="L15" s="15" t="str">
        <f ca="1">IFERROR(__xludf.DUMMYFUNCTION("GOOGLETRANSLATE($B15,""en"",L$3)"),"所有")</f>
        <v>所有</v>
      </c>
      <c r="M15" s="15" t="str">
        <f ca="1">IFERROR(__xludf.DUMMYFUNCTION("GOOGLETRANSLATE($B15,""en"",M$3)"),"Allemaal")</f>
        <v>Allemaal</v>
      </c>
      <c r="N15" s="15" t="str">
        <f ca="1">IFERROR(__xludf.DUMMYFUNCTION("GOOGLETRANSLATE($B15,""en"",N$3)"),"Ολα")</f>
        <v>Ολα</v>
      </c>
      <c r="O15" s="15" t="str">
        <f ca="1">IFERROR(__xludf.DUMMYFUNCTION("GOOGLETRANSLATE($B15,""en"",O$3)"),"Kaikki")</f>
        <v>Kaikki</v>
      </c>
      <c r="P15" s="15" t="str">
        <f ca="1">IFERROR(__xludf.DUMMYFUNCTION("GOOGLETRANSLATE($B15,""en"",P$3)"),"Gach")</f>
        <v>Gach</v>
      </c>
      <c r="Q15" s="15" t="str">
        <f ca="1">IFERROR(__xludf.DUMMYFUNCTION("GOOGLETRANSLATE($B15,""en"",Q$3)"),"همه")</f>
        <v>همه</v>
      </c>
      <c r="R15" s="15" t="str">
        <f ca="1">IFERROR(__xludf.DUMMYFUNCTION("GOOGLETRANSLATE($B15,""en"",R$3)"),"את כל")</f>
        <v>את כל</v>
      </c>
      <c r="S15" s="15" t="str">
        <f ca="1">IFERROR(__xludf.DUMMYFUNCTION("GOOGLETRANSLATE($B15,""en"",S$3)"),"Allt")</f>
        <v>Allt</v>
      </c>
      <c r="T15" s="15" t="str">
        <f ca="1">IFERROR(__xludf.DUMMYFUNCTION("GOOGLETRANSLATE($B15,""en"",T$3)"),"Alle")</f>
        <v>Alle</v>
      </c>
      <c r="U15" s="15" t="str">
        <f ca="1">IFERROR(__xludf.DUMMYFUNCTION("GOOGLETRANSLATE($B15,""en"",U$3)"),"الكل")</f>
        <v>الكل</v>
      </c>
      <c r="V15" s="15" t="str">
        <f ca="1">IFERROR(__xludf.DUMMYFUNCTION("GOOGLETRANSLATE($B15,""en"",V$3)"),"Wszystko")</f>
        <v>Wszystko</v>
      </c>
      <c r="W15" s="15" t="str">
        <f ca="1">IFERROR(__xludf.DUMMYFUNCTION("GOOGLETRANSLATE($B15,""en"",W$3)"),"Все")</f>
        <v>Все</v>
      </c>
      <c r="X15" s="15" t="str">
        <f ca="1">IFERROR(__xludf.DUMMYFUNCTION("GOOGLETRANSLATE($B15,""en"",X$3)"),"Todas")</f>
        <v>Todas</v>
      </c>
      <c r="Y15" s="15"/>
      <c r="Z15" s="15"/>
    </row>
    <row r="16" spans="1:26" ht="32.25" customHeight="1" x14ac:dyDescent="0.2">
      <c r="A16" s="10" t="s">
        <v>79</v>
      </c>
      <c r="B16" s="10" t="s">
        <v>80</v>
      </c>
      <c r="C16" s="11" t="str">
        <f ca="1">IFERROR(__xludf.DUMMYFUNCTION("GOOGLETRANSLATE($B16,""en"",C$3)"),"Alle keine")</f>
        <v>Alle keine</v>
      </c>
      <c r="D16" s="12" t="str">
        <f ca="1">IFERROR(__xludf.DUMMYFUNCTION("GOOGLETRANSLATE($B16,""en"",D$3)"),"Alla / Ingen")</f>
        <v>Alla / Ingen</v>
      </c>
      <c r="E16" s="15" t="str">
        <f ca="1">IFERROR(__xludf.DUMMYFUNCTION("GOOGLETRANSLATE($B16,""en"",E$3)"),"Todos / Nenhum")</f>
        <v>Todos / Nenhum</v>
      </c>
      <c r="F16" s="15" t="str">
        <f ca="1">IFERROR(__xludf.DUMMYFUNCTION("GOOGLETRANSLATE($B16,""en"",F$3)"),"Todos / Nenhum")</f>
        <v>Todos / Nenhum</v>
      </c>
      <c r="G16" s="15" t="str">
        <f ca="1">IFERROR(__xludf.DUMMYFUNCTION("Proper(GOOGLETRANSLATE(B16,""en"",""fr""))"),"Tous / Aucun")</f>
        <v>Tous / Aucun</v>
      </c>
      <c r="H16" s="15" t="str">
        <f ca="1">IFERROR(__xludf.DUMMYFUNCTION("GOOGLETRANSLATE($B16,""en"",H$3)"),"Guztiak / bat ere")</f>
        <v>Guztiak / bat ere</v>
      </c>
      <c r="I16" s="15" t="str">
        <f ca="1">IFERROR(__xludf.DUMMYFUNCTION("GOOGLETRANSLATE($B16,""en"",I$3)"),"Tots / Cap")</f>
        <v>Tots / Cap</v>
      </c>
      <c r="J16" s="15" t="str">
        <f ca="1">IFERROR(__xludf.DUMMYFUNCTION("GOOGLETRANSLATE($B16,""en"",J$3)"),"All / None")</f>
        <v>All / None</v>
      </c>
      <c r="K16" s="15" t="str">
        <f ca="1">IFERROR(__xludf.DUMMYFUNCTION("GOOGLETRANSLATE($B16,""en"",K$3)"),"全部/无")</f>
        <v>全部/无</v>
      </c>
      <c r="L16" s="15" t="str">
        <f ca="1">IFERROR(__xludf.DUMMYFUNCTION("GOOGLETRANSLATE($B16,""en"",L$3)"),"全部/無")</f>
        <v>全部/無</v>
      </c>
      <c r="M16" s="15" t="str">
        <f ca="1">IFERROR(__xludf.DUMMYFUNCTION("GOOGLETRANSLATE($B16,""en"",M$3)"),"Alle / Geen")</f>
        <v>Alle / Geen</v>
      </c>
      <c r="N16" s="15" t="str">
        <f ca="1">IFERROR(__xludf.DUMMYFUNCTION("GOOGLETRANSLATE($B16,""en"",N$3)"),"Όλα / Κανένα")</f>
        <v>Όλα / Κανένα</v>
      </c>
      <c r="O16" s="15" t="str">
        <f ca="1">IFERROR(__xludf.DUMMYFUNCTION("GOOGLETRANSLATE($B16,""en"",O$3)"),"Kaikki mukaan / pois")</f>
        <v>Kaikki mukaan / pois</v>
      </c>
      <c r="P16" s="15" t="str">
        <f ca="1">IFERROR(__xludf.DUMMYFUNCTION("GOOGLETRANSLATE($B16,""en"",P$3)"),"Gach / Ar bith")</f>
        <v>Gach / Ar bith</v>
      </c>
      <c r="Q16" s="15" t="str">
        <f ca="1">IFERROR(__xludf.DUMMYFUNCTION("GOOGLETRANSLATE($B16,""en"",Q$3)"),"همه / هیچ")</f>
        <v>همه / هیچ</v>
      </c>
      <c r="R16" s="15" t="str">
        <f ca="1">IFERROR(__xludf.DUMMYFUNCTION("GOOGLETRANSLATE($B16,""en"",R$3)"),"הכל / אף אחד")</f>
        <v>הכל / אף אחד</v>
      </c>
      <c r="S16" s="15" t="str">
        <f ca="1">IFERROR(__xludf.DUMMYFUNCTION("GOOGLETRANSLATE($B16,""en"",S$3)"),"All / Ekkert")</f>
        <v>All / Ekkert</v>
      </c>
      <c r="T16" s="15" t="str">
        <f ca="1">IFERROR(__xludf.DUMMYFUNCTION("GOOGLETRANSLATE($B16,""en"",T$3)"),"Alle / ingen")</f>
        <v>Alle / ingen</v>
      </c>
      <c r="U16" s="15" t="str">
        <f ca="1">IFERROR(__xludf.DUMMYFUNCTION("GOOGLETRANSLATE($B16,""en"",U$3)"),"كل شيء")</f>
        <v>كل شيء</v>
      </c>
      <c r="V16" s="15" t="str">
        <f ca="1">IFERROR(__xludf.DUMMYFUNCTION("GOOGLETRANSLATE($B16,""en"",V$3)"),"Wszystko jedno")</f>
        <v>Wszystko jedno</v>
      </c>
      <c r="W16" s="15" t="str">
        <f ca="1">IFERROR(__xludf.DUMMYFUNCTION("GOOGLETRANSLATE($B16,""en"",W$3)"),"Не все / Нет")</f>
        <v>Не все / Нет</v>
      </c>
      <c r="X16" s="15" t="str">
        <f ca="1">IFERROR(__xludf.DUMMYFUNCTION("GOOGLETRANSLATE($B16,""en"",X$3)"),"Todos / ningunos")</f>
        <v>Todos / ningunos</v>
      </c>
      <c r="Y16" s="15"/>
      <c r="Z16" s="15"/>
    </row>
    <row r="17" spans="1:26" ht="32.25" customHeight="1" x14ac:dyDescent="0.2">
      <c r="A17" s="10" t="s">
        <v>81</v>
      </c>
      <c r="B17" s="10" t="s">
        <v>82</v>
      </c>
      <c r="C17" s="16" t="s">
        <v>83</v>
      </c>
      <c r="D17" s="12" t="str">
        <f ca="1">IFERROR(__xludf.DUMMYFUNCTION("GOOGLETRANSLATE($B17,""en"",D$3)"),"Den ursprungliga Second Life moln")</f>
        <v>Den ursprungliga Second Life moln</v>
      </c>
      <c r="E17" s="13" t="s">
        <v>84</v>
      </c>
      <c r="F17" s="14" t="s">
        <v>84</v>
      </c>
      <c r="G17" s="12" t="str">
        <f ca="1">IFERROR(__xludf.DUMMYFUNCTION("GOOGLETRANSLATE($B17,""en"",G$3)"),"Les nuages ​​d'origine Second Life")</f>
        <v>Les nuages ​​d'origine Second Life</v>
      </c>
      <c r="H17" s="12" t="str">
        <f ca="1">IFERROR(__xludf.DUMMYFUNCTION("GOOGLETRANSLATE($B17,""en"",H$3)"),"Jatorrizko Second Life hodeiak")</f>
        <v>Jatorrizko Second Life hodeiak</v>
      </c>
      <c r="I17" s="12" t="str">
        <f ca="1">IFERROR(__xludf.DUMMYFUNCTION("GOOGLETRANSLATE($B17,""en"",I$3)"),"Els núvols originals Second Life")</f>
        <v>Els núvols originals Second Life</v>
      </c>
      <c r="J17" s="12" t="str">
        <f ca="1">IFERROR(__xludf.DUMMYFUNCTION("GOOGLETRANSLATE($B17,""en"",J$3)"),"Původní Second Life mraky")</f>
        <v>Původní Second Life mraky</v>
      </c>
      <c r="K17" s="12" t="str">
        <f ca="1">IFERROR(__xludf.DUMMYFUNCTION("GOOGLETRANSLATE($B17,""en"",K$3)"),"原第二人生浮云")</f>
        <v>原第二人生浮云</v>
      </c>
      <c r="L17" s="12" t="str">
        <f ca="1">IFERROR(__xludf.DUMMYFUNCTION("GOOGLETRANSLATE($B17,""en"",L$3)"),"原第二人生浮雲")</f>
        <v>原第二人生浮雲</v>
      </c>
      <c r="M17" s="12" t="str">
        <f ca="1">IFERROR(__xludf.DUMMYFUNCTION("GOOGLETRANSLATE($B17,""en"",M$3)"),"De originele Second Life wolken")</f>
        <v>De originele Second Life wolken</v>
      </c>
      <c r="N17" s="12" t="str">
        <f ca="1">IFERROR(__xludf.DUMMYFUNCTION("GOOGLETRANSLATE($B17,""en"",N$3)"),"Οι αρχικές σύννεφα Second Life")</f>
        <v>Οι αρχικές σύννεφα Second Life</v>
      </c>
      <c r="O17" s="12" t="str">
        <f ca="1">IFERROR(__xludf.DUMMYFUNCTION("GOOGLETRANSLATE($B17,""en"",O$3)"),"Kuvan alkuperäinen Second Life pilviä")</f>
        <v>Kuvan alkuperäinen Second Life pilviä</v>
      </c>
      <c r="P17" s="12" t="str">
        <f ca="1">IFERROR(__xludf.DUMMYFUNCTION("GOOGLETRANSLATE($B17,""en"",P$3)"),"An bunaidh scamaill Second Life")</f>
        <v>An bunaidh scamaill Second Life</v>
      </c>
      <c r="Q17" s="12" t="str">
        <f ca="1">IFERROR(__xludf.DUMMYFUNCTION("GOOGLETRANSLATE($B17,""en"",Q$3)"),"ابرها اصلی زندگی دوم")</f>
        <v>ابرها اصلی زندگی دوم</v>
      </c>
      <c r="R17" s="12" t="str">
        <f ca="1">IFERROR(__xludf.DUMMYFUNCTION("GOOGLETRANSLATE($B17,""en"",R$3)"),"העננים המקוריים Second Life")</f>
        <v>העננים המקוריים Second Life</v>
      </c>
      <c r="S17" s="12" t="str">
        <f ca="1">IFERROR(__xludf.DUMMYFUNCTION("GOOGLETRANSLATE($B17,""en"",S$3)"),"Upprunalega Second Life ský")</f>
        <v>Upprunalega Second Life ský</v>
      </c>
      <c r="T17" s="12" t="str">
        <f ca="1">IFERROR(__xludf.DUMMYFUNCTION("GOOGLETRANSLATE($B17,""en"",T$3)"),"De opprinnelige Second Life-skyer")</f>
        <v>De opprinnelige Second Life-skyer</v>
      </c>
      <c r="U17" s="12" t="str">
        <f ca="1">IFERROR(__xludf.DUMMYFUNCTION("GOOGLETRANSLATE($B17,""en"",U$3)"),"الغيوم الحياة الثانية الأصلية")</f>
        <v>الغيوم الحياة الثانية الأصلية</v>
      </c>
      <c r="V17" s="12" t="str">
        <f ca="1">IFERROR(__xludf.DUMMYFUNCTION("GOOGLETRANSLATE($B17,""en"",V$3)"),"Oryginalne chmury Second Life")</f>
        <v>Oryginalne chmury Second Life</v>
      </c>
      <c r="W17" s="12" t="str">
        <f ca="1">IFERROR(__xludf.DUMMYFUNCTION("GOOGLETRANSLATE($B17,""en"",W$3)"),"Оригинальные облака Second Life")</f>
        <v>Оригинальные облака Second Life</v>
      </c>
      <c r="X17" s="12" t="str">
        <f ca="1">IFERROR(__xludf.DUMMYFUNCTION("GOOGLETRANSLATE($B17,""en"",X$3)"),"Las nubes originales Second Life")</f>
        <v>Las nubes originales Second Life</v>
      </c>
      <c r="Y17" s="12"/>
      <c r="Z17" s="12"/>
    </row>
    <row r="18" spans="1:26" ht="32.25" customHeight="1" x14ac:dyDescent="0.2">
      <c r="A18" s="10" t="s">
        <v>85</v>
      </c>
      <c r="B18" s="10" t="s">
        <v>86</v>
      </c>
      <c r="C18" s="11" t="str">
        <f ca="1">IFERROR(__xludf.DUMMYFUNCTION("GOOGLETRANSLATE($B18,""en"",C$3)"),"Lassen Sie Einzelteile zu lassen")</f>
        <v>Lassen Sie Einzelteile zu lassen</v>
      </c>
      <c r="D18" s="12" t="str">
        <f ca="1">IFERROR(__xludf.DUMMYFUNCTION("GOOGLETRANSLATE($B18,""en"",D$3)"),"Låt objekt att lämna")</f>
        <v>Låt objekt att lämna</v>
      </c>
      <c r="E18" s="13" t="s">
        <v>87</v>
      </c>
      <c r="F18" s="14" t="s">
        <v>87</v>
      </c>
      <c r="G18" s="12" t="str">
        <f ca="1">IFERROR(__xludf.DUMMYFUNCTION("GOOGLETRANSLATE($B18,""en"",G$3)"),"Laisser les articles de quitter")</f>
        <v>Laisser les articles de quitter</v>
      </c>
      <c r="H18" s="12" t="str">
        <f ca="1">IFERROR(__xludf.DUMMYFUNCTION("GOOGLETRANSLATE($B18,""en"",H$3)"),"Onartu elementuak utzi")</f>
        <v>Onartu elementuak utzi</v>
      </c>
      <c r="I18" s="12" t="str">
        <f ca="1">IFERROR(__xludf.DUMMYFUNCTION("GOOGLETRANSLATE($B18,""en"",I$3)"),"Permeti que els articles surten")</f>
        <v>Permeti que els articles surten</v>
      </c>
      <c r="J18" s="12" t="str">
        <f ca="1">IFERROR(__xludf.DUMMYFUNCTION("GOOGLETRANSLATE($B18,""en"",J$3)"),"Dovolit položky k odchodu")</f>
        <v>Dovolit položky k odchodu</v>
      </c>
      <c r="K18" s="12" t="str">
        <f ca="1">IFERROR(__xludf.DUMMYFUNCTION("GOOGLETRANSLATE($B18,""en"",K$3)"),"允许物品离开")</f>
        <v>允许物品离开</v>
      </c>
      <c r="L18" s="12" t="str">
        <f ca="1">IFERROR(__xludf.DUMMYFUNCTION("GOOGLETRANSLATE($B18,""en"",L$3)"),"允許物品離開")</f>
        <v>允許物品離開</v>
      </c>
      <c r="M18" s="12" t="str">
        <f ca="1">IFERROR(__xludf.DUMMYFUNCTION("GOOGLETRANSLATE($B18,""en"",M$3)"),"Laat items om te vertrekken")</f>
        <v>Laat items om te vertrekken</v>
      </c>
      <c r="N18" s="12" t="str">
        <f ca="1">IFERROR(__xludf.DUMMYFUNCTION("GOOGLETRANSLATE($B18,""en"",N$3)"),"Αφήστε τα στοιχεία για να φύγει")</f>
        <v>Αφήστε τα στοιχεία για να φύγει</v>
      </c>
      <c r="O18" s="12" t="str">
        <f ca="1">IFERROR(__xludf.DUMMYFUNCTION("GOOGLETRANSLATE($B18,""en"",O$3)"),"Salli kohteita lähteä")</f>
        <v>Salli kohteita lähteä</v>
      </c>
      <c r="P18" s="12" t="str">
        <f ca="1">IFERROR(__xludf.DUMMYFUNCTION("GOOGLETRANSLATE($B18,""en"",P$3)"),"Ceadaigh míreanna a fhágáil")</f>
        <v>Ceadaigh míreanna a fhágáil</v>
      </c>
      <c r="Q18" s="12" t="str">
        <f ca="1">IFERROR(__xludf.DUMMYFUNCTION("GOOGLETRANSLATE($B18,""en"",Q$3)"),"اجازه به موارد به ترک")</f>
        <v>اجازه به موارد به ترک</v>
      </c>
      <c r="R18" s="12" t="str">
        <f ca="1">IFERROR(__xludf.DUMMYFUNCTION("GOOGLETRANSLATE($B18,""en"",R$3)"),"אפשר פריטים לעזוב")</f>
        <v>אפשר פריטים לעזוב</v>
      </c>
      <c r="S18" s="12" t="str">
        <f ca="1">IFERROR(__xludf.DUMMYFUNCTION("GOOGLETRANSLATE($B18,""en"",S$3)"),"Leyfa atriði til að fara")</f>
        <v>Leyfa atriði til að fara</v>
      </c>
      <c r="T18" s="12" t="str">
        <f ca="1">IFERROR(__xludf.DUMMYFUNCTION("GOOGLETRANSLATE($B18,""en"",T$3)"),"Tillate elementer å forlate")</f>
        <v>Tillate elementer å forlate</v>
      </c>
      <c r="U18" s="12" t="str">
        <f ca="1">IFERROR(__xludf.DUMMYFUNCTION("GOOGLETRANSLATE($B18,""en"",U$3)"),"السماح للعناصر بمغادرة")</f>
        <v>السماح للعناصر بمغادرة</v>
      </c>
      <c r="V18" s="12" t="str">
        <f ca="1">IFERROR(__xludf.DUMMYFUNCTION("GOOGLETRANSLATE($B18,""en"",V$3)"),"Pozostawić do opuszczenia pozycji")</f>
        <v>Pozostawić do opuszczenia pozycji</v>
      </c>
      <c r="W18" s="12" t="str">
        <f ca="1">IFERROR(__xludf.DUMMYFUNCTION("GOOGLETRANSLATE($B18,""en"",W$3)"),"Разрешить элементы оставить")</f>
        <v>Разрешить элементы оставить</v>
      </c>
      <c r="X18" s="12" t="str">
        <f ca="1">IFERROR(__xludf.DUMMYFUNCTION("GOOGLETRANSLATE($B18,""en"",X$3)"),"Permita que los artículos salen")</f>
        <v>Permita que los artículos salen</v>
      </c>
      <c r="Y18" s="12"/>
      <c r="Z18" s="12"/>
    </row>
    <row r="19" spans="1:26" ht="32.25" customHeight="1" x14ac:dyDescent="0.2">
      <c r="A19" s="10" t="s">
        <v>88</v>
      </c>
      <c r="B19" s="10" t="s">
        <v>89</v>
      </c>
      <c r="C19" s="11" t="str">
        <f ca="1">IFERROR(__xludf.DUMMYFUNCTION("GOOGLETRANSLATE($B19,""en"",C$3)"),"Lassen Sie LSL den Server kontaktieren")</f>
        <v>Lassen Sie LSL den Server kontaktieren</v>
      </c>
      <c r="D19" s="12" t="str">
        <f ca="1">IFERROR(__xludf.DUMMYFUNCTION("GOOGLETRANSLATE($B19,""en"",D$3)"),"Låt LSL att kontakta servern")</f>
        <v>Låt LSL att kontakta servern</v>
      </c>
      <c r="E19" s="13" t="s">
        <v>90</v>
      </c>
      <c r="F19" s="14" t="s">
        <v>90</v>
      </c>
      <c r="G19" s="12" t="str">
        <f ca="1">IFERROR(__xludf.DUMMYFUNCTION("GOOGLETRANSLATE($B19,""en"",G$3)"),"Laisser LSL à contacter le serveur")</f>
        <v>Laisser LSL à contacter le serveur</v>
      </c>
      <c r="H19" s="12" t="str">
        <f ca="1">IFERROR(__xludf.DUMMYFUNCTION("GOOGLETRANSLATE($B19,""en"",H$3)"),"Onartu LSL zerbitzaria kontaktatu")</f>
        <v>Onartu LSL zerbitzaria kontaktatu</v>
      </c>
      <c r="I19" s="12" t="str">
        <f ca="1">IFERROR(__xludf.DUMMYFUNCTION("GOOGLETRANSLATE($B19,""en"",I$3)"),"Deixi LSL posar-se en contacte amb el servidor")</f>
        <v>Deixi LSL posar-se en contacte amb el servidor</v>
      </c>
      <c r="J19" s="12" t="str">
        <f ca="1">IFERROR(__xludf.DUMMYFUNCTION("GOOGLETRANSLATE($B19,""en"",J$3)"),"Dovolit LSL kontaktovat server")</f>
        <v>Dovolit LSL kontaktovat server</v>
      </c>
      <c r="K19" s="12" t="str">
        <f ca="1">IFERROR(__xludf.DUMMYFUNCTION("GOOGLETRANSLATE($B19,""en"",K$3)"),"允许LSL联系服务器")</f>
        <v>允许LSL联系服务器</v>
      </c>
      <c r="L19" s="12" t="str">
        <f ca="1">IFERROR(__xludf.DUMMYFUNCTION("GOOGLETRANSLATE($B19,""en"",L$3)"),"允許LSL聯繫服務器")</f>
        <v>允許LSL聯繫服務器</v>
      </c>
      <c r="M19" s="12" t="str">
        <f ca="1">IFERROR(__xludf.DUMMYFUNCTION("GOOGLETRANSLATE($B19,""en"",M$3)"),"Laat LSL contact opnemen met de server")</f>
        <v>Laat LSL contact opnemen met de server</v>
      </c>
      <c r="N19" s="12" t="str">
        <f ca="1">IFERROR(__xludf.DUMMYFUNCTION("GOOGLETRANSLATE($B19,""en"",N$3)"),"Αφήστε LSL να επικοινωνήσει με το διακομιστή")</f>
        <v>Αφήστε LSL να επικοινωνήσει με το διακομιστή</v>
      </c>
      <c r="O19" s="12" t="str">
        <f ca="1">IFERROR(__xludf.DUMMYFUNCTION("GOOGLETRANSLATE($B19,""en"",O$3)"),"Salli LSL yhteyttä palvelimeen")</f>
        <v>Salli LSL yhteyttä palvelimeen</v>
      </c>
      <c r="P19" s="12" t="str">
        <f ca="1">IFERROR(__xludf.DUMMYFUNCTION("GOOGLETRANSLATE($B19,""en"",P$3)"),"Ceadaigh LSL dul i dteagmháil leis an bhfreastalaí")</f>
        <v>Ceadaigh LSL dul i dteagmháil leis an bhfreastalaí</v>
      </c>
      <c r="Q19" s="12" t="str">
        <f ca="1">IFERROR(__xludf.DUMMYFUNCTION("GOOGLETRANSLATE($B19,""en"",Q$3)"),"اجازه LSL ارتباط با سرور")</f>
        <v>اجازه LSL ارتباط با سرور</v>
      </c>
      <c r="R19" s="12" t="str">
        <f ca="1">IFERROR(__xludf.DUMMYFUNCTION("GOOGLETRANSLATE($B19,""en"",R$3)"),"אפשר LSL ליצור קשר עם השרת")</f>
        <v>אפשר LSL ליצור קשר עם השרת</v>
      </c>
      <c r="S19" s="12" t="str">
        <f ca="1">IFERROR(__xludf.DUMMYFUNCTION("GOOGLETRANSLATE($B19,""en"",S$3)"),"Leyfa LSL að hafa samband við miðlara")</f>
        <v>Leyfa LSL að hafa samband við miðlara</v>
      </c>
      <c r="T19" s="12" t="str">
        <f ca="1">IFERROR(__xludf.DUMMYFUNCTION("GOOGLETRANSLATE($B19,""en"",T$3)"),"Tillat LSL å kontakte serveren")</f>
        <v>Tillat LSL å kontakte serveren</v>
      </c>
      <c r="U19" s="12" t="str">
        <f ca="1">IFERROR(__xludf.DUMMYFUNCTION("GOOGLETRANSLATE($B19,""en"",U$3)"),"تسمح LSL الاتصال بخادم")</f>
        <v>تسمح LSL الاتصال بخادم</v>
      </c>
      <c r="V19" s="12" t="str">
        <f ca="1">IFERROR(__xludf.DUMMYFUNCTION("GOOGLETRANSLATE($B19,""en"",V$3)"),"Pozostawić LSL aby skontaktować się z serwerem")</f>
        <v>Pozostawić LSL aby skontaktować się z serwerem</v>
      </c>
      <c r="W19" s="12" t="str">
        <f ca="1">IFERROR(__xludf.DUMMYFUNCTION("GOOGLETRANSLATE($B19,""en"",W$3)"),"Разрешить LSL, чтобы связаться с сервером")</f>
        <v>Разрешить LSL, чтобы связаться с сервером</v>
      </c>
      <c r="X19" s="12" t="str">
        <f ca="1">IFERROR(__xludf.DUMMYFUNCTION("GOOGLETRANSLATE($B19,""en"",X$3)"),"Deje LSL ponerse en contacto con el servidor")</f>
        <v>Deje LSL ponerse en contacto con el servidor</v>
      </c>
      <c r="Y19" s="12"/>
      <c r="Z19" s="12"/>
    </row>
    <row r="20" spans="1:26" ht="32.25" customHeight="1" x14ac:dyDescent="0.2">
      <c r="A20" s="10" t="s">
        <v>91</v>
      </c>
      <c r="B20" s="10" t="s">
        <v>92</v>
      </c>
      <c r="C20" s="11" t="str">
        <f ca="1">IFERROR(__xludf.DUMMYFUNCTION("GOOGLETRANSLATE($B20,""en"",C$3)"),"Objekte können von Ihrem Raster über Hypergrid genommen werden")</f>
        <v>Objekte können von Ihrem Raster über Hypergrid genommen werden</v>
      </c>
      <c r="D20" s="12" t="str">
        <f ca="1">IFERROR(__xludf.DUMMYFUNCTION("GOOGLETRANSLATE($B20,""en"",D$3)"),"Objekt kan tas från elnätet via Hypergrid")</f>
        <v>Objekt kan tas från elnätet via Hypergrid</v>
      </c>
      <c r="E20" s="13" t="s">
        <v>93</v>
      </c>
      <c r="F20" s="14" t="s">
        <v>93</v>
      </c>
      <c r="G20" s="12" t="str">
        <f ca="1">IFERROR(__xludf.DUMMYFUNCTION("GOOGLETRANSLATE($B20,""en"",G$3)"),"Les objets peuvent être prises à partir de votre réseau via Hypergrid")</f>
        <v>Les objets peuvent être prises à partir de votre réseau via Hypergrid</v>
      </c>
      <c r="H20" s="12" t="str">
        <f ca="1">IFERROR(__xludf.DUMMYFUNCTION("GOOGLETRANSLATE($B20,""en"",H$3)"),"Objektuak Saretak hartu daiteke Hypergrid bidez")</f>
        <v>Objektuak Saretak hartu daiteke Hypergrid bidez</v>
      </c>
      <c r="I20" s="12" t="str">
        <f ca="1">IFERROR(__xludf.DUMMYFUNCTION("GOOGLETRANSLATE($B20,""en"",I$3)"),"Els objectes poden ser preses de la seva xarxa a través de Hypergrid")</f>
        <v>Els objectes poden ser preses de la seva xarxa a través de Hypergrid</v>
      </c>
      <c r="J20" s="12" t="str">
        <f ca="1">IFERROR(__xludf.DUMMYFUNCTION("GOOGLETRANSLATE($B20,""en"",J$3)"),"Objekty mohou být převzaty z vaší sítě přes Hypergrid")</f>
        <v>Objekty mohou být převzaty z vaší sítě přes Hypergrid</v>
      </c>
      <c r="K20" s="12" t="str">
        <f ca="1">IFERROR(__xludf.DUMMYFUNCTION("GOOGLETRANSLATE($B20,""en"",K$3)"),"对象可以从电网通过Hypergrid采取")</f>
        <v>对象可以从电网通过Hypergrid采取</v>
      </c>
      <c r="L20" s="12" t="str">
        <f ca="1">IFERROR(__xludf.DUMMYFUNCTION("GOOGLETRANSLATE($B20,""en"",L$3)"),"對象可以從電網通過Hypergrid採取")</f>
        <v>對象可以從電網通過Hypergrid採取</v>
      </c>
      <c r="M20" s="12" t="str">
        <f ca="1">IFERROR(__xludf.DUMMYFUNCTION("GOOGLETRANSLATE($B20,""en"",M$3)"),"Objecten kunnen worden genomen van uw netwerk via HyperGrid")</f>
        <v>Objecten kunnen worden genomen van uw netwerk via HyperGrid</v>
      </c>
      <c r="N20" s="12" t="str">
        <f ca="1">IFERROR(__xludf.DUMMYFUNCTION("GOOGLETRANSLATE($B20,""en"",N$3)"),"Τα αντικείμενα μπορούν να ληφθούν από το δίκτυο σας μέσω Hypergrid")</f>
        <v>Τα αντικείμενα μπορούν να ληφθούν από το δίκτυο σας μέσω Hypergrid</v>
      </c>
      <c r="O20" s="12" t="str">
        <f ca="1">IFERROR(__xludf.DUMMYFUNCTION("GOOGLETRANSLATE($B20,""en"",O$3)"),"Esineet voidaan ottaa irti verkkoon kautta Hypergrid")</f>
        <v>Esineet voidaan ottaa irti verkkoon kautta Hypergrid</v>
      </c>
      <c r="P20" s="12" t="str">
        <f ca="1">IFERROR(__xludf.DUMMYFUNCTION("GOOGLETRANSLATE($B20,""en"",P$3)"),"Is féidir le Cuspóirí a ghlacadh ó do greille via Hypergrid")</f>
        <v>Is féidir le Cuspóirí a ghlacadh ó do greille via Hypergrid</v>
      </c>
      <c r="Q20" s="12" t="str">
        <f ca="1">IFERROR(__xludf.DUMMYFUNCTION("GOOGLETRANSLATE($B20,""en"",Q$3)"),"اشیاء را می توان از شبکه خود را از طریق Hypergrid گرفته")</f>
        <v>اشیاء را می توان از شبکه خود را از طریق Hypergrid گرفته</v>
      </c>
      <c r="R20" s="12" t="str">
        <f ca="1">IFERROR(__xludf.DUMMYFUNCTION("GOOGLETRANSLATE($B20,""en"",R$3)"),"אובייקטים ניתן לקחת הרשת שלך באמצעות Hypergrid")</f>
        <v>אובייקטים ניתן לקחת הרשת שלך באמצעות Hypergrid</v>
      </c>
      <c r="S20" s="12" t="str">
        <f ca="1">IFERROR(__xludf.DUMMYFUNCTION("GOOGLETRANSLATE($B20,""en"",S$3)"),"Hlutir geta verið tekin úr rist þínu í gegnum Hypergrid")</f>
        <v>Hlutir geta verið tekin úr rist þínu í gegnum Hypergrid</v>
      </c>
      <c r="T20" s="12" t="str">
        <f ca="1">IFERROR(__xludf.DUMMYFUNCTION("GOOGLETRANSLATE($B20,""en"",T$3)"),"Objekter kan tas fra rutenettet via Hypergrid")</f>
        <v>Objekter kan tas fra rutenettet via Hypergrid</v>
      </c>
      <c r="U20" s="12" t="str">
        <f ca="1">IFERROR(__xludf.DUMMYFUNCTION("GOOGLETRANSLATE($B20,""en"",U$3)"),"الأشياء التي يمكن اتخاذها من الشبكة الخاصة بك عن طريق Hypergrid")</f>
        <v>الأشياء التي يمكن اتخاذها من الشبكة الخاصة بك عن طريق Hypergrid</v>
      </c>
      <c r="V20" s="12" t="str">
        <f ca="1">IFERROR(__xludf.DUMMYFUNCTION("GOOGLETRANSLATE($B20,""en"",V$3)"),"Obiekty mogą być brane z sieci poprzez Hypergrid")</f>
        <v>Obiekty mogą być brane z sieci poprzez Hypergrid</v>
      </c>
      <c r="W20" s="12" t="str">
        <f ca="1">IFERROR(__xludf.DUMMYFUNCTION("GOOGLETRANSLATE($B20,""en"",W$3)"),"Объекты могут быть взяты из вашей сети через Hypergrid")</f>
        <v>Объекты могут быть взяты из вашей сети через Hypergrid</v>
      </c>
      <c r="X20" s="12" t="str">
        <f ca="1">IFERROR(__xludf.DUMMYFUNCTION("GOOGLETRANSLATE($B20,""en"",X$3)"),"Los objetos pueden ser tomadas de su red a través de Hypergrid")</f>
        <v>Los objetos pueden ser tomadas de su red a través de Hypergrid</v>
      </c>
      <c r="Y20" s="12"/>
      <c r="Z20" s="12"/>
    </row>
    <row r="21" spans="1:26" ht="32.25" customHeight="1" x14ac:dyDescent="0.2">
      <c r="A21" s="10" t="s">
        <v>94</v>
      </c>
      <c r="B21" s="10" t="s">
        <v>95</v>
      </c>
      <c r="C21" s="16" t="s">
        <v>1782</v>
      </c>
      <c r="D21" s="12" t="str">
        <f ca="1">IFERROR(__xludf.DUMMYFUNCTION("GOOGLETRANSLATE($B21,""en"",D$3)"),"Tillåt Level-baserade gudar")</f>
        <v>Tillåt Level-baserade gudar</v>
      </c>
      <c r="E21" s="13" t="s">
        <v>96</v>
      </c>
      <c r="F21" s="14" t="s">
        <v>96</v>
      </c>
      <c r="G21" s="12" t="str">
        <f ca="1">IFERROR(__xludf.DUMMYFUNCTION("GOOGLETRANSLATE($B21,""en"",G$3)"),"Autoriser les dieux basés niveau")</f>
        <v>Autoriser les dieux basés niveau</v>
      </c>
      <c r="H21" s="12" t="str">
        <f ca="1">IFERROR(__xludf.DUMMYFUNCTION("GOOGLETRANSLATE($B21,""en"",H$3)"),"Onartu Maila oinarritutako jainko")</f>
        <v>Onartu Maila oinarritutako jainko</v>
      </c>
      <c r="I21" s="12" t="str">
        <f ca="1">IFERROR(__xludf.DUMMYFUNCTION("GOOGLETRANSLATE($B21,""en"",I$3)"),"Permetre déus a força de Nivell")</f>
        <v>Permetre déus a força de Nivell</v>
      </c>
      <c r="J21" s="12" t="str">
        <f ca="1">IFERROR(__xludf.DUMMYFUNCTION("GOOGLETRANSLATE($B21,""en"",J$3)"),"Dovolit bohy Level založených")</f>
        <v>Dovolit bohy Level založených</v>
      </c>
      <c r="K21" s="12" t="str">
        <f ca="1">IFERROR(__xludf.DUMMYFUNCTION("GOOGLETRANSLATE($B21,""en"",K$3)"),"允许基于级别的神")</f>
        <v>允许基于级别的神</v>
      </c>
      <c r="L21" s="12" t="str">
        <f ca="1">IFERROR(__xludf.DUMMYFUNCTION("GOOGLETRANSLATE($B21,""en"",L$3)"),"允許基於級別的神")</f>
        <v>允許基於級別的神</v>
      </c>
      <c r="M21" s="12" t="str">
        <f ca="1">IFERROR(__xludf.DUMMYFUNCTION("GOOGLETRANSLATE($B21,""en"",M$3)"),"Laat Level-gebaseerde goden")</f>
        <v>Laat Level-gebaseerde goden</v>
      </c>
      <c r="N21" s="12" t="str">
        <f ca="1">IFERROR(__xludf.DUMMYFUNCTION("GOOGLETRANSLATE($B21,""en"",N$3)"),"Αφήστε θεούς επίπεδο με βάση")</f>
        <v>Αφήστε θεούς επίπεδο με βάση</v>
      </c>
      <c r="O21" s="12" t="str">
        <f ca="1">IFERROR(__xludf.DUMMYFUNCTION("GOOGLETRANSLATE($B21,""en"",O$3)"),"Salli Level-pohjainen jumalat")</f>
        <v>Salli Level-pohjainen jumalat</v>
      </c>
      <c r="P21" s="12" t="str">
        <f ca="1">IFERROR(__xludf.DUMMYFUNCTION("GOOGLETRANSLATE($B21,""en"",P$3)"),"Ceadaigh gods Level-bhunaithe")</f>
        <v>Ceadaigh gods Level-bhunaithe</v>
      </c>
      <c r="Q21" s="12" t="str">
        <f ca="1">IFERROR(__xludf.DUMMYFUNCTION("GOOGLETRANSLATE($B21,""en"",Q$3)"),"اجازه خدایان بر اساس سطح")</f>
        <v>اجازه خدایان بر اساس سطح</v>
      </c>
      <c r="R21" s="12" t="str">
        <f ca="1">IFERROR(__xludf.DUMMYFUNCTION("GOOGLETRANSLATE($B21,""en"",R$3)"),"אפשר אלים מבוססי רמה")</f>
        <v>אפשר אלים מבוססי רמה</v>
      </c>
      <c r="S21" s="12" t="str">
        <f ca="1">IFERROR(__xludf.DUMMYFUNCTION("GOOGLETRANSLATE($B21,""en"",S$3)"),"Leyfa Level-undirstaða guði")</f>
        <v>Leyfa Level-undirstaða guði</v>
      </c>
      <c r="T21" s="12" t="str">
        <f ca="1">IFERROR(__xludf.DUMMYFUNCTION("GOOGLETRANSLATE($B21,""en"",T$3)"),"Tillat Level-baserte guder")</f>
        <v>Tillat Level-baserte guder</v>
      </c>
      <c r="U21" s="12" t="str">
        <f ca="1">IFERROR(__xludf.DUMMYFUNCTION("GOOGLETRANSLATE($B21,""en"",U$3)"),"تسمح الآلهة أساس المستوى")</f>
        <v>تسمح الآلهة أساس المستوى</v>
      </c>
      <c r="V21" s="12" t="str">
        <f ca="1">IFERROR(__xludf.DUMMYFUNCTION("GOOGLETRANSLATE($B21,""en"",V$3)"),"Pozostawić bogów Poziom opartych")</f>
        <v>Pozostawić bogów Poziom opartych</v>
      </c>
      <c r="W21" s="12" t="str">
        <f ca="1">IFERROR(__xludf.DUMMYFUNCTION("GOOGLETRANSLATE($B21,""en"",W$3)"),"Разрешить бог-го уровня на основе")</f>
        <v>Разрешить бог-го уровня на основе</v>
      </c>
      <c r="X21" s="12" t="str">
        <f ca="1">IFERROR(__xludf.DUMMYFUNCTION("GOOGLETRANSLATE($B21,""en"",X$3)"),"Permitir dioses a base de Nivel")</f>
        <v>Permitir dioses a base de Nivel</v>
      </c>
      <c r="Y21" s="12"/>
      <c r="Z21" s="12"/>
    </row>
    <row r="22" spans="1:26" ht="32.25" customHeight="1" x14ac:dyDescent="0.2">
      <c r="A22" s="10" t="s">
        <v>97</v>
      </c>
      <c r="B22" s="10" t="s">
        <v>98</v>
      </c>
      <c r="C22" s="11" t="str">
        <f ca="1">IFERROR(__xludf.DUMMYFUNCTION("GOOGLETRANSLATE($B22,""en"",C$3)"),"Erlauben Region Eigentümer Götter")</f>
        <v>Erlauben Region Eigentümer Götter</v>
      </c>
      <c r="D22" s="12" t="str">
        <f ca="1">IFERROR(__xludf.DUMMYFUNCTION("GOOGLETRANSLATE($B22,""en"",D$3)"),"Låt Region ägare gudar")</f>
        <v>Låt Region ägare gudar</v>
      </c>
      <c r="E22" s="13" t="s">
        <v>99</v>
      </c>
      <c r="F22" s="14" t="s">
        <v>99</v>
      </c>
      <c r="G22" s="12" t="str">
        <f ca="1">IFERROR(__xludf.DUMMYFUNCTION("GOOGLETRANSLATE($B22,""en"",G$3)"),"Autoriser les dieux propriétaires Région")</f>
        <v>Autoriser les dieux propriétaires Région</v>
      </c>
      <c r="H22" s="12" t="str">
        <f ca="1">IFERROR(__xludf.DUMMYFUNCTION("GOOGLETRANSLATE($B22,""en"",H$3)"),"Onartu eskualdea jabea jainko")</f>
        <v>Onartu eskualdea jabea jainko</v>
      </c>
      <c r="I22" s="12" t="str">
        <f ca="1">IFERROR(__xludf.DUMMYFUNCTION("GOOGLETRANSLATE($B22,""en"",I$3)"),"Permetre déus propietari Regió")</f>
        <v>Permetre déus propietari Regió</v>
      </c>
      <c r="J22" s="12" t="str">
        <f ca="1">IFERROR(__xludf.DUMMYFUNCTION("GOOGLETRANSLATE($B22,""en"",J$3)"),"Dovolit bohy vlastníka kraj")</f>
        <v>Dovolit bohy vlastníka kraj</v>
      </c>
      <c r="K22" s="12" t="str">
        <f ca="1">IFERROR(__xludf.DUMMYFUNCTION("GOOGLETRANSLATE($B22,""en"",K$3)"),"允许区域业主的神")</f>
        <v>允许区域业主的神</v>
      </c>
      <c r="L22" s="12" t="str">
        <f ca="1">IFERROR(__xludf.DUMMYFUNCTION("GOOGLETRANSLATE($B22,""en"",L$3)"),"允許區域業主的神")</f>
        <v>允許區域業主的神</v>
      </c>
      <c r="M22" s="12" t="str">
        <f ca="1">IFERROR(__xludf.DUMMYFUNCTION("GOOGLETRANSLATE($B22,""en"",M$3)"),"Laat Region eigenaar goden")</f>
        <v>Laat Region eigenaar goden</v>
      </c>
      <c r="N22" s="12" t="str">
        <f ca="1">IFERROR(__xludf.DUMMYFUNCTION("GOOGLETRANSLATE($B22,""en"",N$3)"),"Αφήστε Περιφέρεια θεούς ιδιοκτήτη")</f>
        <v>Αφήστε Περιφέρεια θεούς ιδιοκτήτη</v>
      </c>
      <c r="O22" s="12" t="str">
        <f ca="1">IFERROR(__xludf.DUMMYFUNCTION("GOOGLETRANSLATE($B22,""en"",O$3)"),"Salli alueen omistaja jumalat")</f>
        <v>Salli alueen omistaja jumalat</v>
      </c>
      <c r="P22" s="12" t="str">
        <f ca="1">IFERROR(__xludf.DUMMYFUNCTION("GOOGLETRANSLATE($B22,""en"",P$3)"),"Ceadaigh gods úinéir Réigiún")</f>
        <v>Ceadaigh gods úinéir Réigiún</v>
      </c>
      <c r="Q22" s="12" t="str">
        <f ca="1">IFERROR(__xludf.DUMMYFUNCTION("GOOGLETRANSLATE($B22,""en"",Q$3)"),"اجازه خدایان صاحب منطقه")</f>
        <v>اجازه خدایان صاحب منطقه</v>
      </c>
      <c r="R22" s="12" t="str">
        <f ca="1">IFERROR(__xludf.DUMMYFUNCTION("GOOGLETRANSLATE($B22,""en"",R$3)"),"אפשר אלי בעלי האזור")</f>
        <v>אפשר אלי בעלי האזור</v>
      </c>
      <c r="S22" s="12" t="str">
        <f ca="1">IFERROR(__xludf.DUMMYFUNCTION("GOOGLETRANSLATE($B22,""en"",S$3)"),"Leyfa Svæði eigandi guði")</f>
        <v>Leyfa Svæði eigandi guði</v>
      </c>
      <c r="T22" s="12" t="str">
        <f ca="1">IFERROR(__xludf.DUMMYFUNCTION("GOOGLETRANSLATE($B22,""en"",T$3)"),"Tillat Region eier guder")</f>
        <v>Tillat Region eier guder</v>
      </c>
      <c r="U22" s="12" t="str">
        <f ca="1">IFERROR(__xludf.DUMMYFUNCTION("GOOGLETRANSLATE($B22,""en"",U$3)"),"تسمح الآلهة صاحب منطقة")</f>
        <v>تسمح الآلهة صاحب منطقة</v>
      </c>
      <c r="V22" s="12" t="str">
        <f ca="1">IFERROR(__xludf.DUMMYFUNCTION("GOOGLETRANSLATE($B22,""en"",V$3)"),"Pozostawić Region właściciela bogów")</f>
        <v>Pozostawić Region właściciela bogów</v>
      </c>
      <c r="W22" s="12" t="str">
        <f ca="1">IFERROR(__xludf.DUMMYFUNCTION("GOOGLETRANSLATE($B22,""en"",W$3)"),"Разрешить бог владельца региона")</f>
        <v>Разрешить бог владельца региона</v>
      </c>
      <c r="X22" s="12" t="str">
        <f ca="1">IFERROR(__xludf.DUMMYFUNCTION("GOOGLETRANSLATE($B22,""en"",X$3)"),"Permitir dioses propietario Región")</f>
        <v>Permitir dioses propietario Región</v>
      </c>
      <c r="Y22" s="12"/>
      <c r="Z22" s="12"/>
    </row>
    <row r="23" spans="1:26" ht="32.25" customHeight="1" x14ac:dyDescent="0.2">
      <c r="A23" s="10" t="s">
        <v>100</v>
      </c>
      <c r="B23" s="10" t="s">
        <v>101</v>
      </c>
      <c r="C23" s="11" t="str">
        <f ca="1">IFERROR(__xludf.DUMMYFUNCTION("GOOGLETRANSLATE($B23,""en"",C$3)"),"Wenn dieses Feld wird in Einstellungen- geprüft&gt; Berechtigungen, dann jedem Benutzer mit einem Pegel&gt; = 100 in dem Web-Panel kann ein Gott werden, überall. Dies kann für einzelne Regionen gesetzt werden, wenn die Standard-in-Berechtigungen ist UN-geprüft,"&amp;" und Sie es in der Region Panel außer Kraft setzen mit ** Lassen Götter in dieser Region **. Diese Einstellung hat nichts mit den beiden anderen Einstellungen zu tun.")</f>
        <v>Wenn dieses Feld wird in Einstellungen- geprüft&gt; Berechtigungen, dann jedem Benutzer mit einem Pegel&gt; = 100 in dem Web-Panel kann ein Gott werden, überall. Dies kann für einzelne Regionen gesetzt werden, wenn die Standard-in-Berechtigungen ist UN-geprüft, und Sie es in der Region Panel außer Kraft setzen mit ** Lassen Götter in dieser Region **. Diese Einstellung hat nichts mit den beiden anderen Einstellungen zu tun.</v>
      </c>
      <c r="D23" s="12" t="str">
        <f ca="1">IFERROR(__xludf.DUMMYFUNCTION("GOOGLETRANSLATE($B23,""en"",D$3)"),"Om den här rutan är markerad i Inställningar&gt; Behörigheter, då alla användare med en nivå&gt; = 100 i webbpanel kan bli en Gud, var som helst. Detta kan ställas in för enskilda regioner om standardbehörigheter är FN-kontrollerat, och du åsidosätta den i regi"&amp;"onen panel med ** Låt gudar i denna region **. Denna inställning har ingenting att göra med de andra två inställningar.")</f>
        <v>Om den här rutan är markerad i Inställningar&gt; Behörigheter, då alla användare med en nivå&gt; = 100 i webbpanel kan bli en Gud, var som helst. Detta kan ställas in för enskilda regioner om standardbehörigheter är FN-kontrollerat, och du åsidosätta den i regionen panel med ** Låt gudar i denna region **. Denna inställning har ingenting att göra med de andra två inställningar.</v>
      </c>
      <c r="E23" s="13" t="s">
        <v>102</v>
      </c>
      <c r="F23" s="14" t="s">
        <v>102</v>
      </c>
      <c r="G23" s="12" t="str">
        <f ca="1">IFERROR(__xludf.DUMMYFUNCTION("GOOGLETRANSLATE($B23,""en"",G$3)"),"Si cette case est cochée dans Configuration-&gt; Autorisations, puis tout utilisateur ayant un niveau&gt; = 100 dans le panneau Web peut devenir un Dieu, partout. Cela peut être ensemble pour les régions individuelles si la valeur par défaut dans les autorisati"&amp;"ons est décochée, et vous remplacer dans le panneau de région ** Permettre Dieux dans cette région **. Ce paramètre n'a rien à voir avec les deux autres paramètres.")</f>
        <v>Si cette case est cochée dans Configuration-&gt; Autorisations, puis tout utilisateur ayant un niveau&gt; = 100 dans le panneau Web peut devenir un Dieu, partout. Cela peut être ensemble pour les régions individuelles si la valeur par défaut dans les autorisations est décochée, et vous remplacer dans le panneau de région ** Permettre Dieux dans cette région **. Ce paramètre n'a rien à voir avec les deux autres paramètres.</v>
      </c>
      <c r="H23" s="12" t="str">
        <f ca="1">IFERROR(__xludf.DUMMYFUNCTION("GOOGLETRANSLATE($B23,""en"",H$3)"),"Hau hautatuta badago Ezarpenak-&gt; Baimenak, orduan edozein maila bat&gt; = 100 Web panel God bat bihur daiteke, edonon dituzten erabiltzaileak. Hau banakako eskualde ezar daiteke Baimenak ere lehenetsia da UN-hautatuta badago, eta horri jaramonik ** Onartu Go"&amp;"ds In This Erkidegoko eskualde panel you **. Ezarpen honek ez du zerikusirik beste bi ezarpenak zerikusia du.")</f>
        <v>Hau hautatuta badago Ezarpenak-&gt; Baimenak, orduan edozein maila bat&gt; = 100 Web panel God bat bihur daiteke, edonon dituzten erabiltzaileak. Hau banakako eskualde ezar daiteke Baimenak ere lehenetsia da UN-hautatuta badago, eta horri jaramonik ** Onartu Gods In This Erkidegoko eskualde panel you **. Ezarpen honek ez du zerikusirik beste bi ezarpenak zerikusia du.</v>
      </c>
      <c r="I23" s="12" t="str">
        <f ca="1">IFERROR(__xludf.DUMMYFUNCTION("GOOGLETRANSLATE($B23,""en"",I$3)"),"Si aquesta opció està marcada en Arranjament-&gt; Permisos, qualsevol usuari amb un nivell de&gt; = 100 en el panell web pot convertir-se en un Déu i en qualsevol lloc. Això es pot configurar per a les regions individuals si el defecte en permisos és controlada"&amp;" per l'ONU, i que el substitueixi en el panell regió amb ** Permetre déus En aquesta regió **. Aquest ajustament no té res a veure amb els altres dos àmbits.")</f>
        <v>Si aquesta opció està marcada en Arranjament-&gt; Permisos, qualsevol usuari amb un nivell de&gt; = 100 en el panell web pot convertir-se en un Déu i en qualsevol lloc. Això es pot configurar per a les regions individuals si el defecte en permisos és controlada per l'ONU, i que el substitueixi en el panell regió amb ** Permetre déus En aquesta regió **. Aquest ajustament no té res a veure amb els altres dos àmbits.</v>
      </c>
      <c r="J23" s="12" t="str">
        <f ca="1">IFERROR(__xludf.DUMMYFUNCTION("GOOGLETRANSLATE($B23,""en"",J$3)"),"Je-li toto políčko zaškrtnuto V Nastavení-&gt; Oprávnění, pak každý uživatel s úrovní&gt; = 100 na webové panelu se může stát Bohem a kdekoliv. To lze nastavit pro jednotlivé regiony v případě, že výchozí v Oprávnění je UN-kontrolovat, a vy to přepsat v regionu"&amp;" panelu ** Povolit Gods v tomto regionu **. Toto nastavení nemá nic společného s ostatními dvěma nastaveními.")</f>
        <v>Je-li toto políčko zaškrtnuto V Nastavení-&gt; Oprávnění, pak každý uživatel s úrovní&gt; = 100 na webové panelu se může stát Bohem a kdekoliv. To lze nastavit pro jednotlivé regiony v případě, že výchozí v Oprávnění je UN-kontrolovat, a vy to přepsat v regionu panelu ** Povolit Gods v tomto regionu **. Toto nastavení nemá nic společného s ostatními dvěma nastaveními.</v>
      </c>
      <c r="K23" s="12" t="str">
        <f ca="1">IFERROR(__xludf.DUMMYFUNCTION("GOOGLETRANSLATE($B23,""en"",K$3)"),"如果选中该复选框在设置 - &gt;权限，然后在Web面板可以成为神，任何地方级&gt; = 100的任何用户。这对于个别地区集如果权限默认未核对，并重写它与**允许神在这一地区的区域面板**。此设置无关，与其他两个设置。")</f>
        <v>如果选中该复选框在设置 - &gt;权限，然后在Web面板可以成为神，任何地方级&gt; = 100的任何用户。这对于个别地区集如果权限默认未核对，并重写它与**允许神在这一地区的区域面板**。此设置无关，与其他两个设置。</v>
      </c>
      <c r="L23" s="12" t="str">
        <f ca="1">IFERROR(__xludf.DUMMYFUNCTION("GOOGLETRANSLATE($B23,""en"",L$3)"),"如果選中該複選框在設置 - &gt;權限，然後在Web面板可以成為神，任何地方級&gt; = 100的任何用戶。這對於個別地區集如果權限默認未核對，並重寫它與**允許神在這一地區的區域面板**。此設置無關，與其他兩個設置。")</f>
        <v>如果選中該複選框在設置 - &gt;權限，然後在Web面板可以成為神，任何地方級&gt; = 100的任何用戶。這對於個別地區集如果權限默認未核對，並重寫它與**允許神在這一地區的區域面板**。此設置無關，與其他兩個設置。</v>
      </c>
      <c r="M23" s="12" t="str">
        <f ca="1">IFERROR(__xludf.DUMMYFUNCTION("GOOGLETRANSLATE($B23,""en"",M$3)"),"Als dit vakje is aangevinkt In instellingen-&gt; Rechten, dan is elke gebruiker met een niveau&gt; = 100 in de Web paneel kan een God te worden, waar dan ook. Dit kan ingesteld voor afzonderlijke regio's zijn als de standaard in Machtigingen is de VN-gecontrole"&amp;"erd, en je het overschrijven in de regio paneel met ** Laat Goden in deze regio laten **. Deze instelling heeft niets te maken met de twee andere instellingen.")</f>
        <v>Als dit vakje is aangevinkt In instellingen-&gt; Rechten, dan is elke gebruiker met een niveau&gt; = 100 in de Web paneel kan een God te worden, waar dan ook. Dit kan ingesteld voor afzonderlijke regio's zijn als de standaard in Machtigingen is de VN-gecontroleerd, en je het overschrijven in de regio paneel met ** Laat Goden in deze regio laten **. Deze instelling heeft niets te maken met de twee andere instellingen.</v>
      </c>
      <c r="N23" s="12" t="str">
        <f ca="1">IFERROR(__xludf.DUMMYFUNCTION("GOOGLETRANSLATE($B23,""en"",N$3)"),"Αν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μπορ"&amp;"είτε να το παρακάμψετε στον πίνακα περιοχή με ** Αφήστε Θεοί σε αυτήν την περιοχή **. Αυτή η ρύθμιση δεν έχει καμία σχέση με τις άλλες δύο ρυθμίσεις.")</f>
        <v>Αν αυτό είναι ενεργοποιημένο Σε Ρυθμίσεις-&gt; Δικαιώματα, τότε κάθε χρήστη με επίπεδο&gt; = 100 στον πίνακα Web μπορεί να γίνει Θεός, οπουδήποτε. Αυτό μπορεί να είναι έτοιμα για μεμονωμένες περιοχές, αν η προεπιλογή στα Δικαιώματα είναι UN-ελέγχονται, και μπορείτε να το παρακάμψετε στον πίνακα περιοχή με ** Αφήστε Θεοί σε αυτήν την περιοχή **. Αυτή η ρύθμιση δεν έχει καμία σχέση με τις άλλες δύο ρυθμίσεις.</v>
      </c>
      <c r="O23" s="12" t="str">
        <f ca="1">IFERROR(__xludf.DUMMYFUNCTION("GOOGLETRANSLATE($B23,""en"",O$3)"),"Jos tämä kohta on valittuna Asetukset-&gt; Käyttöoikeudet kuka tahansa käyttäjä, jolla on taso&gt; = 100 Web-paneelissa voi tulla Jumalan, missä tahansa. Tämä voidaan asettaa yksittäisten alueiden jos oletuksena käyttöoikeudet on YK-merkitty ja ohitat sen aluee"&amp;"lla paneeli ** Jätä Gods tähän alueeseen **. Tällä asetuksella ei ole mitään tekemistä sen kanssa kaksi muuta asetuksia.")</f>
        <v>Jos tämä kohta on valittuna Asetukset-&gt; Käyttöoikeudet kuka tahansa käyttäjä, jolla on taso&gt; = 100 Web-paneelissa voi tulla Jumalan, missä tahansa. Tämä voidaan asettaa yksittäisten alueiden jos oletuksena käyttöoikeudet on YK-merkitty ja ohitat sen alueella paneeli ** Jätä Gods tähän alueeseen **. Tällä asetuksella ei ole mitään tekemistä sen kanssa kaksi muuta asetuksia.</v>
      </c>
      <c r="P23" s="12" t="str">
        <f ca="1">IFERROR(__xludf.DUMMYFUNCTION("GOOGLETRANSLATE($B23,""en"",P$3)"),"Má tá tic sa bhosca seo i Socruithe&gt; Ceadanna, ansin aon úsáideoir le leibhéal&gt; = 100 sa phainéal Web is féidir a bheith ina Dia, in aon áit. Is féidir é seo a bheith leagtha síos do réigiúin ar leith má tá an réamhshocraithe i Ceadanna Náisiún-sheiceáil,"&amp;" agus tú a shárú go sa phainéal réigiún le ** Ceadaigh Gods I Réigiún an **. Tá an leagan faic a dhéanamh leis an dá suímh eile.")</f>
        <v>Má tá tic sa bhosca seo i Socruithe&gt; Ceadanna, ansin aon úsáideoir le leibhéal&gt; = 100 sa phainéal Web is féidir a bheith ina Dia, in aon áit. Is féidir é seo a bheith leagtha síos do réigiúin ar leith má tá an réamhshocraithe i Ceadanna Náisiún-sheiceáil, agus tú a shárú go sa phainéal réigiún le ** Ceadaigh Gods I Réigiún an **. Tá an leagan faic a dhéanamh leis an dá suímh eile.</v>
      </c>
      <c r="Q23" s="12" t="str">
        <f ca="1">IFERROR(__xludf.DUMMYFUNCTION("GOOGLETRANSLATE($B23,""en"",Q$3)"),"اگر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*"&amp;"* اجازه خدایان در این منطقه **. این تنظیم هیچ ربطی به با دو تنظیمات دیگر.")</f>
        <v>اگر این کادر علامت در تنظیمات&gt; ویرایش، هر کاربری با سطح&gt; = 100 در پانل وب می تواند تبدیل به یک خدا، هر جا. این می تواند مجموعه ای برای مناطق منحصر به فرد اگر به طور پیش فرض در دسترسی است سازمان ملل بررسی می شود، و شما آن را نادیده گرفتن در پانل منطقه با ** اجازه خدایان در این منطقه **. این تنظیم هیچ ربطی به با دو تنظیمات دیگر.</v>
      </c>
      <c r="R23" s="12" t="str">
        <f ca="1">IFERROR(__xludf.DUMMYFUNCTION("GOOGLETRANSLATE($B23,""en"",R$3)"),"אם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ק"&amp;"שר עם שתי הגדרות אחרות.")</f>
        <v>אם תיבה זו מסומנת ב Settings-&gt; הרשאות, כל משתמש עם רמה&gt; = 100 בלוח האינטרנט יכול להיות אלוהים, בכל מקום. זה יכול להיות מוגדר עבור אזורים בודדים אם ברירת המחדל הרשאות הוא בדק האו"ם, ואתה לעקוף אותו בלוח באזור עם ** אפשר לאלים זה אזור **. יש הגדרה זו שום קשר עם שתי הגדרות אחרות.</v>
      </c>
      <c r="S23" s="12" t="str">
        <f ca="1">IFERROR(__xludf.DUMMYFUNCTION("GOOGLETRANSLATE($B23,""en"",S$3)"),"Ef þessi kassi er valinn í Stillingar-&gt; Heimildir, þá hvaða notandi með stúdentspróf&gt; = 100 í vefnum pallborð geta orðið Guð, hvar sem er. Þetta getur verið sett fyrir einstökum svæðum ef vanræksla á heimildir er UN-köflóttur og þú hnekkt í svæðinu pallbo"&amp;"rð með ** Leyfa Gods á þessu svæði **. Þessi stilling hefur ekkert að gera með hinum tveimur stillingum.")</f>
        <v>Ef þessi kassi er valinn í Stillingar-&gt; Heimildir, þá hvaða notandi með stúdentspróf&gt; = 100 í vefnum pallborð geta orðið Guð, hvar sem er. Þetta getur verið sett fyrir einstökum svæðum ef vanræksla á heimildir er UN-köflóttur og þú hnekkt í svæðinu pallborð með ** Leyfa Gods á þessu svæði **. Þessi stilling hefur ekkert að gera með hinum tveimur stillingum.</v>
      </c>
      <c r="T23" s="12" t="str">
        <f ca="1">IFERROR(__xludf.DUMMYFUNCTION("GOOGLETRANSLATE($B23,""en"",T$3)"),"Hvis denne boksen er krysset av i Innstillinger&gt; Tillatelser, så alle brukere med et nivå&gt; = 100 i Web panelet kan bli en Gud, hvor som helst. Dette kan være satt for enkelte regioner hvis standard i Tillatelser er FN-kontrollert, og du overstyre den i re"&amp;"gionen panel med ** La Gods I denne regionen **. Denne innstillingen har ingenting å gjøre med de to andre innstillinger.")</f>
        <v>Hvis denne boksen er krysset av i Innstillinger&gt; Tillatelser, så alle brukere med et nivå&gt; = 100 i Web panelet kan bli en Gud, hvor som helst. Dette kan være satt for enkelte regioner hvis standard i Tillatelser er FN-kontrollert, og du overstyre den i regionen panel med ** La Gods I denne regionen **. Denne innstillingen har ingenting å gjøre med de to andre innstillinger.</v>
      </c>
      <c r="U23" s="12" t="str">
        <f ca="1">IFERROR(__xludf.DUMMYFUNCTION("GOOGLETRANSLATE($B23,""en"",U$3)"),"إذا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ه"&amp;"ذه المنطقة **. هذا الإعداد له علاقة مع إعدادات الأخريين لا شيء.")</f>
        <v>إذا تم تحديد هذا المربع في إعدادات-&gt; ضوابط، ثم أي مستخدم لديه مستوى&gt; = 100 في لوحة الويب يمكن أن تصبح الله، في أي مكان. هذا يمكن أن يكون مجموعة للمنطقة على حدة إذا الافتراضي في ضوابط هو فحص للأمم المتحدة، والتي تتجاوز في لوحة المنطقة ** السماح الآلهة في هذه المنطقة **. هذا الإعداد له علاقة مع إعدادات الأخريين لا شيء.</v>
      </c>
      <c r="V23" s="12" t="str">
        <f ca="1">IFERROR(__xludf.DUMMYFUNCTION("GOOGLETRANSLATE($B23,""en"",V$3)"),"Jeśli ta opcja jest włączona w Ustawienia-&gt; Uprawnienia, każdy użytkownik z poziomu&gt; = 100 w panelu WWW może stać się Bogiem, wszędzie. To może być ustawione dla poszczególnych regionów, jeśli domyślny uprawnieniami jest odznaczone, a zastąpić go w panelu"&amp;" regionem ** Zezwalaj Gods w tym regionie **. To ustawienie nie ma nic wspólnego z pozostałymi dwoma ustawieniami.")</f>
        <v>Jeśli ta opcja jest włączona w Ustawienia-&gt; Uprawnienia, każdy użytkownik z poziomu&gt; = 100 w panelu WWW może stać się Bogiem, wszędzie. To może być ustawione dla poszczególnych regionów, jeśli domyślny uprawnieniami jest odznaczone, a zastąpić go w panelu regionem ** Zezwalaj Gods w tym regionie **. To ustawienie nie ma nic wspólnego z pozostałymi dwoma ustawieniami.</v>
      </c>
      <c r="W23" s="12" t="str">
        <f ca="1">IFERROR(__xludf.DUMMYFUNCTION("GOOGLETRANSLATE($B23,""en"",W$3)"),"Если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е"&amp;"го в области панели с ** Allow богов в этом регионе **. Этот параметр не имеет ничего общего с двумя другими настройками.")</f>
        <v>Если этот флажок установлен в Настройки-&gt; Права доступа, то любой пользователь с уровнем&gt; = 100 в веб-панели может стать Богом, в любом месте. Это может быть набор для отдельных регионов, если по умолчанию в разрешениях ООН проверяется, и переопределить его в области панели с ** Allow богов в этом регионе **. Этот параметр не имеет ничего общего с двумя другими настройками.</v>
      </c>
      <c r="X23" s="12" t="str">
        <f ca="1">IFERROR(__xludf.DUMMYFUNCTION("GOOGLETRANSLATE($B23,""en"",X$3)"),"Si esta casilla está marcada en Preferencias-&gt; Permisos, cualquier usuario con un nivel de&gt; = 100 en el panel web puede convertirse en un Dios y en cualquier lugar. Esto se puede configurar para las regiones individuales si el defecto en permisos es contr"&amp;"olada por la ONU, y que lo sustituya en el panel región con ** Permitir dioses En esta región **. Este ajuste no tiene nada que ver con los otros dos ámbitos.")</f>
        <v>Si esta casilla está marcada en Preferencias-&gt; Permisos, cualquier usuario con un nivel de&gt; = 100 en el panel web puede convertirse en un Dios y en cualquier lugar. Esto se puede configurar para las regiones individuales si el defecto en permisos es controlada por la ONU, y que lo sustituya en el panel región con ** Permitir dioses En esta región **. Este ajuste no tiene nada que ver con los otros dos ámbitos.</v>
      </c>
      <c r="Y23" s="12"/>
      <c r="Z23" s="12"/>
    </row>
    <row r="24" spans="1:26" ht="25.5" x14ac:dyDescent="0.2">
      <c r="A24" s="10" t="s">
        <v>103</v>
      </c>
      <c r="B24" s="17" t="s">
        <v>104</v>
      </c>
      <c r="C24" s="11" t="str">
        <f ca="1">IFERROR(__xludf.DUMMYFUNCTION("GOOGLETRANSLATE($B24,""en"",C$3)"),"Alphanumerisches und Minuszeichen und Leerzeichen")</f>
        <v>Alphanumerisches und Minuszeichen und Leerzeichen</v>
      </c>
      <c r="D24" s="12" t="str">
        <f ca="1">IFERROR(__xludf.DUMMYFUNCTION("GOOGLETRANSLATE($B24,""en"",D$3)"),"Alfanumeriskt plus-minustecken och mellanslag")</f>
        <v>Alfanumeriskt plus-minustecken och mellanslag</v>
      </c>
      <c r="E24" s="12" t="str">
        <f ca="1">IFERROR(__xludf.DUMMYFUNCTION("GOOGLETRANSLATE($B24,""en"",E$3)"),"Alfa-numérico sinal de mais ou menos e caractere de espaço")</f>
        <v>Alfa-numérico sinal de mais ou menos e caractere de espaço</v>
      </c>
      <c r="F24" s="12" t="str">
        <f ca="1">IFERROR(__xludf.DUMMYFUNCTION("GOOGLETRANSLATE($B24,""en"",F$3)"),"Alfa-numérico sinal de mais ou menos e caractere de espaço")</f>
        <v>Alfa-numérico sinal de mais ou menos e caractere de espaço</v>
      </c>
      <c r="G24" s="12" t="str">
        <f ca="1">IFERROR(__xludf.DUMMYFUNCTION("GOOGLETRANSLATE($B24,""en"",G$3)"),"Alpha-numérique, plus signe moins et le caractère de l'espace")</f>
        <v>Alpha-numérique, plus signe moins et le caractère de l'espace</v>
      </c>
      <c r="H24" s="12" t="str">
        <f ca="1">IFERROR(__xludf.DUMMYFUNCTION("GOOGLETRANSLATE($B24,""en"",H$3)"),"Alfazenbakizko plus minus zeinu eta espazioa pertsonaia")</f>
        <v>Alfazenbakizko plus minus zeinu eta espazioa pertsonaia</v>
      </c>
      <c r="I24" s="12" t="str">
        <f ca="1">IFERROR(__xludf.DUMMYFUNCTION("GOOGLETRANSLATE($B24,""en"",I$3)"),"Alfa-numèric signe menys i el caràcter d'espai")</f>
        <v>Alfa-numèric signe menys i el caràcter d'espai</v>
      </c>
      <c r="J24" s="12" t="str">
        <f ca="1">IFERROR(__xludf.DUMMYFUNCTION("GOOGLETRANSLATE($B24,""en"",J$3)"),"Alfa-numerické Plus mínus a mezera")</f>
        <v>Alfa-numerické Plus mínus a mezera</v>
      </c>
      <c r="K24" s="12" t="str">
        <f ca="1">IFERROR(__xludf.DUMMYFUNCTION("GOOGLETRANSLATE($B24,""en"",K$3)"),"字母数字正负号和空格字符")</f>
        <v>字母数字正负号和空格字符</v>
      </c>
      <c r="L24" s="12" t="str">
        <f ca="1">IFERROR(__xludf.DUMMYFUNCTION("GOOGLETRANSLATE($B24,""en"",L$3)"),"字母數字正負號和空格字符")</f>
        <v>字母數字正負號和空格字符</v>
      </c>
      <c r="M24" s="12" t="str">
        <f ca="1">IFERROR(__xludf.DUMMYFUNCTION("GOOGLETRANSLATE($B24,""en"",M$3)"),"Alfanumeriek plusminus en spatie")</f>
        <v>Alfanumeriek plusminus en spatie</v>
      </c>
      <c r="N24" s="12" t="str">
        <f ca="1">IFERROR(__xludf.DUMMYFUNCTION("GOOGLETRANSLATE($B24,""en"",N$3)"),"Αλφαριθμητικό σύμβολο συν-πλην χώρο και το χαρακτήρα")</f>
        <v>Αλφαριθμητικό σύμβολο συν-πλην χώρο και το χαρακτήρα</v>
      </c>
      <c r="O24" s="12" t="str">
        <f ca="1">IFERROR(__xludf.DUMMYFUNCTION("GOOGLETRANSLATE($B24,""en"",O$3)"),"Aakkosnumeeriset plus miinusmerkki ja välilyönti")</f>
        <v>Aakkosnumeeriset plus miinusmerkki ja välilyönti</v>
      </c>
      <c r="P24" s="12" t="str">
        <f ca="1">IFERROR(__xludf.DUMMYFUNCTION("GOOGLETRANSLATE($B24,""en"",P$3)"),"Alfa-Uimhriúil móide comhartha lúide agus carachtar spáis")</f>
        <v>Alfa-Uimhriúil móide comhartha lúide agus carachtar spáis</v>
      </c>
      <c r="Q24" s="12" t="str">
        <f ca="1">IFERROR(__xludf.DUMMYFUNCTION("GOOGLETRANSLATE($B24,""en"",Q$3)"),"آلفا عددی به علاوه علامت منفی و کاراکتر فاصله")</f>
        <v>آلفا عددی به علاوه علامت منفی و کاراکتر فاصله</v>
      </c>
      <c r="R24" s="12" t="str">
        <f ca="1">IFERROR(__xludf.DUMMYFUNCTION("GOOGLETRANSLATE($B24,""en"",R$3)"),"אלפא-נומרי סימן פלוס מינוס ואופי החלל")</f>
        <v>אלפא-נומרי סימן פלוס מינוס ואופי החלל</v>
      </c>
      <c r="S24" s="12" t="str">
        <f ca="1">IFERROR(__xludf.DUMMYFUNCTION("GOOGLETRANSLATE($B24,""en"",S$3)"),"Alfa-töluna plús mínus merki og pláss karakter")</f>
        <v>Alfa-töluna plús mínus merki og pláss karakter</v>
      </c>
      <c r="T24" s="12" t="str">
        <f ca="1">IFERROR(__xludf.DUMMYFUNCTION("GOOGLETRANSLATE($B24,""en"",T$3)"),"Alfanumerisk pluss minustegn og mellomrom")</f>
        <v>Alfanumerisk pluss minustegn og mellomrom</v>
      </c>
      <c r="U24" s="12" t="str">
        <f ca="1">IFERROR(__xludf.DUMMYFUNCTION("GOOGLETRANSLATE($B24,""en"",U$3)"),"ألفا الرقمية علامة زائد ناقص وحرف مسافة")</f>
        <v>ألفا الرقمية علامة زائد ناقص وحرف مسافة</v>
      </c>
      <c r="V24" s="12" t="str">
        <f ca="1">IFERROR(__xludf.DUMMYFUNCTION("GOOGLETRANSLATE($B24,""en"",V$3)"),"Alfanumeryczny Plus minus i spacja")</f>
        <v>Alfanumeryczny Plus minus i spacja</v>
      </c>
      <c r="W24" s="12" t="str">
        <f ca="1">IFERROR(__xludf.DUMMYFUNCTION("GOOGLETRANSLATE($B24,""en"",W$3)"),"Алфавитно-цифровой плюс знак минус и символ пробела")</f>
        <v>Алфавитно-цифровой плюс знак минус и символ пробела</v>
      </c>
      <c r="X24" s="12" t="str">
        <f ca="1">IFERROR(__xludf.DUMMYFUNCTION("GOOGLETRANSLATE($B24,""en"",X$3)"),"Alfa-numérico signo menos y el carácter de espacio")</f>
        <v>Alfa-numérico signo menos y el carácter de espacio</v>
      </c>
      <c r="Y24" s="12"/>
      <c r="Z24" s="12"/>
    </row>
    <row r="25" spans="1:26" ht="32.25" customHeight="1" x14ac:dyDescent="0.2">
      <c r="A25" s="10" t="s">
        <v>105</v>
      </c>
      <c r="B25" s="10" t="s">
        <v>106</v>
      </c>
      <c r="C25" s="11" t="str">
        <f ca="1">IFERROR(__xludf.DUMMYFUNCTION("GOOGLETRANSLATE($B25,""en"",C$3)"),"Dies ermöglicht eine andere Region an dieser Stelle platziert werden. Fortsetzen?")</f>
        <v>Dies ermöglicht eine andere Region an dieser Stelle platziert werden. Fortsetzen?</v>
      </c>
      <c r="D25" s="12" t="str">
        <f ca="1">IFERROR(__xludf.DUMMYFUNCTION("GOOGLETRANSLATE($B25,""en"",D$3)"),"Detta gör det möjligt för en annan region som skall placeras på denna plats. Fortsätta?")</f>
        <v>Detta gör det möjligt för en annan region som skall placeras på denna plats. Fortsätta?</v>
      </c>
      <c r="E25" s="13" t="s">
        <v>107</v>
      </c>
      <c r="F25" s="14" t="s">
        <v>107</v>
      </c>
      <c r="G25" s="12" t="str">
        <f ca="1">IFERROR(__xludf.DUMMYFUNCTION("GOOGLETRANSLATE($B25,""en"",G$3)"),"Cela permettra à une autre région à placer à cet endroit. Continuer?")</f>
        <v>Cela permettra à une autre région à placer à cet endroit. Continuer?</v>
      </c>
      <c r="H25" s="12" t="str">
        <f ca="1">IFERROR(__xludf.DUMMYFUNCTION("GOOGLETRANSLATE($B25,""en"",H$3)"),"Hau eskualdean bestera Leku horretan kokatu behar ahal izango dira. Jarraitu?")</f>
        <v>Hau eskualdean bestera Leku horretan kokatu behar ahal izango dira. Jarraitu?</v>
      </c>
      <c r="I25" s="12" t="str">
        <f ca="1">IFERROR(__xludf.DUMMYFUNCTION("GOOGLETRANSLATE($B25,""en"",I$3)"),"Això permetrà a una altra regió per a ser col·locat en aquest lloc. Continuar?")</f>
        <v>Això permetrà a una altra regió per a ser col·locat en aquest lloc. Continuar?</v>
      </c>
      <c r="J25" s="12" t="str">
        <f ca="1">IFERROR(__xludf.DUMMYFUNCTION("GOOGLETRANSLATE($B25,""en"",J$3)"),"To umožní další oblasti, které mají být umístěny na tomto místě. Pokračovat?")</f>
        <v>To umožní další oblasti, které mají být umístěny na tomto místě. Pokračovat?</v>
      </c>
      <c r="K25" s="12" t="str">
        <f ca="1">IFERROR(__xludf.DUMMYFUNCTION("GOOGLETRANSLATE($B25,""en"",K$3)"),"这将允许其他区域被放置在这个位置。继续？")</f>
        <v>这将允许其他区域被放置在这个位置。继续？</v>
      </c>
      <c r="L25" s="12" t="str">
        <f ca="1">IFERROR(__xludf.DUMMYFUNCTION("GOOGLETRANSLATE($B25,""en"",L$3)"),"這將允許其他區域被放置在這個位置。繼續？")</f>
        <v>這將允許其他區域被放置在這個位置。繼續？</v>
      </c>
      <c r="M25" s="12" t="str">
        <f ca="1">IFERROR(__xludf.DUMMYFUNCTION("GOOGLETRANSLATE($B25,""en"",M$3)"),"Hierdoor kan een ander gebied in deze plek nodig. Doorgaan met?")</f>
        <v>Hierdoor kan een ander gebied in deze plek nodig. Doorgaan met?</v>
      </c>
      <c r="N25" s="12" t="str">
        <f ca="1">IFERROR(__xludf.DUMMYFUNCTION("GOOGLETRANSLATE($B25,""en"",N$3)"),"Αυτό θα επιτρέψει σε μια άλλη περιοχή που θα τοποθετηθεί σε αυτό το σημείο. Να συνεχίσει?")</f>
        <v>Αυτό θα επιτρέψει σε μια άλλη περιοχή που θα τοποθετηθεί σε αυτό το σημείο. Να συνεχίσει?</v>
      </c>
      <c r="O25" s="12" t="str">
        <f ca="1">IFERROR(__xludf.DUMMYFUNCTION("GOOGLETRANSLATE($B25,""en"",O$3)"),"Tämä mahdollistaa toisen alue voidaan sijoittaa tällä paikalla. Jatkaa?")</f>
        <v>Tämä mahdollistaa toisen alue voidaan sijoittaa tällä paikalla. Jatkaa?</v>
      </c>
      <c r="P25" s="12" t="str">
        <f ca="1">IFERROR(__xludf.DUMMYFUNCTION("GOOGLETRANSLATE($B25,""en"",P$3)"),"Tabharfaidh sé seo deis réigiúin eile a bheidh le cur ag an láthair. Leanúint ar aghaidh?")</f>
        <v>Tabharfaidh sé seo deis réigiúin eile a bheidh le cur ag an láthair. Leanúint ar aghaidh?</v>
      </c>
      <c r="Q25" s="12" t="str">
        <f ca="1">IFERROR(__xludf.DUMMYFUNCTION("GOOGLETRANSLATE($B25,""en"",Q$3)"),"این اجازه خواهد داد یک منطقه دیگر در این نقطه قرار می گیرد. ادامه هید؟")</f>
        <v>این اجازه خواهد داد یک منطقه دیگر در این نقطه قرار می گیرد. ادامه هید؟</v>
      </c>
      <c r="R25" s="12" t="str">
        <f ca="1">IFERROR(__xludf.DUMMYFUNCTION("GOOGLETRANSLATE($B25,""en"",R$3)"),"זה יאפשר באזור אחר להציב בנקודה זו. לְהַמשִׁיך?")</f>
        <v>זה יאפשר באזור אחר להציב בנקודה זו. לְהַמשִׁיך?</v>
      </c>
      <c r="S25" s="12" t="str">
        <f ca="1">IFERROR(__xludf.DUMMYFUNCTION("GOOGLETRANSLATE($B25,""en"",S$3)"),"Þetta mun leyfa annað svæði til að setja á þessum stað. Halda áfram?")</f>
        <v>Þetta mun leyfa annað svæði til að setja á þessum stað. Halda áfram?</v>
      </c>
      <c r="T25" s="12" t="str">
        <f ca="1">IFERROR(__xludf.DUMMYFUNCTION("GOOGLETRANSLATE($B25,""en"",T$3)"),"Dette vil gi en annen region som skal plasseres på dette stedet. Fortsette?")</f>
        <v>Dette vil gi en annen region som skal plasseres på dette stedet. Fortsette?</v>
      </c>
      <c r="U25" s="12" t="str">
        <f ca="1">IFERROR(__xludf.DUMMYFUNCTION("GOOGLETRANSLATE($B25,""en"",U$3)"),"هذا سيسمح منطقة أخرى لتوضع في هذا المكان. استمر؟")</f>
        <v>هذا سيسمح منطقة أخرى لتوضع في هذا المكان. استمر؟</v>
      </c>
      <c r="V25" s="12" t="str">
        <f ca="1">IFERROR(__xludf.DUMMYFUNCTION("GOOGLETRANSLATE($B25,""en"",V$3)"),"Pozwoli to kolejny obszar, aby znaleźć się w tym miejscu. Kontyntynuj?")</f>
        <v>Pozwoli to kolejny obszar, aby znaleźć się w tym miejscu. Kontyntynuj?</v>
      </c>
      <c r="W25" s="12" t="str">
        <f ca="1">IFERROR(__xludf.DUMMYFUNCTION("GOOGLETRANSLATE($B25,""en"",W$3)"),"Это позволит еще один регион для размещения в этом месте. Продолжать?")</f>
        <v>Это позволит еще один регион для размещения в этом месте. Продолжать?</v>
      </c>
      <c r="X25" s="12" t="str">
        <f ca="1">IFERROR(__xludf.DUMMYFUNCTION("GOOGLETRANSLATE($B25,""en"",X$3)"),"Esto permitirá a otra región para ser colocado en este lugar. ¿Seguir?")</f>
        <v>Esto permitirá a otra región para ser colocado en este lugar. ¿Seguir?</v>
      </c>
      <c r="Y25" s="12"/>
      <c r="Z25" s="12"/>
    </row>
    <row r="26" spans="1:26" ht="32.25" customHeight="1" x14ac:dyDescent="0.2">
      <c r="A26" s="10" t="s">
        <v>108</v>
      </c>
      <c r="B26" s="10" t="s">
        <v>109</v>
      </c>
      <c r="C26" s="11" t="str">
        <f ca="1">IFERROR(__xludf.DUMMYFUNCTION("GOOGLETRANSLATE($B26,""en"",C$3)"),"Web-Server ist nicht aktiviert")</f>
        <v>Web-Server ist nicht aktiviert</v>
      </c>
      <c r="D26" s="12" t="str">
        <f ca="1">IFERROR(__xludf.DUMMYFUNCTION("GOOGLETRANSLATE($B26,""en"",D$3)"),"Webbserver är inte aktiverad")</f>
        <v>Webbserver är inte aktiverad</v>
      </c>
      <c r="E26" s="13" t="s">
        <v>110</v>
      </c>
      <c r="F26" s="14" t="s">
        <v>110</v>
      </c>
      <c r="G26" s="12" t="str">
        <f ca="1">IFERROR(__xludf.DUMMYFUNCTION("GOOGLETRANSLATE($B26,""en"",G$3)"),"serveur Web n'est pas activé")</f>
        <v>serveur Web n'est pas activé</v>
      </c>
      <c r="H26" s="12" t="str">
        <f ca="1">IFERROR(__xludf.DUMMYFUNCTION("GOOGLETRANSLATE($B26,""en"",H$3)"),"Web zerbitzaria ez dago gaituta")</f>
        <v>Web zerbitzaria ez dago gaituta</v>
      </c>
      <c r="I26" s="12" t="str">
        <f ca="1">IFERROR(__xludf.DUMMYFUNCTION("GOOGLETRANSLATE($B26,""en"",I$3)"),"servidor web no està activat")</f>
        <v>servidor web no està activat</v>
      </c>
      <c r="J26" s="12" t="str">
        <f ca="1">IFERROR(__xludf.DUMMYFUNCTION("GOOGLETRANSLATE($B26,""en"",J$3)"),"Webový server není povoleno")</f>
        <v>Webový server není povoleno</v>
      </c>
      <c r="K26" s="12" t="str">
        <f ca="1">IFERROR(__xludf.DUMMYFUNCTION("GOOGLETRANSLATE($B26,""en"",K$3)"),"Web服务器没有启用")</f>
        <v>Web服务器没有启用</v>
      </c>
      <c r="L26" s="12" t="str">
        <f ca="1">IFERROR(__xludf.DUMMYFUNCTION("GOOGLETRANSLATE($B26,""en"",L$3)"),"Web服務器沒有啟用")</f>
        <v>Web服務器沒有啟用</v>
      </c>
      <c r="M26" s="12" t="str">
        <f ca="1">IFERROR(__xludf.DUMMYFUNCTION("GOOGLETRANSLATE($B26,""en"",M$3)"),"Webserver is niet ingeschakeld")</f>
        <v>Webserver is niet ingeschakeld</v>
      </c>
      <c r="N26" s="12" t="str">
        <f ca="1">IFERROR(__xludf.DUMMYFUNCTION("GOOGLETRANSLATE($B26,""en"",N$3)"),"διακομιστή Web δεν είναι ενεργοποιημένη")</f>
        <v>διακομιστή Web δεν είναι ενεργοποιημένη</v>
      </c>
      <c r="O26" s="12" t="str">
        <f ca="1">IFERROR(__xludf.DUMMYFUNCTION("GOOGLETRANSLATE($B26,""en"",O$3)"),"Web-palvelin ei ole käytössä")</f>
        <v>Web-palvelin ei ole käytössä</v>
      </c>
      <c r="P26" s="12" t="str">
        <f ca="1">IFERROR(__xludf.DUMMYFUNCTION("GOOGLETRANSLATE($B26,""en"",P$3)"),"Níl freastalaí gréasáin cumasaithe")</f>
        <v>Níl freastalaí gréasáin cumasaithe</v>
      </c>
      <c r="Q26" s="12" t="str">
        <f ca="1">IFERROR(__xludf.DUMMYFUNCTION("GOOGLETRANSLATE($B26,""en"",Q$3)"),"وب سرور فعال نیست")</f>
        <v>وب سرور فعال نیست</v>
      </c>
      <c r="R26" s="12" t="str">
        <f ca="1">IFERROR(__xludf.DUMMYFUNCTION("GOOGLETRANSLATE($B26,""en"",R$3)"),"שרת האינטרנט אינו מופעל")</f>
        <v>שרת האינטרנט אינו מופעל</v>
      </c>
      <c r="S26" s="12" t="str">
        <f ca="1">IFERROR(__xludf.DUMMYFUNCTION("GOOGLETRANSLATE($B26,""en"",S$3)"),"Vefþjónninn er ekki virkt")</f>
        <v>Vefþjónninn er ekki virkt</v>
      </c>
      <c r="T26" s="12" t="str">
        <f ca="1">IFERROR(__xludf.DUMMYFUNCTION("GOOGLETRANSLATE($B26,""en"",T$3)"),"Web-server er ikke aktivert")</f>
        <v>Web-server er ikke aktivert</v>
      </c>
      <c r="U26" s="12" t="str">
        <f ca="1">IFERROR(__xludf.DUMMYFUNCTION("GOOGLETRANSLATE($B26,""en"",U$3)"),"لم يتم تمكين خادم الويب")</f>
        <v>لم يتم تمكين خادم الويب</v>
      </c>
      <c r="V26" s="12" t="str">
        <f ca="1">IFERROR(__xludf.DUMMYFUNCTION("GOOGLETRANSLATE($B26,""en"",V$3)"),"Serwer WWW nie jest włączona")</f>
        <v>Serwer WWW nie jest włączona</v>
      </c>
      <c r="W26" s="12" t="str">
        <f ca="1">IFERROR(__xludf.DUMMYFUNCTION("GOOGLETRANSLATE($B26,""en"",W$3)"),"Веб-сервер не включен")</f>
        <v>Веб-сервер не включен</v>
      </c>
      <c r="X26" s="12" t="str">
        <f ca="1">IFERROR(__xludf.DUMMYFUNCTION("GOOGLETRANSLATE($B26,""en"",X$3)"),"servidor web no está activado")</f>
        <v>servidor web no está activado</v>
      </c>
      <c r="Y26" s="12"/>
      <c r="Z26" s="12"/>
    </row>
    <row r="27" spans="1:26" ht="32.25" customHeight="1" x14ac:dyDescent="0.2">
      <c r="A27" s="10" t="s">
        <v>111</v>
      </c>
      <c r="B27" s="10" t="s">
        <v>112</v>
      </c>
      <c r="C27" s="11" t="str">
        <f ca="1">IFERROR(__xludf.DUMMYFUNCTION("GOOGLETRANSLATE($B27,""en"",C$3)"),"Apache verlassen. Möchten Sie das Fehlerprotokoll-Datei sehen?")</f>
        <v>Apache verlassen. Möchten Sie das Fehlerprotokoll-Datei sehen?</v>
      </c>
      <c r="D27" s="12" t="str">
        <f ca="1">IFERROR(__xludf.DUMMYFUNCTION("GOOGLETRANSLATE($B27,""en"",D$3)"),"Apache avslutas. Vill du se felloggfilen?")</f>
        <v>Apache avslutas. Vill du se felloggfilen?</v>
      </c>
      <c r="E27" s="13" t="s">
        <v>113</v>
      </c>
      <c r="F27" s="14" t="s">
        <v>113</v>
      </c>
      <c r="G27" s="12" t="str">
        <f ca="1">IFERROR(__xludf.DUMMYFUNCTION("GOOGLETRANSLATE($B27,""en"",G$3)"),"Apache est sorti. Voulez-vous voir le fichier journal des erreurs?")</f>
        <v>Apache est sorti. Voulez-vous voir le fichier journal des erreurs?</v>
      </c>
      <c r="H27" s="12" t="str">
        <f ca="1">IFERROR(__xludf.DUMMYFUNCTION("GOOGLETRANSLATE($B27,""en"",H$3)"),"Apache irten da. Ez error log fitxategia ikusi nahi al duzu?")</f>
        <v>Apache irten da. Ez error log fitxategia ikusi nahi al duzu?</v>
      </c>
      <c r="I27" s="12" t="str">
        <f ca="1">IFERROR(__xludf.DUMMYFUNCTION("GOOGLETRANSLATE($B27,""en"",I$3)"),"Apache va sortir. Vols veure el fitxer de registre d'errors?")</f>
        <v>Apache va sortir. Vols veure el fitxer de registre d'errors?</v>
      </c>
      <c r="J27" s="12" t="str">
        <f ca="1">IFERROR(__xludf.DUMMYFUNCTION("GOOGLETRANSLATE($B27,""en"",J$3)"),"Apache ukončen. Chcete vidět soubor protokolu chyb?")</f>
        <v>Apache ukončen. Chcete vidět soubor protokolu chyb?</v>
      </c>
      <c r="K27" s="12" t="str">
        <f ca="1">IFERROR(__xludf.DUMMYFUNCTION("GOOGLETRANSLATE($B27,""en"",K$3)"),"Apache的退出。你想看到错误日志文件？")</f>
        <v>Apache的退出。你想看到错误日志文件？</v>
      </c>
      <c r="L27" s="12" t="str">
        <f ca="1">IFERROR(__xludf.DUMMYFUNCTION("GOOGLETRANSLATE($B27,""en"",L$3)"),"Apache的退出。你想看到錯誤日誌文件？")</f>
        <v>Apache的退出。你想看到錯誤日誌文件？</v>
      </c>
      <c r="M27" s="12" t="str">
        <f ca="1">IFERROR(__xludf.DUMMYFUNCTION("GOOGLETRANSLATE($B27,""en"",M$3)"),"Apache verlaten. Wilt u de fout logbestand zien?")</f>
        <v>Apache verlaten. Wilt u de fout logbestand zien?</v>
      </c>
      <c r="N27" s="12" t="str">
        <f ca="1">IFERROR(__xludf.DUMMYFUNCTION("GOOGLETRANSLATE($B27,""en"",N$3)"),"Apache αποχώρησε. Θέλετε να δείτε το αρχείο καταγραφής σφαλμάτων;")</f>
        <v>Apache αποχώρησε. Θέλετε να δείτε το αρχείο καταγραφής σφαλμάτων;</v>
      </c>
      <c r="O27" s="12" t="str">
        <f ca="1">IFERROR(__xludf.DUMMYFUNCTION("GOOGLETRANSLATE($B27,""en"",O$3)"),"Apache poistui. Haluatko nähdä virhelokitiedostoon?")</f>
        <v>Apache poistui. Haluatko nähdä virhelokitiedostoon?</v>
      </c>
      <c r="P27" s="12" t="str">
        <f ca="1">IFERROR(__xludf.DUMMYFUNCTION("GOOGLETRANSLATE($B27,""en"",P$3)"),"Apache sendmail. Ar mhaith leat a fheiceáil ar an comhad a logáil earráid?")</f>
        <v>Apache sendmail. Ar mhaith leat a fheiceáil ar an comhad a logáil earráid?</v>
      </c>
      <c r="Q27" s="12" t="str">
        <f ca="1">IFERROR(__xludf.DUMMYFUNCTION("GOOGLETRANSLATE($B27,""en"",Q$3)"),"آپاچی خارج می شود. آیا شما می خواهید برای دیدن فایل ورود به خطا؟")</f>
        <v>آپاچی خارج می شود. آیا شما می خواهید برای دیدن فایل ورود به خطا؟</v>
      </c>
      <c r="R27" s="12" t="str">
        <f ca="1">IFERROR(__xludf.DUMMYFUNCTION("GOOGLETRANSLATE($B27,""en"",R$3)"),"אפאצ'י יצא. האם אתה רוצה לראות את קובץ היומן השגיא?")</f>
        <v>אפאצ'י יצא. האם אתה רוצה לראות את קובץ היומן השגיא?</v>
      </c>
      <c r="S27" s="12" t="str">
        <f ca="1">IFERROR(__xludf.DUMMYFUNCTION("GOOGLETRANSLATE($B27,""en"",S$3)"),"Apache lauk. Viltu sjá Villuannáll?")</f>
        <v>Apache lauk. Viltu sjá Villuannáll?</v>
      </c>
      <c r="T27" s="12" t="str">
        <f ca="1">IFERROR(__xludf.DUMMYFUNCTION("GOOGLETRANSLATE($B27,""en"",T$3)"),"Apache gått ut. Ønsker du å se feilloggfilen?")</f>
        <v>Apache gått ut. Ønsker du å se feilloggfilen?</v>
      </c>
      <c r="U27" s="12" t="str">
        <f ca="1">IFERROR(__xludf.DUMMYFUNCTION("GOOGLETRANSLATE($B27,""en"",U$3)"),"خرجت أباتشي. هل تريد أن ترى ملف سجل خطأ؟")</f>
        <v>خرجت أباتشي. هل تريد أن ترى ملف سجل خطأ؟</v>
      </c>
      <c r="V27" s="12" t="str">
        <f ca="1">IFERROR(__xludf.DUMMYFUNCTION("GOOGLETRANSLATE($B27,""en"",V$3)"),"Apache wyszedł. Chcesz zobaczyć plik dziennika błędów?")</f>
        <v>Apache wyszedł. Chcesz zobaczyć plik dziennika błędów?</v>
      </c>
      <c r="W27" s="12" t="str">
        <f ca="1">IFERROR(__xludf.DUMMYFUNCTION("GOOGLETRANSLATE($B27,""en"",W$3)"),"Apache вышел. Вы хотите, чтобы увидеть файл журнала ошибок?")</f>
        <v>Apache вышел. Вы хотите, чтобы увидеть файл журнала ошибок?</v>
      </c>
      <c r="X27" s="12" t="str">
        <f ca="1">IFERROR(__xludf.DUMMYFUNCTION("GOOGLETRANSLATE($B27,""en"",X$3)"),"Apache salió. ¿Quieres ver el archivo de registro de errores?")</f>
        <v>Apache salió. ¿Quieres ver el archivo de registro de errores?</v>
      </c>
      <c r="Y27" s="12"/>
      <c r="Z27" s="12"/>
    </row>
    <row r="28" spans="1:26" ht="32.25" customHeight="1" x14ac:dyDescent="0.2">
      <c r="A28" s="10" t="s">
        <v>114</v>
      </c>
      <c r="B28" s="10" t="s">
        <v>115</v>
      </c>
      <c r="C28" s="11" t="str">
        <f ca="1">IFERROR(__xludf.DUMMYFUNCTION("GOOGLETRANSLATE($B28,""en"",C$3)"),"Web Server kann nicht starten")</f>
        <v>Web Server kann nicht starten</v>
      </c>
      <c r="D28" s="12" t="str">
        <f ca="1">IFERROR(__xludf.DUMMYFUNCTION("GOOGLETRANSLATE($B28,""en"",D$3)"),"Web Server gick inte att starta")</f>
        <v>Web Server gick inte att starta</v>
      </c>
      <c r="E28" s="13" t="s">
        <v>116</v>
      </c>
      <c r="F28" s="14" t="s">
        <v>116</v>
      </c>
      <c r="G28" s="12" t="str">
        <f ca="1">IFERROR(__xludf.DUMMYFUNCTION("GOOGLETRANSLATE($B28,""en"",G$3)"),"Web Server n'a pas pu démarrer")</f>
        <v>Web Server n'a pas pu démarrer</v>
      </c>
      <c r="H28" s="12" t="str">
        <f ca="1">IFERROR(__xludf.DUMMYFUNCTION("GOOGLETRANSLATE($B28,""en"",H$3)"),"Web zerbitzaria ezin izan da abiarazi")</f>
        <v>Web zerbitzaria ezin izan da abiarazi</v>
      </c>
      <c r="I28" s="12" t="str">
        <f ca="1">IFERROR(__xludf.DUMMYFUNCTION("GOOGLETRANSLATE($B28,""en"",I$3)"),"Servidor web no es va poder iniciar")</f>
        <v>Servidor web no es va poder iniciar</v>
      </c>
      <c r="J28" s="12" t="str">
        <f ca="1">IFERROR(__xludf.DUMMYFUNCTION("GOOGLETRANSLATE($B28,""en"",J$3)"),"Web Server se nepodařilo spustit")</f>
        <v>Web Server se nepodařilo spustit</v>
      </c>
      <c r="K28" s="12" t="str">
        <f ca="1">IFERROR(__xludf.DUMMYFUNCTION("GOOGLETRANSLATE($B28,""en"",K$3)"),"Web服务器无法启动")</f>
        <v>Web服务器无法启动</v>
      </c>
      <c r="L28" s="12" t="str">
        <f ca="1">IFERROR(__xludf.DUMMYFUNCTION("GOOGLETRANSLATE($B28,""en"",L$3)"),"Web服務器無法啟動")</f>
        <v>Web服務器無法啟動</v>
      </c>
      <c r="M28" s="12" t="str">
        <f ca="1">IFERROR(__xludf.DUMMYFUNCTION("GOOGLETRANSLATE($B28,""en"",M$3)"),"Web Server kan niet worden gestart")</f>
        <v>Web Server kan niet worden gestart</v>
      </c>
      <c r="N28" s="12" t="str">
        <f ca="1">IFERROR(__xludf.DUMMYFUNCTION("GOOGLETRANSLATE($B28,""en"",N$3)"),"Web Server απέτυχε να ξεκινήσει")</f>
        <v>Web Server απέτυχε να ξεκινήσει</v>
      </c>
      <c r="O28" s="12" t="str">
        <f ca="1">IFERROR(__xludf.DUMMYFUNCTION("GOOGLETRANSLATE($B28,""en"",O$3)"),"Web Server ei käynnistynyt")</f>
        <v>Web Server ei käynnistynyt</v>
      </c>
      <c r="P28" s="12" t="str">
        <f ca="1">IFERROR(__xludf.DUMMYFUNCTION("GOOGLETRANSLATE($B28,""en"",P$3)"),"Freastalaí Gréasáin theip ar a thosú")</f>
        <v>Freastalaí Gréasáin theip ar a thosú</v>
      </c>
      <c r="Q28" s="12" t="str">
        <f ca="1">IFERROR(__xludf.DUMMYFUNCTION("GOOGLETRANSLATE($B28,""en"",Q$3)"),"وب سرور قادر به شروع")</f>
        <v>وب سرور قادر به شروع</v>
      </c>
      <c r="R28" s="12" t="str">
        <f ca="1">IFERROR(__xludf.DUMMYFUNCTION("GOOGLETRANSLATE($B28,""en"",R$3)"),"Web Server נכשל")</f>
        <v>Web Server נכשל</v>
      </c>
      <c r="S28" s="12" t="str">
        <f ca="1">IFERROR(__xludf.DUMMYFUNCTION("GOOGLETRANSLATE($B28,""en"",S$3)"),"Web Server mistókst að byrja")</f>
        <v>Web Server mistókst að byrja</v>
      </c>
      <c r="T28" s="12" t="str">
        <f ca="1">IFERROR(__xludf.DUMMYFUNCTION("GOOGLETRANSLATE($B28,""en"",T$3)"),"Web Server kunne ikke starte")</f>
        <v>Web Server kunne ikke starte</v>
      </c>
      <c r="U28" s="12" t="str">
        <f ca="1">IFERROR(__xludf.DUMMYFUNCTION("GOOGLETRANSLATE($B28,""en"",U$3)"),"فشل خادم ويب لبدء")</f>
        <v>فشل خادم ويب لبدء</v>
      </c>
      <c r="V28" s="12" t="str">
        <f ca="1">IFERROR(__xludf.DUMMYFUNCTION("GOOGLETRANSLATE($B28,""en"",V$3)"),"Web Server nie powiodło się")</f>
        <v>Web Server nie powiodło się</v>
      </c>
      <c r="W28" s="12" t="str">
        <f ca="1">IFERROR(__xludf.DUMMYFUNCTION("GOOGLETRANSLATE($B28,""en"",W$3)"),"Веб-сервер не удалось запустить")</f>
        <v>Веб-сервер не удалось запустить</v>
      </c>
      <c r="X28" s="12" t="str">
        <f ca="1">IFERROR(__xludf.DUMMYFUNCTION("GOOGLETRANSLATE($B28,""en"",X$3)"),"Servidor Web no se pudo iniciar")</f>
        <v>Servidor Web no se pudo iniciar</v>
      </c>
      <c r="Y28" s="12"/>
      <c r="Z28" s="12"/>
    </row>
    <row r="29" spans="1:26" ht="32.25" customHeight="1" x14ac:dyDescent="0.2">
      <c r="A29" s="10" t="s">
        <v>117</v>
      </c>
      <c r="B29" s="10" t="s">
        <v>118</v>
      </c>
      <c r="C29" s="11" t="str">
        <f ca="1">IFERROR(__xludf.DUMMYFUNCTION("GOOGLETRANSLATE($B29,""en"",C$3)"),"Apache wurde als Dienst entfernt")</f>
        <v>Apache wurde als Dienst entfernt</v>
      </c>
      <c r="D29" s="12" t="str">
        <f ca="1">IFERROR(__xludf.DUMMYFUNCTION("GOOGLETRANSLATE($B29,""en"",D$3)"),"Apache har tagits bort som en tjänst")</f>
        <v>Apache har tagits bort som en tjänst</v>
      </c>
      <c r="E29" s="13" t="s">
        <v>119</v>
      </c>
      <c r="F29" s="14" t="s">
        <v>119</v>
      </c>
      <c r="G29" s="12" t="str">
        <f ca="1">IFERROR(__xludf.DUMMYFUNCTION("GOOGLETRANSLATE($B29,""en"",G$3)"),"Apache a été supprimé en tant que service")</f>
        <v>Apache a été supprimé en tant que service</v>
      </c>
      <c r="H29" s="12" t="str">
        <f ca="1">IFERROR(__xludf.DUMMYFUNCTION("GOOGLETRANSLATE($B29,""en"",H$3)"),"Apache izan da zerbitzu gisa kendu")</f>
        <v>Apache izan da zerbitzu gisa kendu</v>
      </c>
      <c r="I29" s="12" t="str">
        <f ca="1">IFERROR(__xludf.DUMMYFUNCTION("GOOGLETRANSLATE($B29,""en"",I$3)"),"Apache s'ha eliminat com un servei")</f>
        <v>Apache s'ha eliminat com un servei</v>
      </c>
      <c r="J29" s="12" t="str">
        <f ca="1">IFERROR(__xludf.DUMMYFUNCTION("GOOGLETRANSLATE($B29,""en"",J$3)"),"Apache byl odstraněn jako služba")</f>
        <v>Apache byl odstraněn jako služba</v>
      </c>
      <c r="K29" s="12" t="str">
        <f ca="1">IFERROR(__xludf.DUMMYFUNCTION("GOOGLETRANSLATE($B29,""en"",K$3)"),"阿帕奇已被删除作为服务")</f>
        <v>阿帕奇已被删除作为服务</v>
      </c>
      <c r="L29" s="12" t="str">
        <f ca="1">IFERROR(__xludf.DUMMYFUNCTION("GOOGLETRANSLATE($B29,""en"",L$3)"),"阿帕奇已被刪除作為服務")</f>
        <v>阿帕奇已被刪除作為服務</v>
      </c>
      <c r="M29" s="12" t="str">
        <f ca="1">IFERROR(__xludf.DUMMYFUNCTION("GOOGLETRANSLATE($B29,""en"",M$3)"),"Apache is verwijderd als een service")</f>
        <v>Apache is verwijderd als een service</v>
      </c>
      <c r="N29" s="12" t="str">
        <f ca="1">IFERROR(__xludf.DUMMYFUNCTION("GOOGLETRANSLATE($B29,""en"",N$3)"),"Apache έχει καταργηθεί ως υπηρεσία")</f>
        <v>Apache έχει καταργηθεί ως υπηρεσία</v>
      </c>
      <c r="O29" s="12" t="str">
        <f ca="1">IFERROR(__xludf.DUMMYFUNCTION("GOOGLETRANSLATE($B29,""en"",O$3)"),"Apache on poistettu palveluna")</f>
        <v>Apache on poistettu palveluna</v>
      </c>
      <c r="P29" s="12" t="str">
        <f ca="1">IFERROR(__xludf.DUMMYFUNCTION("GOOGLETRANSLATE($B29,""en"",P$3)"),"Apache bainte mar sheirbhís")</f>
        <v>Apache bainte mar sheirbhís</v>
      </c>
      <c r="Q29" s="12" t="str">
        <f ca="1">IFERROR(__xludf.DUMMYFUNCTION("GOOGLETRANSLATE($B29,""en"",Q$3)"),"آپاچی به عنوان یک سرویس حذف شده است")</f>
        <v>آپاچی به عنوان یک سرویس حذف شده است</v>
      </c>
      <c r="R29" s="12" t="str">
        <f ca="1">IFERROR(__xludf.DUMMYFUNCTION("GOOGLETRANSLATE($B29,""en"",R$3)"),"אפצ'י הוסר כשירות")</f>
        <v>אפצ'י הוסר כשירות</v>
      </c>
      <c r="S29" s="12" t="str">
        <f ca="1">IFERROR(__xludf.DUMMYFUNCTION("GOOGLETRANSLATE($B29,""en"",S$3)"),"Apache hefur verið fjarlægt sem þjónustu")</f>
        <v>Apache hefur verið fjarlægt sem þjónustu</v>
      </c>
      <c r="T29" s="12" t="str">
        <f ca="1">IFERROR(__xludf.DUMMYFUNCTION("GOOGLETRANSLATE($B29,""en"",T$3)"),"Apache har blitt fjernet som en tjeneste")</f>
        <v>Apache har blitt fjernet som en tjeneste</v>
      </c>
      <c r="U29" s="12" t="str">
        <f ca="1">IFERROR(__xludf.DUMMYFUNCTION("GOOGLETRANSLATE($B29,""en"",U$3)"),"تمت إزالة أباتشي كخدمة")</f>
        <v>تمت إزالة أباتشي كخدمة</v>
      </c>
      <c r="V29" s="12" t="str">
        <f ca="1">IFERROR(__xludf.DUMMYFUNCTION("GOOGLETRANSLATE($B29,""en"",V$3)"),"Apache został usunięty jako usługa")</f>
        <v>Apache został usunięty jako usługa</v>
      </c>
      <c r="W29" s="12" t="str">
        <f ca="1">IFERROR(__xludf.DUMMYFUNCTION("GOOGLETRANSLATE($B29,""en"",W$3)"),"Apache был удален в качестве службы")</f>
        <v>Apache был удален в качестве службы</v>
      </c>
      <c r="X29" s="12" t="str">
        <f ca="1">IFERROR(__xludf.DUMMYFUNCTION("GOOGLETRANSLATE($B29,""en"",X$3)"),"Apache se ha eliminado como un servicio")</f>
        <v>Apache se ha eliminado como un servicio</v>
      </c>
      <c r="Y29" s="12"/>
      <c r="Z29" s="12"/>
    </row>
    <row r="30" spans="1:26" ht="32.25" customHeight="1" x14ac:dyDescent="0.2">
      <c r="A30" s="10" t="s">
        <v>120</v>
      </c>
      <c r="B30" s="10" t="s">
        <v>121</v>
      </c>
      <c r="C30" s="11" t="s">
        <v>122</v>
      </c>
      <c r="D30" s="12" t="str">
        <f ca="1">IFERROR(__xludf.DUMMYFUNCTION("GOOGLETRANSLATE($B30,""en"",D$3)"),"Web Server Port är inställda")</f>
        <v>Web Server Port är inställda</v>
      </c>
      <c r="E30" s="13" t="s">
        <v>123</v>
      </c>
      <c r="F30" s="14" t="s">
        <v>123</v>
      </c>
      <c r="G30" s="12" t="str">
        <f ca="1">IFERROR(__xludf.DUMMYFUNCTION("GOOGLETRANSLATE($B30,""en"",G$3)"),"Web Server Port est réglé")</f>
        <v>Web Server Port est réglé</v>
      </c>
      <c r="H30" s="12" t="str">
        <f ca="1">IFERROR(__xludf.DUMMYFUNCTION("GOOGLETRANSLATE($B30,""en"",H$3)"),"Web Server Port multzoa da")</f>
        <v>Web Server Port multzoa da</v>
      </c>
      <c r="I30" s="12" t="str">
        <f ca="1">IFERROR(__xludf.DUMMYFUNCTION("GOOGLETRANSLATE($B30,""en"",I$3)"),"Port web Server s'estableix")</f>
        <v>Port web Server s'estableix</v>
      </c>
      <c r="J30" s="12" t="str">
        <f ca="1">IFERROR(__xludf.DUMMYFUNCTION("GOOGLETRANSLATE($B30,""en"",J$3)"),"Server Port web je sada")</f>
        <v>Server Port web je sada</v>
      </c>
      <c r="K30" s="12" t="str">
        <f ca="1">IFERROR(__xludf.DUMMYFUNCTION("GOOGLETRANSLATE($B30,""en"",K$3)"),"Web服务器端口设置")</f>
        <v>Web服务器端口设置</v>
      </c>
      <c r="L30" s="12" t="str">
        <f ca="1">IFERROR(__xludf.DUMMYFUNCTION("GOOGLETRANSLATE($B30,""en"",L$3)"),"Web服務器端口設置")</f>
        <v>Web服務器端口設置</v>
      </c>
      <c r="M30" s="12" t="str">
        <f ca="1">IFERROR(__xludf.DUMMYFUNCTION("GOOGLETRANSLATE($B30,""en"",M$3)"),"Web Server poort is ingesteld")</f>
        <v>Web Server poort is ingesteld</v>
      </c>
      <c r="N30" s="12" t="str">
        <f ca="1">IFERROR(__xludf.DUMMYFUNCTION("GOOGLETRANSLATE($B30,""en"",N$3)"),"Web Server Port είναι σύνολο")</f>
        <v>Web Server Port είναι σύνολο</v>
      </c>
      <c r="O30" s="12" t="str">
        <f ca="1">IFERROR(__xludf.DUMMYFUNCTION("GOOGLETRANSLATE($B30,""en"",O$3)"),"Web Server Port on asetettu")</f>
        <v>Web Server Port on asetettu</v>
      </c>
      <c r="P30" s="12" t="str">
        <f ca="1">IFERROR(__xludf.DUMMYFUNCTION("GOOGLETRANSLATE($B30,""en"",P$3)"),"Is Freastalaí Gréasáin Port leagtha")</f>
        <v>Is Freastalaí Gréasáin Port leagtha</v>
      </c>
      <c r="Q30" s="12" t="str">
        <f ca="1">IFERROR(__xludf.DUMMYFUNCTION("GOOGLETRANSLATE($B30,""en"",Q$3)"),"وب سرور بندر مجموعه ای است")</f>
        <v>وب سرور بندر مجموعه ای است</v>
      </c>
      <c r="R30" s="12" t="str">
        <f ca="1">IFERROR(__xludf.DUMMYFUNCTION("GOOGLETRANSLATE($B30,""en"",R$3)"),"Web Server היציאה מוגדרת")</f>
        <v>Web Server היציאה מוגדרת</v>
      </c>
      <c r="S30" s="12" t="str">
        <f ca="1">IFERROR(__xludf.DUMMYFUNCTION("GOOGLETRANSLATE($B30,""en"",S$3)"),"Web Server Port er sett")</f>
        <v>Web Server Port er sett</v>
      </c>
      <c r="T30" s="12" t="str">
        <f ca="1">IFERROR(__xludf.DUMMYFUNCTION("GOOGLETRANSLATE($B30,""en"",T$3)"),"Web Server Port er sett")</f>
        <v>Web Server Port er sett</v>
      </c>
      <c r="U30" s="12" t="str">
        <f ca="1">IFERROR(__xludf.DUMMYFUNCTION("GOOGLETRANSLATE($B30,""en"",U$3)"),"منفذ الخادم على شبكة الإنترنت هو مجموعة")</f>
        <v>منفذ الخادم على شبكة الإنترنت هو مجموعة</v>
      </c>
      <c r="V30" s="12" t="str">
        <f ca="1">IFERROR(__xludf.DUMMYFUNCTION("GOOGLETRANSLATE($B30,""en"",V$3)"),"Port Web Server jest zestaw")</f>
        <v>Port Web Server jest zestaw</v>
      </c>
      <c r="W30" s="12" t="str">
        <f ca="1">IFERROR(__xludf.DUMMYFUNCTION("GOOGLETRANSLATE($B30,""en"",W$3)"),"Порт веб-сервер настроен")</f>
        <v>Порт веб-сервер настроен</v>
      </c>
      <c r="X30" s="12" t="str">
        <f ca="1">IFERROR(__xludf.DUMMYFUNCTION("GOOGLETRANSLATE($B30,""en"",X$3)"),"Puerto Web Server se establece")</f>
        <v>Puerto Web Server se establece</v>
      </c>
      <c r="Y30" s="12"/>
      <c r="Z30" s="12"/>
    </row>
    <row r="31" spans="1:26" ht="32.25" customHeight="1" x14ac:dyDescent="0.2">
      <c r="A31" s="10" t="s">
        <v>124</v>
      </c>
      <c r="B31" s="10" t="s">
        <v>125</v>
      </c>
      <c r="C31" s="11" t="s">
        <v>1783</v>
      </c>
      <c r="D31" s="12" t="str">
        <f ca="1">IFERROR(__xludf.DUMMYFUNCTION("GOOGLETRANSLATE($B31,""en"",D$3)"),"Web Server körs")</f>
        <v>Web Server körs</v>
      </c>
      <c r="E31" s="13" t="s">
        <v>126</v>
      </c>
      <c r="F31" s="14" t="s">
        <v>126</v>
      </c>
      <c r="G31" s="12" t="str">
        <f ca="1">IFERROR(__xludf.DUMMYFUNCTION("GOOGLETRANSLATE($B31,""en"",G$3)"),"Serveur Web est en cours d'exécution")</f>
        <v>Serveur Web est en cours d'exécution</v>
      </c>
      <c r="H31" s="12" t="str">
        <f ca="1">IFERROR(__xludf.DUMMYFUNCTION("GOOGLETRANSLATE($B31,""en"",H$3)"),"Web zerbitzaria exekutatzen ari da")</f>
        <v>Web zerbitzaria exekutatzen ari da</v>
      </c>
      <c r="I31" s="12" t="str">
        <f ca="1">IFERROR(__xludf.DUMMYFUNCTION("GOOGLETRANSLATE($B31,""en"",I$3)"),"Web Server s'està executant")</f>
        <v>Web Server s'està executant</v>
      </c>
      <c r="J31" s="12" t="str">
        <f ca="1">IFERROR(__xludf.DUMMYFUNCTION("GOOGLETRANSLATE($B31,""en"",J$3)"),"Web Server je spuštěn")</f>
        <v>Web Server je spuštěn</v>
      </c>
      <c r="K31" s="12" t="str">
        <f ca="1">IFERROR(__xludf.DUMMYFUNCTION("GOOGLETRANSLATE($B31,""en"",K$3)"),"Web服务器正在运行")</f>
        <v>Web服务器正在运行</v>
      </c>
      <c r="L31" s="12" t="str">
        <f ca="1">IFERROR(__xludf.DUMMYFUNCTION("GOOGLETRANSLATE($B31,""en"",L$3)"),"Web服務器正在運行")</f>
        <v>Web服務器正在運行</v>
      </c>
      <c r="M31" s="12" t="str">
        <f ca="1">IFERROR(__xludf.DUMMYFUNCTION("GOOGLETRANSLATE($B31,""en"",M$3)"),"Web Server wordt uitgevoerd")</f>
        <v>Web Server wordt uitgevoerd</v>
      </c>
      <c r="N31" s="12" t="str">
        <f ca="1">IFERROR(__xludf.DUMMYFUNCTION("GOOGLETRANSLATE($B31,""en"",N$3)"),"Web Server εκτελείται")</f>
        <v>Web Server εκτελείται</v>
      </c>
      <c r="O31" s="12" t="str">
        <f ca="1">IFERROR(__xludf.DUMMYFUNCTION("GOOGLETRANSLATE($B31,""en"",O$3)"),"Web Server on käynnissä")</f>
        <v>Web Server on käynnissä</v>
      </c>
      <c r="P31" s="12" t="str">
        <f ca="1">IFERROR(__xludf.DUMMYFUNCTION("GOOGLETRANSLATE($B31,""en"",P$3)"),"Tá Freastalaí gréasáin ag rith")</f>
        <v>Tá Freastalaí gréasáin ag rith</v>
      </c>
      <c r="Q31" s="12" t="str">
        <f ca="1">IFERROR(__xludf.DUMMYFUNCTION("GOOGLETRANSLATE($B31,""en"",Q$3)"),"وب سرور در حال اجرا است")</f>
        <v>وب سرور در حال اجرا است</v>
      </c>
      <c r="R31" s="12" t="str">
        <f ca="1">IFERROR(__xludf.DUMMYFUNCTION("GOOGLETRANSLATE($B31,""en"",R$3)"),"שרת האינטרנט פועל")</f>
        <v>שרת האינטרנט פועל</v>
      </c>
      <c r="S31" s="12" t="str">
        <f ca="1">IFERROR(__xludf.DUMMYFUNCTION("GOOGLETRANSLATE($B31,""en"",S$3)"),"Web Server er í gangi")</f>
        <v>Web Server er í gangi</v>
      </c>
      <c r="T31" s="12" t="str">
        <f ca="1">IFERROR(__xludf.DUMMYFUNCTION("GOOGLETRANSLATE($B31,""en"",T$3)"),"Web Server kjører")</f>
        <v>Web Server kjører</v>
      </c>
      <c r="U31" s="12" t="str">
        <f ca="1">IFERROR(__xludf.DUMMYFUNCTION("GOOGLETRANSLATE($B31,""en"",U$3)"),"وخادم ويب قيد التشغيل")</f>
        <v>وخادم ويب قيد التشغيل</v>
      </c>
      <c r="V31" s="12" t="str">
        <f ca="1">IFERROR(__xludf.DUMMYFUNCTION("GOOGLETRANSLATE($B31,""en"",V$3)"),"Web Server jest uruchomiony")</f>
        <v>Web Server jest uruchomiony</v>
      </c>
      <c r="W31" s="12" t="str">
        <f ca="1">IFERROR(__xludf.DUMMYFUNCTION("GOOGLETRANSLATE($B31,""en"",W$3)"),"Веб-сервер работает")</f>
        <v>Веб-сервер работает</v>
      </c>
      <c r="X31" s="12" t="str">
        <f ca="1">IFERROR(__xludf.DUMMYFUNCTION("GOOGLETRANSLATE($B31,""en"",X$3)"),"Web Server se está ejecutando")</f>
        <v>Web Server se está ejecutando</v>
      </c>
      <c r="Y31" s="12"/>
      <c r="Z31" s="12"/>
    </row>
    <row r="32" spans="1:26" ht="32.25" customHeight="1" x14ac:dyDescent="0.2">
      <c r="A32" s="10" t="s">
        <v>127</v>
      </c>
      <c r="B32" s="10" t="s">
        <v>128</v>
      </c>
      <c r="C32" s="11" t="s">
        <v>129</v>
      </c>
      <c r="D32" s="12" t="str">
        <f ca="1">IFERROR(__xludf.DUMMYFUNCTION("GOOGLETRANSLATE($B32,""en"",D$3)"),"Starta Web Server")</f>
        <v>Starta Web Server</v>
      </c>
      <c r="E32" s="12" t="str">
        <f ca="1">IFERROR(__xludf.DUMMYFUNCTION("GOOGLETRANSLATE($B32,""en"",E$3)"),"Começando Web Server")</f>
        <v>Começando Web Server</v>
      </c>
      <c r="F32" s="12" t="str">
        <f ca="1">IFERROR(__xludf.DUMMYFUNCTION("GOOGLETRANSLATE($B32,""en"",F$3)"),"Começando Web Server")</f>
        <v>Começando Web Server</v>
      </c>
      <c r="G32" s="12" t="str">
        <f ca="1">IFERROR(__xludf.DUMMYFUNCTION("GOOGLETRANSLATE($B32,""en"",G$3)"),"À partir du serveur Web")</f>
        <v>À partir du serveur Web</v>
      </c>
      <c r="H32" s="12" t="str">
        <f ca="1">IFERROR(__xludf.DUMMYFUNCTION("GOOGLETRANSLATE($B32,""en"",H$3)"),"Web zerbitzaria aurrera")</f>
        <v>Web zerbitzaria aurrera</v>
      </c>
      <c r="I32" s="12" t="str">
        <f ca="1">IFERROR(__xludf.DUMMYFUNCTION("GOOGLETRANSLATE($B32,""en"",I$3)"),"A partir de Servidors Web")</f>
        <v>A partir de Servidors Web</v>
      </c>
      <c r="J32" s="12" t="str">
        <f ca="1">IFERROR(__xludf.DUMMYFUNCTION("GOOGLETRANSLATE($B32,""en"",J$3)"),"Spuštění webového serveru")</f>
        <v>Spuštění webového serveru</v>
      </c>
      <c r="K32" s="12" t="str">
        <f ca="1">IFERROR(__xludf.DUMMYFUNCTION("GOOGLETRANSLATE($B32,""en"",K$3)"),"启动Web服务器")</f>
        <v>启动Web服务器</v>
      </c>
      <c r="L32" s="12" t="str">
        <f ca="1">IFERROR(__xludf.DUMMYFUNCTION("GOOGLETRANSLATE($B32,""en"",L$3)"),"啟動Web服務器")</f>
        <v>啟動Web服務器</v>
      </c>
      <c r="M32" s="12" t="str">
        <f ca="1">IFERROR(__xludf.DUMMYFUNCTION("GOOGLETRANSLATE($B32,""en"",M$3)"),"Vanaf Web Server")</f>
        <v>Vanaf Web Server</v>
      </c>
      <c r="N32" s="12" t="str">
        <f ca="1">IFERROR(__xludf.DUMMYFUNCTION("GOOGLETRANSLATE($B32,""en"",N$3)"),"Ξεκινώντας Web Server")</f>
        <v>Ξεκινώντας Web Server</v>
      </c>
      <c r="O32" s="12" t="str">
        <f ca="1">IFERROR(__xludf.DUMMYFUNCTION("GOOGLETRANSLATE($B32,""en"",O$3)"),"Aloitus Web Server")</f>
        <v>Aloitus Web Server</v>
      </c>
      <c r="P32" s="12" t="str">
        <f ca="1">IFERROR(__xludf.DUMMYFUNCTION("GOOGLETRANSLATE($B32,""en"",P$3)"),"Ag tosú Freastalaí Gréasáin")</f>
        <v>Ag tosú Freastalaí Gréasáin</v>
      </c>
      <c r="Q32" s="12" t="str">
        <f ca="1">IFERROR(__xludf.DUMMYFUNCTION("GOOGLETRANSLATE($B32,""en"",Q$3)"),"شروع وب سایت و سرور")</f>
        <v>شروع وب سایت و سرور</v>
      </c>
      <c r="R32" s="12" t="str">
        <f ca="1">IFERROR(__xludf.DUMMYFUNCTION("GOOGLETRANSLATE($B32,""en"",R$3)"),"החל Web Server")</f>
        <v>החל Web Server</v>
      </c>
      <c r="S32" s="12" t="str">
        <f ca="1">IFERROR(__xludf.DUMMYFUNCTION("GOOGLETRANSLATE($B32,""en"",S$3)"),"Byrjar Web Server")</f>
        <v>Byrjar Web Server</v>
      </c>
      <c r="T32" s="12" t="str">
        <f ca="1">IFERROR(__xludf.DUMMYFUNCTION("GOOGLETRANSLATE($B32,""en"",T$3)"),"Starte Web Server")</f>
        <v>Starte Web Server</v>
      </c>
      <c r="U32" s="12" t="str">
        <f ca="1">IFERROR(__xludf.DUMMYFUNCTION("GOOGLETRANSLATE($B32,""en"",U$3)"),"ابتداء من خادم ويب")</f>
        <v>ابتداء من خادم ويب</v>
      </c>
      <c r="V32" s="12" t="str">
        <f ca="1">IFERROR(__xludf.DUMMYFUNCTION("GOOGLETRANSLATE($B32,""en"",V$3)"),"Począwszy Web Server")</f>
        <v>Począwszy Web Server</v>
      </c>
      <c r="W32" s="12" t="str">
        <f ca="1">IFERROR(__xludf.DUMMYFUNCTION("GOOGLETRANSLATE($B32,""en"",W$3)"),"Запуск веб-сервера")</f>
        <v>Запуск веб-сервера</v>
      </c>
      <c r="X32" s="12" t="str">
        <f ca="1">IFERROR(__xludf.DUMMYFUNCTION("GOOGLETRANSLATE($B32,""en"",X$3)"),"A partir de Servidor Web")</f>
        <v>A partir de Servidor Web</v>
      </c>
      <c r="Y32" s="12"/>
      <c r="Z32" s="12"/>
    </row>
    <row r="33" spans="1:26" ht="32.25" customHeight="1" x14ac:dyDescent="0.2">
      <c r="A33" s="10" t="s">
        <v>130</v>
      </c>
      <c r="B33" s="10" t="s">
        <v>131</v>
      </c>
      <c r="C33" s="11" t="str">
        <f ca="1">IFERROR(__xludf.DUMMYFUNCTION("GOOGLETRANSLATE($B33,""en"",C$3)"),"Apache Webserver")</f>
        <v>Apache Webserver</v>
      </c>
      <c r="D33" s="12" t="str">
        <f ca="1">IFERROR(__xludf.DUMMYFUNCTION("GOOGLETRANSLATE($B33,""en"",D$3)"),"Apache webbserver")</f>
        <v>Apache webbserver</v>
      </c>
      <c r="E33" s="12" t="str">
        <f ca="1">IFERROR(__xludf.DUMMYFUNCTION("GOOGLETRANSLATE($B33,""en"",E$3)"),"Apache Webserver")</f>
        <v>Apache Webserver</v>
      </c>
      <c r="F33" s="12" t="str">
        <f ca="1">IFERROR(__xludf.DUMMYFUNCTION("GOOGLETRANSLATE($B33,""en"",F$3)"),"Apache Webserver")</f>
        <v>Apache Webserver</v>
      </c>
      <c r="G33" s="12" t="str">
        <f ca="1">IFERROR(__xludf.DUMMYFUNCTION("GOOGLETRANSLATE($B33,""en"",G$3)"),"Apache Webserver")</f>
        <v>Apache Webserver</v>
      </c>
      <c r="H33" s="12" t="str">
        <f ca="1">IFERROR(__xludf.DUMMYFUNCTION("GOOGLETRANSLATE($B33,""en"",H$3)"),"Apache Web zerbitzariaren")</f>
        <v>Apache Web zerbitzariaren</v>
      </c>
      <c r="I33" s="12" t="str">
        <f ca="1">IFERROR(__xludf.DUMMYFUNCTION("GOOGLETRANSLATE($B33,""en"",I$3)"),"Servidor web Apache")</f>
        <v>Servidor web Apache</v>
      </c>
      <c r="J33" s="12" t="str">
        <f ca="1">IFERROR(__xludf.DUMMYFUNCTION("GOOGLETRANSLATE($B33,""en"",J$3)"),"Apache Webserver")</f>
        <v>Apache Webserver</v>
      </c>
      <c r="K33" s="12" t="str">
        <f ca="1">IFERROR(__xludf.DUMMYFUNCTION("GOOGLETRANSLATE($B33,""en"",K$3)"),"Apache服务器")</f>
        <v>Apache服务器</v>
      </c>
      <c r="L33" s="12" t="str">
        <f ca="1">IFERROR(__xludf.DUMMYFUNCTION("GOOGLETRANSLATE($B33,""en"",L$3)"),"Apache服務器")</f>
        <v>Apache服務器</v>
      </c>
      <c r="M33" s="12" t="str">
        <f ca="1">IFERROR(__xludf.DUMMYFUNCTION("GOOGLETRANSLATE($B33,""en"",M$3)"),"Apache Webserver")</f>
        <v>Apache Webserver</v>
      </c>
      <c r="N33" s="12" t="str">
        <f ca="1">IFERROR(__xludf.DUMMYFUNCTION("GOOGLETRANSLATE($B33,""en"",N$3)"),"Apache Webserver")</f>
        <v>Apache Webserver</v>
      </c>
      <c r="O33" s="12" t="str">
        <f ca="1">IFERROR(__xludf.DUMMYFUNCTION("GOOGLETRANSLATE($B33,""en"",O$3)"),"Apache Web-palvelin")</f>
        <v>Apache Web-palvelin</v>
      </c>
      <c r="P33" s="12" t="str">
        <f ca="1">IFERROR(__xludf.DUMMYFUNCTION("GOOGLETRANSLATE($B33,""en"",P$3)"),"Apache freastalaí gréasáin")</f>
        <v>Apache freastalaí gréasáin</v>
      </c>
      <c r="Q33" s="12" t="str">
        <f ca="1">IFERROR(__xludf.DUMMYFUNCTION("GOOGLETRANSLATE($B33,""en"",Q$3)"),"وب سرور آپاچی")</f>
        <v>وب سرور آپاچی</v>
      </c>
      <c r="R33" s="12" t="str">
        <f ca="1">IFERROR(__xludf.DUMMYFUNCTION("GOOGLETRANSLATE($B33,""en"",R$3)"),"אפאצ'י וואבסארואר")</f>
        <v>אפאצ'י וואבסארואר</v>
      </c>
      <c r="S33" s="12" t="str">
        <f ca="1">IFERROR(__xludf.DUMMYFUNCTION("GOOGLETRANSLATE($B33,""en"",S$3)"),"apache Vefþjón")</f>
        <v>apache Vefþjón</v>
      </c>
      <c r="T33" s="12" t="str">
        <f ca="1">IFERROR(__xludf.DUMMYFUNCTION("GOOGLETRANSLATE($B33,""en"",T$3)"),"Apache Webserver")</f>
        <v>Apache Webserver</v>
      </c>
      <c r="U33" s="12" t="str">
        <f ca="1">IFERROR(__xludf.DUMMYFUNCTION("GOOGLETRANSLATE($B33,""en"",U$3)"),"أباتشي خادم الويب")</f>
        <v>أباتشي خادم الويب</v>
      </c>
      <c r="V33" s="12" t="str">
        <f ca="1">IFERROR(__xludf.DUMMYFUNCTION("GOOGLETRANSLATE($B33,""en"",V$3)"),"Serwer Apache")</f>
        <v>Serwer Apache</v>
      </c>
      <c r="W33" s="12" t="str">
        <f ca="1">IFERROR(__xludf.DUMMYFUNCTION("GOOGLETRANSLATE($B33,""en"",W$3)"),"сервере Apache")</f>
        <v>сервере Apache</v>
      </c>
      <c r="X33" s="12" t="str">
        <f ca="1">IFERROR(__xludf.DUMMYFUNCTION("GOOGLETRANSLATE($B33,""en"",X$3)"),"Servidor Web Apache")</f>
        <v>Servidor Web Apache</v>
      </c>
      <c r="Y33" s="12"/>
      <c r="Z33" s="12"/>
    </row>
    <row r="34" spans="1:26" ht="32.25" customHeight="1" x14ac:dyDescent="0.2">
      <c r="A34" s="10" t="s">
        <v>132</v>
      </c>
      <c r="B34" s="10" t="s">
        <v>133</v>
      </c>
      <c r="C34" s="11" t="str">
        <f ca="1">IFERROR(__xludf.DUMMYFUNCTION("GOOGLETRANSLATE($B34,""en"",C$3)"),"Apache")</f>
        <v>Apache</v>
      </c>
      <c r="D34" s="12" t="str">
        <f ca="1">IFERROR(__xludf.DUMMYFUNCTION("GOOGLETRANSLATE($B34,""en"",D$3)"),"Apache")</f>
        <v>Apache</v>
      </c>
      <c r="E34" s="12" t="str">
        <f ca="1">IFERROR(__xludf.DUMMYFUNCTION("GOOGLETRANSLATE($B34,""en"",E$3)"),"Apache")</f>
        <v>Apache</v>
      </c>
      <c r="F34" s="12" t="str">
        <f ca="1">IFERROR(__xludf.DUMMYFUNCTION("GOOGLETRANSLATE($B34,""en"",F$3)"),"Apache")</f>
        <v>Apache</v>
      </c>
      <c r="G34" s="12" t="str">
        <f ca="1">IFERROR(__xludf.DUMMYFUNCTION("GOOGLETRANSLATE($B34,""en"",G$3)"),"Apache")</f>
        <v>Apache</v>
      </c>
      <c r="H34" s="12" t="str">
        <f ca="1">IFERROR(__xludf.DUMMYFUNCTION("GOOGLETRANSLATE($B34,""en"",H$3)"),"Apache")</f>
        <v>Apache</v>
      </c>
      <c r="I34" s="12" t="str">
        <f ca="1">IFERROR(__xludf.DUMMYFUNCTION("GOOGLETRANSLATE($B34,""en"",I$3)"),"apatxe")</f>
        <v>apatxe</v>
      </c>
      <c r="J34" s="12" t="str">
        <f ca="1">IFERROR(__xludf.DUMMYFUNCTION("GOOGLETRANSLATE($B34,""en"",J$3)"),"Apache")</f>
        <v>Apache</v>
      </c>
      <c r="K34" s="12" t="str">
        <f ca="1">IFERROR(__xludf.DUMMYFUNCTION("GOOGLETRANSLATE($B34,""en"",K$3)"),"阿帕奇")</f>
        <v>阿帕奇</v>
      </c>
      <c r="L34" s="12" t="str">
        <f ca="1">IFERROR(__xludf.DUMMYFUNCTION("GOOGLETRANSLATE($B34,""en"",L$3)"),"阿帕奇")</f>
        <v>阿帕奇</v>
      </c>
      <c r="M34" s="12" t="str">
        <f ca="1">IFERROR(__xludf.DUMMYFUNCTION("GOOGLETRANSLATE($B34,""en"",M$3)"),"Apache")</f>
        <v>Apache</v>
      </c>
      <c r="N34" s="12" t="str">
        <f ca="1">IFERROR(__xludf.DUMMYFUNCTION("GOOGLETRANSLATE($B34,""en"",N$3)"),"Απάχης")</f>
        <v>Απάχης</v>
      </c>
      <c r="O34" s="12" t="str">
        <f ca="1">IFERROR(__xludf.DUMMYFUNCTION("GOOGLETRANSLATE($B34,""en"",O$3)"),"Apache")</f>
        <v>Apache</v>
      </c>
      <c r="P34" s="12" t="str">
        <f ca="1">IFERROR(__xludf.DUMMYFUNCTION("GOOGLETRANSLATE($B34,""en"",P$3)"),"Apache")</f>
        <v>Apache</v>
      </c>
      <c r="Q34" s="12" t="str">
        <f ca="1">IFERROR(__xludf.DUMMYFUNCTION("GOOGLETRANSLATE($B34,""en"",Q$3)"),"دزد")</f>
        <v>دزد</v>
      </c>
      <c r="R34" s="12" t="str">
        <f ca="1">IFERROR(__xludf.DUMMYFUNCTION("GOOGLETRANSLATE($B34,""en"",R$3)"),"אַפָּשׁ")</f>
        <v>אַפָּשׁ</v>
      </c>
      <c r="S34" s="12" t="str">
        <f ca="1">IFERROR(__xludf.DUMMYFUNCTION("GOOGLETRANSLATE($B34,""en"",S$3)"),"apache")</f>
        <v>apache</v>
      </c>
      <c r="T34" s="12" t="str">
        <f ca="1">IFERROR(__xludf.DUMMYFUNCTION("GOOGLETRANSLATE($B34,""en"",T$3)"),"Apache")</f>
        <v>Apache</v>
      </c>
      <c r="U34" s="12" t="str">
        <f ca="1">IFERROR(__xludf.DUMMYFUNCTION("GOOGLETRANSLATE($B34,""en"",U$3)"),"أباتشي")</f>
        <v>أباتشي</v>
      </c>
      <c r="V34" s="12" t="str">
        <f ca="1">IFERROR(__xludf.DUMMYFUNCTION("GOOGLETRANSLATE($B34,""en"",V$3)"),"Apache")</f>
        <v>Apache</v>
      </c>
      <c r="W34" s="12" t="str">
        <f ca="1">IFERROR(__xludf.DUMMYFUNCTION("GOOGLETRANSLATE($B34,""en"",W$3)"),"апаш")</f>
        <v>апаш</v>
      </c>
      <c r="X34" s="12" t="str">
        <f ca="1">IFERROR(__xludf.DUMMYFUNCTION("GOOGLETRANSLATE($B34,""en"",X$3)"),"apache")</f>
        <v>apache</v>
      </c>
      <c r="Y34" s="12"/>
      <c r="Z34" s="12"/>
    </row>
    <row r="35" spans="1:26" ht="32.25" customHeight="1" x14ac:dyDescent="0.2">
      <c r="A35" s="10" t="s">
        <v>134</v>
      </c>
      <c r="B35" s="10" t="s">
        <v>135</v>
      </c>
      <c r="C35" s="11" t="s">
        <v>136</v>
      </c>
      <c r="D35" s="12" t="str">
        <f ca="1">IFERROR(__xludf.DUMMYFUNCTION("GOOGLETRANSLATE($B35,""en"",D$3)"),"Tjänsten misslyckades att installera")</f>
        <v>Tjänsten misslyckades att installera</v>
      </c>
      <c r="E35" s="12" t="str">
        <f ca="1">IFERROR(__xludf.DUMMYFUNCTION("GOOGLETRANSLATE($B35,""en"",E$3)"),"Serviço não conseguiu instalar")</f>
        <v>Serviço não conseguiu instalar</v>
      </c>
      <c r="F35" s="12" t="str">
        <f ca="1">IFERROR(__xludf.DUMMYFUNCTION("GOOGLETRANSLATE($B35,""en"",F$3)"),"Serviço não conseguiu instalar")</f>
        <v>Serviço não conseguiu instalar</v>
      </c>
      <c r="G35" s="12" t="str">
        <f ca="1">IFERROR(__xludf.DUMMYFUNCTION("GOOGLETRANSLATE($B35,""en"",G$3)"),"Le service n'a pas à installer")</f>
        <v>Le service n'a pas à installer</v>
      </c>
      <c r="H35" s="12" t="str">
        <f ca="1">IFERROR(__xludf.DUMMYFUNCTION("GOOGLETRANSLATE($B35,""en"",H$3)"),"Zerbitzua huts instalatu")</f>
        <v>Zerbitzua huts instalatu</v>
      </c>
      <c r="I35" s="12" t="str">
        <f ca="1">IFERROR(__xludf.DUMMYFUNCTION("GOOGLETRANSLATE($B35,""en"",I$3)"),"No s'ha pogut instal·lar el servei")</f>
        <v>No s'ha pogut instal·lar el servei</v>
      </c>
      <c r="J35" s="12" t="str">
        <f ca="1">IFERROR(__xludf.DUMMYFUNCTION("GOOGLETRANSLATE($B35,""en"",J$3)"),"Service se nepodařilo nainstalovat")</f>
        <v>Service se nepodařilo nainstalovat</v>
      </c>
      <c r="K35" s="12" t="str">
        <f ca="1">IFERROR(__xludf.DUMMYFUNCTION("GOOGLETRANSLATE($B35,""en"",K$3)"),"服务无法安装")</f>
        <v>服务无法安装</v>
      </c>
      <c r="L35" s="12" t="str">
        <f ca="1">IFERROR(__xludf.DUMMYFUNCTION("GOOGLETRANSLATE($B35,""en"",L$3)"),"服務無法安裝")</f>
        <v>服務無法安裝</v>
      </c>
      <c r="M35" s="12" t="str">
        <f ca="1">IFERROR(__xludf.DUMMYFUNCTION("GOOGLETRANSLATE($B35,""en"",M$3)"),"Service niet installeren")</f>
        <v>Service niet installeren</v>
      </c>
      <c r="N35" s="12" t="str">
        <f ca="1">IFERROR(__xludf.DUMMYFUNCTION("GOOGLETRANSLATE($B35,""en"",N$3)"),"Υπηρεσία απέτυχε να εγκαταστήσει")</f>
        <v>Υπηρεσία απέτυχε να εγκαταστήσει</v>
      </c>
      <c r="O35" s="12" t="str">
        <f ca="1">IFERROR(__xludf.DUMMYFUNCTION("GOOGLETRANSLATE($B35,""en"",O$3)"),"Palvelu asennus epäonnistui")</f>
        <v>Palvelu asennus epäonnistui</v>
      </c>
      <c r="P35" s="12" t="str">
        <f ca="1">IFERROR(__xludf.DUMMYFUNCTION("GOOGLETRANSLATE($B35,""en"",P$3)"),"Theip ar Seirbhís a shuiteáil")</f>
        <v>Theip ar Seirbhís a shuiteáil</v>
      </c>
      <c r="Q35" s="12" t="str">
        <f ca="1">IFERROR(__xludf.DUMMYFUNCTION("GOOGLETRANSLATE($B35,""en"",Q$3)"),"خدمات موفق به نصب")</f>
        <v>خدمات موفق به نصب</v>
      </c>
      <c r="R35" s="12" t="str">
        <f ca="1">IFERROR(__xludf.DUMMYFUNCTION("GOOGLETRANSLATE($B35,""en"",R$3)"),"השירות נכשל להתקין")</f>
        <v>השירות נכשל להתקין</v>
      </c>
      <c r="S35" s="12" t="str">
        <f ca="1">IFERROR(__xludf.DUMMYFUNCTION("GOOGLETRANSLATE($B35,""en"",S$3)"),"Þjónusta tókst að setja upp")</f>
        <v>Þjónusta tókst að setja upp</v>
      </c>
      <c r="T35" s="12" t="str">
        <f ca="1">IFERROR(__xludf.DUMMYFUNCTION("GOOGLETRANSLATE($B35,""en"",T$3)"),"Tjenesten ikke klarte å installere")</f>
        <v>Tjenesten ikke klarte å installere</v>
      </c>
      <c r="U35" s="12" t="str">
        <f ca="1">IFERROR(__xludf.DUMMYFUNCTION("GOOGLETRANSLATE($B35,""en"",U$3)"),"فشل خدمة تثبيت")</f>
        <v>فشل خدمة تثبيت</v>
      </c>
      <c r="V35" s="12" t="str">
        <f ca="1">IFERROR(__xludf.DUMMYFUNCTION("GOOGLETRANSLATE($B35,""en"",V$3)"),"Usługa nie może zainstalować")</f>
        <v>Usługa nie może zainstalować</v>
      </c>
      <c r="W35" s="12" t="str">
        <f ca="1">IFERROR(__xludf.DUMMYFUNCTION("GOOGLETRANSLATE($B35,""en"",W$3)"),"Обслуживание не удалось установить")</f>
        <v>Обслуживание не удалось установить</v>
      </c>
      <c r="X35" s="12" t="str">
        <f ca="1">IFERROR(__xludf.DUMMYFUNCTION("GOOGLETRANSLATE($B35,""en"",X$3)"),"No se pudo instalar el servicio")</f>
        <v>No se pudo instalar el servicio</v>
      </c>
      <c r="Y35" s="12"/>
      <c r="Z35" s="12"/>
    </row>
    <row r="36" spans="1:26" ht="32.25" customHeight="1" x14ac:dyDescent="0.2">
      <c r="A36" s="10" t="s">
        <v>137</v>
      </c>
      <c r="B36" s="10" t="s">
        <v>138</v>
      </c>
      <c r="C36" s="11" t="s">
        <v>139</v>
      </c>
      <c r="D36" s="12" t="str">
        <f ca="1">IFERROR(__xludf.DUMMYFUNCTION("GOOGLETRANSLATE($B36,""en"",D$3)"),"Web Server hindrade inte")</f>
        <v>Web Server hindrade inte</v>
      </c>
      <c r="E36" s="13" t="s">
        <v>140</v>
      </c>
      <c r="F36" s="14" t="s">
        <v>140</v>
      </c>
      <c r="G36" s="12" t="str">
        <f ca="1">IFERROR(__xludf.DUMMYFUNCTION("GOOGLETRANSLATE($B36,""en"",G$3)"),"Web Server n'a pas empêché")</f>
        <v>Web Server n'a pas empêché</v>
      </c>
      <c r="H36" s="12" t="str">
        <f ca="1">IFERROR(__xludf.DUMMYFUNCTION("GOOGLETRANSLATE($B36,""en"",H$3)"),"Web zerbitzaria ez gelditzeko")</f>
        <v>Web zerbitzaria ez gelditzeko</v>
      </c>
      <c r="I36" s="12" t="str">
        <f ca="1">IFERROR(__xludf.DUMMYFUNCTION("GOOGLETRANSLATE($B36,""en"",I$3)"),"Servidor web no es va aturar")</f>
        <v>Servidor web no es va aturar</v>
      </c>
      <c r="J36" s="12" t="str">
        <f ca="1">IFERROR(__xludf.DUMMYFUNCTION("GOOGLETRANSLATE($B36,""en"",J$3)"),"Web Server nezastavil")</f>
        <v>Web Server nezastavil</v>
      </c>
      <c r="K36" s="12" t="str">
        <f ca="1">IFERROR(__xludf.DUMMYFUNCTION("GOOGLETRANSLATE($B36,""en"",K$3)"),"Web服务器没有停止")</f>
        <v>Web服务器没有停止</v>
      </c>
      <c r="L36" s="12" t="str">
        <f ca="1">IFERROR(__xludf.DUMMYFUNCTION("GOOGLETRANSLATE($B36,""en"",L$3)"),"Web服務器沒有停止")</f>
        <v>Web服務器沒有停止</v>
      </c>
      <c r="M36" s="12" t="str">
        <f ca="1">IFERROR(__xludf.DUMMYFUNCTION("GOOGLETRANSLATE($B36,""en"",M$3)"),"Web Server niet stop")</f>
        <v>Web Server niet stop</v>
      </c>
      <c r="N36" s="12" t="str">
        <f ca="1">IFERROR(__xludf.DUMMYFUNCTION("GOOGLETRANSLATE($B36,""en"",N$3)"),"Web Server δεν σταμάτησε")</f>
        <v>Web Server δεν σταμάτησε</v>
      </c>
      <c r="O36" s="12" t="str">
        <f ca="1">IFERROR(__xludf.DUMMYFUNCTION("GOOGLETRANSLATE($B36,""en"",O$3)"),"Web Server ei pysähtynyt")</f>
        <v>Web Server ei pysähtynyt</v>
      </c>
      <c r="P36" s="12" t="str">
        <f ca="1">IFERROR(__xludf.DUMMYFUNCTION("GOOGLETRANSLATE($B36,""en"",P$3)"),"Ní raibh Freastalaí Gréasáin stad")</f>
        <v>Ní raibh Freastalaí Gréasáin stad</v>
      </c>
      <c r="Q36" s="12" t="str">
        <f ca="1">IFERROR(__xludf.DUMMYFUNCTION("GOOGLETRANSLATE($B36,""en"",Q$3)"),"وب سرور را متوقف نمی کند")</f>
        <v>وب سرور را متوقف نمی کند</v>
      </c>
      <c r="R36" s="12" t="str">
        <f ca="1">IFERROR(__xludf.DUMMYFUNCTION("GOOGLETRANSLATE($B36,""en"",R$3)"),"שרת האינטרנט לא עצר")</f>
        <v>שרת האינטרנט לא עצר</v>
      </c>
      <c r="S36" s="12" t="str">
        <f ca="1">IFERROR(__xludf.DUMMYFUNCTION("GOOGLETRANSLATE($B36,""en"",S$3)"),"Web Server ekki hætta")</f>
        <v>Web Server ekki hætta</v>
      </c>
      <c r="T36" s="12" t="str">
        <f ca="1">IFERROR(__xludf.DUMMYFUNCTION("GOOGLETRANSLATE($B36,""en"",T$3)"),"Web Server stoppet ikke")</f>
        <v>Web Server stoppet ikke</v>
      </c>
      <c r="U36" s="12" t="str">
        <f ca="1">IFERROR(__xludf.DUMMYFUNCTION("GOOGLETRANSLATE($B36,""en"",U$3)"),"لم خادم ويب لا توقف")</f>
        <v>لم خادم ويب لا توقف</v>
      </c>
      <c r="V36" s="12" t="str">
        <f ca="1">IFERROR(__xludf.DUMMYFUNCTION("GOOGLETRANSLATE($B36,""en"",V$3)"),"Serwer WWW nie powstrzymało")</f>
        <v>Serwer WWW nie powstrzymało</v>
      </c>
      <c r="W36" s="12" t="str">
        <f ca="1">IFERROR(__xludf.DUMMYFUNCTION("GOOGLETRANSLATE($B36,""en"",W$3)"),"Веб-сервер не остановить")</f>
        <v>Веб-сервер не остановить</v>
      </c>
      <c r="X36" s="12" t="str">
        <f ca="1">IFERROR(__xludf.DUMMYFUNCTION("GOOGLETRANSLATE($B36,""en"",X$3)"),"Servidor Web no se detuvo")</f>
        <v>Servidor Web no se detuvo</v>
      </c>
      <c r="Y36" s="12"/>
      <c r="Z36" s="12"/>
    </row>
    <row r="37" spans="1:26" ht="32.25" customHeight="1" x14ac:dyDescent="0.2">
      <c r="A37" s="10" t="s">
        <v>141</v>
      </c>
      <c r="B37" s="10" t="s">
        <v>142</v>
      </c>
      <c r="C37" s="11" t="s">
        <v>143</v>
      </c>
      <c r="D37" s="12" t="str">
        <f ca="1">IFERROR(__xludf.DUMMYFUNCTION("GOOGLETRANSLATE($B37,""en"",D$3)"),"Webserver + Sök och karta")</f>
        <v>Webserver + Sök och karta</v>
      </c>
      <c r="E37" s="12" t="str">
        <f ca="1">IFERROR(__xludf.DUMMYFUNCTION("GOOGLETRANSLATE($B37,""en"",E$3)"),"Webserver + Pesquisa e Mapa")</f>
        <v>Webserver + Pesquisa e Mapa</v>
      </c>
      <c r="F37" s="12" t="str">
        <f ca="1">IFERROR(__xludf.DUMMYFUNCTION("GOOGLETRANSLATE($B37,""en"",F$3)"),"Webserver + Pesquisa e Mapa")</f>
        <v>Webserver + Pesquisa e Mapa</v>
      </c>
      <c r="G37" s="12" t="str">
        <f ca="1">IFERROR(__xludf.DUMMYFUNCTION("GOOGLETRANSLATE($B37,""en"",G$3)"),"+ Recherche et Webserver Carte")</f>
        <v>+ Recherche et Webserver Carte</v>
      </c>
      <c r="H37" s="12" t="str">
        <f ca="1">IFERROR(__xludf.DUMMYFUNCTION("GOOGLETRANSLATE($B37,""en"",H$3)"),"Web zerbitzariak + Bilaketa eta mapa")</f>
        <v>Web zerbitzariak + Bilaketa eta mapa</v>
      </c>
      <c r="I37" s="12" t="str">
        <f ca="1">IFERROR(__xludf.DUMMYFUNCTION("GOOGLETRANSLATE($B37,""en"",I$3)"),"Servidor web + Recerca i Mapa")</f>
        <v>Servidor web + Recerca i Mapa</v>
      </c>
      <c r="J37" s="12" t="str">
        <f ca="1">IFERROR(__xludf.DUMMYFUNCTION("GOOGLETRANSLATE($B37,""en"",J$3)"),"Webserver + Search and Map")</f>
        <v>Webserver + Search and Map</v>
      </c>
      <c r="K37" s="12" t="str">
        <f ca="1">IFERROR(__xludf.DUMMYFUNCTION("GOOGLETRANSLATE($B37,""en"",K$3)"),"Web服务器+搜索和地图")</f>
        <v>Web服务器+搜索和地图</v>
      </c>
      <c r="L37" s="12" t="str">
        <f ca="1">IFERROR(__xludf.DUMMYFUNCTION("GOOGLETRANSLATE($B37,""en"",L$3)"),"Web服務器+搜索和地圖")</f>
        <v>Web服務器+搜索和地圖</v>
      </c>
      <c r="M37" s="12" t="str">
        <f ca="1">IFERROR(__xludf.DUMMYFUNCTION("GOOGLETRANSLATE($B37,""en"",M$3)"),"Webserver + Search and Map")</f>
        <v>Webserver + Search and Map</v>
      </c>
      <c r="N37" s="12" t="str">
        <f ca="1">IFERROR(__xludf.DUMMYFUNCTION("GOOGLETRANSLATE($B37,""en"",N$3)"),"Webserver + Αναζήτηση και Χάρτης")</f>
        <v>Webserver + Αναζήτηση και Χάρτης</v>
      </c>
      <c r="O37" s="12" t="str">
        <f ca="1">IFERROR(__xludf.DUMMYFUNCTION("GOOGLETRANSLATE($B37,""en"",O$3)"),"Webserver + Haku ja kartta")</f>
        <v>Webserver + Haku ja kartta</v>
      </c>
      <c r="P37" s="12" t="str">
        <f ca="1">IFERROR(__xludf.DUMMYFUNCTION("GOOGLETRANSLATE($B37,""en"",P$3)"),"Webserver + Cuardach agus Léarscáil")</f>
        <v>Webserver + Cuardach agus Léarscáil</v>
      </c>
      <c r="Q37" s="12" t="str">
        <f ca="1">IFERROR(__xludf.DUMMYFUNCTION("GOOGLETRANSLATE($B37,""en"",Q$3)"),"سرور وب + جستجو و نقشه")</f>
        <v>سرور وب + جستجو و نقشه</v>
      </c>
      <c r="R37" s="12" t="str">
        <f ca="1">IFERROR(__xludf.DUMMYFUNCTION("GOOGLETRANSLATE($B37,""en"",R$3)"),"חיפוש + וואבסארואר ו מפה")</f>
        <v>חיפוש + וואבסארואר ו מפה</v>
      </c>
      <c r="S37" s="12" t="str">
        <f ca="1">IFERROR(__xludf.DUMMYFUNCTION("GOOGLETRANSLATE($B37,""en"",S$3)"),"Vefþjónninn + Leit og kort")</f>
        <v>Vefþjónninn + Leit og kort</v>
      </c>
      <c r="T37" s="12" t="str">
        <f ca="1">IFERROR(__xludf.DUMMYFUNCTION("GOOGLETRANSLATE($B37,""en"",T$3)"),"Webserver + Søk og kart")</f>
        <v>Webserver + Søk og kart</v>
      </c>
      <c r="U37" s="12" t="str">
        <f ca="1">IFERROR(__xludf.DUMMYFUNCTION("GOOGLETRANSLATE($B37,""en"",U$3)"),"خادم + البحث والخارطة")</f>
        <v>خادم + البحث والخارطة</v>
      </c>
      <c r="V37" s="12" t="str">
        <f ca="1">IFERROR(__xludf.DUMMYFUNCTION("GOOGLETRANSLATE($B37,""en"",V$3)"),"Serwer + Search and Map")</f>
        <v>Serwer + Search and Map</v>
      </c>
      <c r="W37" s="12" t="str">
        <f ca="1">IFERROR(__xludf.DUMMYFUNCTION("GOOGLETRANSLATE($B37,""en"",W$3)"),"Вебсервер + Поиск и Карта")</f>
        <v>Вебсервер + Поиск и Карта</v>
      </c>
      <c r="X37" s="12" t="str">
        <f ca="1">IFERROR(__xludf.DUMMYFUNCTION("GOOGLETRANSLATE($B37,""en"",X$3)"),"Servidor web + Búsqueda y Mapa")</f>
        <v>Servidor web + Búsqueda y Mapa</v>
      </c>
      <c r="Y37" s="12"/>
      <c r="Z37" s="12"/>
    </row>
    <row r="38" spans="1:26" ht="32.25" customHeight="1" x14ac:dyDescent="0.2">
      <c r="A38" s="10" t="s">
        <v>144</v>
      </c>
      <c r="B38" s="10" t="s">
        <v>145</v>
      </c>
      <c r="C38" s="11" t="str">
        <f ca="1">IFERROR(__xludf.DUMMYFUNCTION("GOOGLETRANSLATE($B38,""en"",C$3)"),"Eine Anwendung Ausnahme ist aufgetreten. Wollen Sie versuchen weiterhin, oder Abbruch / Ausgang?")</f>
        <v>Eine Anwendung Ausnahme ist aufgetreten. Wollen Sie versuchen weiterhin, oder Abbruch / Ausgang?</v>
      </c>
      <c r="D38" s="12" t="str">
        <f ca="1">IFERROR(__xludf.DUMMYFUNCTION("GOOGLETRANSLATE($B38,""en"",D$3)"),"Ett undantag ansökan har skett. Vill du försöka fortsätta eller avbryta / avsluta?")</f>
        <v>Ett undantag ansökan har skett. Vill du försöka fortsätta eller avbryta / avsluta?</v>
      </c>
      <c r="E38" s="12" t="str">
        <f ca="1">IFERROR(__xludf.DUMMYFUNCTION("GOOGLETRANSLATE($B38,""en"",E$3)"),"Uma excepção de aplicação ocorreu. Você quer tentar continuar, ou abort / saída?")</f>
        <v>Uma excepção de aplicação ocorreu. Você quer tentar continuar, ou abort / saída?</v>
      </c>
      <c r="F38" s="12" t="str">
        <f ca="1">IFERROR(__xludf.DUMMYFUNCTION("GOOGLETRANSLATE($B38,""en"",F$3)"),"Uma excepção de aplicação ocorreu. Você quer tentar continuar, ou abort / saída?")</f>
        <v>Uma excepção de aplicação ocorreu. Você quer tentar continuar, ou abort / saída?</v>
      </c>
      <c r="G38" s="12" t="str">
        <f ca="1">IFERROR(__xludf.DUMMYFUNCTION("GOOGLETRANSLATE($B38,""en"",G$3)"),"Une exception d'application est survenue. Voulez-vous essayer de continuer, ou abort / sortie?")</f>
        <v>Une exception d'application est survenue. Voulez-vous essayer de continuer, ou abort / sortie?</v>
      </c>
      <c r="H38" s="12" t="str">
        <f ca="1">IFERROR(__xludf.DUMMYFUNCTION("GOOGLETRANSLATE($B38,""en"",H$3)"),"Aplikazio salbuespen bat gertatu da. Ez jarraitzeko, edo abortatzeko / irteera saiatu nahi duzu?")</f>
        <v>Aplikazio salbuespen bat gertatu da. Ez jarraitzeko, edo abortatzeko / irteera saiatu nahi duzu?</v>
      </c>
      <c r="I38" s="12" t="str">
        <f ca="1">IFERROR(__xludf.DUMMYFUNCTION("GOOGLETRANSLATE($B38,""en"",I$3)"),"S'ha produït una excepció d'aplicació. Vols tractar de continuar o avortar / sortida?")</f>
        <v>S'ha produït una excepció d'aplicació. Vols tractar de continuar o avortar / sortida?</v>
      </c>
      <c r="J38" s="12" t="str">
        <f ca="1">IFERROR(__xludf.DUMMYFUNCTION("GOOGLETRANSLATE($B38,""en"",J$3)"),"Došlo k výjimce aplikace. Přejete si, aby se pokusili pokračovat, nebo abort / výstupu?")</f>
        <v>Došlo k výjimce aplikace. Přejete si, aby se pokusili pokračovat, nebo abort / výstupu?</v>
      </c>
      <c r="K38" s="12" t="str">
        <f ca="1">IFERROR(__xludf.DUMMYFUNCTION("GOOGLETRANSLATE($B38,""en"",K$3)"),"发生了一个应用程序异常。你想尝试继续，或中止/退出？")</f>
        <v>发生了一个应用程序异常。你想尝试继续，或中止/退出？</v>
      </c>
      <c r="L38" s="12" t="str">
        <f ca="1">IFERROR(__xludf.DUMMYFUNCTION("GOOGLETRANSLATE($B38,""en"",L$3)"),"發生了一個應用程序異常。你想嘗試繼續，或中止/退出？")</f>
        <v>發生了一個應用程序異常。你想嘗試繼續，或中止/退出？</v>
      </c>
      <c r="M38" s="12" t="str">
        <f ca="1">IFERROR(__xludf.DUMMYFUNCTION("GOOGLETRANSLATE($B38,""en"",M$3)"),"Een toepassingsuitzondering opgetreden. Wilt u proberen door te gaan, of afbreken / exit?")</f>
        <v>Een toepassingsuitzondering opgetreden. Wilt u proberen door te gaan, of afbreken / exit?</v>
      </c>
      <c r="N38" s="12" t="str">
        <f ca="1">IFERROR(__xludf.DUMMYFUNCTION("GOOGLETRANSLATE($B38,""en"",N$3)"),"Παρουσιάστηκε εξαίρεση εφαρμογής. Θέλετε να προσπαθήσετε να συνεχίσετε ή ματαίωση / εξόδου;")</f>
        <v>Παρουσιάστηκε εξαίρεση εφαρμογής. Θέλετε να προσπαθήσετε να συνεχίσετε ή ματαίωση / εξόδου;</v>
      </c>
      <c r="O38" s="12" t="str">
        <f ca="1">IFERROR(__xludf.DUMMYFUNCTION("GOOGLETRANSLATE($B38,""en"",O$3)"),"Hakemuksen poikkeus on tapahtunut. Haluatko yrittää jatkaa tai Hylkää / poisto?")</f>
        <v>Hakemuksen poikkeus on tapahtunut. Haluatko yrittää jatkaa tai Hylkää / poisto?</v>
      </c>
      <c r="P38" s="12" t="str">
        <f ca="1">IFERROR(__xludf.DUMMYFUNCTION("GOOGLETRANSLATE($B38,""en"",P$3)"),"Tá eisceacht iarratas tharla. Ar mhaith leat chun iarracht a dhéanamh leanúint ar aghaidh, nó Tobscoir / imeachta?")</f>
        <v>Tá eisceacht iarratas tharla. Ar mhaith leat chun iarracht a dhéanamh leanúint ar aghaidh, nó Tobscoir / imeachta?</v>
      </c>
      <c r="Q38" s="12" t="str">
        <f ca="1">IFERROR(__xludf.DUMMYFUNCTION("GOOGLETRANSLATE($B38,""en"",Q$3)"),"یک استثنا برنامه رخ داده است. آیا شما می خواهید به تلاش برای ادامه یا لغو / خروج؟")</f>
        <v>یک استثنا برنامه رخ داده است. آیا شما می خواهید به تلاش برای ادامه یا لغو / خروج؟</v>
      </c>
      <c r="R38" s="12" t="str">
        <f ca="1">IFERROR(__xludf.DUMMYFUNCTION("GOOGLETRANSLATE($B38,""en"",R$3)"),"חריג יישום התרחש. האם אתה רוצה לנסות להמשיך, או לבטל / יציאה?")</f>
        <v>חריג יישום התרחש. האם אתה רוצה לנסות להמשיך, או לבטל / יציאה?</v>
      </c>
      <c r="S38" s="12" t="str">
        <f ca="1">IFERROR(__xludf.DUMMYFUNCTION("GOOGLETRANSLATE($B38,""en"",S$3)"),"Umsókn undantekning hafi átt sér stað. Viltu reyna að halda áfram, eða hætta / hætta?")</f>
        <v>Umsókn undantekning hafi átt sér stað. Viltu reyna að halda áfram, eða hætta / hætta?</v>
      </c>
      <c r="T38" s="12" t="str">
        <f ca="1">IFERROR(__xludf.DUMMYFUNCTION("GOOGLETRANSLATE($B38,""en"",T$3)"),"En søknad unntak har oppstått. Ønsker du å prøve å fortsette, eller abort / exit?")</f>
        <v>En søknad unntak har oppstått. Ønsker du å prøve å fortsette, eller abort / exit?</v>
      </c>
      <c r="U38" s="12" t="str">
        <f ca="1">IFERROR(__xludf.DUMMYFUNCTION("GOOGLETRANSLATE($B38,""en"",U$3)"),"حدث استثناء تطبيق. هل ترغب في محاولة للمتابعة، أو إحباط / الخروج؟")</f>
        <v>حدث استثناء تطبيق. هل ترغب في محاولة للمتابعة، أو إحباط / الخروج؟</v>
      </c>
      <c r="V38" s="12" t="str">
        <f ca="1">IFERROR(__xludf.DUMMYFUNCTION("GOOGLETRANSLATE($B38,""en"",V$3)"),"Wyjątek stosowanie miało miejsce. Czy chcesz spróbować, aby kontynuować lub Abort / wyjścia?")</f>
        <v>Wyjątek stosowanie miało miejsce. Czy chcesz spróbować, aby kontynuować lub Abort / wyjścia?</v>
      </c>
      <c r="W38" s="12" t="str">
        <f ca="1">IFERROR(__xludf.DUMMYFUNCTION("GOOGLETRANSLATE($B38,""en"",W$3)"),"Исключение заявки произошло. Вы хотите, чтобы попытаться продолжить или отменить / выход?")</f>
        <v>Исключение заявки произошло. Вы хотите, чтобы попытаться продолжить или отменить / выход?</v>
      </c>
      <c r="X38" s="12" t="str">
        <f ca="1">IFERROR(__xludf.DUMMYFUNCTION("GOOGLETRANSLATE($B38,""en"",X$3)"),"Se ha producido una excepción de aplicación. ¿Quieres tratar de continuar o abortar / salida?")</f>
        <v>Se ha producido una excepción de aplicación. ¿Quieres tratar de continuar o abortar / salida?</v>
      </c>
      <c r="Y38" s="12"/>
      <c r="Z38" s="12"/>
    </row>
    <row r="39" spans="1:26" ht="32.25" customHeight="1" x14ac:dyDescent="0.2">
      <c r="A39" s="10" t="s">
        <v>146</v>
      </c>
      <c r="B39" s="10" t="s">
        <v>147</v>
      </c>
      <c r="C39" s="11" t="s">
        <v>148</v>
      </c>
      <c r="D39" s="12" t="str">
        <f ca="1">IFERROR(__xludf.DUMMYFUNCTION("GOOGLETRANSLATE($B39,""en"",D$3)"),"Tillämpa")</f>
        <v>Tillämpa</v>
      </c>
      <c r="E39" s="12" t="str">
        <f ca="1">IFERROR(__xludf.DUMMYFUNCTION("GOOGLETRANSLATE($B39,""en"",E$3)"),"Aplique")</f>
        <v>Aplique</v>
      </c>
      <c r="F39" s="12" t="str">
        <f ca="1">IFERROR(__xludf.DUMMYFUNCTION("GOOGLETRANSLATE($B39,""en"",F$3)"),"Aplique")</f>
        <v>Aplique</v>
      </c>
      <c r="G39" s="12" t="str">
        <f ca="1">IFERROR(__xludf.DUMMYFUNCTION("GOOGLETRANSLATE($B39,""en"",G$3)"),"Appliquer")</f>
        <v>Appliquer</v>
      </c>
      <c r="H39" s="12" t="str">
        <f ca="1">IFERROR(__xludf.DUMMYFUNCTION("GOOGLETRANSLATE($B39,""en"",H$3)"),"aplikatu")</f>
        <v>aplikatu</v>
      </c>
      <c r="I39" s="12" t="str">
        <f ca="1">IFERROR(__xludf.DUMMYFUNCTION("GOOGLETRANSLATE($B39,""en"",I$3)"),"aplicar")</f>
        <v>aplicar</v>
      </c>
      <c r="J39" s="12" t="str">
        <f ca="1">IFERROR(__xludf.DUMMYFUNCTION("GOOGLETRANSLATE($B39,""en"",J$3)"),"Aplikovat")</f>
        <v>Aplikovat</v>
      </c>
      <c r="K39" s="12" t="str">
        <f ca="1">IFERROR(__xludf.DUMMYFUNCTION("GOOGLETRANSLATE($B39,""en"",K$3)"),"应用")</f>
        <v>应用</v>
      </c>
      <c r="L39" s="12" t="str">
        <f ca="1">IFERROR(__xludf.DUMMYFUNCTION("GOOGLETRANSLATE($B39,""en"",L$3)"),"應用")</f>
        <v>應用</v>
      </c>
      <c r="M39" s="12" t="str">
        <f ca="1">IFERROR(__xludf.DUMMYFUNCTION("GOOGLETRANSLATE($B39,""en"",M$3)"),"Van toepassing zijn")</f>
        <v>Van toepassing zijn</v>
      </c>
      <c r="N39" s="12" t="str">
        <f ca="1">IFERROR(__xludf.DUMMYFUNCTION("GOOGLETRANSLATE($B39,""en"",N$3)"),"Ισχύουν")</f>
        <v>Ισχύουν</v>
      </c>
      <c r="O39" s="12" t="str">
        <f ca="1">IFERROR(__xludf.DUMMYFUNCTION("GOOGLETRANSLATE($B39,""en"",O$3)"),"Käytä")</f>
        <v>Käytä</v>
      </c>
      <c r="P39" s="12" t="str">
        <f ca="1">IFERROR(__xludf.DUMMYFUNCTION("GOOGLETRANSLATE($B39,""en"",P$3)"),"Cuir iarratas isteach")</f>
        <v>Cuir iarratas isteach</v>
      </c>
      <c r="Q39" s="12" t="str">
        <f ca="1">IFERROR(__xludf.DUMMYFUNCTION("GOOGLETRANSLATE($B39,""en"",Q$3)"),"درخواست دادن")</f>
        <v>درخواست دادن</v>
      </c>
      <c r="R39" s="12" t="str">
        <f ca="1">IFERROR(__xludf.DUMMYFUNCTION("GOOGLETRANSLATE($B39,""en"",R$3)"),"להגיש מועמדות")</f>
        <v>להגיש מועמדות</v>
      </c>
      <c r="S39" s="12" t="str">
        <f ca="1">IFERROR(__xludf.DUMMYFUNCTION("GOOGLETRANSLATE($B39,""en"",S$3)"),"gilda")</f>
        <v>gilda</v>
      </c>
      <c r="T39" s="12" t="str">
        <f ca="1">IFERROR(__xludf.DUMMYFUNCTION("GOOGLETRANSLATE($B39,""en"",T$3)"),"Søke om")</f>
        <v>Søke om</v>
      </c>
      <c r="U39" s="12" t="str">
        <f ca="1">IFERROR(__xludf.DUMMYFUNCTION("GOOGLETRANSLATE($B39,""en"",U$3)"),"تطبيق")</f>
        <v>تطبيق</v>
      </c>
      <c r="V39" s="12" t="str">
        <f ca="1">IFERROR(__xludf.DUMMYFUNCTION("GOOGLETRANSLATE($B39,""en"",V$3)"),"Zastosować")</f>
        <v>Zastosować</v>
      </c>
      <c r="W39" s="12" t="str">
        <f ca="1">IFERROR(__xludf.DUMMYFUNCTION("GOOGLETRANSLATE($B39,""en"",W$3)"),"Подать заявление")</f>
        <v>Подать заявление</v>
      </c>
      <c r="X39" s="12" t="str">
        <f ca="1">IFERROR(__xludf.DUMMYFUNCTION("GOOGLETRANSLATE($B39,""en"",X$3)"),"Aplicar")</f>
        <v>Aplicar</v>
      </c>
      <c r="Y39" s="12"/>
      <c r="Z39" s="12"/>
    </row>
    <row r="40" spans="1:26" ht="32.25" customHeight="1" x14ac:dyDescent="0.2">
      <c r="A40" s="10" t="s">
        <v>149</v>
      </c>
      <c r="B40" s="10" t="s">
        <v>150</v>
      </c>
      <c r="C40" s="11" t="str">
        <f ca="1">IFERROR(__xludf.DUMMYFUNCTION("GOOGLETRANSLATE($B40,""en"",C$3)"),"Bist du sicher? Ihre Datenbank wird aus dem Backup rloaded und alle vorhandenen Inhalte ersetzt. Avatare, sims, Inventar wird every überschrieben.")</f>
        <v>Bist du sicher? Ihre Datenbank wird aus dem Backup rloaded und alle vorhandenen Inhalte ersetzt. Avatare, sims, Inventar wird every überschrieben.</v>
      </c>
      <c r="D40" s="12" t="str">
        <f ca="1">IFERROR(__xludf.DUMMYFUNCTION("GOOGLETRANSLATE($B40,""en"",D$3)"),"Är du säker? Din databas kommer rloaded från säkerhetskopian och allt befintligt innehåll ut. Avatarer, sims, inventering, every kommer att skrivas över.")</f>
        <v>Är du säker? Din databas kommer rloaded från säkerhetskopian och allt befintligt innehåll ut. Avatarer, sims, inventering, every kommer att skrivas över.</v>
      </c>
      <c r="E40" s="12" t="str">
        <f ca="1">IFERROR(__xludf.DUMMYFUNCTION("GOOGLETRANSLATE($B40,""en"",E$3)"),"Você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F40" s="12" t="str">
        <f ca="1">IFERROR(__xludf.DUMMYFUNCTION("GOOGLETRANSLATE($B40,""en"",F$3)"),"Você tem certeza? Seu banco de dados vai rloaded a partir do backup e todo o conteúdo existente substituído. Avatares, sims, inventário, everyting será escrito mais.")</f>
        <v>Você tem certeza? Seu banco de dados vai rloaded a partir do backup e todo o conteúdo existente substituído. Avatares, sims, inventário, everyting será escrito mais.</v>
      </c>
      <c r="G40" s="12" t="str">
        <f ca="1">IFERROR(__xludf.DUMMYFUNCTION("GOOGLETRANSLATE($B40,""en"",G$3)"),"Êtes-vous sûr? Votre base de données rloaded de la sauvegarde et tout le contenu existant remplacé. Avatars, sims, inventaire, everyting seront écrits sur.")</f>
        <v>Êtes-vous sûr? Votre base de données rloaded de la sauvegarde et tout le contenu existant remplacé. Avatars, sims, inventaire, everyting seront écrits sur.</v>
      </c>
      <c r="H40" s="12" t="str">
        <f ca="1">IFERROR(__xludf.DUMMYFUNCTION("GOOGLETRANSLATE($B40,""en"",H$3)"),"Ziur zaude? Zure datu-basea izango backup batetik rloaded eta dauden eduki guztiak ordezkatu. Avatarrak, Sims, inbentarioa, guztiaren idatziko da gainetik.")</f>
        <v>Ziur zaude? Zure datu-basea izango backup batetik rloaded eta dauden eduki guztiak ordezkatu. Avatarrak, Sims, inbentarioa, guztiaren idatziko da gainetik.</v>
      </c>
      <c r="I40" s="12" t="str">
        <f ca="1">IFERROR(__xludf.DUMMYFUNCTION("GOOGLETRANSLATE($B40,""en"",I$3)"),"Estàs segur? La seva base de dades es rloaded de la còpia de seguretat i tot el contingut existent reemplaçat. Avatars, Sims, inventari, everyting s'escriuran més.")</f>
        <v>Estàs segur? La seva base de dades es rloaded de la còpia de seguretat i tot el contingut existent reemplaçat. Avatars, Sims, inventari, everyting s'escriuran més.</v>
      </c>
      <c r="J40" s="12" t="str">
        <f ca="1">IFERROR(__xludf.DUMMYFUNCTION("GOOGLETRANSLATE($B40,""en"",J$3)"),"Jsi si jistá? Databáze bude rloaded ze zálohy a všechny existující obsah nahradit. Avatary, Sims, inventář, everyting bude přepsat.")</f>
        <v>Jsi si jistá? Databáze bude rloaded ze zálohy a všechny existující obsah nahradit. Avatary, Sims, inventář, everyting bude přepsat.</v>
      </c>
      <c r="K40" s="12" t="str">
        <f ca="1">IFERROR(__xludf.DUMMYFUNCTION("GOOGLETRANSLATE($B40,""en"",K$3)"),"你确定吗？您的数据库将从备份rloaded和所有现有的内容所取代。化身，SIMS，库存，everyting将被覆盖。")</f>
        <v>你确定吗？您的数据库将从备份rloaded和所有现有的内容所取代。化身，SIMS，库存，everyting将被覆盖。</v>
      </c>
      <c r="L40" s="12" t="str">
        <f ca="1">IFERROR(__xludf.DUMMYFUNCTION("GOOGLETRANSLATE($B40,""en"",L$3)"),"你確定嗎？您的數據庫將從備份rloaded和所有現有的內容所取代。化身，SIMS，庫存，everyting將被覆蓋。")</f>
        <v>你確定嗎？您的數據庫將從備份rloaded和所有現有的內容所取代。化身，SIMS，庫存，everyting將被覆蓋。</v>
      </c>
      <c r="M40" s="12" t="str">
        <f ca="1">IFERROR(__xludf.DUMMYFUNCTION("GOOGLETRANSLATE($B40,""en"",M$3)"),"Weet je het zeker? Uw database rloaded uit de back-up en alle bestaande inhoud vervangen. Avatars, sims, inventaris, everyting zal worden overschreven.")</f>
        <v>Weet je het zeker? Uw database rloaded uit de back-up en alle bestaande inhoud vervangen. Avatars, sims, inventaris, everyting zal worden overschreven.</v>
      </c>
      <c r="N40" s="12" t="str">
        <f ca="1">IFERROR(__xludf.DUMMYFUNCTION("GOOGLETRANSLATE($B40,""en"",N$3)"),"Είσαι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f>
        <v>Είσαι σίγουρος? Η βάση δεδομένων σας θα rloaded από τη δημιουργία αντιγράφων ασφαλείας και όλα υπάρχον περιεχόμενο αντικατασταθεί. Avatars, sims, την απογραφή, κι όλα θα γραφτεί πάνω.</v>
      </c>
      <c r="O40" s="12" t="str">
        <f ca="1">IFERROR(__xludf.DUMMYFUNCTION("GOOGLETRANSLATE($B40,""en"",O$3)"),"Oletko varma? Lisätään tietokannasta rloaded varmuuskopiosta ja kaikki nykyinen sisältö korvataan. Avatareja, sims, inventaario, everyting kirjoitetaan yli.")</f>
        <v>Oletko varma? Lisätään tietokannasta rloaded varmuuskopiosta ja kaikki nykyinen sisältö korvataan. Avatareja, sims, inventaario, everyting kirjoitetaan yli.</v>
      </c>
      <c r="P40" s="12" t="str">
        <f ca="1">IFERROR(__xludf.DUMMYFUNCTION("GOOGLETRANSLATE($B40,""en"",P$3)"),"An bhfuil tú cinnte? Dearbhófar do bunachar rloaded as an cúltaca agus gach ábhar atá ann cheana in áit. Avatars, SIMS, fardal, everyting a Is féidir a scríobh os a chionn.")</f>
        <v>An bhfuil tú cinnte? Dearbhófar do bunachar rloaded as an cúltaca agus gach ábhar atá ann cheana in áit. Avatars, SIMS, fardal, everyting a Is féidir a scríobh os a chionn.</v>
      </c>
      <c r="Q40" s="12" t="str">
        <f ca="1">IFERROR(__xludf.DUMMYFUNCTION("GOOGLETRANSLATE($B40,""en"",Q$3)"),"مطمئنی؟ پایگاه داده شما از نسخه پشتیبان تهیه rloaded و تمام محتوای موجود جایگزین شده است. آواتار ها، سیمز، موجودی، همه چیز خواهد شد بیش از نوشته شده است.")</f>
        <v>مطمئنی؟ پایگاه داده شما از نسخه پشتیبان تهیه rloaded و تمام محتوای موجود جایگزین شده است. آواتار ها، سیمز، موجودی، همه چیز خواهد شد بیش از نوشته شده است.</v>
      </c>
      <c r="R40" s="12" t="str">
        <f ca="1">IFERROR(__xludf.DUMMYFUNCTION("GOOGLETRANSLATE($B40,""en"",R$3)"),"האם אתה בטוח? הנתונים שלך יהיה rloaded מהגיבוי וכל התוכן הקיים מוחלף. אווטרים, סימס, מלאה, everyting ייכתבו מעל.")</f>
        <v>האם אתה בטוח? הנתונים שלך יהיה rloaded מהגיבוי וכל התוכן הקיים מוחלף. אווטרים, סימס, מלאה, everyting ייכתבו מעל.</v>
      </c>
      <c r="S40" s="12" t="str">
        <f ca="1">IFERROR(__xludf.DUMMYFUNCTION("GOOGLETRANSLATE($B40,""en"",S$3)"),"Ertu viss? Gagnagrunnurinn mun rloaded frá varabúnaður og allt fyrirliggjandi efni í stað. Avatars, Sims, skrá, everyting verður skrifað yfir.")</f>
        <v>Ertu viss? Gagnagrunnurinn mun rloaded frá varabúnaður og allt fyrirliggjandi efni í stað. Avatars, Sims, skrá, everyting verður skrifað yfir.</v>
      </c>
      <c r="T40" s="12" t="str">
        <f ca="1">IFERROR(__xludf.DUMMYFUNCTION("GOOGLETRANSLATE($B40,""en"",T$3)"),"Er du sikker? Databasen vil rloaded fra backup og alt innhold erstattes. Avatarer, sims, inventar, every vil bli skrevet over.")</f>
        <v>Er du sikker? Databasen vil rloaded fra backup og alt innhold erstattes. Avatarer, sims, inventar, every vil bli skrevet over.</v>
      </c>
      <c r="U40" s="12" t="str">
        <f ca="1">IFERROR(__xludf.DUMMYFUNCTION("GOOGLETRANSLATE($B40,""en"",U$3)"),"هل أنت واثق؟ سوف rloaded قاعدة البيانات من النسخة الاحتياطية واستبدالها كل المحتوى الموجود. الآلهة، سيمز، والمخزون، وسوف تكون مكتوبة افيريتينج انتهى.")</f>
        <v>هل أنت واثق؟ سوف rloaded قاعدة البيانات من النسخة الاحتياطية واستبدالها كل المحتوى الموجود. الآلهة، سيمز، والمخزون، وسوف تكون مكتوبة افيريتينج انتهى.</v>
      </c>
      <c r="V40" s="12" t="str">
        <f ca="1">IFERROR(__xludf.DUMMYFUNCTION("GOOGLETRANSLATE($B40,""en"",V$3)"),"Jesteś pewny? Baza danych będzie rloaded z kopii zapasowej, a wszystkie istniejące treści wymienić. Awatary, Sims, wyposażenie, everyting będą nadpisywane.")</f>
        <v>Jesteś pewny? Baza danych będzie rloaded z kopii zapasowej, a wszystkie istniejące treści wymienić. Awatary, Sims, wyposażenie, everyting będą nadpisywane.</v>
      </c>
      <c r="W40" s="12" t="str">
        <f ca="1">IFERROR(__xludf.DUMMYFUNCTION("GOOGLETRANSLATE($B40,""en"",W$3)"),"Ты уверен? Ваша база данных будет rloaded из резервной копии и все существующие содержимое заменено. Аватары, симы, инвентарь, Everyting будет перезаписать.")</f>
        <v>Ты уверен? Ваша база данных будет rloaded из резервной копии и все существующие содержимое заменено. Аватары, симы, инвентарь, Everyting будет перезаписать.</v>
      </c>
      <c r="X40" s="12" t="str">
        <f ca="1">IFERROR(__xludf.DUMMYFUNCTION("GOOGLETRANSLATE($B40,""en"",X$3)"),"¿Estás seguro? Su base de datos se rloaded de la copia de seguridad y todo el contenido existente reemplazado. Avatares, Sims, inventario, everyting se escribirán más.")</f>
        <v>¿Estás seguro? Su base de datos se rloaded de la copia de seguridad y todo el contenido existente reemplazado. Avatares, Sims, inventario, everyting se escribirán más.</v>
      </c>
      <c r="Y40" s="12"/>
      <c r="Z40" s="12"/>
    </row>
    <row r="41" spans="1:26" ht="32.25" customHeight="1" x14ac:dyDescent="0.2">
      <c r="A41" s="10" t="s">
        <v>151</v>
      </c>
      <c r="B41" s="10" t="s">
        <v>152</v>
      </c>
      <c r="C41" s="11" t="str">
        <f ca="1">IFERROR(__xludf.DUMMYFUNCTION("GOOGLETRANSLATE($B41,""en"",C$3)"),"Sind Sie sicher, dass Sie diese Region löschen?")</f>
        <v>Sind Sie sicher, dass Sie diese Region löschen?</v>
      </c>
      <c r="D41" s="12" t="str">
        <f ca="1">IFERROR(__xludf.DUMMYFUNCTION("GOOGLETRANSLATE($B41,""en"",D$3)"),"Är du säker på att du vill radera denna region?")</f>
        <v>Är du säker på att du vill radera denna region?</v>
      </c>
      <c r="E41" s="13" t="s">
        <v>153</v>
      </c>
      <c r="F41" s="14" t="s">
        <v>153</v>
      </c>
      <c r="G41" s="12" t="str">
        <f ca="1">IFERROR(__xludf.DUMMYFUNCTION("GOOGLETRANSLATE($B41,""en"",G$3)"),"Etes-vous sûr de vouloir supprimer cette région?")</f>
        <v>Etes-vous sûr de vouloir supprimer cette région?</v>
      </c>
      <c r="H41" s="12" t="str">
        <f ca="1">IFERROR(__xludf.DUMMYFUNCTION("GOOGLETRANSLATE($B41,""en"",H$3)"),"Ziur eskualde hau ezabatu nahi duzula?")</f>
        <v>Ziur eskualde hau ezabatu nahi duzula?</v>
      </c>
      <c r="I41" s="12" t="str">
        <f ca="1">IFERROR(__xludf.DUMMYFUNCTION("GOOGLETRANSLATE($B41,""en"",I$3)"),"Esteu segur que voleu suprimir aquesta regió?")</f>
        <v>Esteu segur que voleu suprimir aquesta regió?</v>
      </c>
      <c r="J41" s="12" t="str">
        <f ca="1">IFERROR(__xludf.DUMMYFUNCTION("GOOGLETRANSLATE($B41,""en"",J$3)"),"Jste si jisti, že chcete smazat tuto oblast?")</f>
        <v>Jste si jisti, že chcete smazat tuto oblast?</v>
      </c>
      <c r="K41" s="12" t="str">
        <f ca="1">IFERROR(__xludf.DUMMYFUNCTION("GOOGLETRANSLATE($B41,""en"",K$3)"),"你确定要删除这个区域？")</f>
        <v>你确定要删除这个区域？</v>
      </c>
      <c r="L41" s="12" t="str">
        <f ca="1">IFERROR(__xludf.DUMMYFUNCTION("GOOGLETRANSLATE($B41,""en"",L$3)"),"你確定要刪除這個區域？")</f>
        <v>你確定要刪除這個區域？</v>
      </c>
      <c r="M41" s="12" t="str">
        <f ca="1">IFERROR(__xludf.DUMMYFUNCTION("GOOGLETRANSLATE($B41,""en"",M$3)"),"Bent u zeker dat u dit gebied te verwijderen?")</f>
        <v>Bent u zeker dat u dit gebied te verwijderen?</v>
      </c>
      <c r="N41" s="12" t="str">
        <f ca="1">IFERROR(__xludf.DUMMYFUNCTION("GOOGLETRANSLATE($B41,""en"",N$3)"),"Είστε σίγουροι ότι θέλετε να διαγράψετε αυτήν την περιοχή;")</f>
        <v>Είστε σίγουροι ότι θέλετε να διαγράψετε αυτήν την περιοχή;</v>
      </c>
      <c r="O41" s="12" t="str">
        <f ca="1">IFERROR(__xludf.DUMMYFUNCTION("GOOGLETRANSLATE($B41,""en"",O$3)"),"Oletko varma, että haluat poistaa tämän alueen?")</f>
        <v>Oletko varma, että haluat poistaa tämän alueen?</v>
      </c>
      <c r="P41" s="12" t="str">
        <f ca="1">IFERROR(__xludf.DUMMYFUNCTION("GOOGLETRANSLATE($B41,""en"",P$3)"),"An bhfuil tú cinnte go bhfuil tú ag iarraidh a scriosadh réigiún seo?")</f>
        <v>An bhfuil tú cinnte go bhfuil tú ag iarraidh a scriosadh réigiún seo?</v>
      </c>
      <c r="Q41" s="12" t="str">
        <f ca="1">IFERROR(__xludf.DUMMYFUNCTION("GOOGLETRANSLATE($B41,""en"",Q$3)"),"آیا شما مطمئن هستید که میخواهید حذف این منطقه؟")</f>
        <v>آیا شما مطمئن هستید که میخواهید حذف این منطقه؟</v>
      </c>
      <c r="R41" s="12" t="str">
        <f ca="1">IFERROR(__xludf.DUMMYFUNCTION("GOOGLETRANSLATE($B41,""en"",R$3)"),"האם אתה בטוח שאתה רוצה למחוק באזור הזה?")</f>
        <v>האם אתה בטוח שאתה רוצה למחוק באזור הזה?</v>
      </c>
      <c r="S41" s="12" t="str">
        <f ca="1">IFERROR(__xludf.DUMMYFUNCTION("GOOGLETRANSLATE($B41,""en"",S$3)"),"Ertu viss um að þú viljir eyða þessu svæði?")</f>
        <v>Ertu viss um að þú viljir eyða þessu svæði?</v>
      </c>
      <c r="T41" s="12" t="str">
        <f ca="1">IFERROR(__xludf.DUMMYFUNCTION("GOOGLETRANSLATE($B41,""en"",T$3)"),"Er du sikker på at du vil slette denne regionen?")</f>
        <v>Er du sikker på at du vil slette denne regionen?</v>
      </c>
      <c r="U41" s="12" t="str">
        <f ca="1">IFERROR(__xludf.DUMMYFUNCTION("GOOGLETRANSLATE($B41,""en"",U$3)"),"هل أنت متأكد أنك تريد حذف هذه المنطقة؟")</f>
        <v>هل أنت متأكد أنك تريد حذف هذه المنطقة؟</v>
      </c>
      <c r="V41" s="12" t="str">
        <f ca="1">IFERROR(__xludf.DUMMYFUNCTION("GOOGLETRANSLATE($B41,""en"",V$3)"),"Czy na pewno chcesz usunąć ten region?")</f>
        <v>Czy na pewno chcesz usunąć ten region?</v>
      </c>
      <c r="W41" s="12" t="str">
        <f ca="1">IFERROR(__xludf.DUMMYFUNCTION("GOOGLETRANSLATE($B41,""en"",W$3)"),"Вы уверены, что хотите удалить этот регион?")</f>
        <v>Вы уверены, что хотите удалить этот регион?</v>
      </c>
      <c r="X41" s="12" t="str">
        <f ca="1">IFERROR(__xludf.DUMMYFUNCTION("GOOGLETRANSLATE($B41,""en"",X$3)"),"¿Está seguro de que quiere eliminar esta región?")</f>
        <v>¿Está seguro de que quiere eliminar esta región?</v>
      </c>
      <c r="Y41" s="12"/>
      <c r="Z41" s="12"/>
    </row>
    <row r="42" spans="1:26" ht="32.25" customHeight="1" x14ac:dyDescent="0.2">
      <c r="A42" s="10" t="s">
        <v>154</v>
      </c>
      <c r="B42" s="10" t="s">
        <v>155</v>
      </c>
      <c r="C42" s="11" t="str">
        <f ca="1">IFERROR(__xludf.DUMMYFUNCTION("GOOGLETRANSLATE($B42,""en"",C$3)"),"Asset Cache")</f>
        <v>Asset Cache</v>
      </c>
      <c r="D42" s="12" t="str">
        <f ca="1">IFERROR(__xludf.DUMMYFUNCTION("GOOGLETRANSLATE($B42,""en"",D$3)"),"Asset Cache")</f>
        <v>Asset Cache</v>
      </c>
      <c r="E42" s="13" t="s">
        <v>156</v>
      </c>
      <c r="F42" s="14" t="s">
        <v>156</v>
      </c>
      <c r="G42" s="12" t="str">
        <f ca="1">IFERROR(__xludf.DUMMYFUNCTION("GOOGLETRANSLATE($B42,""en"",G$3)"),"Asset Cache")</f>
        <v>Asset Cache</v>
      </c>
      <c r="H42" s="12" t="str">
        <f ca="1">IFERROR(__xludf.DUMMYFUNCTION("GOOGLETRANSLATE($B42,""en"",H$3)"),"Asset Cache")</f>
        <v>Asset Cache</v>
      </c>
      <c r="I42" s="12" t="str">
        <f ca="1">IFERROR(__xludf.DUMMYFUNCTION("GOOGLETRANSLATE($B42,""en"",I$3)"),"memòria cau d'actius")</f>
        <v>memòria cau d'actius</v>
      </c>
      <c r="J42" s="12" t="str">
        <f ca="1">IFERROR(__xludf.DUMMYFUNCTION("GOOGLETRANSLATE($B42,""en"",J$3)"),"Asset Cache")</f>
        <v>Asset Cache</v>
      </c>
      <c r="K42" s="12" t="str">
        <f ca="1">IFERROR(__xludf.DUMMYFUNCTION("GOOGLETRANSLATE($B42,""en"",K$3)"),"资产缓存")</f>
        <v>资产缓存</v>
      </c>
      <c r="L42" s="12" t="str">
        <f ca="1">IFERROR(__xludf.DUMMYFUNCTION("GOOGLETRANSLATE($B42,""en"",L$3)"),"資產緩存")</f>
        <v>資產緩存</v>
      </c>
      <c r="M42" s="12" t="str">
        <f ca="1">IFERROR(__xludf.DUMMYFUNCTION("GOOGLETRANSLATE($B42,""en"",M$3)"),"Asset Cache")</f>
        <v>Asset Cache</v>
      </c>
      <c r="N42" s="12" t="str">
        <f ca="1">IFERROR(__xludf.DUMMYFUNCTION("GOOGLETRANSLATE($B42,""en"",N$3)"),"Asset Cache")</f>
        <v>Asset Cache</v>
      </c>
      <c r="O42" s="12" t="str">
        <f ca="1">IFERROR(__xludf.DUMMYFUNCTION("GOOGLETRANSLATE($B42,""en"",O$3)"),"Asset Cache")</f>
        <v>Asset Cache</v>
      </c>
      <c r="P42" s="12" t="str">
        <f ca="1">IFERROR(__xludf.DUMMYFUNCTION("GOOGLETRANSLATE($B42,""en"",P$3)"),"Cache Sócmhainní")</f>
        <v>Cache Sócmhainní</v>
      </c>
      <c r="Q42" s="12" t="str">
        <f ca="1">IFERROR(__xludf.DUMMYFUNCTION("GOOGLETRANSLATE($B42,""en"",Q$3)"),"دارایی کش")</f>
        <v>دارایی کش</v>
      </c>
      <c r="R42" s="12" t="str">
        <f ca="1">IFERROR(__xludf.DUMMYFUNCTION("GOOGLETRANSLATE($B42,""en"",R$3)"),"מטמון נכסים")</f>
        <v>מטמון נכסים</v>
      </c>
      <c r="S42" s="12" t="str">
        <f ca="1">IFERROR(__xludf.DUMMYFUNCTION("GOOGLETRANSLATE($B42,""en"",S$3)"),"eign Cache")</f>
        <v>eign Cache</v>
      </c>
      <c r="T42" s="12" t="str">
        <f ca="1">IFERROR(__xludf.DUMMYFUNCTION("GOOGLETRANSLATE($B42,""en"",T$3)"),"Asset Cache")</f>
        <v>Asset Cache</v>
      </c>
      <c r="U42" s="12" t="str">
        <f ca="1">IFERROR(__xludf.DUMMYFUNCTION("GOOGLETRANSLATE($B42,""en"",U$3)"),"ذاكرة التخزين المؤقت الأصول")</f>
        <v>ذاكرة التخزين المؤقت الأصول</v>
      </c>
      <c r="V42" s="12" t="str">
        <f ca="1">IFERROR(__xludf.DUMMYFUNCTION("GOOGLETRANSLATE($B42,""en"",V$3)"),"aktywów Cache")</f>
        <v>aktywów Cache</v>
      </c>
      <c r="W42" s="12" t="str">
        <f ca="1">IFERROR(__xludf.DUMMYFUNCTION("GOOGLETRANSLATE($B42,""en"",W$3)"),"Asset Cache")</f>
        <v>Asset Cache</v>
      </c>
      <c r="X42" s="12" t="str">
        <f ca="1">IFERROR(__xludf.DUMMYFUNCTION("GOOGLETRANSLATE($B42,""en"",X$3)"),"caché de activos")</f>
        <v>caché de activos</v>
      </c>
      <c r="Y42" s="12"/>
      <c r="Z42" s="12"/>
    </row>
    <row r="43" spans="1:26" ht="32.25" customHeight="1" x14ac:dyDescent="0.2">
      <c r="A43" s="17" t="s">
        <v>157</v>
      </c>
      <c r="B43" s="17" t="s">
        <v>158</v>
      </c>
      <c r="C43" s="11" t="str">
        <f ca="1">IFERROR(__xludf.DUMMYFUNCTION("GOOGLETRANSLATE($B43,""en"",C$3)"),"Vermögenswerte, die als Dateien")</f>
        <v>Vermögenswerte, die als Dateien</v>
      </c>
      <c r="D43" s="12" t="str">
        <f ca="1">IFERROR(__xludf.DUMMYFUNCTION("GOOGLETRANSLATE($B43,""en"",D$3)"),"Tillgångar som filer")</f>
        <v>Tillgångar som filer</v>
      </c>
      <c r="E43" s="12" t="str">
        <f ca="1">IFERROR(__xludf.DUMMYFUNCTION("GOOGLETRANSLATE($B43,""en"",E$3)"),"Ativos como arquivos")</f>
        <v>Ativos como arquivos</v>
      </c>
      <c r="F43" s="12" t="str">
        <f ca="1">IFERROR(__xludf.DUMMYFUNCTION("GOOGLETRANSLATE($B43,""en"",F$3)"),"Ativos como arquivos")</f>
        <v>Ativos como arquivos</v>
      </c>
      <c r="G43" s="12" t="str">
        <f ca="1">IFERROR(__xludf.DUMMYFUNCTION("GOOGLETRANSLATE($B43,""en"",G$3)"),"Actifs sous forme de fichiers")</f>
        <v>Actifs sous forme de fichiers</v>
      </c>
      <c r="H43" s="12" t="str">
        <f ca="1">IFERROR(__xludf.DUMMYFUNCTION("GOOGLETRANSLATE($B43,""en"",H$3)"),"Aktibo fitxategiak gisa")</f>
        <v>Aktibo fitxategiak gisa</v>
      </c>
      <c r="I43" s="12" t="str">
        <f ca="1">IFERROR(__xludf.DUMMYFUNCTION("GOOGLETRANSLATE($B43,""en"",I$3)"),"Actius com arxius")</f>
        <v>Actius com arxius</v>
      </c>
      <c r="J43" s="12" t="str">
        <f ca="1">IFERROR(__xludf.DUMMYFUNCTION("GOOGLETRANSLATE($B43,""en"",J$3)"),"Aktiva ve formě souborů")</f>
        <v>Aktiva ve formě souborů</v>
      </c>
      <c r="K43" s="12" t="str">
        <f ca="1">IFERROR(__xludf.DUMMYFUNCTION("GOOGLETRANSLATE($B43,""en"",K$3)"),"资产档案")</f>
        <v>资产档案</v>
      </c>
      <c r="L43" s="12" t="str">
        <f ca="1">IFERROR(__xludf.DUMMYFUNCTION("GOOGLETRANSLATE($B43,""en"",L$3)"),"資產檔案")</f>
        <v>資產檔案</v>
      </c>
      <c r="M43" s="12" t="str">
        <f ca="1">IFERROR(__xludf.DUMMYFUNCTION("GOOGLETRANSLATE($B43,""en"",M$3)"),"Activa Files")</f>
        <v>Activa Files</v>
      </c>
      <c r="N43" s="12" t="str">
        <f ca="1">IFERROR(__xludf.DUMMYFUNCTION("GOOGLETRANSLATE($B43,""en"",N$3)"),"Περιουσιακά στοιχεία όπως αρχεία")</f>
        <v>Περιουσιακά στοιχεία όπως αρχεία</v>
      </c>
      <c r="O43" s="12" t="str">
        <f ca="1">IFERROR(__xludf.DUMMYFUNCTION("GOOGLETRANSLATE($B43,""en"",O$3)"),"Varojen tiedostot")</f>
        <v>Varojen tiedostot</v>
      </c>
      <c r="P43" s="12" t="str">
        <f ca="1">IFERROR(__xludf.DUMMYFUNCTION("GOOGLETRANSLATE($B43,""en"",P$3)"),"Sócmhainní mar Comhaid")</f>
        <v>Sócmhainní mar Comhaid</v>
      </c>
      <c r="Q43" s="12" t="str">
        <f ca="1">IFERROR(__xludf.DUMMYFUNCTION("GOOGLETRANSLATE($B43,""en"",Q$3)"),"دارایی ها به عنوان فایل")</f>
        <v>دارایی ها به عنوان فایل</v>
      </c>
      <c r="R43" s="12" t="str">
        <f ca="1">IFERROR(__xludf.DUMMYFUNCTION("GOOGLETRANSLATE($B43,""en"",R$3)"),"נכסים כקבצים")</f>
        <v>נכסים כקבצים</v>
      </c>
      <c r="S43" s="12" t="str">
        <f ca="1">IFERROR(__xludf.DUMMYFUNCTION("GOOGLETRANSLATE($B43,""en"",S$3)"),"Eignir sem skrá")</f>
        <v>Eignir sem skrá</v>
      </c>
      <c r="T43" s="12" t="str">
        <f ca="1">IFERROR(__xludf.DUMMYFUNCTION("GOOGLETRANSLATE($B43,""en"",T$3)"),"Eiendeler som filer")</f>
        <v>Eiendeler som filer</v>
      </c>
      <c r="U43" s="12" t="str">
        <f ca="1">IFERROR(__xludf.DUMMYFUNCTION("GOOGLETRANSLATE($B43,""en"",U$3)"),"الأصول الملفات")</f>
        <v>الأصول الملفات</v>
      </c>
      <c r="V43" s="12" t="str">
        <f ca="1">IFERROR(__xludf.DUMMYFUNCTION("GOOGLETRANSLATE($B43,""en"",V$3)"),"Aktywa w postaci plików")</f>
        <v>Aktywa w postaci plików</v>
      </c>
      <c r="W43" s="12" t="str">
        <f ca="1">IFERROR(__xludf.DUMMYFUNCTION("GOOGLETRANSLATE($B43,""en"",W$3)"),"Активы в виде файлов")</f>
        <v>Активы в виде файлов</v>
      </c>
      <c r="X43" s="12" t="str">
        <f ca="1">IFERROR(__xludf.DUMMYFUNCTION("GOOGLETRANSLATE($B43,""en"",X$3)"),"Activos como archivos")</f>
        <v>Activos como archivos</v>
      </c>
      <c r="Y43" s="12"/>
      <c r="Z43" s="12"/>
    </row>
    <row r="44" spans="1:26" ht="32.25" customHeight="1" x14ac:dyDescent="0.2">
      <c r="A44" s="17" t="s">
        <v>159</v>
      </c>
      <c r="B44" s="17" t="s">
        <v>160</v>
      </c>
      <c r="C44" s="11" t="str">
        <f ca="1">IFERROR(__xludf.DUMMYFUNCTION("GOOGLETRANSLATE($B44,""en"",C$3)"),"Automatische Sicherung")</f>
        <v>Automatische Sicherung</v>
      </c>
      <c r="D44" s="12" t="str">
        <f ca="1">IFERROR(__xludf.DUMMYFUNCTION("GOOGLETRANSLATE($B44,""en"",D$3)"),"Automatisk säkerhetskopiering")</f>
        <v>Automatisk säkerhetskopiering</v>
      </c>
      <c r="E44" s="12" t="str">
        <f ca="1">IFERROR(__xludf.DUMMYFUNCTION("GOOGLETRANSLATE($B44,""en"",E$3)"),"Backup automático")</f>
        <v>Backup automático</v>
      </c>
      <c r="F44" s="12" t="str">
        <f ca="1">IFERROR(__xludf.DUMMYFUNCTION("GOOGLETRANSLATE($B44,""en"",F$3)"),"Backup automático")</f>
        <v>Backup automático</v>
      </c>
      <c r="G44" s="12" t="str">
        <f ca="1">IFERROR(__xludf.DUMMYFUNCTION("GOOGLETRANSLATE($B44,""en"",G$3)"),"Sauvegarde automatique")</f>
        <v>Sauvegarde automatique</v>
      </c>
      <c r="H44" s="12" t="str">
        <f ca="1">IFERROR(__xludf.DUMMYFUNCTION("GOOGLETRANSLATE($B44,""en"",H$3)"),"Auto Backup")</f>
        <v>Auto Backup</v>
      </c>
      <c r="I44" s="12" t="str">
        <f ca="1">IFERROR(__xludf.DUMMYFUNCTION("GOOGLETRANSLATE($B44,""en"",I$3)"),"Còpia de seguretat automàtica")</f>
        <v>Còpia de seguretat automàtica</v>
      </c>
      <c r="J44" s="12" t="str">
        <f ca="1">IFERROR(__xludf.DUMMYFUNCTION("GOOGLETRANSLATE($B44,""en"",J$3)"),"Automatická záloha")</f>
        <v>Automatická záloha</v>
      </c>
      <c r="K44" s="12" t="str">
        <f ca="1">IFERROR(__xludf.DUMMYFUNCTION("GOOGLETRANSLATE($B44,""en"",K$3)"),"自动备份")</f>
        <v>自动备份</v>
      </c>
      <c r="L44" s="12" t="str">
        <f ca="1">IFERROR(__xludf.DUMMYFUNCTION("GOOGLETRANSLATE($B44,""en"",L$3)"),"自動備份")</f>
        <v>自動備份</v>
      </c>
      <c r="M44" s="12" t="str">
        <f ca="1">IFERROR(__xludf.DUMMYFUNCTION("GOOGLETRANSLATE($B44,""en"",M$3)"),"Automatische back-up")</f>
        <v>Automatische back-up</v>
      </c>
      <c r="N44" s="12" t="str">
        <f ca="1">IFERROR(__xludf.DUMMYFUNCTION("GOOGLETRANSLATE($B44,""en"",N$3)"),"Αυτόματο αντίγραφο ασφαλείας")</f>
        <v>Αυτόματο αντίγραφο ασφαλείας</v>
      </c>
      <c r="O44" s="12" t="str">
        <f ca="1">IFERROR(__xludf.DUMMYFUNCTION("GOOGLETRANSLATE($B44,""en"",O$3)"),"Automaattinen varmuuskopiointi")</f>
        <v>Automaattinen varmuuskopiointi</v>
      </c>
      <c r="P44" s="12" t="str">
        <f ca="1">IFERROR(__xludf.DUMMYFUNCTION("GOOGLETRANSLATE($B44,""en"",P$3)"),"Auto Backup")</f>
        <v>Auto Backup</v>
      </c>
      <c r="Q44" s="12" t="str">
        <f ca="1">IFERROR(__xludf.DUMMYFUNCTION("GOOGLETRANSLATE($B44,""en"",Q$3)"),"پشتیبان گیری خودکار")</f>
        <v>پشتیبان گیری خودکار</v>
      </c>
      <c r="R44" s="12" t="str">
        <f ca="1">IFERROR(__xludf.DUMMYFUNCTION("GOOGLETRANSLATE($B44,""en"",R$3)"),"גיבוי אוטומטי")</f>
        <v>גיבוי אוטומטי</v>
      </c>
      <c r="S44" s="12" t="str">
        <f ca="1">IFERROR(__xludf.DUMMYFUNCTION("GOOGLETRANSLATE($B44,""en"",S$3)"),"Sjálfvirk afritun")</f>
        <v>Sjálfvirk afritun</v>
      </c>
      <c r="T44" s="12" t="str">
        <f ca="1">IFERROR(__xludf.DUMMYFUNCTION("GOOGLETRANSLATE($B44,""en"",T$3)"),"Auto Backup")</f>
        <v>Auto Backup</v>
      </c>
      <c r="U44" s="12" t="str">
        <f ca="1">IFERROR(__xludf.DUMMYFUNCTION("GOOGLETRANSLATE($B44,""en"",U$3)"),"نسخ إحتياطي آلي")</f>
        <v>نسخ إحتياطي آلي</v>
      </c>
      <c r="V44" s="12" t="str">
        <f ca="1">IFERROR(__xludf.DUMMYFUNCTION("GOOGLETRANSLATE($B44,""en"",V$3)"),"Automatycznego tworzenia kopii zapasowych")</f>
        <v>Automatycznego tworzenia kopii zapasowych</v>
      </c>
      <c r="W44" s="12" t="str">
        <f ca="1">IFERROR(__xludf.DUMMYFUNCTION("GOOGLETRANSLATE($B44,""en"",W$3)"),"Автоматическое резервное копирование")</f>
        <v>Автоматическое резервное копирование</v>
      </c>
      <c r="X44" s="12" t="str">
        <f ca="1">IFERROR(__xludf.DUMMYFUNCTION("GOOGLETRANSLATE($B44,""en"",X$3)"),"Copia de seguridad automática")</f>
        <v>Copia de seguridad automática</v>
      </c>
      <c r="Y44" s="12"/>
      <c r="Z44" s="12"/>
    </row>
    <row r="45" spans="1:26" ht="32.25" customHeight="1" x14ac:dyDescent="0.2">
      <c r="A45" s="17" t="s">
        <v>161</v>
      </c>
      <c r="B45" s="17" t="s">
        <v>162</v>
      </c>
      <c r="C45" s="11" t="str">
        <f ca="1">IFERROR(__xludf.DUMMYFUNCTION("GOOGLETRANSLATE($B45,""en"",C$3)"),"Automatischer Neustart")</f>
        <v>Automatischer Neustart</v>
      </c>
      <c r="D45" s="12" t="str">
        <f ca="1">IFERROR(__xludf.DUMMYFUNCTION("GOOGLETRANSLATE($B45,""en"",D$3)"),"Auto omstart")</f>
        <v>Auto omstart</v>
      </c>
      <c r="E45" s="12" t="str">
        <f ca="1">IFERROR(__xludf.DUMMYFUNCTION("GOOGLETRANSLATE($B45,""en"",E$3)"),"Restart Auto")</f>
        <v>Restart Auto</v>
      </c>
      <c r="F45" s="12" t="str">
        <f ca="1">IFERROR(__xludf.DUMMYFUNCTION("GOOGLETRANSLATE($B45,""en"",F$3)"),"Restart Auto")</f>
        <v>Restart Auto</v>
      </c>
      <c r="G45" s="12" t="str">
        <f ca="1">IFERROR(__xludf.DUMMYFUNCTION("GOOGLETRANSLATE($B45,""en"",G$3)"),"Remise en marche automatique")</f>
        <v>Remise en marche automatique</v>
      </c>
      <c r="H45" s="12" t="str">
        <f ca="1">IFERROR(__xludf.DUMMYFUNCTION("GOOGLETRANSLATE($B45,""en"",H$3)"),"Auto Berrabiarazi")</f>
        <v>Auto Berrabiarazi</v>
      </c>
      <c r="I45" s="12" t="str">
        <f ca="1">IFERROR(__xludf.DUMMYFUNCTION("GOOGLETRANSLATE($B45,""en"",I$3)"),"reinici automàtic")</f>
        <v>reinici automàtic</v>
      </c>
      <c r="J45" s="12" t="str">
        <f ca="1">IFERROR(__xludf.DUMMYFUNCTION("GOOGLETRANSLATE($B45,""en"",J$3)"),"Automatický restart")</f>
        <v>Automatický restart</v>
      </c>
      <c r="K45" s="12" t="str">
        <f ca="1">IFERROR(__xludf.DUMMYFUNCTION("GOOGLETRANSLATE($B45,""en"",K$3)"),"自动重启")</f>
        <v>自动重启</v>
      </c>
      <c r="L45" s="12" t="str">
        <f ca="1">IFERROR(__xludf.DUMMYFUNCTION("GOOGLETRANSLATE($B45,""en"",L$3)"),"自動重啟")</f>
        <v>自動重啟</v>
      </c>
      <c r="M45" s="12" t="str">
        <f ca="1">IFERROR(__xludf.DUMMYFUNCTION("GOOGLETRANSLATE($B45,""en"",M$3)"),"Auto Restart")</f>
        <v>Auto Restart</v>
      </c>
      <c r="N45" s="12" t="str">
        <f ca="1">IFERROR(__xludf.DUMMYFUNCTION("GOOGLETRANSLATE($B45,""en"",N$3)"),"Αυτόματη Επανεκκίνηση")</f>
        <v>Αυτόματη Επανεκκίνηση</v>
      </c>
      <c r="O45" s="12" t="str">
        <f ca="1">IFERROR(__xludf.DUMMYFUNCTION("GOOGLETRANSLATE($B45,""en"",O$3)"),"Automaattinen uudelleenkäynnistys")</f>
        <v>Automaattinen uudelleenkäynnistys</v>
      </c>
      <c r="P45" s="12" t="str">
        <f ca="1">IFERROR(__xludf.DUMMYFUNCTION("GOOGLETRANSLATE($B45,""en"",P$3)"),"Auto Restart")</f>
        <v>Auto Restart</v>
      </c>
      <c r="Q45" s="12" t="str">
        <f ca="1">IFERROR(__xludf.DUMMYFUNCTION("GOOGLETRANSLATE($B45,""en"",Q$3)"),"خودرو راه اندازی مجدد")</f>
        <v>خودرو راه اندازی مجدد</v>
      </c>
      <c r="R45" s="12" t="str">
        <f ca="1">IFERROR(__xludf.DUMMYFUNCTION("GOOGLETRANSLATE($B45,""en"",R$3)"),"הפעל מחדש אוטומטי")</f>
        <v>הפעל מחדש אוטומטי</v>
      </c>
      <c r="S45" s="12" t="str">
        <f ca="1">IFERROR(__xludf.DUMMYFUNCTION("GOOGLETRANSLATE($B45,""en"",S$3)"),"Auto Endurræsa")</f>
        <v>Auto Endurræsa</v>
      </c>
      <c r="T45" s="12" t="str">
        <f ca="1">IFERROR(__xludf.DUMMYFUNCTION("GOOGLETRANSLATE($B45,""en"",T$3)"),"Auto Restart")</f>
        <v>Auto Restart</v>
      </c>
      <c r="U45" s="12" t="str">
        <f ca="1">IFERROR(__xludf.DUMMYFUNCTION("GOOGLETRANSLATE($B45,""en"",U$3)"),"اعادة تشغيل السيارة")</f>
        <v>اعادة تشغيل السيارة</v>
      </c>
      <c r="V45" s="12" t="str">
        <f ca="1">IFERROR(__xludf.DUMMYFUNCTION("GOOGLETRANSLATE($B45,""en"",V$3)"),"Auto Restart")</f>
        <v>Auto Restart</v>
      </c>
      <c r="W45" s="12" t="str">
        <f ca="1">IFERROR(__xludf.DUMMYFUNCTION("GOOGLETRANSLATE($B45,""en"",W$3)"),"Автоматический перезапуск")</f>
        <v>Автоматический перезапуск</v>
      </c>
      <c r="X45" s="12" t="str">
        <f ca="1">IFERROR(__xludf.DUMMYFUNCTION("GOOGLETRANSLATE($B45,""en"",X$3)"),"Reinicio automático")</f>
        <v>Reinicio automático</v>
      </c>
      <c r="Y45" s="12"/>
      <c r="Z45" s="12"/>
    </row>
    <row r="46" spans="1:26" ht="32.25" customHeight="1" x14ac:dyDescent="0.2">
      <c r="A46" s="17" t="s">
        <v>163</v>
      </c>
      <c r="B46" s="17" t="s">
        <v>164</v>
      </c>
      <c r="C46" s="11" t="str">
        <f ca="1">IFERROR(__xludf.DUMMYFUNCTION("GOOGLETRANSLATE($B46,""en"",C$3)"),"automatischer Start")</f>
        <v>automatischer Start</v>
      </c>
      <c r="D46" s="12" t="str">
        <f ca="1">IFERROR(__xludf.DUMMYFUNCTION("GOOGLETRANSLATE($B46,""en"",D$3)"),"automatisk Startup")</f>
        <v>automatisk Startup</v>
      </c>
      <c r="E46" s="12" t="str">
        <f ca="1">IFERROR(__xludf.DUMMYFUNCTION("GOOGLETRANSLATE($B46,""en"",E$3)"),"inicialização automática")</f>
        <v>inicialização automática</v>
      </c>
      <c r="F46" s="12" t="str">
        <f ca="1">IFERROR(__xludf.DUMMYFUNCTION("GOOGLETRANSLATE($B46,""en"",F$3)"),"inicialização automática")</f>
        <v>inicialização automática</v>
      </c>
      <c r="G46" s="12" t="str">
        <f ca="1">IFERROR(__xludf.DUMMYFUNCTION("GOOGLETRANSLATE($B46,""en"",G$3)"),"démarrage automatique")</f>
        <v>démarrage automatique</v>
      </c>
      <c r="H46" s="12" t="str">
        <f ca="1">IFERROR(__xludf.DUMMYFUNCTION("GOOGLETRANSLATE($B46,""en"",H$3)"),"automatikoa Startup")</f>
        <v>automatikoa Startup</v>
      </c>
      <c r="I46" s="12" t="str">
        <f ca="1">IFERROR(__xludf.DUMMYFUNCTION("GOOGLETRANSLATE($B46,""en"",I$3)"),"Posada en marxa automàtica")</f>
        <v>Posada en marxa automàtica</v>
      </c>
      <c r="J46" s="12" t="str">
        <f ca="1">IFERROR(__xludf.DUMMYFUNCTION("GOOGLETRANSLATE($B46,""en"",J$3)"),"Automatické spouštění")</f>
        <v>Automatické spouštění</v>
      </c>
      <c r="K46" s="12" t="str">
        <f ca="1">IFERROR(__xludf.DUMMYFUNCTION("GOOGLETRANSLATE($B46,""en"",K$3)"),"自动启动")</f>
        <v>自动启动</v>
      </c>
      <c r="L46" s="12" t="str">
        <f ca="1">IFERROR(__xludf.DUMMYFUNCTION("GOOGLETRANSLATE($B46,""en"",L$3)"),"自動啟動")</f>
        <v>自動啟動</v>
      </c>
      <c r="M46" s="12" t="str">
        <f ca="1">IFERROR(__xludf.DUMMYFUNCTION("GOOGLETRANSLATE($B46,""en"",M$3)"),"automatisch starten")</f>
        <v>automatisch starten</v>
      </c>
      <c r="N46" s="12" t="str">
        <f ca="1">IFERROR(__xludf.DUMMYFUNCTION("GOOGLETRANSLATE($B46,""en"",N$3)"),"Αυτόματη εκκίνηση")</f>
        <v>Αυτόματη εκκίνηση</v>
      </c>
      <c r="O46" s="12" t="str">
        <f ca="1">IFERROR(__xludf.DUMMYFUNCTION("GOOGLETRANSLATE($B46,""en"",O$3)"),"automaattinen käynnistys")</f>
        <v>automaattinen käynnistys</v>
      </c>
      <c r="P46" s="12" t="str">
        <f ca="1">IFERROR(__xludf.DUMMYFUNCTION("GOOGLETRANSLATE($B46,""en"",P$3)"),"Uathoibríoch Tosaithe")</f>
        <v>Uathoibríoch Tosaithe</v>
      </c>
      <c r="Q46" s="12" t="str">
        <f ca="1">IFERROR(__xludf.DUMMYFUNCTION("GOOGLETRANSLATE($B46,""en"",Q$3)"),"راه اندازی به صورت خودکار")</f>
        <v>راه اندازی به صورت خودکار</v>
      </c>
      <c r="R46" s="12" t="str">
        <f ca="1">IFERROR(__xludf.DUMMYFUNCTION("GOOGLETRANSLATE($B46,""en"",R$3)"),"אתחול אוטומטי")</f>
        <v>אתחול אוטומטי</v>
      </c>
      <c r="S46" s="12" t="str">
        <f ca="1">IFERROR(__xludf.DUMMYFUNCTION("GOOGLETRANSLATE($B46,""en"",S$3)"),"Sjálfvirk gangsetning")</f>
        <v>Sjálfvirk gangsetning</v>
      </c>
      <c r="T46" s="12" t="str">
        <f ca="1">IFERROR(__xludf.DUMMYFUNCTION("GOOGLETRANSLATE($B46,""en"",T$3)"),"automatisk oppstart")</f>
        <v>automatisk oppstart</v>
      </c>
      <c r="U46" s="12" t="str">
        <f ca="1">IFERROR(__xludf.DUMMYFUNCTION("GOOGLETRANSLATE($B46,""en"",U$3)"),"بدء التشغيل التلقائي")</f>
        <v>بدء التشغيل التلقائي</v>
      </c>
      <c r="V46" s="12" t="str">
        <f ca="1">IFERROR(__xludf.DUMMYFUNCTION("GOOGLETRANSLATE($B46,""en"",V$3)"),"automatyczne uruchamianie")</f>
        <v>automatyczne uruchamianie</v>
      </c>
      <c r="W46" s="12" t="str">
        <f ca="1">IFERROR(__xludf.DUMMYFUNCTION("GOOGLETRANSLATE($B46,""en"",W$3)"),"Автоматический запуск")</f>
        <v>Автоматический запуск</v>
      </c>
      <c r="X46" s="12" t="str">
        <f ca="1">IFERROR(__xludf.DUMMYFUNCTION("GOOGLETRANSLATE($B46,""en"",X$3)"),"Puesta en marcha automática")</f>
        <v>Puesta en marcha automática</v>
      </c>
      <c r="Y46" s="12"/>
      <c r="Z46" s="12"/>
    </row>
    <row r="47" spans="1:26" ht="32.25" customHeight="1" x14ac:dyDescent="0.2">
      <c r="A47" s="17" t="s">
        <v>165</v>
      </c>
      <c r="B47" s="17" t="s">
        <v>166</v>
      </c>
      <c r="C47" s="11" t="str">
        <f ca="1">IFERROR(__xludf.DUMMYFUNCTION("GOOGLETRANSLATE($B47,""en"",C$3)"),"Autobackup-Ordner kann nicht gefunden werden, so dass der Ordner wieder auf den Standard wurde.")</f>
        <v>Autobackup-Ordner kann nicht gefunden werden, so dass der Ordner wieder auf den Standard wurde.</v>
      </c>
      <c r="D47" s="12" t="str">
        <f ca="1">IFERROR(__xludf.DUMMYFUNCTION("GOOGLETRANSLATE($B47,""en"",D$3)"),"Autobackup mapp kan inte hittas, så mappen har återställts till standard.")</f>
        <v>Autobackup mapp kan inte hittas, så mappen har återställts till standard.</v>
      </c>
      <c r="E47" s="12" t="str">
        <f ca="1">IFERROR(__xludf.DUMMYFUNCTION("GOOGLETRANSLATE($B47,""en"",E$3)"),"pasta Cópia de Segurança Automática não pode ser localizado, por isso, a pasta foi redefinido para o padrão.")</f>
        <v>pasta Cópia de Segurança Automática não pode ser localizado, por isso, a pasta foi redefinido para o padrão.</v>
      </c>
      <c r="F47" s="12" t="str">
        <f ca="1">IFERROR(__xludf.DUMMYFUNCTION("GOOGLETRANSLATE($B47,""en"",F$3)"),"pasta Cópia de Segurança Automática não pode ser localizado, por isso, a pasta foi redefinido para o padrão.")</f>
        <v>pasta Cópia de Segurança Automática não pode ser localizado, por isso, a pasta foi redefinido para o padrão.</v>
      </c>
      <c r="G47" s="12" t="str">
        <f ca="1">IFERROR(__xludf.DUMMYFUNCTION("GOOGLETRANSLATE($B47,""en"",G$3)"),"dossier autobackup ne peut pas être localisé, de sorte que le dossier a été remis à la valeur par défaut.")</f>
        <v>dossier autobackup ne peut pas être localisé, de sorte que le dossier a été remis à la valeur par défaut.</v>
      </c>
      <c r="H47" s="12" t="str">
        <f ca="1">IFERROR(__xludf.DUMMYFUNCTION("GOOGLETRANSLATE($B47,""en"",H$3)"),"Autobackup karpeta ezin dira kokatzen da, hain karpeta izan lehenetsiak berrezarri da.")</f>
        <v>Autobackup karpeta ezin dira kokatzen da, hain karpeta izan lehenetsiak berrezarri da.</v>
      </c>
      <c r="I47" s="12" t="str">
        <f ca="1">IFERROR(__xludf.DUMMYFUNCTION("GOOGLETRANSLATE($B47,""en"",I$3)"),"carpeta de còpia de seguretat automàtica no pot ser localitzat, de manera que la carpeta s'ha restablert als valors predeterminats.")</f>
        <v>carpeta de còpia de seguretat automàtica no pot ser localitzat, de manera que la carpeta s'ha restablert als valors predeterminats.</v>
      </c>
      <c r="J47" s="12" t="str">
        <f ca="1">IFERROR(__xludf.DUMMYFUNCTION("GOOGLETRANSLATE($B47,""en"",J$3)"),"Složka zálohování nelze nalézt, takže složka byla obnovena na výchozí hodnoty.")</f>
        <v>Složka zálohování nelze nalézt, takže složka byla obnovena na výchozí hodnoty.</v>
      </c>
      <c r="K47" s="12" t="str">
        <f ca="1">IFERROR(__xludf.DUMMYFUNCTION("GOOGLETRANSLATE($B47,""en"",K$3)"),"自动备份文件夹无法找到，因此该文件夹已被重置为默认值。")</f>
        <v>自动备份文件夹无法找到，因此该文件夹已被重置为默认值。</v>
      </c>
      <c r="L47" s="12" t="str">
        <f ca="1">IFERROR(__xludf.DUMMYFUNCTION("GOOGLETRANSLATE($B47,""en"",L$3)"),"自動備份文件夾無法找到，因此該文件夾已被重置為默認值。")</f>
        <v>自動備份文件夾無法找到，因此該文件夾已被重置為默認值。</v>
      </c>
      <c r="M47" s="12" t="str">
        <f ca="1">IFERROR(__xludf.DUMMYFUNCTION("GOOGLETRANSLATE($B47,""en"",M$3)"),"Autobackup map kan niet worden gevonden, zodat de map teruggezet naar de standaard is geweest.")</f>
        <v>Autobackup map kan niet worden gevonden, zodat de map teruggezet naar de standaard is geweest.</v>
      </c>
      <c r="N47" s="12" t="str">
        <f ca="1">IFERROR(__xludf.DUMMYFUNCTION("GOOGLETRANSLATE($B47,""en"",N$3)"),"φάκελο AutoBackup δεν μπορεί να βρίσκεται, ώστε ο φάκελος έχει γίνει επαναφορά στην προεπιλογή.")</f>
        <v>φάκελο AutoBackup δεν μπορεί να βρίσκεται, ώστε ο φάκελος έχει γίνει επαναφορά στην προεπιλογή.</v>
      </c>
      <c r="O47" s="12" t="str">
        <f ca="1">IFERROR(__xludf.DUMMYFUNCTION("GOOGLETRANSLATE($B47,""en"",O$3)"),"AutoBackup kansiota ei löydy, joten kansio on palautettu oletuksena.")</f>
        <v>AutoBackup kansiota ei löydy, joten kansio on palautettu oletuksena.</v>
      </c>
      <c r="P47" s="12" t="str">
        <f ca="1">IFERROR(__xludf.DUMMYFUNCTION("GOOGLETRANSLATE($B47,""en"",P$3)"),"Ní féidir Autobackup fillteán bheith suite, mar sin tá an fillteán a bhí athshocrú chun an mhainneachtain.")</f>
        <v>Ní féidir Autobackup fillteán bheith suite, mar sin tá an fillteán a bhí athshocrú chun an mhainneachtain.</v>
      </c>
      <c r="Q47" s="12" t="str">
        <f ca="1">IFERROR(__xludf.DUMMYFUNCTION("GOOGLETRANSLATE($B47,""en"",Q$3)"),"پوشه AutoBackup می نمی تواند واقع شود، به طوری که پوشه ای به مقدار پیشفرض بازنشانی بوده است.")</f>
        <v>پوشه AutoBackup می نمی تواند واقع شود، به طوری که پوشه ای به مقدار پیشفرض بازنشانی بوده است.</v>
      </c>
      <c r="R47" s="12" t="str">
        <f ca="1">IFERROR(__xludf.DUMMYFUNCTION("GOOGLETRANSLATE($B47,""en"",R$3)"),"תיקיית Autobackup לא יכולה להיות ממוקמת, כך בתיקייה אופסה לברירת המחדל.")</f>
        <v>תיקיית Autobackup לא יכולה להיות ממוקמת, כך בתיקייה אופסה לברירת המחדל.</v>
      </c>
      <c r="S47" s="12" t="str">
        <f ca="1">IFERROR(__xludf.DUMMYFUNCTION("GOOGLETRANSLATE($B47,""en"",S$3)"),"Sjálfvirkri afritun möppu er ekki að vera staðsett þannig að mappan hefur verið endurstillt í sjálfgefið.")</f>
        <v>Sjálfvirkri afritun möppu er ekki að vera staðsett þannig að mappan hefur verið endurstillt í sjálfgefið.</v>
      </c>
      <c r="T47" s="12" t="str">
        <f ca="1">IFERROR(__xludf.DUMMYFUNCTION("GOOGLETRANSLATE($B47,""en"",T$3)"),"Autobackup mappen kan ikke være plassert, slik at mappen har blitt tilbakestilt til standard.")</f>
        <v>Autobackup mappen kan ikke være plassert, slik at mappen har blitt tilbakestilt til standard.</v>
      </c>
      <c r="U47" s="12" t="str">
        <f ca="1">IFERROR(__xludf.DUMMYFUNCTION("GOOGLETRANSLATE($B47,""en"",U$3)"),"مجلد التحميل التلقائي لا يمكن أن يكون موجودا، لذلك كان المجلد إعادة تعيين إلى الافتراضي.")</f>
        <v>مجلد التحميل التلقائي لا يمكن أن يكون موجودا، لذلك كان المجلد إعادة تعيين إلى الافتراضي.</v>
      </c>
      <c r="V47" s="12" t="str">
        <f ca="1">IFERROR(__xludf.DUMMYFUNCTION("GOOGLETRANSLATE($B47,""en"",V$3)"),"Folder Autobackup nie można zlokalizować, więc folder został zresetowany do ustawień domyślnych.")</f>
        <v>Folder Autobackup nie można zlokalizować, więc folder został zresetowany do ustawień domyślnych.</v>
      </c>
      <c r="W47" s="12" t="str">
        <f ca="1">IFERROR(__xludf.DUMMYFUNCTION("GOOGLETRANSLATE($B47,""en"",W$3)"),"папка Autobackup не может располагаться, так папка была сброшена по умолчанию.")</f>
        <v>папка Autobackup не может располагаться, так папка была сброшена по умолчанию.</v>
      </c>
      <c r="X47" s="12" t="str">
        <f ca="1">IFERROR(__xludf.DUMMYFUNCTION("GOOGLETRANSLATE($B47,""en"",X$3)"),"carpeta de copia de seguridad automática no puede ser localizado, por lo que la carpeta se ha restablecido a los valores predeterminados.")</f>
        <v>carpeta de copia de seguridad automática no puede ser localizado, por lo que la carpeta se ha restablecido a los valores predeterminados.</v>
      </c>
      <c r="Y47" s="12"/>
      <c r="Z47" s="12"/>
    </row>
    <row r="48" spans="1:26" ht="32.25" customHeight="1" x14ac:dyDescent="0.2">
      <c r="A48" s="17" t="s">
        <v>167</v>
      </c>
      <c r="B48" s="17" t="s">
        <v>168</v>
      </c>
      <c r="C48" s="11" t="str">
        <f ca="1">IFERROR(__xludf.DUMMYFUNCTION("GOOGLETRANSLATE($B48,""en"",C$3)"),"automatischer Neustart")</f>
        <v>automatischer Neustart</v>
      </c>
      <c r="D48" s="12" t="str">
        <f ca="1">IFERROR(__xludf.DUMMYFUNCTION("GOOGLETRANSLATE($B48,""en"",D$3)"),"automatisk omstart")</f>
        <v>automatisk omstart</v>
      </c>
      <c r="E48" s="12" t="str">
        <f ca="1">IFERROR(__xludf.DUMMYFUNCTION("GOOGLETRANSLATE($B48,""en"",E$3)"),"reinicialização automática")</f>
        <v>reinicialização automática</v>
      </c>
      <c r="F48" s="12" t="str">
        <f ca="1">IFERROR(__xludf.DUMMYFUNCTION("GOOGLETRANSLATE($B48,""en"",F$3)"),"reinicialização automática")</f>
        <v>reinicialização automática</v>
      </c>
      <c r="G48" s="12" t="str">
        <f ca="1">IFERROR(__xludf.DUMMYFUNCTION("GOOGLETRANSLATE($B48,""en"",G$3)"),"redémarrage automatique")</f>
        <v>redémarrage automatique</v>
      </c>
      <c r="H48" s="12" t="str">
        <f ca="1">IFERROR(__xludf.DUMMYFUNCTION("GOOGLETRANSLATE($B48,""en"",H$3)"),"Berrabiarazterik automatikoa")</f>
        <v>Berrabiarazterik automatikoa</v>
      </c>
      <c r="I48" s="12" t="str">
        <f ca="1">IFERROR(__xludf.DUMMYFUNCTION("GOOGLETRANSLATE($B48,""en"",I$3)"),"reinici automàtic")</f>
        <v>reinici automàtic</v>
      </c>
      <c r="J48" s="12" t="str">
        <f ca="1">IFERROR(__xludf.DUMMYFUNCTION("GOOGLETRANSLATE($B48,""en"",J$3)"),"automatický restart")</f>
        <v>automatický restart</v>
      </c>
      <c r="K48" s="12" t="str">
        <f ca="1">IFERROR(__xludf.DUMMYFUNCTION("GOOGLETRANSLATE($B48,""en"",K$3)"),"自动重新启动")</f>
        <v>自动重新启动</v>
      </c>
      <c r="L48" s="12" t="str">
        <f ca="1">IFERROR(__xludf.DUMMYFUNCTION("GOOGLETRANSLATE($B48,""en"",L$3)"),"自動重新啟動")</f>
        <v>自動重新啟動</v>
      </c>
      <c r="M48" s="12" t="str">
        <f ca="1">IFERROR(__xludf.DUMMYFUNCTION("GOOGLETRANSLATE($B48,""en"",M$3)"),"automatisch opnieuw starten")</f>
        <v>automatisch opnieuw starten</v>
      </c>
      <c r="N48" s="12" t="str">
        <f ca="1">IFERROR(__xludf.DUMMYFUNCTION("GOOGLETRANSLATE($B48,""en"",N$3)"),"Αυτόματη Επανεκκίνηση")</f>
        <v>Αυτόματη Επανεκκίνηση</v>
      </c>
      <c r="O48" s="12" t="str">
        <f ca="1">IFERROR(__xludf.DUMMYFUNCTION("GOOGLETRANSLATE($B48,""en"",O$3)"),"automaattinen uudelleenkäynnistys")</f>
        <v>automaattinen uudelleenkäynnistys</v>
      </c>
      <c r="P48" s="12" t="str">
        <f ca="1">IFERROR(__xludf.DUMMYFUNCTION("GOOGLETRANSLATE($B48,""en"",P$3)"),"Uathoibríoch Atosaigh")</f>
        <v>Uathoibríoch Atosaigh</v>
      </c>
      <c r="Q48" s="12" t="str">
        <f ca="1">IFERROR(__xludf.DUMMYFUNCTION("GOOGLETRANSLATE($B48,""en"",Q$3)"),"راه اندازی مجدد به صورت خودکار")</f>
        <v>راه اندازی مجدد به صورت خودکار</v>
      </c>
      <c r="R48" s="12" t="str">
        <f ca="1">IFERROR(__xludf.DUMMYFUNCTION("GOOGLETRANSLATE($B48,""en"",R$3)"),"Automatic Restart")</f>
        <v>Automatic Restart</v>
      </c>
      <c r="S48" s="12" t="str">
        <f ca="1">IFERROR(__xludf.DUMMYFUNCTION("GOOGLETRANSLATE($B48,""en"",S$3)"),"Sjálfvirk Restart")</f>
        <v>Sjálfvirk Restart</v>
      </c>
      <c r="T48" s="12" t="str">
        <f ca="1">IFERROR(__xludf.DUMMYFUNCTION("GOOGLETRANSLATE($B48,""en"",T$3)"),"automatisk omstart")</f>
        <v>automatisk omstart</v>
      </c>
      <c r="U48" s="12" t="str">
        <f ca="1">IFERROR(__xludf.DUMMYFUNCTION("GOOGLETRANSLATE($B48,""en"",U$3)"),"إعادة تشغيل تلقائي")</f>
        <v>إعادة تشغيل تلقائي</v>
      </c>
      <c r="V48" s="12" t="str">
        <f ca="1">IFERROR(__xludf.DUMMYFUNCTION("GOOGLETRANSLATE($B48,""en"",V$3)"),"automatyczny restart")</f>
        <v>automatyczny restart</v>
      </c>
      <c r="W48" s="12" t="str">
        <f ca="1">IFERROR(__xludf.DUMMYFUNCTION("GOOGLETRANSLATE($B48,""en"",W$3)"),"Автоматический перезапуск")</f>
        <v>Автоматический перезапуск</v>
      </c>
      <c r="X48" s="12" t="str">
        <f ca="1">IFERROR(__xludf.DUMMYFUNCTION("GOOGLETRANSLATE($B48,""en"",X$3)"),"reinicio automático")</f>
        <v>reinicio automático</v>
      </c>
      <c r="Y48" s="12"/>
      <c r="Z48" s="12"/>
    </row>
    <row r="49" spans="1:26" ht="32.25" customHeight="1" x14ac:dyDescent="0.2">
      <c r="A49" s="17" t="s">
        <v>169</v>
      </c>
      <c r="B49" s="17" t="s">
        <v>170</v>
      </c>
      <c r="C49" s="18" t="s">
        <v>1784</v>
      </c>
      <c r="D49" s="12" t="str">
        <f ca="1">IFERROR(__xludf.DUMMYFUNCTION("GOOGLETRANSLATE($B49,""en"",D$3)"),"0 - Off. Hur många minuter tills automatisk omstart inträffar?")</f>
        <v>0 - Off. Hur många minuter tills automatisk omstart inträffar?</v>
      </c>
      <c r="E49" s="12" t="str">
        <f ca="1">IFERROR(__xludf.DUMMYFUNCTION("GOOGLETRANSLATE($B49,""en"",E$3)"),"0 - Off. Quantos minutos até o reinício automático ocorre?")</f>
        <v>0 - Off. Quantos minutos até o reinício automático ocorre?</v>
      </c>
      <c r="F49" s="12" t="str">
        <f ca="1">IFERROR(__xludf.DUMMYFUNCTION("GOOGLETRANSLATE($B49,""en"",F$3)"),"0 - Off. Quantos minutos até o reinício automático ocorre?")</f>
        <v>0 - Off. Quantos minutos até o reinício automático ocorre?</v>
      </c>
      <c r="G49" s="12" t="str">
        <f ca="1">IFERROR(__xludf.DUMMYFUNCTION("GOOGLETRANSLATE($B49,""en"",G$3)"),"0 - Off. Combien de minutes jusqu'à ce que le redémarrage automatique se produit?")</f>
        <v>0 - Off. Combien de minutes jusqu'à ce que le redémarrage automatique se produit?</v>
      </c>
      <c r="H49" s="12" t="str">
        <f ca="1">IFERROR(__xludf.DUMMYFUNCTION("GOOGLETRANSLATE($B49,""en"",H$3)"),"0 - Off. Zenbat minutu auto berrabiarazi arte gertatzen?")</f>
        <v>0 - Off. Zenbat minutu auto berrabiarazi arte gertatzen?</v>
      </c>
      <c r="I49" s="12" t="str">
        <f ca="1">IFERROR(__xludf.DUMMYFUNCTION("GOOGLETRANSLATE($B49,""en"",I$3)"),"0 - Apagat. Quants minuts fins que es produeixi el reinici automàtic?")</f>
        <v>0 - Apagat. Quants minuts fins que es produeixi el reinici automàtic?</v>
      </c>
      <c r="J49" s="12" t="str">
        <f ca="1">IFERROR(__xludf.DUMMYFUNCTION("GOOGLETRANSLATE($B49,""en"",J$3)"),"0 - Off. Kolik minut, dokud nedojde auto restart?")</f>
        <v>0 - Off. Kolik minut, dokud nedojde auto restart?</v>
      </c>
      <c r="K49" s="12" t="str">
        <f ca="1">IFERROR(__xludf.DUMMYFUNCTION("GOOGLETRANSLATE($B49,""en"",K$3)"),"0  - 关闭。多少分钟，直到自动重新启动发生？")</f>
        <v>0  - 关闭。多少分钟，直到自动重新启动发生？</v>
      </c>
      <c r="L49" s="12" t="str">
        <f ca="1">IFERROR(__xludf.DUMMYFUNCTION("GOOGLETRANSLATE($B49,""en"",L$3)"),"0  - 關閉。多少分鐘，直到自動重新啟動發生？")</f>
        <v>0  - 關閉。多少分鐘，直到自動重新啟動發生？</v>
      </c>
      <c r="M49" s="12" t="str">
        <f ca="1">IFERROR(__xludf.DUMMYFUNCTION("GOOGLETRANSLATE($B49,""en"",M$3)"),"0 - Uit. Hoeveel minuten tot automatische herstart plaatsvindt?")</f>
        <v>0 - Uit. Hoeveel minuten tot automatische herstart plaatsvindt?</v>
      </c>
      <c r="N49" s="12" t="str">
        <f ca="1">IFERROR(__xludf.DUMMYFUNCTION("GOOGLETRANSLATE($B49,""en"",N$3)"),"0 - Off. Πόσα λεπτά μέχρι να επέλθει αυτόματη επανεκκίνηση;")</f>
        <v>0 - Off. Πόσα λεπτά μέχρι να επέλθει αυτόματη επανεκκίνηση;</v>
      </c>
      <c r="O49" s="12" t="str">
        <f ca="1">IFERROR(__xludf.DUMMYFUNCTION("GOOGLETRANSLATE($B49,""en"",O$3)"),"0 - Ei. Kuinka monta minuuttia, kunnes automaattinen uudelleenkäynnistys tapahtuu?")</f>
        <v>0 - Ei. Kuinka monta minuuttia, kunnes automaattinen uudelleenkäynnistys tapahtuu?</v>
      </c>
      <c r="P49" s="12" t="str">
        <f ca="1">IFERROR(__xludf.DUMMYFUNCTION("GOOGLETRANSLATE($B49,""en"",P$3)"),"0 - Off. Cé mhéad nóiméad go dtí go dtarlaíonn atosú uathoibríoch?")</f>
        <v>0 - Off. Cé mhéad nóiméad go dtí go dtarlaíonn atosú uathoibríoch?</v>
      </c>
      <c r="Q49" s="12" t="str">
        <f ca="1">IFERROR(__xludf.DUMMYFUNCTION("GOOGLETRANSLATE($B49,""en"",Q$3)"),"0 - خاموش. چند دقیقه تا زمانی که راه اندازی مجدد خودکار رخ می دهد؟")</f>
        <v>0 - خاموش. چند دقیقه تا زمانی که راه اندازی مجدد خودکار رخ می دهد؟</v>
      </c>
      <c r="R49" s="12" t="str">
        <f ca="1">IFERROR(__xludf.DUMMYFUNCTION("GOOGLETRANSLATE($B49,""en"",R$3)"),"0 - כבוי. כמה דקות עד אוטומטי מחדש מתרחש?")</f>
        <v>0 - כבוי. כמה דקות עד אוטומטי מחדש מתרחש?</v>
      </c>
      <c r="S49" s="12" t="str">
        <f ca="1">IFERROR(__xludf.DUMMYFUNCTION("GOOGLETRANSLATE($B49,""en"",S$3)"),"0 - Off. Hversu margar mínútur þar til sjálfvirkur endurræsa sér stað?")</f>
        <v>0 - Off. Hversu margar mínútur þar til sjálfvirkur endurræsa sér stað?</v>
      </c>
      <c r="T49" s="12" t="str">
        <f ca="1">IFERROR(__xludf.DUMMYFUNCTION("GOOGLETRANSLATE($B49,""en"",T$3)"),"0 - Av. Hvor mange minutter før automatisk omstart oppstår?")</f>
        <v>0 - Av. Hvor mange minutter før automatisk omstart oppstår?</v>
      </c>
      <c r="U49" s="12" t="str">
        <f ca="1">IFERROR(__xludf.DUMMYFUNCTION("GOOGLETRANSLATE($B49,""en"",U$3)"),"0 - إيقاف. كم دقيقة حتى يحدث إعادة تشغيل السيارات؟")</f>
        <v>0 - إيقاف. كم دقيقة حتى يحدث إعادة تشغيل السيارات؟</v>
      </c>
      <c r="V49" s="12" t="str">
        <f ca="1">IFERROR(__xludf.DUMMYFUNCTION("GOOGLETRANSLATE($B49,""en"",V$3)"),"0 - Wył. Ile minut aż auto restart występuje?")</f>
        <v>0 - Wył. Ile minut aż auto restart występuje?</v>
      </c>
      <c r="W49" s="12" t="str">
        <f ca="1">IFERROR(__xludf.DUMMYFUNCTION("GOOGLETRANSLATE($B49,""en"",W$3)"),"0 - Выкл. не сколько минут до автоматического перезапуска происходит?")</f>
        <v>0 - Выкл. не сколько минут до автоматического перезапуска происходит?</v>
      </c>
      <c r="X49" s="12" t="str">
        <f ca="1">IFERROR(__xludf.DUMMYFUNCTION("GOOGLETRANSLATE($B49,""en"",X$3)"),"0 - Apagado. ¿Cuántos minutos hasta que se produzca el reinicio automático?")</f>
        <v>0 - Apagado. ¿Cuántos minutos hasta que se produzca el reinicio automático?</v>
      </c>
      <c r="Y49" s="12"/>
      <c r="Z49" s="12"/>
    </row>
    <row r="50" spans="1:26" ht="32.25" customHeight="1" x14ac:dyDescent="0.2">
      <c r="A50" s="17" t="s">
        <v>171</v>
      </c>
      <c r="B50" s="17" t="s">
        <v>172</v>
      </c>
      <c r="C50" s="18" t="s">
        <v>1785</v>
      </c>
      <c r="D50" s="12" t="str">
        <f ca="1">IFERROR(__xludf.DUMMYFUNCTION("GOOGLETRANSLATE($B50,""en"",D$3)"),"Ökande Auto Restart tid att låta säkerhetskopior avsluta med 30 minuter efter omstarten Interval")</f>
        <v>Ökande Auto Restart tid att låta säkerhetskopior avsluta med 30 minuter efter omstarten Interval</v>
      </c>
      <c r="E50" s="12" t="str">
        <f ca="1">IFERROR(__xludf.DUMMYFUNCTION("GOOGLETRANSLATE($B50,""en"",E$3)"),"Aumentar Auto Restart Hora de deixar acabamento Backups por 30 minutos após o reatamento Interval")</f>
        <v>Aumentar Auto Restart Hora de deixar acabamento Backups por 30 minutos após o reatamento Interval</v>
      </c>
      <c r="F50" s="12" t="str">
        <f ca="1">IFERROR(__xludf.DUMMYFUNCTION("GOOGLETRANSLATE($B50,""en"",F$3)"),"Aumentar Auto Restart Hora de deixar acabamento Backups por 30 minutos após o reatamento Interval")</f>
        <v>Aumentar Auto Restart Hora de deixar acabamento Backups por 30 minutos após o reatamento Interval</v>
      </c>
      <c r="G50" s="12" t="str">
        <f ca="1">IFERROR(__xludf.DUMMYFUNCTION("GOOGLETRANSLATE($B50,""en"",G$3)"),"L'augmentation automatique Temps de redémarrage pour laisser terminer les sauvegardes de 30 minutes après l'intervalle de redémarrage")</f>
        <v>L'augmentation automatique Temps de redémarrage pour laisser terminer les sauvegardes de 30 minutes après l'intervalle de redémarrage</v>
      </c>
      <c r="H50" s="12" t="str">
        <f ca="1">IFERROR(__xludf.DUMMYFUNCTION("GOOGLETRANSLATE($B50,""en"",H$3)"),"Auto Berrabiarazi Time areagotzea kopiak akabera 30 minutu Berrabiarazterik tartea igaro ondoren utzi")</f>
        <v>Auto Berrabiarazi Time areagotzea kopiak akabera 30 minutu Berrabiarazterik tartea igaro ondoren utzi</v>
      </c>
      <c r="I50" s="12" t="str">
        <f ca="1">IFERROR(__xludf.DUMMYFUNCTION("GOOGLETRANSLATE($B50,""en"",I$3)"),"L'augment de reinici automàtic hora de deixar còpies de seguretat de meta per 30 minuts després de la represa d'interval")</f>
        <v>L'augment de reinici automàtic hora de deixar còpies de seguretat de meta per 30 minuts després de la represa d'interval</v>
      </c>
      <c r="J50" s="12" t="str">
        <f ca="1">IFERROR(__xludf.DUMMYFUNCTION("GOOGLETRANSLATE($B50,""en"",J$3)"),"Zvyšování automatického restartu čas, aby zálohy zakončit 30 minut po restartu intervalu")</f>
        <v>Zvyšování automatického restartu čas, aby zálohy zakončit 30 minut po restartu intervalu</v>
      </c>
      <c r="K50" s="12" t="str">
        <f ca="1">IFERROR(__xludf.DUMMYFUNCTION("GOOGLETRANSLATE($B50,""en"",K$3)"),"增加自动启动时间让重新启动间隔后将备份结束半小时")</f>
        <v>增加自动启动时间让重新启动间隔后将备份结束半小时</v>
      </c>
      <c r="L50" s="12" t="str">
        <f ca="1">IFERROR(__xludf.DUMMYFUNCTION("GOOGLETRANSLATE($B50,""en"",L$3)"),"增加自動啟動時間讓重新啟動間隔後將備份結束半小時")</f>
        <v>增加自動啟動時間讓重新啟動間隔後將備份結束半小時</v>
      </c>
      <c r="M50" s="12" t="str">
        <f ca="1">IFERROR(__xludf.DUMMYFUNCTION("GOOGLETRANSLATE($B50,""en"",M$3)"),"Toenemende Auto Restart Tijd om te laten Backups goal van 30 minuten na de herstart Interval")</f>
        <v>Toenemende Auto Restart Tijd om te laten Backups goal van 30 minuten na de herstart Interval</v>
      </c>
      <c r="N50" s="12" t="str">
        <f ca="1">IFERROR(__xludf.DUMMYFUNCTION("GOOGLETRANSLATE($B50,""en"",N$3)"),"Αύξηση της αυτόματης επανεκκίνησης Ώρα να αφήσει αντίγραφα ασφαλείας φινίρισμα από 30 λεπτά μετά την Επανεκκίνηση Διάστημα")</f>
        <v>Αύξηση της αυτόματης επανεκκίνησης Ώρα να αφήσει αντίγραφα ασφαλείας φινίρισμα από 30 λεπτά μετά την Επανεκκίνηση Διάστημα</v>
      </c>
      <c r="O50" s="12" t="str">
        <f ca="1">IFERROR(__xludf.DUMMYFUNCTION("GOOGLETRANSLATE($B50,""en"",O$3)"),"Lisääntyvä Automaattinen uudelleenkäynnistys aika päästää Varmuuskopiot maali 30 minuutin kuluttua Restart Interval")</f>
        <v>Lisääntyvä Automaattinen uudelleenkäynnistys aika päästää Varmuuskopiot maali 30 minuutin kuluttua Restart Interval</v>
      </c>
      <c r="P50" s="12" t="str">
        <f ca="1">IFERROR(__xludf.DUMMYFUNCTION("GOOGLETRANSLATE($B50,""en"",P$3)"),"Méadú Auto Restart Am a ligean Backups chríochnú faoi 30 nóiméad tar éis an Eatramh Restart")</f>
        <v>Méadú Auto Restart Am a ligean Backups chríochnú faoi 30 nóiméad tar éis an Eatramh Restart</v>
      </c>
      <c r="Q50" s="12" t="str">
        <f ca="1">IFERROR(__xludf.DUMMYFUNCTION("GOOGLETRANSLATE($B50,""en"",Q$3)"),"افزایش خودرو راه اندازی مجدد زمان به اجازه پایان پشتیبان گیری از طریق 30 دقیقه پس از راه اندازی مجدد با فاصله")</f>
        <v>افزایش خودرو راه اندازی مجدد زمان به اجازه پایان پشتیبان گیری از طریق 30 دقیقه پس از راه اندازی مجدد با فاصله</v>
      </c>
      <c r="R50" s="12" t="str">
        <f ca="1">IFERROR(__xludf.DUMMYFUNCTION("GOOGLETRANSLATE($B50,""en"",R$3)"),"הגדלת Auto Restart זמן לתת גיבויי סיום על ידי 30 דקות לאחר הדלקת המרווח")</f>
        <v>הגדלת Auto Restart זמן לתת גיבויי סיום על ידי 30 דקות לאחר הדלקת המרווח</v>
      </c>
      <c r="S50" s="12" t="str">
        <f ca="1">IFERROR(__xludf.DUMMYFUNCTION("GOOGLETRANSLATE($B50,""en"",S$3)"),"Auka Auto Endurræsa tími til að láta afrit klára um 30 mínútur eftir að endurræsa Interval")</f>
        <v>Auka Auto Endurræsa tími til að láta afrit klára um 30 mínútur eftir að endurræsa Interval</v>
      </c>
      <c r="T50" s="12" t="str">
        <f ca="1">IFERROR(__xludf.DUMMYFUNCTION("GOOGLETRANSLATE($B50,""en"",T$3)"),"Økende Auto Restart tide å la Sikkerhetskopier mål av 30 minutter etter at Restart Intervall")</f>
        <v>Økende Auto Restart tide å la Sikkerhetskopier mål av 30 minutter etter at Restart Intervall</v>
      </c>
      <c r="U50" s="12" t="str">
        <f ca="1">IFERROR(__xludf.DUMMYFUNCTION("GOOGLETRANSLATE($B50,""en"",U$3)"),"زيادة السيارات إعادة تشغيل الوقت للسماح المساعدون النهاية 30 دقائق بعد إعادة تشغيل الفاصل")</f>
        <v>زيادة السيارات إعادة تشغيل الوقت للسماح المساعدون النهاية 30 دقائق بعد إعادة تشغيل الفاصل</v>
      </c>
      <c r="V50" s="12" t="str">
        <f ca="1">IFERROR(__xludf.DUMMYFUNCTION("GOOGLETRANSLATE($B50,""en"",V$3)"),"Zwiększenie Auto Restart czas pozwolić Backups bramka 30 minut po wznowieniu Interval")</f>
        <v>Zwiększenie Auto Restart czas pozwolić Backups bramka 30 minut po wznowieniu Interval</v>
      </c>
      <c r="W50" s="12" t="str">
        <f ca="1">IFERROR(__xludf.DUMMYFUNCTION("GOOGLETRANSLATE($B50,""en"",W$3)"),"Увеличение автоматического перезапуска Время, чтобы закончить Резервные копии на 30 минут после того, как интервал перезапуска")</f>
        <v>Увеличение автоматического перезапуска Время, чтобы закончить Резервные копии на 30 минут после того, как интервал перезапуска</v>
      </c>
      <c r="X50" s="12" t="str">
        <f ca="1">IFERROR(__xludf.DUMMYFUNCTION("GOOGLETRANSLATE($B50,""en"",X$3)"),"El aumento de reinicio automático hora de dejar copias de seguridad de meta por 30 minutos después de la reanudación de intervalo")</f>
        <v>El aumento de reinicio automático hora de dejar copias de seguridad de meta por 30 minutos después de la reanudación de intervalo</v>
      </c>
      <c r="Y50" s="12"/>
      <c r="Z50" s="12"/>
    </row>
    <row r="51" spans="1:26" ht="32.25" customHeight="1" x14ac:dyDescent="0.2">
      <c r="A51" s="17" t="s">
        <v>173</v>
      </c>
      <c r="B51" s="17" t="s">
        <v>174</v>
      </c>
      <c r="C51" s="11" t="str">
        <f ca="1">IFERROR(__xludf.DUMMYFUNCTION("GOOGLETRANSLATE($B51,""en"",C$3)"),"Avatar Bakes Cache")</f>
        <v>Avatar Bakes Cache</v>
      </c>
      <c r="D51" s="12" t="str">
        <f ca="1">IFERROR(__xludf.DUMMYFUNCTION("GOOGLETRANSLATE($B51,""en"",D$3)"),"Avatar Bakes Cache")</f>
        <v>Avatar Bakes Cache</v>
      </c>
      <c r="E51" s="12" t="str">
        <f ca="1">IFERROR(__xludf.DUMMYFUNCTION("GOOGLETRANSLATE($B51,""en"",E$3)"),"Avatar Bakes Cache")</f>
        <v>Avatar Bakes Cache</v>
      </c>
      <c r="F51" s="12" t="str">
        <f ca="1">IFERROR(__xludf.DUMMYFUNCTION("GOOGLETRANSLATE($B51,""en"",F$3)"),"Avatar Bakes Cache")</f>
        <v>Avatar Bakes Cache</v>
      </c>
      <c r="G51" s="12" t="str">
        <f ca="1">IFERROR(__xludf.DUMMYFUNCTION("GOOGLETRANSLATE($B51,""en"",G$3)"),"Avatar Bakes Cache")</f>
        <v>Avatar Bakes Cache</v>
      </c>
      <c r="H51" s="12" t="str">
        <f ca="1">IFERROR(__xludf.DUMMYFUNCTION("GOOGLETRANSLATE($B51,""en"",H$3)"),"Avatar bakes Cache")</f>
        <v>Avatar bakes Cache</v>
      </c>
      <c r="I51" s="12" t="str">
        <f ca="1">IFERROR(__xludf.DUMMYFUNCTION("GOOGLETRANSLATE($B51,""en"",I$3)"),"Avatar Bakes memòria cau")</f>
        <v>Avatar Bakes memòria cau</v>
      </c>
      <c r="J51" s="12" t="str">
        <f ca="1">IFERROR(__xludf.DUMMYFUNCTION("GOOGLETRANSLATE($B51,""en"",J$3)"),"Avatar peče Cache")</f>
        <v>Avatar peče Cache</v>
      </c>
      <c r="K51" s="12" t="str">
        <f ca="1">IFERROR(__xludf.DUMMYFUNCTION("GOOGLETRANSLATE($B51,""en"",K$3)"),"阿凡达烘烤缓存")</f>
        <v>阿凡达烘烤缓存</v>
      </c>
      <c r="L51" s="12" t="str">
        <f ca="1">IFERROR(__xludf.DUMMYFUNCTION("GOOGLETRANSLATE($B51,""en"",L$3)"),"阿凡達烘烤緩存")</f>
        <v>阿凡達烘烤緩存</v>
      </c>
      <c r="M51" s="12" t="str">
        <f ca="1">IFERROR(__xludf.DUMMYFUNCTION("GOOGLETRANSLATE($B51,""en"",M$3)"),"Avatar Bakes Cache")</f>
        <v>Avatar Bakes Cache</v>
      </c>
      <c r="N51" s="12" t="str">
        <f ca="1">IFERROR(__xludf.DUMMYFUNCTION("GOOGLETRANSLATE($B51,""en"",N$3)"),"Avatar Bakes Cache")</f>
        <v>Avatar Bakes Cache</v>
      </c>
      <c r="O51" s="12" t="str">
        <f ca="1">IFERROR(__xludf.DUMMYFUNCTION("GOOGLETRANSLATE($B51,""en"",O$3)"),"Avatar Bakes Cache")</f>
        <v>Avatar Bakes Cache</v>
      </c>
      <c r="P51" s="12" t="str">
        <f ca="1">IFERROR(__xludf.DUMMYFUNCTION("GOOGLETRANSLATE($B51,""en"",P$3)"),"Avatar bakes Cache")</f>
        <v>Avatar bakes Cache</v>
      </c>
      <c r="Q51" s="12" t="str">
        <f ca="1">IFERROR(__xludf.DUMMYFUNCTION("GOOGLETRANSLATE($B51,""en"",Q$3)"),"BAKES کش آواتار")</f>
        <v>BAKES کش آواتار</v>
      </c>
      <c r="R51" s="12" t="str">
        <f ca="1">IFERROR(__xludf.DUMMYFUNCTION("GOOGLETRANSLATE($B51,""en"",R$3)"),"Avatar אופה מטמון")</f>
        <v>Avatar אופה מטמון</v>
      </c>
      <c r="S51" s="12" t="str">
        <f ca="1">IFERROR(__xludf.DUMMYFUNCTION("GOOGLETRANSLATE($B51,""en"",S$3)"),"Avatar bakes Cache")</f>
        <v>Avatar bakes Cache</v>
      </c>
      <c r="T51" s="12" t="str">
        <f ca="1">IFERROR(__xludf.DUMMYFUNCTION("GOOGLETRANSLATE($B51,""en"",T$3)"),"Avatar Bakes Cache")</f>
        <v>Avatar Bakes Cache</v>
      </c>
      <c r="U51" s="12" t="str">
        <f ca="1">IFERROR(__xludf.DUMMYFUNCTION("GOOGLETRANSLATE($B51,""en"",U$3)"),"الصورة الرمزية يخبز الكاش")</f>
        <v>الصورة الرمزية يخبز الكاش</v>
      </c>
      <c r="V51" s="12" t="str">
        <f ca="1">IFERROR(__xludf.DUMMYFUNCTION("GOOGLETRANSLATE($B51,""en"",V$3)"),"Avatar Bakes Cache")</f>
        <v>Avatar Bakes Cache</v>
      </c>
      <c r="W51" s="12" t="str">
        <f ca="1">IFERROR(__xludf.DUMMYFUNCTION("GOOGLETRANSLATE($B51,""en"",W$3)"),"Аватар печет Cache")</f>
        <v>Аватар печет Cache</v>
      </c>
      <c r="X51" s="12" t="str">
        <f ca="1">IFERROR(__xludf.DUMMYFUNCTION("GOOGLETRANSLATE($B51,""en"",X$3)"),"Avatar Bakes caché")</f>
        <v>Avatar Bakes caché</v>
      </c>
      <c r="Y51" s="12"/>
      <c r="Z51" s="12"/>
    </row>
    <row r="52" spans="1:26" ht="32.25" customHeight="1" x14ac:dyDescent="0.2">
      <c r="A52" s="17" t="s">
        <v>175</v>
      </c>
      <c r="B52" s="17" t="s">
        <v>176</v>
      </c>
      <c r="C52" s="18" t="s">
        <v>177</v>
      </c>
      <c r="D52" s="12" t="str">
        <f ca="1">IFERROR(__xludf.DUMMYFUNCTION("GOOGLETRANSLATE($B52,""en"",D$3)"),"Avatar för- och efternamn")</f>
        <v>Avatar för- och efternamn</v>
      </c>
      <c r="E52" s="12" t="str">
        <f ca="1">IFERROR(__xludf.DUMMYFUNCTION("GOOGLETRANSLATE($B52,""en"",E$3)"),"Avatar Nome e sobrenome")</f>
        <v>Avatar Nome e sobrenome</v>
      </c>
      <c r="F52" s="12" t="str">
        <f ca="1">IFERROR(__xludf.DUMMYFUNCTION("GOOGLETRANSLATE($B52,""en"",F$3)"),"Avatar Nome e sobrenome")</f>
        <v>Avatar Nome e sobrenome</v>
      </c>
      <c r="G52" s="12" t="str">
        <f ca="1">IFERROR(__xludf.DUMMYFUNCTION("GOOGLETRANSLATE($B52,""en"",G$3)"),"Avatar Nom et Prénom")</f>
        <v>Avatar Nom et Prénom</v>
      </c>
      <c r="H52" s="12" t="str">
        <f ca="1">IFERROR(__xludf.DUMMYFUNCTION("GOOGLETRANSLATE($B52,""en"",H$3)"),"Avatar izena eta abizena")</f>
        <v>Avatar izena eta abizena</v>
      </c>
      <c r="I52" s="12" t="str">
        <f ca="1">IFERROR(__xludf.DUMMYFUNCTION("GOOGLETRANSLATE($B52,""en"",I$3)"),"Avatar Nom i cognom")</f>
        <v>Avatar Nom i cognom</v>
      </c>
      <c r="J52" s="12" t="str">
        <f ca="1">IFERROR(__xludf.DUMMYFUNCTION("GOOGLETRANSLATE($B52,""en"",J$3)"),"Avatar Jméno a příjmení")</f>
        <v>Avatar Jméno a příjmení</v>
      </c>
      <c r="K52" s="12" t="str">
        <f ca="1">IFERROR(__xludf.DUMMYFUNCTION("GOOGLETRANSLATE($B52,""en"",K$3)"),"阿凡达的名字和姓氏")</f>
        <v>阿凡达的名字和姓氏</v>
      </c>
      <c r="L52" s="12" t="str">
        <f ca="1">IFERROR(__xludf.DUMMYFUNCTION("GOOGLETRANSLATE($B52,""en"",L$3)"),"阿凡達的名字和姓氏")</f>
        <v>阿凡達的名字和姓氏</v>
      </c>
      <c r="M52" s="12" t="str">
        <f ca="1">IFERROR(__xludf.DUMMYFUNCTION("GOOGLETRANSLATE($B52,""en"",M$3)"),"Avatar Voor- en achternaam")</f>
        <v>Avatar Voor- en achternaam</v>
      </c>
      <c r="N52" s="12" t="str">
        <f ca="1">IFERROR(__xludf.DUMMYFUNCTION("GOOGLETRANSLATE($B52,""en"",N$3)"),"Avatar Πρώτη και Επώνυμο")</f>
        <v>Avatar Πρώτη και Επώνυμο</v>
      </c>
      <c r="O52" s="12" t="str">
        <f ca="1">IFERROR(__xludf.DUMMYFUNCTION("GOOGLETRANSLATE($B52,""en"",O$3)"),"Avatar etu- ja sukunimi")</f>
        <v>Avatar etu- ja sukunimi</v>
      </c>
      <c r="P52" s="12" t="str">
        <f ca="1">IFERROR(__xludf.DUMMYFUNCTION("GOOGLETRANSLATE($B52,""en"",P$3)"),"Avatar Céad agus Sloinne")</f>
        <v>Avatar Céad agus Sloinne</v>
      </c>
      <c r="Q52" s="12" t="str">
        <f ca="1">IFERROR(__xludf.DUMMYFUNCTION("GOOGLETRANSLATE($B52,""en"",Q$3)"),"آواتار و نام خانوادگی")</f>
        <v>آواتار و نام خانوادگی</v>
      </c>
      <c r="R52" s="12" t="str">
        <f ca="1">IFERROR(__xludf.DUMMYFUNCTION("GOOGLETRANSLATE($B52,""en"",R$3)"),"Avatar פרטי ושם משפחה")</f>
        <v>Avatar פרטי ושם משפחה</v>
      </c>
      <c r="S52" s="12" t="str">
        <f ca="1">IFERROR(__xludf.DUMMYFUNCTION("GOOGLETRANSLATE($B52,""en"",S$3)"),"Avatar Fyrsta og síðasta nafn")</f>
        <v>Avatar Fyrsta og síðasta nafn</v>
      </c>
      <c r="T52" s="12" t="str">
        <f ca="1">IFERROR(__xludf.DUMMYFUNCTION("GOOGLETRANSLATE($B52,""en"",T$3)"),"Avatar fornavn og etternavn")</f>
        <v>Avatar fornavn og etternavn</v>
      </c>
      <c r="U52" s="12" t="str">
        <f ca="1">IFERROR(__xludf.DUMMYFUNCTION("GOOGLETRANSLATE($B52,""en"",U$3)"),"الصورة الرمزية الأول والاسم الأخير")</f>
        <v>الصورة الرمزية الأول والاسم الأخير</v>
      </c>
      <c r="V52" s="12" t="str">
        <f ca="1">IFERROR(__xludf.DUMMYFUNCTION("GOOGLETRANSLATE($B52,""en"",V$3)"),"Avatar Imię i nazwisko")</f>
        <v>Avatar Imię i nazwisko</v>
      </c>
      <c r="W52" s="12" t="str">
        <f ca="1">IFERROR(__xludf.DUMMYFUNCTION("GOOGLETRANSLATE($B52,""en"",W$3)"),"Аватар Имя и Фамилия")</f>
        <v>Аватар Имя и Фамилия</v>
      </c>
      <c r="X52" s="12" t="str">
        <f ca="1">IFERROR(__xludf.DUMMYFUNCTION("GOOGLETRANSLATE($B52,""en"",X$3)"),"Avatar Nombre y apellido")</f>
        <v>Avatar Nombre y apellido</v>
      </c>
      <c r="Y52" s="12"/>
      <c r="Z52" s="12"/>
    </row>
    <row r="53" spans="1:26" ht="32.25" customHeight="1" x14ac:dyDescent="0.2">
      <c r="A53" s="17" t="s">
        <v>178</v>
      </c>
      <c r="B53" s="17" t="s">
        <v>179</v>
      </c>
      <c r="C53" s="11" t="str">
        <f ca="1">IFERROR(__xludf.DUMMYFUNCTION("GOOGLETRANSLATE($B53,""en"",C$3)"),"Name des Avatars")</f>
        <v>Name des Avatars</v>
      </c>
      <c r="D53" s="12" t="str">
        <f ca="1">IFERROR(__xludf.DUMMYFUNCTION("GOOGLETRANSLATE($B53,""en"",D$3)"),"Avatar namn")</f>
        <v>Avatar namn</v>
      </c>
      <c r="E53" s="13" t="s">
        <v>180</v>
      </c>
      <c r="F53" s="13" t="s">
        <v>180</v>
      </c>
      <c r="G53" s="12" t="str">
        <f ca="1">IFERROR(__xludf.DUMMYFUNCTION("GOOGLETRANSLATE($B53,""en"",G$3)"),"Pseudonyme")</f>
        <v>Pseudonyme</v>
      </c>
      <c r="H53" s="12" t="str">
        <f ca="1">IFERROR(__xludf.DUMMYFUNCTION("GOOGLETRANSLATE($B53,""en"",H$3)"),"Avatar izena")</f>
        <v>Avatar izena</v>
      </c>
      <c r="I53" s="12" t="str">
        <f ca="1">IFERROR(__xludf.DUMMYFUNCTION("GOOGLETRANSLATE($B53,""en"",I$3)"),"Nom de l'Avatar")</f>
        <v>Nom de l'Avatar</v>
      </c>
      <c r="J53" s="12" t="str">
        <f ca="1">IFERROR(__xludf.DUMMYFUNCTION("GOOGLETRANSLATE($B53,""en"",J$3)"),"avatar Jméno")</f>
        <v>avatar Jméno</v>
      </c>
      <c r="K53" s="12" t="str">
        <f ca="1">IFERROR(__xludf.DUMMYFUNCTION("GOOGLETRANSLATE($B53,""en"",K$3)"),"头像名称")</f>
        <v>头像名称</v>
      </c>
      <c r="L53" s="12" t="str">
        <f ca="1">IFERROR(__xludf.DUMMYFUNCTION("GOOGLETRANSLATE($B53,""en"",L$3)"),"頭像名稱")</f>
        <v>頭像名稱</v>
      </c>
      <c r="M53" s="12" t="str">
        <f ca="1">IFERROR(__xludf.DUMMYFUNCTION("GOOGLETRANSLATE($B53,""en"",M$3)"),"avatar Naam")</f>
        <v>avatar Naam</v>
      </c>
      <c r="N53" s="12" t="str">
        <f ca="1">IFERROR(__xludf.DUMMYFUNCTION("GOOGLETRANSLATE($B53,""en"",N$3)"),"Avatar Όνομα")</f>
        <v>Avatar Όνομα</v>
      </c>
      <c r="O53" s="12" t="str">
        <f ca="1">IFERROR(__xludf.DUMMYFUNCTION("GOOGLETRANSLATE($B53,""en"",O$3)"),"avatar Name")</f>
        <v>avatar Name</v>
      </c>
      <c r="P53" s="12" t="str">
        <f ca="1">IFERROR(__xludf.DUMMYFUNCTION("GOOGLETRANSLATE($B53,""en"",P$3)"),"Avatar Ainm")</f>
        <v>Avatar Ainm</v>
      </c>
      <c r="Q53" s="12" t="str">
        <f ca="1">IFERROR(__xludf.DUMMYFUNCTION("GOOGLETRANSLATE($B53,""en"",Q$3)"),"نام آواتار")</f>
        <v>نام آواتار</v>
      </c>
      <c r="R53" s="12" t="str">
        <f ca="1">IFERROR(__xludf.DUMMYFUNCTION("GOOGLETRANSLATE($B53,""en"",R$3)"),"Avatar שם")</f>
        <v>Avatar שם</v>
      </c>
      <c r="S53" s="12" t="str">
        <f ca="1">IFERROR(__xludf.DUMMYFUNCTION("GOOGLETRANSLATE($B53,""en"",S$3)"),"Avatar Name")</f>
        <v>Avatar Name</v>
      </c>
      <c r="T53" s="12" t="str">
        <f ca="1">IFERROR(__xludf.DUMMYFUNCTION("GOOGLETRANSLATE($B53,""en"",T$3)"),"Avatar Name")</f>
        <v>Avatar Name</v>
      </c>
      <c r="U53" s="12" t="str">
        <f ca="1">IFERROR(__xludf.DUMMYFUNCTION("GOOGLETRANSLATE($B53,""en"",U$3)"),"اسم مستعار")</f>
        <v>اسم مستعار</v>
      </c>
      <c r="V53" s="12" t="str">
        <f ca="1">IFERROR(__xludf.DUMMYFUNCTION("GOOGLETRANSLATE($B53,""en"",V$3)"),"Nazwa awatara")</f>
        <v>Nazwa awatara</v>
      </c>
      <c r="W53" s="12" t="str">
        <f ca="1">IFERROR(__xludf.DUMMYFUNCTION("GOOGLETRANSLATE($B53,""en"",W$3)"),"Аватар Имя")</f>
        <v>Аватар Имя</v>
      </c>
      <c r="X53" s="12" t="str">
        <f ca="1">IFERROR(__xludf.DUMMYFUNCTION("GOOGLETRANSLATE($B53,""en"",X$3)"),"Nombre del avatar")</f>
        <v>Nombre del avatar</v>
      </c>
      <c r="Y53" s="12"/>
      <c r="Z53" s="12"/>
    </row>
    <row r="54" spans="1:26" ht="32.25" customHeight="1" x14ac:dyDescent="0.2">
      <c r="A54" s="17" t="s">
        <v>181</v>
      </c>
      <c r="B54" s="17" t="s">
        <v>182</v>
      </c>
      <c r="C54" s="11" t="str">
        <f ca="1">IFERROR(__xludf.DUMMYFUNCTION("GOOGLETRANSLATE($B54,""en"",C$3)"),"Avatar Passwort")</f>
        <v>Avatar Passwort</v>
      </c>
      <c r="D54" s="12" t="str">
        <f ca="1">IFERROR(__xludf.DUMMYFUNCTION("GOOGLETRANSLATE($B54,""en"",D$3)"),"Avatar Lösenord")</f>
        <v>Avatar Lösenord</v>
      </c>
      <c r="E54" s="13" t="s">
        <v>183</v>
      </c>
      <c r="F54" s="13" t="s">
        <v>183</v>
      </c>
      <c r="G54" s="12" t="str">
        <f ca="1">IFERROR(__xludf.DUMMYFUNCTION("GOOGLETRANSLATE($B54,""en"",G$3)"),"Mot de passe Avatar")</f>
        <v>Mot de passe Avatar</v>
      </c>
      <c r="H54" s="12" t="str">
        <f ca="1">IFERROR(__xludf.DUMMYFUNCTION("GOOGLETRANSLATE($B54,""en"",H$3)"),"Avatar pasahitza")</f>
        <v>Avatar pasahitza</v>
      </c>
      <c r="I54" s="12" t="str">
        <f ca="1">IFERROR(__xludf.DUMMYFUNCTION("GOOGLETRANSLATE($B54,""en"",I$3)"),"avatar contrasenya")</f>
        <v>avatar contrasenya</v>
      </c>
      <c r="J54" s="12" t="str">
        <f ca="1">IFERROR(__xludf.DUMMYFUNCTION("GOOGLETRANSLATE($B54,""en"",J$3)"),"avatar Password")</f>
        <v>avatar Password</v>
      </c>
      <c r="K54" s="12" t="str">
        <f ca="1">IFERROR(__xludf.DUMMYFUNCTION("GOOGLETRANSLATE($B54,""en"",K$3)"),"阿凡达的密码")</f>
        <v>阿凡达的密码</v>
      </c>
      <c r="L54" s="12" t="str">
        <f ca="1">IFERROR(__xludf.DUMMYFUNCTION("GOOGLETRANSLATE($B54,""en"",L$3)"),"阿凡達的密碼")</f>
        <v>阿凡達的密碼</v>
      </c>
      <c r="M54" s="12" t="str">
        <f ca="1">IFERROR(__xludf.DUMMYFUNCTION("GOOGLETRANSLATE($B54,""en"",M$3)"),"avatar Password")</f>
        <v>avatar Password</v>
      </c>
      <c r="N54" s="12" t="str">
        <f ca="1">IFERROR(__xludf.DUMMYFUNCTION("GOOGLETRANSLATE($B54,""en"",N$3)"),"Avatar κωδικού πρόσβασης")</f>
        <v>Avatar κωδικού πρόσβασης</v>
      </c>
      <c r="O54" s="12" t="str">
        <f ca="1">IFERROR(__xludf.DUMMYFUNCTION("GOOGLETRANSLATE($B54,""en"",O$3)"),"avatar Salasana")</f>
        <v>avatar Salasana</v>
      </c>
      <c r="P54" s="12" t="str">
        <f ca="1">IFERROR(__xludf.DUMMYFUNCTION("GOOGLETRANSLATE($B54,""en"",P$3)"),"Avatar Pasfhocal")</f>
        <v>Avatar Pasfhocal</v>
      </c>
      <c r="Q54" s="12" t="str">
        <f ca="1">IFERROR(__xludf.DUMMYFUNCTION("GOOGLETRANSLATE($B54,""en"",Q$3)"),"آواتار رمز عبور")</f>
        <v>آواتار رمز عبور</v>
      </c>
      <c r="R54" s="12" t="str">
        <f ca="1">IFERROR(__xludf.DUMMYFUNCTION("GOOGLETRANSLATE($B54,""en"",R$3)"),"סיסמא אישית")</f>
        <v>סיסמא אישית</v>
      </c>
      <c r="S54" s="12" t="str">
        <f ca="1">IFERROR(__xludf.DUMMYFUNCTION("GOOGLETRANSLATE($B54,""en"",S$3)"),"Avatar Lykilorð")</f>
        <v>Avatar Lykilorð</v>
      </c>
      <c r="T54" s="12" t="str">
        <f ca="1">IFERROR(__xludf.DUMMYFUNCTION("GOOGLETRANSLATE($B54,""en"",T$3)"),"Avatar passord")</f>
        <v>Avatar passord</v>
      </c>
      <c r="U54" s="12" t="str">
        <f ca="1">IFERROR(__xludf.DUMMYFUNCTION("GOOGLETRANSLATE($B54,""en"",U$3)"),"الصورة الرمزية كلمة المرور")</f>
        <v>الصورة الرمزية كلمة المرور</v>
      </c>
      <c r="V54" s="12" t="str">
        <f ca="1">IFERROR(__xludf.DUMMYFUNCTION("GOOGLETRANSLATE($B54,""en"",V$3)"),"Avatar Hasło")</f>
        <v>Avatar Hasło</v>
      </c>
      <c r="W54" s="12" t="str">
        <f ca="1">IFERROR(__xludf.DUMMYFUNCTION("GOOGLETRANSLATE($B54,""en"",W$3)"),"Аватар пользователя Пароль")</f>
        <v>Аватар пользователя Пароль</v>
      </c>
      <c r="X54" s="12" t="str">
        <f ca="1">IFERROR(__xludf.DUMMYFUNCTION("GOOGLETRANSLATE($B54,""en"",X$3)"),"Avatar contraseña")</f>
        <v>Avatar contraseña</v>
      </c>
      <c r="Y54" s="12"/>
      <c r="Z54" s="12"/>
    </row>
    <row r="55" spans="1:26" ht="32.25" customHeight="1" x14ac:dyDescent="0.2">
      <c r="A55" s="17" t="s">
        <v>184</v>
      </c>
      <c r="B55" s="17" t="s">
        <v>185</v>
      </c>
      <c r="C55" s="11" t="str">
        <f ca="1">IFERROR(__xludf.DUMMYFUNCTION("GOOGLETRANSLATE($B55,""en"",C$3)"),"Avatare sind in der Welt! Wollen Sie wirklich beenden?")</f>
        <v>Avatare sind in der Welt! Wollen Sie wirklich beenden?</v>
      </c>
      <c r="D55" s="12" t="str">
        <f ca="1">IFERROR(__xludf.DUMMYFUNCTION("GOOGLETRANSLATE($B55,""en"",D$3)"),"Avatarer är i världen! Vill du verkligen vill sluta?")</f>
        <v>Avatarer är i världen! Vill du verkligen vill sluta?</v>
      </c>
      <c r="E55" s="13" t="s">
        <v>186</v>
      </c>
      <c r="F55" s="13" t="s">
        <v>186</v>
      </c>
      <c r="G55" s="12" t="str">
        <f ca="1">IFERROR(__xludf.DUMMYFUNCTION("GOOGLETRANSLATE($B55,""en"",G$3)"),"Avatars sont dans le monde! Voulez-vous vraiment quitter?")</f>
        <v>Avatars sont dans le monde! Voulez-vous vraiment quitter?</v>
      </c>
      <c r="H55" s="12" t="str">
        <f ca="1">IFERROR(__xludf.DUMMYFUNCTION("GOOGLETRANSLATE($B55,""en"",H$3)"),"Avatars munduan daude! Benetan irten nahi duzula?")</f>
        <v>Avatars munduan daude! Benetan irten nahi duzula?</v>
      </c>
      <c r="I55" s="12" t="str">
        <f ca="1">IFERROR(__xludf.DUMMYFUNCTION("GOOGLETRANSLATE($B55,""en"",I$3)"),"Els avatars són en el món! És el que realment vol deixar de fumar?")</f>
        <v>Els avatars són en el món! És el que realment vol deixar de fumar?</v>
      </c>
      <c r="J55" s="12" t="str">
        <f ca="1">IFERROR(__xludf.DUMMYFUNCTION("GOOGLETRANSLATE($B55,""en"",J$3)"),"Avatary jsou na světě! Opravdu chcete skončit?")</f>
        <v>Avatary jsou na světě! Opravdu chcete skončit?</v>
      </c>
      <c r="K55" s="12" t="str">
        <f ca="1">IFERROR(__xludf.DUMMYFUNCTION("GOOGLETRANSLATE($B55,""en"",K$3)"),"头像是在世界上！你真的要离开吗？")</f>
        <v>头像是在世界上！你真的要离开吗？</v>
      </c>
      <c r="L55" s="12" t="str">
        <f ca="1">IFERROR(__xludf.DUMMYFUNCTION("GOOGLETRANSLATE($B55,""en"",L$3)"),"頭像是在世界上！你真的要離開嗎？")</f>
        <v>頭像是在世界上！你真的要離開嗎？</v>
      </c>
      <c r="M55" s="12" t="str">
        <f ca="1">IFERROR(__xludf.DUMMYFUNCTION("GOOGLETRANSLATE($B55,""en"",M$3)"),"Avatars zijn in de wereld! Wil je echt wilt stoppen?")</f>
        <v>Avatars zijn in de wereld! Wil je echt wilt stoppen?</v>
      </c>
      <c r="N55" s="12" t="str">
        <f ca="1">IFERROR(__xludf.DUMMYFUNCTION("GOOGLETRANSLATE($B55,""en"",N$3)"),"Τα Avatar είναι στον κόσμο! Πιστεύετε πραγματικά θέλουν να σταματήσουν το κάπνισμα;")</f>
        <v>Τα Avatar είναι στον κόσμο! Πιστεύετε πραγματικά θέλουν να σταματήσουν το κάπνισμα;</v>
      </c>
      <c r="O55" s="12" t="str">
        <f ca="1">IFERROR(__xludf.DUMMYFUNCTION("GOOGLETRANSLATE($B55,""en"",O$3)"),"Avatarit ovat maailmassa! Oletteko todella haluavat lopettaa?")</f>
        <v>Avatarit ovat maailmassa! Oletteko todella haluavat lopettaa?</v>
      </c>
      <c r="P55" s="12" t="str">
        <f ca="1">IFERROR(__xludf.DUMMYFUNCTION("GOOGLETRANSLATE($B55,""en"",P$3)"),"Tá Avatars ar fud an domhain! Ar mhaith leat i ndáiríre a scor?")</f>
        <v>Tá Avatars ar fud an domhain! Ar mhaith leat i ndáiríre a scor?</v>
      </c>
      <c r="Q55" s="12" t="str">
        <f ca="1">IFERROR(__xludf.DUMMYFUNCTION("GOOGLETRANSLATE($B55,""en"",Q$3)"),"آواتار ها در جهان هستند! آیا شما واقعا مایل به ترک؟")</f>
        <v>آواتار ها در جهان هستند! آیا شما واقعا مایل به ترک؟</v>
      </c>
      <c r="R55" s="12" t="str">
        <f ca="1">IFERROR(__xludf.DUMMYFUNCTION("GOOGLETRANSLATE($B55,""en"",R$3)"),"אווטרים נמצאים בעולם! האם אתה באמת רוצה לצאת?")</f>
        <v>אווטרים נמצאים בעולם! האם אתה באמת רוצה לצאת?</v>
      </c>
      <c r="S55" s="12" t="str">
        <f ca="1">IFERROR(__xludf.DUMMYFUNCTION("GOOGLETRANSLATE($B55,""en"",S$3)"),"Avatars eru í heiminum! Vilt þú virkilega að hætta?")</f>
        <v>Avatars eru í heiminum! Vilt þú virkilega að hætta?</v>
      </c>
      <c r="T55" s="12" t="str">
        <f ca="1">IFERROR(__xludf.DUMMYFUNCTION("GOOGLETRANSLATE($B55,""en"",T$3)"),"Avatarer er i verden! Har du virkelig ønsker å slutte?")</f>
        <v>Avatarer er i verden! Har du virkelig ønsker å slutte?</v>
      </c>
      <c r="U55" s="12" t="str">
        <f ca="1">IFERROR(__xludf.DUMMYFUNCTION("GOOGLETRANSLATE($B55,""en"",U$3)"),"الآلهة هي في العالم! هل تريد حقا أن تترك؟")</f>
        <v>الآلهة هي في العالم! هل تريد حقا أن تترك؟</v>
      </c>
      <c r="V55" s="12" t="str">
        <f ca="1">IFERROR(__xludf.DUMMYFUNCTION("GOOGLETRANSLATE($B55,""en"",V$3)"),"Awatary są na świecie! Czy na pewno chcesz zakończyć?")</f>
        <v>Awatary są na świecie! Czy na pewno chcesz zakończyć?</v>
      </c>
      <c r="W55" s="12" t="str">
        <f ca="1">IFERROR(__xludf.DUMMYFUNCTION("GOOGLETRANSLATE($B55,""en"",W$3)"),"Аватары в мире! Вы действительно хотите выйти?")</f>
        <v>Аватары в мире! Вы действительно хотите выйти?</v>
      </c>
      <c r="X55" s="12" t="str">
        <f ca="1">IFERROR(__xludf.DUMMYFUNCTION("GOOGLETRANSLATE($B55,""en"",X$3)"),"Los avatares son en el mundo! Es lo que realmente desea dejar de fumar?")</f>
        <v>Los avatares son en el mundo! Es lo que realmente desea dejar de fumar?</v>
      </c>
      <c r="Y55" s="12"/>
      <c r="Z55" s="12"/>
    </row>
    <row r="56" spans="1:26" ht="32.25" customHeight="1" x14ac:dyDescent="0.2">
      <c r="A56" s="17" t="s">
        <v>187</v>
      </c>
      <c r="B56" s="17" t="s">
        <v>188</v>
      </c>
      <c r="C56" s="11" t="str">
        <f ca="1">IFERROR(__xludf.DUMMYFUNCTION("GOOGLETRANSLATE($B56,""en"",C$3)"),"Avatare")</f>
        <v>Avatare</v>
      </c>
      <c r="D56" s="12" t="str">
        <f ca="1">IFERROR(__xludf.DUMMYFUNCTION("GOOGLETRANSLATE($B56,""en"",D$3)"),"Avatars")</f>
        <v>Avatars</v>
      </c>
      <c r="E56" s="12" t="str">
        <f ca="1">IFERROR(__xludf.DUMMYFUNCTION("GOOGLETRANSLATE($B56,""en"",E$3)"),"Avatares")</f>
        <v>Avatares</v>
      </c>
      <c r="F56" s="12" t="str">
        <f ca="1">IFERROR(__xludf.DUMMYFUNCTION("GOOGLETRANSLATE($B56,""en"",F$3)"),"Avatares")</f>
        <v>Avatares</v>
      </c>
      <c r="G56" s="12" t="str">
        <f ca="1">IFERROR(__xludf.DUMMYFUNCTION("GOOGLETRANSLATE($B56,""en"",G$3)"),"Avatars")</f>
        <v>Avatars</v>
      </c>
      <c r="H56" s="12" t="str">
        <f ca="1">IFERROR(__xludf.DUMMYFUNCTION("GOOGLETRANSLATE($B56,""en"",H$3)"),"Avatars")</f>
        <v>Avatars</v>
      </c>
      <c r="I56" s="12" t="str">
        <f ca="1">IFERROR(__xludf.DUMMYFUNCTION("GOOGLETRANSLATE($B56,""en"",I$3)"),"avatars")</f>
        <v>avatars</v>
      </c>
      <c r="J56" s="12" t="str">
        <f ca="1">IFERROR(__xludf.DUMMYFUNCTION("GOOGLETRANSLATE($B56,""en"",J$3)"),"avatary")</f>
        <v>avatary</v>
      </c>
      <c r="K56" s="12" t="str">
        <f ca="1">IFERROR(__xludf.DUMMYFUNCTION("GOOGLETRANSLATE($B56,""en"",K$3)"),"头像")</f>
        <v>头像</v>
      </c>
      <c r="L56" s="12" t="str">
        <f ca="1">IFERROR(__xludf.DUMMYFUNCTION("GOOGLETRANSLATE($B56,""en"",L$3)"),"頭像")</f>
        <v>頭像</v>
      </c>
      <c r="M56" s="12" t="str">
        <f ca="1">IFERROR(__xludf.DUMMYFUNCTION("GOOGLETRANSLATE($B56,""en"",M$3)"),"Avatars")</f>
        <v>Avatars</v>
      </c>
      <c r="N56" s="12" t="str">
        <f ca="1">IFERROR(__xludf.DUMMYFUNCTION("GOOGLETRANSLATE($B56,""en"",N$3)"),"Avatars")</f>
        <v>Avatars</v>
      </c>
      <c r="O56" s="12" t="str">
        <f ca="1">IFERROR(__xludf.DUMMYFUNCTION("GOOGLETRANSLATE($B56,""en"",O$3)"),"avatarit")</f>
        <v>avatarit</v>
      </c>
      <c r="P56" s="12" t="str">
        <f ca="1">IFERROR(__xludf.DUMMYFUNCTION("GOOGLETRANSLATE($B56,""en"",P$3)"),"avatars")</f>
        <v>avatars</v>
      </c>
      <c r="Q56" s="12" t="str">
        <f ca="1">IFERROR(__xludf.DUMMYFUNCTION("GOOGLETRANSLATE($B56,""en"",Q$3)"),"آواتار ها")</f>
        <v>آواتار ها</v>
      </c>
      <c r="R56" s="12" t="str">
        <f ca="1">IFERROR(__xludf.DUMMYFUNCTION("GOOGLETRANSLATE($B56,""en"",R$3)"),"אווטרים")</f>
        <v>אווטרים</v>
      </c>
      <c r="S56" s="12" t="str">
        <f ca="1">IFERROR(__xludf.DUMMYFUNCTION("GOOGLETRANSLATE($B56,""en"",S$3)"),"Avatars")</f>
        <v>Avatars</v>
      </c>
      <c r="T56" s="12" t="str">
        <f ca="1">IFERROR(__xludf.DUMMYFUNCTION("GOOGLETRANSLATE($B56,""en"",T$3)"),"avatarer")</f>
        <v>avatarer</v>
      </c>
      <c r="U56" s="12" t="str">
        <f ca="1">IFERROR(__xludf.DUMMYFUNCTION("GOOGLETRANSLATE($B56,""en"",U$3)"),"الآلهة")</f>
        <v>الآلهة</v>
      </c>
      <c r="V56" s="12" t="str">
        <f ca="1">IFERROR(__xludf.DUMMYFUNCTION("GOOGLETRANSLATE($B56,""en"",V$3)"),"awatary")</f>
        <v>awatary</v>
      </c>
      <c r="W56" s="12" t="str">
        <f ca="1">IFERROR(__xludf.DUMMYFUNCTION("GOOGLETRANSLATE($B56,""en"",W$3)"),"Аватары")</f>
        <v>Аватары</v>
      </c>
      <c r="X56" s="12" t="str">
        <f ca="1">IFERROR(__xludf.DUMMYFUNCTION("GOOGLETRANSLATE($B56,""en"",X$3)"),"avatares")</f>
        <v>avatares</v>
      </c>
      <c r="Y56" s="12"/>
      <c r="Z56" s="12"/>
    </row>
    <row r="57" spans="1:26" ht="32.25" customHeight="1" x14ac:dyDescent="0.2">
      <c r="A57" s="17" t="s">
        <v>189</v>
      </c>
      <c r="B57" s="17" t="s">
        <v>190</v>
      </c>
      <c r="C57" s="11" t="str">
        <f ca="1">IFERROR(__xludf.DUMMYFUNCTION("GOOGLETRANSLATE($B57,""en"",C$3)"),"Klicken Sie Avatare zu sehen")</f>
        <v>Klicken Sie Avatare zu sehen</v>
      </c>
      <c r="D57" s="12" t="str">
        <f ca="1">IFERROR(__xludf.DUMMYFUNCTION("GOOGLETRANSLATE($B57,""en"",D$3)"),"Klicka för att se avatarer")</f>
        <v>Klicka för att se avatarer</v>
      </c>
      <c r="E57" s="13" t="s">
        <v>191</v>
      </c>
      <c r="F57" s="13" t="s">
        <v>191</v>
      </c>
      <c r="G57" s="12" t="str">
        <f ca="1">IFERROR(__xludf.DUMMYFUNCTION("GOOGLETRANSLATE($B57,""en"",G$3)"),"Cliquez ici pour voir les avatars")</f>
        <v>Cliquez ici pour voir les avatars</v>
      </c>
      <c r="H57" s="12" t="str">
        <f ca="1">IFERROR(__xludf.DUMMYFUNCTION("GOOGLETRANSLATE($B57,""en"",H$3)"),"Klik avatarrak ikusi")</f>
        <v>Klik avatarrak ikusi</v>
      </c>
      <c r="I57" s="12" t="str">
        <f ca="1">IFERROR(__xludf.DUMMYFUNCTION("GOOGLETRANSLATE($B57,""en"",I$3)"),"Feu clic per veure els avatars")</f>
        <v>Feu clic per veure els avatars</v>
      </c>
      <c r="J57" s="12" t="str">
        <f ca="1">IFERROR(__xludf.DUMMYFUNCTION("GOOGLETRANSLATE($B57,""en"",J$3)"),"Klikněte pro zobrazení avatary")</f>
        <v>Klikněte pro zobrazení avatary</v>
      </c>
      <c r="K57" s="12" t="str">
        <f ca="1">IFERROR(__xludf.DUMMYFUNCTION("GOOGLETRANSLATE($B57,""en"",K$3)"),"点击查看头像")</f>
        <v>点击查看头像</v>
      </c>
      <c r="L57" s="12" t="str">
        <f ca="1">IFERROR(__xludf.DUMMYFUNCTION("GOOGLETRANSLATE($B57,""en"",L$3)"),"點擊查看頭像")</f>
        <v>點擊查看頭像</v>
      </c>
      <c r="M57" s="12" t="str">
        <f ca="1">IFERROR(__xludf.DUMMYFUNCTION("GOOGLETRANSLATE($B57,""en"",M$3)"),"Klik hier om avatars te bekijken")</f>
        <v>Klik hier om avatars te bekijken</v>
      </c>
      <c r="N57" s="12" t="str">
        <f ca="1">IFERROR(__xludf.DUMMYFUNCTION("GOOGLETRANSLATE($B57,""en"",N$3)"),"Κάντε κλικ για να δείτε avatars")</f>
        <v>Κάντε κλικ για να δείτε avatars</v>
      </c>
      <c r="O57" s="12" t="str">
        <f ca="1">IFERROR(__xludf.DUMMYFUNCTION("GOOGLETRANSLATE($B57,""en"",O$3)"),"Klikkaa nähdäksesi avatarit")</f>
        <v>Klikkaa nähdäksesi avatarit</v>
      </c>
      <c r="P57" s="12" t="str">
        <f ca="1">IFERROR(__xludf.DUMMYFUNCTION("GOOGLETRANSLATE($B57,""en"",P$3)"),"Cliceáil chun amharc avatars")</f>
        <v>Cliceáil chun amharc avatars</v>
      </c>
      <c r="Q57" s="12" t="str">
        <f ca="1">IFERROR(__xludf.DUMMYFUNCTION("GOOGLETRANSLATE($B57,""en"",Q$3)"),"برای دیدن آواتار را کلیک کنید")</f>
        <v>برای دیدن آواتار را کلیک کنید</v>
      </c>
      <c r="R57" s="12" t="str">
        <f ca="1">IFERROR(__xludf.DUMMYFUNCTION("GOOGLETRANSLATE($B57,""en"",R$3)"),"לחץ כדי להציג תמונות אישיות")</f>
        <v>לחץ כדי להציג תמונות אישיות</v>
      </c>
      <c r="S57" s="12" t="str">
        <f ca="1">IFERROR(__xludf.DUMMYFUNCTION("GOOGLETRANSLATE($B57,""en"",S$3)"),"Smelltu til að skoða avatars")</f>
        <v>Smelltu til að skoða avatars</v>
      </c>
      <c r="T57" s="12" t="str">
        <f ca="1">IFERROR(__xludf.DUMMYFUNCTION("GOOGLETRANSLATE($B57,""en"",T$3)"),"Klikk for å vise avatarer")</f>
        <v>Klikk for å vise avatarer</v>
      </c>
      <c r="U57" s="12" t="str">
        <f ca="1">IFERROR(__xludf.DUMMYFUNCTION("GOOGLETRANSLATE($B57,""en"",U$3)"),"انقر فوق لعرض الآلهة")</f>
        <v>انقر فوق لعرض الآلهة</v>
      </c>
      <c r="V57" s="12" t="str">
        <f ca="1">IFERROR(__xludf.DUMMYFUNCTION("GOOGLETRANSLATE($B57,""en"",V$3)"),"Kliknij aby zobaczyć awatary")</f>
        <v>Kliknij aby zobaczyć awatary</v>
      </c>
      <c r="W57" s="12" t="str">
        <f ca="1">IFERROR(__xludf.DUMMYFUNCTION("GOOGLETRANSLATE($B57,""en"",W$3)"),"Нажмите, чтобы посмотреть аватар")</f>
        <v>Нажмите, чтобы посмотреть аватар</v>
      </c>
      <c r="X57" s="12" t="str">
        <f ca="1">IFERROR(__xludf.DUMMYFUNCTION("GOOGLETRANSLATE($B57,""en"",X$3)"),"Haga clic para ver los avatares")</f>
        <v>Haga clic para ver los avatares</v>
      </c>
      <c r="Y57" s="12"/>
      <c r="Z57" s="12"/>
    </row>
    <row r="58" spans="1:26" ht="32.25" customHeight="1" x14ac:dyDescent="0.2">
      <c r="A58" s="17" t="s">
        <v>192</v>
      </c>
      <c r="B58" s="17" t="s">
        <v>193</v>
      </c>
      <c r="C58" s="11" t="str">
        <f ca="1">IFERROR(__xludf.DUMMYFUNCTION("GOOGLETRANSLATE($B58,""en"",C$3)"),"Sichern von Einstellungen")</f>
        <v>Sichern von Einstellungen</v>
      </c>
      <c r="D58" s="12" t="str">
        <f ca="1">IFERROR(__xludf.DUMMYFUNCTION("GOOGLETRANSLATE($B58,""en"",D$3)"),"Säkerhetskopiera inställningar")</f>
        <v>Säkerhetskopiera inställningar</v>
      </c>
      <c r="E58" s="13" t="s">
        <v>194</v>
      </c>
      <c r="F58" s="13" t="s">
        <v>194</v>
      </c>
      <c r="G58" s="12" t="str">
        <f ca="1">IFERROR(__xludf.DUMMYFUNCTION("GOOGLETRANSLATE($B58,""en"",G$3)"),"Sauvegarde des paramètres")</f>
        <v>Sauvegarde des paramètres</v>
      </c>
      <c r="H58" s="12" t="str">
        <f ca="1">IFERROR(__xludf.DUMMYFUNCTION("GOOGLETRANSLATE($B58,""en"",H$3)"),"Babeskopiak ezarpenak")</f>
        <v>Babeskopiak ezarpenak</v>
      </c>
      <c r="I58" s="12" t="str">
        <f ca="1">IFERROR(__xludf.DUMMYFUNCTION("GOOGLETRANSLATE($B58,""en"",I$3)"),"Còpia de seguretat de configuració")</f>
        <v>Còpia de seguretat de configuració</v>
      </c>
      <c r="J58" s="12" t="str">
        <f ca="1">IFERROR(__xludf.DUMMYFUNCTION("GOOGLETRANSLATE($B58,""en"",J$3)"),"Zálohování nastavení")</f>
        <v>Zálohování nastavení</v>
      </c>
      <c r="K58" s="12" t="str">
        <f ca="1">IFERROR(__xludf.DUMMYFUNCTION("GOOGLETRANSLATE($B58,""en"",K$3)"),"备份设置")</f>
        <v>备份设置</v>
      </c>
      <c r="L58" s="12" t="str">
        <f ca="1">IFERROR(__xludf.DUMMYFUNCTION("GOOGLETRANSLATE($B58,""en"",L$3)"),"備份設置")</f>
        <v>備份設置</v>
      </c>
      <c r="M58" s="12" t="str">
        <f ca="1">IFERROR(__xludf.DUMMYFUNCTION("GOOGLETRANSLATE($B58,""en"",M$3)"),"Een back-up-instellingen")</f>
        <v>Een back-up-instellingen</v>
      </c>
      <c r="N58" s="12" t="str">
        <f ca="1">IFERROR(__xludf.DUMMYFUNCTION("GOOGLETRANSLATE($B58,""en"",N$3)"),"Δημιουργία αντιγράφων ασφαλείας Ρυθμίσεις")</f>
        <v>Δημιουργία αντιγράφων ασφαλείας Ρυθμίσεις</v>
      </c>
      <c r="O58" s="12" t="str">
        <f ca="1">IFERROR(__xludf.DUMMYFUNCTION("GOOGLETRANSLATE($B58,""en"",O$3)"),"Asetusten varmuuskopiointi")</f>
        <v>Asetusten varmuuskopiointi</v>
      </c>
      <c r="P58" s="12" t="str">
        <f ca="1">IFERROR(__xludf.DUMMYFUNCTION("GOOGLETRANSLATE($B58,""en"",P$3)"),"Tacaíocht suas Socruithe")</f>
        <v>Tacaíocht suas Socruithe</v>
      </c>
      <c r="Q58" s="12" t="str">
        <f ca="1">IFERROR(__xludf.DUMMYFUNCTION("GOOGLETRANSLATE($B58,""en"",Q$3)"),"تهیه نسخه پشتیبان از تنظیمات")</f>
        <v>تهیه نسخه پشتیبان از تنظیمات</v>
      </c>
      <c r="R58" s="12" t="str">
        <f ca="1">IFERROR(__xludf.DUMMYFUNCTION("GOOGLETRANSLATE($B58,""en"",R$3)"),"גיבוי הגדרות")</f>
        <v>גיבוי הגדרות</v>
      </c>
      <c r="S58" s="12" t="str">
        <f ca="1">IFERROR(__xludf.DUMMYFUNCTION("GOOGLETRANSLATE($B58,""en"",S$3)"),"Afritun Stillingar")</f>
        <v>Afritun Stillingar</v>
      </c>
      <c r="T58" s="12" t="str">
        <f ca="1">IFERROR(__xludf.DUMMYFUNCTION("GOOGLETRANSLATE($B58,""en"",T$3)"),"Sikkerhetskopiering Innstillinger")</f>
        <v>Sikkerhetskopiering Innstillinger</v>
      </c>
      <c r="U58" s="12" t="str">
        <f ca="1">IFERROR(__xludf.DUMMYFUNCTION("GOOGLETRANSLATE($B58,""en"",U$3)"),"النسخ الاحتياطي إعدادات")</f>
        <v>النسخ الاحتياطي إعدادات</v>
      </c>
      <c r="V58" s="12" t="str">
        <f ca="1">IFERROR(__xludf.DUMMYFUNCTION("GOOGLETRANSLATE($B58,""en"",V$3)"),"Tworzenie kopii zapasowej ustawień")</f>
        <v>Tworzenie kopii zapasowej ustawień</v>
      </c>
      <c r="W58" s="12" t="str">
        <f ca="1">IFERROR(__xludf.DUMMYFUNCTION("GOOGLETRANSLATE($B58,""en"",W$3)"),"Резервное копирование настроек")</f>
        <v>Резервное копирование настроек</v>
      </c>
      <c r="X58" s="12" t="str">
        <f ca="1">IFERROR(__xludf.DUMMYFUNCTION("GOOGLETRANSLATE($B58,""en"",X$3)"),"Copia de seguridad de Configuración")</f>
        <v>Copia de seguridad de Configuración</v>
      </c>
      <c r="Y58" s="12"/>
      <c r="Z58" s="12"/>
    </row>
    <row r="59" spans="1:26" ht="32.25" customHeight="1" x14ac:dyDescent="0.2">
      <c r="A59" s="17" t="s">
        <v>195</v>
      </c>
      <c r="B59" s="17" t="s">
        <v>196</v>
      </c>
      <c r="C59" s="18" t="s">
        <v>1786</v>
      </c>
      <c r="D59" s="12" t="str">
        <f ca="1">IFERROR(__xludf.DUMMYFUNCTION("GOOGLETRANSLATE($B59,""en"",D$3)"),"Backup anpassad webbsidor")</f>
        <v>Backup anpassad webbsidor</v>
      </c>
      <c r="E59" s="12" t="str">
        <f ca="1">IFERROR(__xludf.DUMMYFUNCTION("GOOGLETRANSLATE($B59,""en"",E$3)"),"Backup de Páginas Web personalizado")</f>
        <v>Backup de Páginas Web personalizado</v>
      </c>
      <c r="F59" s="12" t="str">
        <f ca="1">IFERROR(__xludf.DUMMYFUNCTION("GOOGLETRANSLATE($B59,""en"",F$3)"),"Backup de Páginas Web personalizado")</f>
        <v>Backup de Páginas Web personalizado</v>
      </c>
      <c r="G59" s="12" t="str">
        <f ca="1">IFERROR(__xludf.DUMMYFUNCTION("GOOGLETRANSLATE($B59,""en"",G$3)"),"Sauvegarde de pages Web personnalisées")</f>
        <v>Sauvegarde de pages Web personnalisées</v>
      </c>
      <c r="H59" s="12" t="str">
        <f ca="1">IFERROR(__xludf.DUMMYFUNCTION("GOOGLETRANSLATE($B59,""en"",H$3)"),"Backup pertsonalizatua Web Orriak")</f>
        <v>Backup pertsonalizatua Web Orriak</v>
      </c>
      <c r="I59" s="12" t="str">
        <f ca="1">IFERROR(__xludf.DUMMYFUNCTION("GOOGLETRANSLATE($B59,""en"",I$3)"),"Còpia de seguretat Pàgines web personalitzat")</f>
        <v>Còpia de seguretat Pàgines web personalitzat</v>
      </c>
      <c r="J59" s="12" t="str">
        <f ca="1">IFERROR(__xludf.DUMMYFUNCTION("GOOGLETRANSLATE($B59,""en"",J$3)"),"Záloha vlastních webových stránek")</f>
        <v>Záloha vlastních webových stránek</v>
      </c>
      <c r="K59" s="12" t="str">
        <f ca="1">IFERROR(__xludf.DUMMYFUNCTION("GOOGLETRANSLATE($B59,""en"",K$3)"),"备份自定义网页")</f>
        <v>备份自定义网页</v>
      </c>
      <c r="L59" s="12" t="str">
        <f ca="1">IFERROR(__xludf.DUMMYFUNCTION("GOOGLETRANSLATE($B59,""en"",L$3)"),"備份自定義網頁")</f>
        <v>備份自定義網頁</v>
      </c>
      <c r="M59" s="12" t="str">
        <f ca="1">IFERROR(__xludf.DUMMYFUNCTION("GOOGLETRANSLATE($B59,""en"",M$3)"),"Backup aangepaste webpagina's")</f>
        <v>Backup aangepaste webpagina's</v>
      </c>
      <c r="N59" s="12" t="str">
        <f ca="1">IFERROR(__xludf.DUMMYFUNCTION("GOOGLETRANSLATE($B59,""en"",N$3)"),"Δημιουργία αντιγράφων ασφαλείας Custom Web Pages")</f>
        <v>Δημιουργία αντιγράφων ασφαλείας Custom Web Pages</v>
      </c>
      <c r="O59" s="12" t="str">
        <f ca="1">IFERROR(__xludf.DUMMYFUNCTION("GOOGLETRANSLATE($B59,""en"",O$3)"),"Varmuuskopiointi Custom Web-sivut")</f>
        <v>Varmuuskopiointi Custom Web-sivut</v>
      </c>
      <c r="P59" s="12" t="str">
        <f ca="1">IFERROR(__xludf.DUMMYFUNCTION("GOOGLETRANSLATE($B59,""en"",P$3)"),"Cúltaca Gréasáin an Chustaim Leathanaigh")</f>
        <v>Cúltaca Gréasáin an Chustaim Leathanaigh</v>
      </c>
      <c r="Q59" s="12" t="str">
        <f ca="1">IFERROR(__xludf.DUMMYFUNCTION("GOOGLETRANSLATE($B59,""en"",Q$3)"),"پشتیبان گیری سفارشی صفحات وب")</f>
        <v>پشتیبان گیری سفارشی صفحات وب</v>
      </c>
      <c r="R59" s="12" t="str">
        <f ca="1">IFERROR(__xludf.DUMMYFUNCTION("GOOGLETRANSLATE($B59,""en"",R$3)"),"דפי אינטרנט מותאמים אישית גיבוי")</f>
        <v>דפי אינטרנט מותאמים אישית גיבוי</v>
      </c>
      <c r="S59" s="12" t="str">
        <f ca="1">IFERROR(__xludf.DUMMYFUNCTION("GOOGLETRANSLATE($B59,""en"",S$3)"),"Afritun Custom Web Pages")</f>
        <v>Afritun Custom Web Pages</v>
      </c>
      <c r="T59" s="12" t="str">
        <f ca="1">IFERROR(__xludf.DUMMYFUNCTION("GOOGLETRANSLATE($B59,""en"",T$3)"),"Backup Custom websider")</f>
        <v>Backup Custom websider</v>
      </c>
      <c r="U59" s="12" t="str">
        <f ca="1">IFERROR(__xludf.DUMMYFUNCTION("GOOGLETRANSLATE($B59,""en"",U$3)"),"احتياطية مخصصة صفحات ويب")</f>
        <v>احتياطية مخصصة صفحات ويب</v>
      </c>
      <c r="V59" s="12" t="str">
        <f ca="1">IFERROR(__xludf.DUMMYFUNCTION("GOOGLETRANSLATE($B59,""en"",V$3)"),"Backup Custom Web Pages")</f>
        <v>Backup Custom Web Pages</v>
      </c>
      <c r="W59" s="12" t="str">
        <f ca="1">IFERROR(__xludf.DUMMYFUNCTION("GOOGLETRANSLATE($B59,""en"",W$3)"),"Резервное копирование пользовательских веб-страниц")</f>
        <v>Резервное копирование пользовательских веб-страниц</v>
      </c>
      <c r="X59" s="12" t="str">
        <f ca="1">IFERROR(__xludf.DUMMYFUNCTION("GOOGLETRANSLATE($B59,""en"",X$3)"),"Copia de seguridad Páginas Web personalizado")</f>
        <v>Copia de seguridad Páginas Web personalizado</v>
      </c>
      <c r="Y59" s="12"/>
      <c r="Z59" s="12"/>
    </row>
    <row r="60" spans="1:26" ht="32.25" customHeight="1" x14ac:dyDescent="0.2">
      <c r="A60" s="17" t="s">
        <v>197</v>
      </c>
      <c r="B60" s="17" t="s">
        <v>198</v>
      </c>
      <c r="C60" s="11" t="str">
        <f ca="1">IFERROR(__xludf.DUMMYFUNCTION("GOOGLETRANSLATE($B60,""en"",C$3)"),"Backup-Datendateien")</f>
        <v>Backup-Datendateien</v>
      </c>
      <c r="D60" s="12" t="str">
        <f ca="1">IFERROR(__xludf.DUMMYFUNCTION("GOOGLETRANSLATE($B60,""en"",D$3)"),"Backup datafiler")</f>
        <v>Backup datafiler</v>
      </c>
      <c r="E60" s="12" t="str">
        <f ca="1">IFERROR(__xludf.DUMMYFUNCTION("GOOGLETRANSLATE($B60,""en"",E$3)"),"Arquivos de dados de backup")</f>
        <v>Arquivos de dados de backup</v>
      </c>
      <c r="F60" s="12" t="str">
        <f ca="1">IFERROR(__xludf.DUMMYFUNCTION("GOOGLETRANSLATE($B60,""en"",F$3)"),"Arquivos de dados de backup")</f>
        <v>Arquivos de dados de backup</v>
      </c>
      <c r="G60" s="12" t="str">
        <f ca="1">IFERROR(__xludf.DUMMYFUNCTION("GOOGLETRANSLATE($B60,""en"",G$3)"),"Fichiers de données de sauvegarde")</f>
        <v>Fichiers de données de sauvegarde</v>
      </c>
      <c r="H60" s="12" t="str">
        <f ca="1">IFERROR(__xludf.DUMMYFUNCTION("GOOGLETRANSLATE($B60,""en"",H$3)"),"Datu fitxategiak Backup")</f>
        <v>Datu fitxategiak Backup</v>
      </c>
      <c r="I60" s="12" t="str">
        <f ca="1">IFERROR(__xludf.DUMMYFUNCTION("GOOGLETRANSLATE($B60,""en"",I$3)"),"Còpia de seguretat d'arxius de dades")</f>
        <v>Còpia de seguretat d'arxius de dades</v>
      </c>
      <c r="J60" s="12" t="str">
        <f ca="1">IFERROR(__xludf.DUMMYFUNCTION("GOOGLETRANSLATE($B60,""en"",J$3)"),"Zálohování souborů dat")</f>
        <v>Zálohování souborů dat</v>
      </c>
      <c r="K60" s="12" t="str">
        <f ca="1">IFERROR(__xludf.DUMMYFUNCTION("GOOGLETRANSLATE($B60,""en"",K$3)"),"备份数据文件")</f>
        <v>备份数据文件</v>
      </c>
      <c r="L60" s="12" t="str">
        <f ca="1">IFERROR(__xludf.DUMMYFUNCTION("GOOGLETRANSLATE($B60,""en"",L$3)"),"備份數據文件")</f>
        <v>備份數據文件</v>
      </c>
      <c r="M60" s="12" t="str">
        <f ca="1">IFERROR(__xludf.DUMMYFUNCTION("GOOGLETRANSLATE($B60,""en"",M$3)"),"Backup Data Files")</f>
        <v>Backup Data Files</v>
      </c>
      <c r="N60" s="12" t="str">
        <f ca="1">IFERROR(__xludf.DUMMYFUNCTION("GOOGLETRANSLATE($B60,""en"",N$3)"),"Δημιουργία αντιγράφων ασφαλείας αρχείων δεδομένων")</f>
        <v>Δημιουργία αντιγράφων ασφαλείας αρχείων δεδομένων</v>
      </c>
      <c r="O60" s="12" t="str">
        <f ca="1">IFERROR(__xludf.DUMMYFUNCTION("GOOGLETRANSLATE($B60,""en"",O$3)"),"Backup Datatiedostot")</f>
        <v>Backup Datatiedostot</v>
      </c>
      <c r="P60" s="12" t="str">
        <f ca="1">IFERROR(__xludf.DUMMYFUNCTION("GOOGLETRANSLATE($B60,""en"",P$3)"),"Backup Sonraína")</f>
        <v>Backup Sonraína</v>
      </c>
      <c r="Q60" s="12" t="str">
        <f ca="1">IFERROR(__xludf.DUMMYFUNCTION("GOOGLETRANSLATE($B60,""en"",Q$3)"),"پشتیبان گیری داده ها فایلها")</f>
        <v>پشتیبان گیری داده ها فایلها</v>
      </c>
      <c r="R60" s="12" t="str">
        <f ca="1">IFERROR(__xludf.DUMMYFUNCTION("GOOGLETRANSLATE($B60,""en"",R$3)"),"קובצי נתונים גיבוי")</f>
        <v>קובצי נתונים גיבוי</v>
      </c>
      <c r="S60" s="12" t="str">
        <f ca="1">IFERROR(__xludf.DUMMYFUNCTION("GOOGLETRANSLATE($B60,""en"",S$3)"),"Afritun Data Files")</f>
        <v>Afritun Data Files</v>
      </c>
      <c r="T60" s="12" t="str">
        <f ca="1">IFERROR(__xludf.DUMMYFUNCTION("GOOGLETRANSLATE($B60,""en"",T$3)"),"Backup datafiler")</f>
        <v>Backup datafiler</v>
      </c>
      <c r="U60" s="12" t="str">
        <f ca="1">IFERROR(__xludf.DUMMYFUNCTION("GOOGLETRANSLATE($B60,""en"",U$3)"),"ملفات النسخ الاحتياطي للبيانات")</f>
        <v>ملفات النسخ الاحتياطي للبيانات</v>
      </c>
      <c r="V60" s="12" t="str">
        <f ca="1">IFERROR(__xludf.DUMMYFUNCTION("GOOGLETRANSLATE($B60,""en"",V$3)"),"Pliki kopii zapasowej danych")</f>
        <v>Pliki kopii zapasowej danych</v>
      </c>
      <c r="W60" s="12" t="str">
        <f ca="1">IFERROR(__xludf.DUMMYFUNCTION("GOOGLETRANSLATE($B60,""en"",W$3)"),"Резервное копирование файлов данных")</f>
        <v>Резервное копирование файлов данных</v>
      </c>
      <c r="X60" s="12" t="str">
        <f ca="1">IFERROR(__xludf.DUMMYFUNCTION("GOOGLETRANSLATE($B60,""en"",X$3)"),"Copia de seguridad de archivos de datos")</f>
        <v>Copia de seguridad de archivos de datos</v>
      </c>
      <c r="Y60" s="12"/>
      <c r="Z60" s="12"/>
    </row>
    <row r="61" spans="1:26" ht="32.25" customHeight="1" x14ac:dyDescent="0.2">
      <c r="A61" s="17" t="s">
        <v>199</v>
      </c>
      <c r="B61" s="17" t="s">
        <v>200</v>
      </c>
      <c r="C61" s="11" t="str">
        <f ca="1">IFERROR(__xludf.DUMMYFUNCTION("GOOGLETRANSLATE($B61,""en"",C$3)"),"Backup-Datenbanken")</f>
        <v>Backup-Datenbanken</v>
      </c>
      <c r="D61" s="12" t="str">
        <f ca="1">IFERROR(__xludf.DUMMYFUNCTION("GOOGLETRANSLATE($B61,""en"",D$3)"),"Backup databaser")</f>
        <v>Backup databaser</v>
      </c>
      <c r="E61" s="12" t="str">
        <f ca="1">IFERROR(__xludf.DUMMYFUNCTION("GOOGLETRANSLATE($B61,""en"",E$3)"),"Bases de dados de backup")</f>
        <v>Bases de dados de backup</v>
      </c>
      <c r="F61" s="12" t="str">
        <f ca="1">IFERROR(__xludf.DUMMYFUNCTION("GOOGLETRANSLATE($B61,""en"",F$3)"),"Bases de dados de backup")</f>
        <v>Bases de dados de backup</v>
      </c>
      <c r="G61" s="12" t="str">
        <f ca="1">IFERROR(__xludf.DUMMYFUNCTION("GOOGLETRANSLATE($B61,""en"",G$3)"),"bases de données de sauvegarde")</f>
        <v>bases de données de sauvegarde</v>
      </c>
      <c r="H61" s="12" t="str">
        <f ca="1">IFERROR(__xludf.DUMMYFUNCTION("GOOGLETRANSLATE($B61,""en"",H$3)"),"Backup Datu baseak")</f>
        <v>Backup Datu baseak</v>
      </c>
      <c r="I61" s="12" t="str">
        <f ca="1">IFERROR(__xludf.DUMMYFUNCTION("GOOGLETRANSLATE($B61,""en"",I$3)"),"Bases de dades de còpia de seguretat")</f>
        <v>Bases de dades de còpia de seguretat</v>
      </c>
      <c r="J61" s="12" t="str">
        <f ca="1">IFERROR(__xludf.DUMMYFUNCTION("GOOGLETRANSLATE($B61,""en"",J$3)"),"zálohování databáze")</f>
        <v>zálohování databáze</v>
      </c>
      <c r="K61" s="12" t="str">
        <f ca="1">IFERROR(__xludf.DUMMYFUNCTION("GOOGLETRANSLATE($B61,""en"",K$3)"),"备份数据库")</f>
        <v>备份数据库</v>
      </c>
      <c r="L61" s="12" t="str">
        <f ca="1">IFERROR(__xludf.DUMMYFUNCTION("GOOGLETRANSLATE($B61,""en"",L$3)"),"備份數據庫")</f>
        <v>備份數據庫</v>
      </c>
      <c r="M61" s="12" t="str">
        <f ca="1">IFERROR(__xludf.DUMMYFUNCTION("GOOGLETRANSLATE($B61,""en"",M$3)"),"backup Databases")</f>
        <v>backup Databases</v>
      </c>
      <c r="N61" s="12" t="str">
        <f ca="1">IFERROR(__xludf.DUMMYFUNCTION("GOOGLETRANSLATE($B61,""en"",N$3)"),"Δημιουργία αντιγράφων ασφαλείας βάσεων δεδομένων")</f>
        <v>Δημιουργία αντιγράφων ασφαλείας βάσεων δεδομένων</v>
      </c>
      <c r="O61" s="12" t="str">
        <f ca="1">IFERROR(__xludf.DUMMYFUNCTION("GOOGLETRANSLATE($B61,""en"",O$3)"),"backup Tietokannat")</f>
        <v>backup Tietokannat</v>
      </c>
      <c r="P61" s="12" t="str">
        <f ca="1">IFERROR(__xludf.DUMMYFUNCTION("GOOGLETRANSLATE($B61,""en"",P$3)"),"Bunachair Cúltaca")</f>
        <v>Bunachair Cúltaca</v>
      </c>
      <c r="Q61" s="12" t="str">
        <f ca="1">IFERROR(__xludf.DUMMYFUNCTION("GOOGLETRANSLATE($B61,""en"",Q$3)"),"پایگاه داده پشتیبان گیری")</f>
        <v>پایگاه داده پشتیبان گیری</v>
      </c>
      <c r="R61" s="12" t="str">
        <f ca="1">IFERROR(__xludf.DUMMYFUNCTION("GOOGLETRANSLATE($B61,""en"",R$3)"),"מאגרי גיבוי")</f>
        <v>מאגרי גיבוי</v>
      </c>
      <c r="S61" s="12" t="str">
        <f ca="1">IFERROR(__xludf.DUMMYFUNCTION("GOOGLETRANSLATE($B61,""en"",S$3)"),"Backup Gagnagrunnar")</f>
        <v>Backup Gagnagrunnar</v>
      </c>
      <c r="T61" s="12" t="str">
        <f ca="1">IFERROR(__xludf.DUMMYFUNCTION("GOOGLETRANSLATE($B61,""en"",T$3)"),"backup Databaser")</f>
        <v>backup Databaser</v>
      </c>
      <c r="U61" s="12" t="str">
        <f ca="1">IFERROR(__xludf.DUMMYFUNCTION("GOOGLETRANSLATE($B61,""en"",U$3)"),"قواعد بيانات النسخ الاحتياطي")</f>
        <v>قواعد بيانات النسخ الاحتياطي</v>
      </c>
      <c r="V61" s="12" t="str">
        <f ca="1">IFERROR(__xludf.DUMMYFUNCTION("GOOGLETRANSLATE($B61,""en"",V$3)"),"Bazy danych zapasowych")</f>
        <v>Bazy danych zapasowych</v>
      </c>
      <c r="W61" s="12" t="str">
        <f ca="1">IFERROR(__xludf.DUMMYFUNCTION("GOOGLETRANSLATE($B61,""en"",W$3)"),"Резервное копирование базы данных")</f>
        <v>Резервное копирование базы данных</v>
      </c>
      <c r="X61" s="12" t="str">
        <f ca="1">IFERROR(__xludf.DUMMYFUNCTION("GOOGLETRANSLATE($B61,""en"",X$3)"),"Bases de datos de copia de seguridad")</f>
        <v>Bases de datos de copia de seguridad</v>
      </c>
      <c r="Y61" s="12"/>
      <c r="Z61" s="12"/>
    </row>
    <row r="62" spans="1:26" ht="32.25" customHeight="1" x14ac:dyDescent="0.2">
      <c r="A62" s="17" t="s">
        <v>201</v>
      </c>
      <c r="B62" s="17" t="s">
        <v>202</v>
      </c>
      <c r="C62" s="11" t="str">
        <f ca="1">IFERROR(__xludf.DUMMYFUNCTION("GOOGLETRANSLATE($B62,""en"",C$3)"),"Sicherungsordner")</f>
        <v>Sicherungsordner</v>
      </c>
      <c r="D62" s="12" t="str">
        <f ca="1">IFERROR(__xludf.DUMMYFUNCTION("GOOGLETRANSLATE($B62,""en"",D$3)"),"backup Folder")</f>
        <v>backup Folder</v>
      </c>
      <c r="E62" s="12" t="str">
        <f ca="1">IFERROR(__xludf.DUMMYFUNCTION("GOOGLETRANSLATE($B62,""en"",E$3)"),"pasta de backup")</f>
        <v>pasta de backup</v>
      </c>
      <c r="F62" s="12" t="str">
        <f ca="1">IFERROR(__xludf.DUMMYFUNCTION("GOOGLETRANSLATE($B62,""en"",F$3)"),"pasta de backup")</f>
        <v>pasta de backup</v>
      </c>
      <c r="G62" s="12" t="str">
        <f ca="1">IFERROR(__xludf.DUMMYFUNCTION("GOOGLETRANSLATE($B62,""en"",G$3)"),"dossier de sauvegarde")</f>
        <v>dossier de sauvegarde</v>
      </c>
      <c r="H62" s="12" t="str">
        <f ca="1">IFERROR(__xludf.DUMMYFUNCTION("GOOGLETRANSLATE($B62,""en"",H$3)"),"Backup karpeta")</f>
        <v>Backup karpeta</v>
      </c>
      <c r="I62" s="12" t="str">
        <f ca="1">IFERROR(__xludf.DUMMYFUNCTION("GOOGLETRANSLATE($B62,""en"",I$3)"),"carpeta de suport")</f>
        <v>carpeta de suport</v>
      </c>
      <c r="J62" s="12" t="str">
        <f ca="1">IFERROR(__xludf.DUMMYFUNCTION("GOOGLETRANSLATE($B62,""en"",J$3)"),"Backup Folder")</f>
        <v>Backup Folder</v>
      </c>
      <c r="K62" s="12" t="str">
        <f ca="1">IFERROR(__xludf.DUMMYFUNCTION("GOOGLETRANSLATE($B62,""en"",K$3)"),"备份文件夹")</f>
        <v>备份文件夹</v>
      </c>
      <c r="L62" s="12" t="str">
        <f ca="1">IFERROR(__xludf.DUMMYFUNCTION("GOOGLETRANSLATE($B62,""en"",L$3)"),"備份文件夾")</f>
        <v>備份文件夾</v>
      </c>
      <c r="M62" s="12" t="str">
        <f ca="1">IFERROR(__xludf.DUMMYFUNCTION("GOOGLETRANSLATE($B62,""en"",M$3)"),"backup Folder")</f>
        <v>backup Folder</v>
      </c>
      <c r="N62" s="12" t="str">
        <f ca="1">IFERROR(__xludf.DUMMYFUNCTION("GOOGLETRANSLATE($B62,""en"",N$3)"),"Δημιουργία αντιγράφων ασφαλείας φακέλων")</f>
        <v>Δημιουργία αντιγράφων ασφαλείας φακέλων</v>
      </c>
      <c r="O62" s="12" t="str">
        <f ca="1">IFERROR(__xludf.DUMMYFUNCTION("GOOGLETRANSLATE($B62,""en"",O$3)"),"varmuuskopiokansioon")</f>
        <v>varmuuskopiokansioon</v>
      </c>
      <c r="P62" s="12" t="str">
        <f ca="1">IFERROR(__xludf.DUMMYFUNCTION("GOOGLETRANSLATE($B62,""en"",P$3)"),"Fillteán Cúltaca")</f>
        <v>Fillteán Cúltaca</v>
      </c>
      <c r="Q62" s="12" t="str">
        <f ca="1">IFERROR(__xludf.DUMMYFUNCTION("GOOGLETRANSLATE($B62,""en"",Q$3)"),"پوشه پشتیبان گیری")</f>
        <v>پوشه پشتیبان گیری</v>
      </c>
      <c r="R62" s="12" t="str">
        <f ca="1">IFERROR(__xludf.DUMMYFUNCTION("GOOGLETRANSLATE($B62,""en"",R$3)"),"תיקיית גיבוי")</f>
        <v>תיקיית גיבוי</v>
      </c>
      <c r="S62" s="12" t="str">
        <f ca="1">IFERROR(__xludf.DUMMYFUNCTION("GOOGLETRANSLATE($B62,""en"",S$3)"),"Afritun Mappa")</f>
        <v>Afritun Mappa</v>
      </c>
      <c r="T62" s="12" t="str">
        <f ca="1">IFERROR(__xludf.DUMMYFUNCTION("GOOGLETRANSLATE($B62,""en"",T$3)"),"backup Folder")</f>
        <v>backup Folder</v>
      </c>
      <c r="U62" s="12" t="str">
        <f ca="1">IFERROR(__xludf.DUMMYFUNCTION("GOOGLETRANSLATE($B62,""en"",U$3)"),"مجلد النسخ الاحتياطي")</f>
        <v>مجلد النسخ الاحتياطي</v>
      </c>
      <c r="V62" s="12" t="str">
        <f ca="1">IFERROR(__xludf.DUMMYFUNCTION("GOOGLETRANSLATE($B62,""en"",V$3)"),"Folder kopii zapasowej")</f>
        <v>Folder kopii zapasowej</v>
      </c>
      <c r="W62" s="12" t="str">
        <f ca="1">IFERROR(__xludf.DUMMYFUNCTION("GOOGLETRANSLATE($B62,""en"",W$3)"),"Резервное копирование папки")</f>
        <v>Резервное копирование папки</v>
      </c>
      <c r="X62" s="12" t="str">
        <f ca="1">IFERROR(__xludf.DUMMYFUNCTION("GOOGLETRANSLATE($B62,""en"",X$3)"),"carpeta de respaldo")</f>
        <v>carpeta de respaldo</v>
      </c>
      <c r="Y62" s="12"/>
      <c r="Z62" s="12"/>
    </row>
    <row r="63" spans="1:26" ht="32.25" customHeight="1" x14ac:dyDescent="0.2">
      <c r="A63" s="17" t="s">
        <v>203</v>
      </c>
      <c r="B63" s="17" t="s">
        <v>204</v>
      </c>
      <c r="C63" s="11" t="str">
        <f ca="1">IFERROR(__xludf.DUMMYFUNCTION("GOOGLETRANSLATE($B63,""en"",C$3)"),"Backup FSAssets Ordner")</f>
        <v>Backup FSAssets Ordner</v>
      </c>
      <c r="D63" s="12" t="str">
        <f ca="1">IFERROR(__xludf.DUMMYFUNCTION("GOOGLETRANSLATE($B63,""en"",D$3)"),"Backup FSAssets mapp")</f>
        <v>Backup FSAssets mapp</v>
      </c>
      <c r="E63" s="12" t="str">
        <f ca="1">IFERROR(__xludf.DUMMYFUNCTION("GOOGLETRANSLATE($B63,""en"",E$3)"),"pasta FSAssets de backup")</f>
        <v>pasta FSAssets de backup</v>
      </c>
      <c r="F63" s="12" t="str">
        <f ca="1">IFERROR(__xludf.DUMMYFUNCTION("GOOGLETRANSLATE($B63,""en"",F$3)"),"pasta FSAssets de backup")</f>
        <v>pasta FSAssets de backup</v>
      </c>
      <c r="G63" s="12" t="str">
        <f ca="1">IFERROR(__xludf.DUMMYFUNCTION("GOOGLETRANSLATE($B63,""en"",G$3)"),"dossier de sauvegarde FSAssets")</f>
        <v>dossier de sauvegarde FSAssets</v>
      </c>
      <c r="H63" s="12" t="str">
        <f ca="1">IFERROR(__xludf.DUMMYFUNCTION("GOOGLETRANSLATE($B63,""en"",H$3)"),"Backup FSAssets karpeta")</f>
        <v>Backup FSAssets karpeta</v>
      </c>
      <c r="I63" s="12" t="str">
        <f ca="1">IFERROR(__xludf.DUMMYFUNCTION("GOOGLETRANSLATE($B63,""en"",I$3)"),"carpeta de còpia de seguretat FSAssets")</f>
        <v>carpeta de còpia de seguretat FSAssets</v>
      </c>
      <c r="J63" s="12" t="str">
        <f ca="1">IFERROR(__xludf.DUMMYFUNCTION("GOOGLETRANSLATE($B63,""en"",J$3)"),"záložní složky FSAssets")</f>
        <v>záložní složky FSAssets</v>
      </c>
      <c r="K63" s="12" t="str">
        <f ca="1">IFERROR(__xludf.DUMMYFUNCTION("GOOGLETRANSLATE($B63,""en"",K$3)"),"备份文件夹FSAssets")</f>
        <v>备份文件夹FSAssets</v>
      </c>
      <c r="L63" s="12" t="str">
        <f ca="1">IFERROR(__xludf.DUMMYFUNCTION("GOOGLETRANSLATE($B63,""en"",L$3)"),"備份文件夾FSAssets")</f>
        <v>備份文件夾FSAssets</v>
      </c>
      <c r="M63" s="12" t="str">
        <f ca="1">IFERROR(__xludf.DUMMYFUNCTION("GOOGLETRANSLATE($B63,""en"",M$3)"),"folder Backup FSAssets")</f>
        <v>folder Backup FSAssets</v>
      </c>
      <c r="N63" s="12" t="str">
        <f ca="1">IFERROR(__xludf.DUMMYFUNCTION("GOOGLETRANSLATE($B63,""en"",N$3)"),"φάκελο αντιγράφων ασφαλείας FSAssets")</f>
        <v>φάκελο αντιγράφων ασφαλείας FSAssets</v>
      </c>
      <c r="O63" s="12" t="str">
        <f ca="1">IFERROR(__xludf.DUMMYFUNCTION("GOOGLETRANSLATE($B63,""en"",O$3)"),"Backup FSAssets kansio")</f>
        <v>Backup FSAssets kansio</v>
      </c>
      <c r="P63" s="12" t="str">
        <f ca="1">IFERROR(__xludf.DUMMYFUNCTION("GOOGLETRANSLATE($B63,""en"",P$3)"),"FSAssets Cúltaca fillteán")</f>
        <v>FSAssets Cúltaca fillteán</v>
      </c>
      <c r="Q63" s="12" t="str">
        <f ca="1">IFERROR(__xludf.DUMMYFUNCTION("GOOGLETRANSLATE($B63,""en"",Q$3)"),"پوشه FSAssets پشتیبان گیری")</f>
        <v>پوشه FSAssets پشتیبان گیری</v>
      </c>
      <c r="R63" s="12" t="str">
        <f ca="1">IFERROR(__xludf.DUMMYFUNCTION("GOOGLETRANSLATE($B63,""en"",R$3)"),"תיקיית FSAssets הגיבוי")</f>
        <v>תיקיית FSAssets הגיבוי</v>
      </c>
      <c r="S63" s="12" t="str">
        <f ca="1">IFERROR(__xludf.DUMMYFUNCTION("GOOGLETRANSLATE($B63,""en"",S$3)"),"Backup FSAssets mappa")</f>
        <v>Backup FSAssets mappa</v>
      </c>
      <c r="T63" s="12" t="str">
        <f ca="1">IFERROR(__xludf.DUMMYFUNCTION("GOOGLETRANSLATE($B63,""en"",T$3)"),"Backup FSAssets mappe")</f>
        <v>Backup FSAssets mappe</v>
      </c>
      <c r="U63" s="12" t="str">
        <f ca="1">IFERROR(__xludf.DUMMYFUNCTION("GOOGLETRANSLATE($B63,""en"",U$3)"),"مجلد FSAssets النسخ الاحتياطي")</f>
        <v>مجلد FSAssets النسخ الاحتياطي</v>
      </c>
      <c r="V63" s="12" t="str">
        <f ca="1">IFERROR(__xludf.DUMMYFUNCTION("GOOGLETRANSLATE($B63,""en"",V$3)"),"Folder FSAssets zapasowych")</f>
        <v>Folder FSAssets zapasowych</v>
      </c>
      <c r="W63" s="12" t="str">
        <f ca="1">IFERROR(__xludf.DUMMYFUNCTION("GOOGLETRANSLATE($B63,""en"",W$3)"),"Папка резервного копирования FSAssets")</f>
        <v>Папка резервного копирования FSAssets</v>
      </c>
      <c r="X63" s="12" t="str">
        <f ca="1">IFERROR(__xludf.DUMMYFUNCTION("GOOGLETRANSLATE($B63,""en"",X$3)"),"carpeta de copia de seguridad FSAssets")</f>
        <v>carpeta de copia de seguridad FSAssets</v>
      </c>
      <c r="Y63" s="12"/>
      <c r="Z63" s="12"/>
    </row>
    <row r="64" spans="1:26" ht="32.25" customHeight="1" x14ac:dyDescent="0.2">
      <c r="A64" s="17" t="s">
        <v>205</v>
      </c>
      <c r="B64" s="17" t="s">
        <v>206</v>
      </c>
      <c r="C64" s="11" t="str">
        <f ca="1">IFERROR(__xludf.DUMMYFUNCTION("GOOGLETRANSLATE($B64,""en"",C$3)"),"Backup Mysql Data-Ordner")</f>
        <v>Backup Mysql Data-Ordner</v>
      </c>
      <c r="D64" s="12" t="str">
        <f ca="1">IFERROR(__xludf.DUMMYFUNCTION("GOOGLETRANSLATE($B64,""en"",D$3)"),"Backup Mysql Data mapp")</f>
        <v>Backup Mysql Data mapp</v>
      </c>
      <c r="E64" s="12" t="str">
        <f ca="1">IFERROR(__xludf.DUMMYFUNCTION("GOOGLETRANSLATE($B64,""en"",E$3)"),"pasta Mysql Data Backup")</f>
        <v>pasta Mysql Data Backup</v>
      </c>
      <c r="F64" s="12" t="str">
        <f ca="1">IFERROR(__xludf.DUMMYFUNCTION("GOOGLETRANSLATE($B64,""en"",F$3)"),"pasta Mysql Data Backup")</f>
        <v>pasta Mysql Data Backup</v>
      </c>
      <c r="G64" s="12" t="str">
        <f ca="1">IFERROR(__xludf.DUMMYFUNCTION("GOOGLETRANSLATE($B64,""en"",G$3)"),"dossier de sauvegarde de données Mysql")</f>
        <v>dossier de sauvegarde de données Mysql</v>
      </c>
      <c r="H64" s="12" t="str">
        <f ca="1">IFERROR(__xludf.DUMMYFUNCTION("GOOGLETRANSLATE($B64,""en"",H$3)"),"Backup Mysql Datu karpeta")</f>
        <v>Backup Mysql Datu karpeta</v>
      </c>
      <c r="I64" s="12" t="str">
        <f ca="1">IFERROR(__xludf.DUMMYFUNCTION("GOOGLETRANSLATE($B64,""en"",I$3)"),"carpeta de còpia de seguretat de dades MySQL")</f>
        <v>carpeta de còpia de seguretat de dades MySQL</v>
      </c>
      <c r="J64" s="12" t="str">
        <f ca="1">IFERROR(__xludf.DUMMYFUNCTION("GOOGLETRANSLATE($B64,""en"",J$3)"),"Záložní složka Mysql dat")</f>
        <v>Záložní složka Mysql dat</v>
      </c>
      <c r="K64" s="12" t="str">
        <f ca="1">IFERROR(__xludf.DUMMYFUNCTION("GOOGLETRANSLATE($B64,""en"",K$3)"),"备份mysql数据文件夹")</f>
        <v>备份mysql数据文件夹</v>
      </c>
      <c r="L64" s="12" t="str">
        <f ca="1">IFERROR(__xludf.DUMMYFUNCTION("GOOGLETRANSLATE($B64,""en"",L$3)"),"備份mysql數據文件夾")</f>
        <v>備份mysql數據文件夾</v>
      </c>
      <c r="M64" s="12" t="str">
        <f ca="1">IFERROR(__xludf.DUMMYFUNCTION("GOOGLETRANSLATE($B64,""en"",M$3)"),"Backup folder Mysql gegevens")</f>
        <v>Backup folder Mysql gegevens</v>
      </c>
      <c r="N64" s="12" t="str">
        <f ca="1">IFERROR(__xludf.DUMMYFUNCTION("GOOGLETRANSLATE($B64,""en"",N$3)"),"Φάκελο αντιγράφων ασφαλείας Mysql Data")</f>
        <v>Φάκελο αντιγράφων ασφαλείας Mysql Data</v>
      </c>
      <c r="O64" s="12" t="str">
        <f ca="1">IFERROR(__xludf.DUMMYFUNCTION("GOOGLETRANSLATE($B64,""en"",O$3)"),"Backup Mysql Data-kansio")</f>
        <v>Backup Mysql Data-kansio</v>
      </c>
      <c r="P64" s="12" t="str">
        <f ca="1">IFERROR(__xludf.DUMMYFUNCTION("GOOGLETRANSLATE($B64,""en"",P$3)"),"Cúltaca fillteán MySQL Sonraí")</f>
        <v>Cúltaca fillteán MySQL Sonraí</v>
      </c>
      <c r="Q64" s="12" t="str">
        <f ca="1">IFERROR(__xludf.DUMMYFUNCTION("GOOGLETRANSLATE($B64,""en"",Q$3)"),"پشتیبان گیری پوشه خروجی زیر داده")</f>
        <v>پشتیبان گیری پوشه خروجی زیر داده</v>
      </c>
      <c r="R64" s="12" t="str">
        <f ca="1">IFERROR(__xludf.DUMMYFUNCTION("GOOGLETRANSLATE($B64,""en"",R$3)"),"תיקיית Mysql גיבוי נתונים")</f>
        <v>תיקיית Mysql גיבוי נתונים</v>
      </c>
      <c r="S64" s="12" t="str">
        <f ca="1">IFERROR(__xludf.DUMMYFUNCTION("GOOGLETRANSLATE($B64,""en"",S$3)"),"Afritun MySql Data mappa")</f>
        <v>Afritun MySql Data mappa</v>
      </c>
      <c r="T64" s="12" t="str">
        <f ca="1">IFERROR(__xludf.DUMMYFUNCTION("GOOGLETRANSLATE($B64,""en"",T$3)"),"Backup-mappen Mysql data")</f>
        <v>Backup-mappen Mysql data</v>
      </c>
      <c r="U64" s="12" t="str">
        <f ca="1">IFERROR(__xludf.DUMMYFUNCTION("GOOGLETRANSLATE($B64,""en"",U$3)"),"مجلد بيانات ماي احتياطية")</f>
        <v>مجلد بيانات ماي احتياطية</v>
      </c>
      <c r="V64" s="12" t="str">
        <f ca="1">IFERROR(__xludf.DUMMYFUNCTION("GOOGLETRANSLATE($B64,""en"",V$3)"),"Folder kopii zapasowej danych Mysql")</f>
        <v>Folder kopii zapasowej danych Mysql</v>
      </c>
      <c r="W64" s="12" t="str">
        <f ca="1">IFERROR(__xludf.DUMMYFUNCTION("GOOGLETRANSLATE($B64,""en"",W$3)"),"Резервное копирование папки Mysql данных")</f>
        <v>Резервное копирование папки Mysql данных</v>
      </c>
      <c r="X64" s="12" t="str">
        <f ca="1">IFERROR(__xludf.DUMMYFUNCTION("GOOGLETRANSLATE($B64,""en"",X$3)"),"carpeta de copia de seguridad de datos MySQL")</f>
        <v>carpeta de copia de seguridad de datos MySQL</v>
      </c>
      <c r="Y64" s="12"/>
      <c r="Z64" s="12"/>
    </row>
    <row r="65" spans="1:26" ht="32.25" customHeight="1" x14ac:dyDescent="0.2">
      <c r="A65" s="10" t="s">
        <v>207</v>
      </c>
      <c r="B65" s="10" t="s">
        <v>208</v>
      </c>
      <c r="C65" s="11" t="str">
        <f ca="1">IFERROR(__xludf.DUMMYFUNCTION("GOOGLETRANSLATE($B65,""en"",C$3)"),"Sichern MySql \ Data Ordner. Warten Sie mal. Bildschirm erscheint eingefroren.")</f>
        <v>Sichern MySql \ Data Ordner. Warten Sie mal. Bildschirm erscheint eingefroren.</v>
      </c>
      <c r="D65" s="11" t="str">
        <f ca="1">IFERROR(__xludf.DUMMYFUNCTION("GOOGLETRANSLATE($B65,""en"",D$3)"),"Säkerhetskopiera MySql \ Data mapp. Vänta. Skärm visas fryst.")</f>
        <v>Säkerhetskopiera MySql \ Data mapp. Vänta. Skärm visas fryst.</v>
      </c>
      <c r="E65" s="11" t="str">
        <f ca="1">IFERROR(__xludf.DUMMYFUNCTION("GOOGLETRANSLATE($B65,""en"",E$3)"),"Fazer o backup MySql \ pasta de dados. Por favor, espere. Tela aparecerá congelada.")</f>
        <v>Fazer o backup MySql \ pasta de dados. Por favor, espere. Tela aparecerá congelada.</v>
      </c>
      <c r="F65" s="11" t="str">
        <f ca="1">IFERROR(__xludf.DUMMYFUNCTION("GOOGLETRANSLATE($B65,""en"",F$3)"),"Fazer o backup MySql \ pasta de dados. Por favor, espere. Tela aparecerá congelada.")</f>
        <v>Fazer o backup MySql \ pasta de dados. Por favor, espere. Tela aparecerá congelada.</v>
      </c>
      <c r="G65" s="11" t="str">
        <f ca="1">IFERROR(__xludf.DUMMYFUNCTION("GOOGLETRANSLATE($B65,""en"",G$3)"),"Sauvegarde MySql \ Data. S'il vous plaît, attendez. Écran apparaît congelé.")</f>
        <v>Sauvegarde MySql \ Data. S'il vous plaît, attendez. Écran apparaît congelé.</v>
      </c>
      <c r="H65" s="11" t="str">
        <f ca="1">IFERROR(__xludf.DUMMYFUNCTION("GOOGLETRANSLATE($B65,""en"",H$3)"),"MySql \ Datuen karpeta Babeskopiak. Itxaron mesedez. Pantaila izoztuak agertuko da.")</f>
        <v>MySql \ Datuen karpeta Babeskopiak. Itxaron mesedez. Pantaila izoztuak agertuko da.</v>
      </c>
      <c r="I65" s="11" t="str">
        <f ca="1">IFERROR(__xludf.DUMMYFUNCTION("GOOGLETRANSLATE($B65,""en"",I$3)"),"Còpia de seguretat de MySQL \ carpeta de dades. Si us plau, esperi. Pantalla apareixerà congelada.")</f>
        <v>Còpia de seguretat de MySQL \ carpeta de dades. Si us plau, esperi. Pantalla apareixerà congelada.</v>
      </c>
      <c r="J65" s="11" t="str">
        <f ca="1">IFERROR(__xludf.DUMMYFUNCTION("GOOGLETRANSLATE($B65,""en"",J$3)"),"Zálohování MySQL \ Data. Prosím, čekejte. Na obrazovce se objeví ve zmrazeném stavu.")</f>
        <v>Zálohování MySQL \ Data. Prosím, čekejte. Na obrazovce se objeví ve zmrazeném stavu.</v>
      </c>
      <c r="K65" s="11" t="str">
        <f ca="1">IFERROR(__xludf.DUMMYFUNCTION("GOOGLETRANSLATE($B65,""en"",K$3)"),"备份的MySQL \ Data文件夹。请稍候。屏幕上会出现冰冻。")</f>
        <v>备份的MySQL \ Data文件夹。请稍候。屏幕上会出现冰冻。</v>
      </c>
      <c r="L65" s="11" t="str">
        <f ca="1">IFERROR(__xludf.DUMMYFUNCTION("GOOGLETRANSLATE($B65,""en"",L$3)"),"備份的MySQL \ Data文件夾。請稍候。屏幕上會出現冰凍。")</f>
        <v>備份的MySQL \ Data文件夾。請稍候。屏幕上會出現冰凍。</v>
      </c>
      <c r="M65" s="11" t="str">
        <f ca="1">IFERROR(__xludf.DUMMYFUNCTION("GOOGLETRANSLATE($B65,""en"",M$3)"),"Een back-up MySql \ Data Folder. Wacht alsjeblieft. Scherm verschijnt bevroren.")</f>
        <v>Een back-up MySql \ Data Folder. Wacht alsjeblieft. Scherm verschijnt bevroren.</v>
      </c>
      <c r="N65" s="11" t="str">
        <f ca="1">IFERROR(__xludf.DUMMYFUNCTION("GOOGLETRANSLATE($B65,""en"",N$3)"),"Δημιουργία αντιγράφων ασφαλείας MySql \ Data φακέλου. Παρακαλώ περιμένετε. Στην οθόνη θα εμφανιστεί κατεψυγμένα.")</f>
        <v>Δημιουργία αντιγράφων ασφαλείας MySql \ Data φακέλου. Παρακαλώ περιμένετε. Στην οθόνη θα εμφανιστεί κατεψυγμένα.</v>
      </c>
      <c r="O65" s="11" t="str">
        <f ca="1">IFERROR(__xludf.DUMMYFUNCTION("GOOGLETRANSLATE($B65,""en"",O$3)"),"Varmuuskopiointiin MySQL \ Datakansion. Odota. Näyttö tulee näkyviin jäädytetty.")</f>
        <v>Varmuuskopiointiin MySQL \ Datakansion. Odota. Näyttö tulee näkyviin jäädytetty.</v>
      </c>
      <c r="P65" s="11" t="str">
        <f ca="1">IFERROR(__xludf.DUMMYFUNCTION("GOOGLETRANSLATE($B65,""en"",P$3)"),"Tacaíocht suas MySQL \ Sonraí Fillteán. Fán le do thoil. Beidh Scáileán feiceáil reoite.")</f>
        <v>Tacaíocht suas MySQL \ Sonraí Fillteán. Fán le do thoil. Beidh Scáileán feiceáil reoite.</v>
      </c>
      <c r="Q65" s="11" t="str">
        <f ca="1">IFERROR(__xludf.DUMMYFUNCTION("GOOGLETRANSLATE($B65,""en"",Q$3)"),"تهیه نسخه پشتیبان از خروجی \ پوشه داده. لطفا صبر کنید. صفحه نمایش منجمد ظاهر خواهد شد.")</f>
        <v>تهیه نسخه پشتیبان از خروجی \ پوشه داده. لطفا صبر کنید. صفحه نمایش منجمد ظاهر خواهد شد.</v>
      </c>
      <c r="R65" s="11" t="str">
        <f ca="1">IFERROR(__xludf.DUMMYFUNCTION("GOOGLETRANSLATE($B65,""en"",R$3)"),"גיבוי תיקיות הנתונים MySQL \. המתן בבקשה. יופיע מסך קפוא.")</f>
        <v>גיבוי תיקיות הנתונים MySQL \. המתן בבקשה. יופיע מסך קפוא.</v>
      </c>
      <c r="S65" s="11" t="str">
        <f ca="1">IFERROR(__xludf.DUMMYFUNCTION("GOOGLETRANSLATE($B65,""en"",S$3)"),"Afritun MySql \ Data möppunni. Vinsamlegast bíðið. Skjár birtist fryst.")</f>
        <v>Afritun MySql \ Data möppunni. Vinsamlegast bíðið. Skjár birtist fryst.</v>
      </c>
      <c r="T65" s="11" t="str">
        <f ca="1">IFERROR(__xludf.DUMMYFUNCTION("GOOGLETRANSLATE($B65,""en"",T$3)"),"Sikkerhetskopiering av MySQL \ Data mappe. Vennligst vent. Skjermbildet vises frosset.")</f>
        <v>Sikkerhetskopiering av MySQL \ Data mappe. Vennligst vent. Skjermbildet vises frosset.</v>
      </c>
      <c r="U65" s="11" t="str">
        <f ca="1">IFERROR(__xludf.DUMMYFUNCTION("GOOGLETRANSLATE($B65,""en"",U$3)"),"النسخ الاحتياطي مسقل \ مجلد البيانات. أرجو الإنتظار. ستظهر شاشة المجمدة.")</f>
        <v>النسخ الاحتياطي مسقل \ مجلد البيانات. أرجو الإنتظار. ستظهر شاشة المجمدة.</v>
      </c>
      <c r="V65" s="11" t="str">
        <f ca="1">IFERROR(__xludf.DUMMYFUNCTION("GOOGLETRANSLATE($B65,""en"",V$3)"),"Tworzenie kopii zapasowych danych MySQL \ Folder. Proszę czekać. Ekran pojawi zamrożone.")</f>
        <v>Tworzenie kopii zapasowych danych MySQL \ Folder. Proszę czekać. Ekran pojawi zamrożone.</v>
      </c>
      <c r="W65" s="11" t="str">
        <f ca="1">IFERROR(__xludf.DUMMYFUNCTION("GOOGLETRANSLATE($B65,""en"",W$3)"),"Резервное копирование MySql \ Data Folder. Пожалуйста, подождите. Экран будет отображаться в замороженном виде.")</f>
        <v>Резервное копирование MySql \ Data Folder. Пожалуйста, подождите. Экран будет отображаться в замороженном виде.</v>
      </c>
      <c r="X65" s="11" t="str">
        <f ca="1">IFERROR(__xludf.DUMMYFUNCTION("GOOGLETRANSLATE($B65,""en"",X$3)"),"Copia de seguridad de MySQL \ carpeta de datos. Por favor espera. Pantalla aparecerá congelada.")</f>
        <v>Copia de seguridad de MySQL \ carpeta de datos. Por favor espera. Pantalla aparecerá congelada.</v>
      </c>
    </row>
    <row r="66" spans="1:26" ht="32.25" customHeight="1" x14ac:dyDescent="0.2">
      <c r="A66" s="17" t="s">
        <v>209</v>
      </c>
      <c r="B66" s="17" t="s">
        <v>210</v>
      </c>
      <c r="C66" s="11" t="str">
        <f ca="1">IFERROR(__xludf.DUMMYFUNCTION("GOOGLETRANSLATE($B66,""en"",C$3)"),"Sicherungsname")</f>
        <v>Sicherungsname</v>
      </c>
      <c r="D66" s="12" t="str">
        <f ca="1">IFERROR(__xludf.DUMMYFUNCTION("GOOGLETRANSLATE($B66,""en"",D$3)"),"backup Name")</f>
        <v>backup Name</v>
      </c>
      <c r="E66" s="12" t="str">
        <f ca="1">IFERROR(__xludf.DUMMYFUNCTION("GOOGLETRANSLATE($B66,""en"",E$3)"),"Nome de backup")</f>
        <v>Nome de backup</v>
      </c>
      <c r="F66" s="12" t="str">
        <f ca="1">IFERROR(__xludf.DUMMYFUNCTION("GOOGLETRANSLATE($B66,""en"",F$3)"),"Nome de backup")</f>
        <v>Nome de backup</v>
      </c>
      <c r="G66" s="12" t="str">
        <f ca="1">IFERROR(__xludf.DUMMYFUNCTION("GOOGLETRANSLATE($B66,""en"",G$3)"),"Nom de la sauvegarde")</f>
        <v>Nom de la sauvegarde</v>
      </c>
      <c r="H66" s="12" t="str">
        <f ca="1">IFERROR(__xludf.DUMMYFUNCTION("GOOGLETRANSLATE($B66,""en"",H$3)"),"Backup izena")</f>
        <v>Backup izena</v>
      </c>
      <c r="I66" s="12" t="str">
        <f ca="1">IFERROR(__xludf.DUMMYFUNCTION("GOOGLETRANSLATE($B66,""en"",I$3)"),"Nom de còpia de seguretat")</f>
        <v>Nom de còpia de seguretat</v>
      </c>
      <c r="J66" s="12" t="str">
        <f ca="1">IFERROR(__xludf.DUMMYFUNCTION("GOOGLETRANSLATE($B66,""en"",J$3)"),"zálohování Name")</f>
        <v>zálohování Name</v>
      </c>
      <c r="K66" s="12" t="str">
        <f ca="1">IFERROR(__xludf.DUMMYFUNCTION("GOOGLETRANSLATE($B66,""en"",K$3)"),"备份名称")</f>
        <v>备份名称</v>
      </c>
      <c r="L66" s="12" t="str">
        <f ca="1">IFERROR(__xludf.DUMMYFUNCTION("GOOGLETRANSLATE($B66,""en"",L$3)"),"備份名稱")</f>
        <v>備份名稱</v>
      </c>
      <c r="M66" s="12" t="str">
        <f ca="1">IFERROR(__xludf.DUMMYFUNCTION("GOOGLETRANSLATE($B66,""en"",M$3)"),"backup Naam")</f>
        <v>backup Naam</v>
      </c>
      <c r="N66" s="12" t="str">
        <f ca="1">IFERROR(__xludf.DUMMYFUNCTION("GOOGLETRANSLATE($B66,""en"",N$3)"),"Δημιουργία αντιγράφων ασφαλείας Όνομα")</f>
        <v>Δημιουργία αντιγράφων ασφαλείας Όνομα</v>
      </c>
      <c r="O66" s="12" t="str">
        <f ca="1">IFERROR(__xludf.DUMMYFUNCTION("GOOGLETRANSLATE($B66,""en"",O$3)"),"backup Name")</f>
        <v>backup Name</v>
      </c>
      <c r="P66" s="12" t="str">
        <f ca="1">IFERROR(__xludf.DUMMYFUNCTION("GOOGLETRANSLATE($B66,""en"",P$3)"),"Ainm Cúltaca")</f>
        <v>Ainm Cúltaca</v>
      </c>
      <c r="Q66" s="12" t="str">
        <f ca="1">IFERROR(__xludf.DUMMYFUNCTION("GOOGLETRANSLATE($B66,""en"",Q$3)"),"نام پشتیبان گیری")</f>
        <v>نام پشتیبان گیری</v>
      </c>
      <c r="R66" s="12" t="str">
        <f ca="1">IFERROR(__xludf.DUMMYFUNCTION("GOOGLETRANSLATE($B66,""en"",R$3)"),"שם גיבוי")</f>
        <v>שם גיבוי</v>
      </c>
      <c r="S66" s="12" t="str">
        <f ca="1">IFERROR(__xludf.DUMMYFUNCTION("GOOGLETRANSLATE($B66,""en"",S$3)"),"Afritun Name")</f>
        <v>Afritun Name</v>
      </c>
      <c r="T66" s="12" t="str">
        <f ca="1">IFERROR(__xludf.DUMMYFUNCTION("GOOGLETRANSLATE($B66,""en"",T$3)"),"backup Name")</f>
        <v>backup Name</v>
      </c>
      <c r="U66" s="12" t="str">
        <f ca="1">IFERROR(__xludf.DUMMYFUNCTION("GOOGLETRANSLATE($B66,""en"",U$3)"),"اسم النسخ الاحتياطي")</f>
        <v>اسم النسخ الاحتياطي</v>
      </c>
      <c r="V66" s="12" t="str">
        <f ca="1">IFERROR(__xludf.DUMMYFUNCTION("GOOGLETRANSLATE($B66,""en"",V$3)"),"Nazwa kopii zapasowej")</f>
        <v>Nazwa kopii zapasowej</v>
      </c>
      <c r="W66" s="12" t="str">
        <f ca="1">IFERROR(__xludf.DUMMYFUNCTION("GOOGLETRANSLATE($B66,""en"",W$3)"),"Имя резервной копии")</f>
        <v>Имя резервной копии</v>
      </c>
      <c r="X66" s="12" t="str">
        <f ca="1">IFERROR(__xludf.DUMMYFUNCTION("GOOGLETRANSLATE($B66,""en"",X$3)"),"Nombre de copia de seguridad")</f>
        <v>Nombre de copia de seguridad</v>
      </c>
      <c r="Y66" s="12"/>
      <c r="Z66" s="12"/>
    </row>
    <row r="67" spans="1:26" ht="32.25" customHeight="1" x14ac:dyDescent="0.2">
      <c r="A67" s="17" t="s">
        <v>211</v>
      </c>
      <c r="B67" s="17" t="s">
        <v>212</v>
      </c>
      <c r="C67" s="11" t="str">
        <f ca="1">IFERROR(__xludf.DUMMYFUNCTION("GOOGLETRANSLATE($B67,""en"",C$3)"),"Backup-Region INI-Dateien")</f>
        <v>Backup-Region INI-Dateien</v>
      </c>
      <c r="D67" s="12" t="str">
        <f ca="1">IFERROR(__xludf.DUMMYFUNCTION("GOOGLETRANSLATE($B67,""en"",D$3)"),"Backup Region ini-filer")</f>
        <v>Backup Region ini-filer</v>
      </c>
      <c r="E67" s="12" t="str">
        <f ca="1">IFERROR(__xludf.DUMMYFUNCTION("GOOGLETRANSLATE($B67,""en"",E$3)"),"arquivos Região INI de backup")</f>
        <v>arquivos Região INI de backup</v>
      </c>
      <c r="F67" s="12" t="str">
        <f ca="1">IFERROR(__xludf.DUMMYFUNCTION("GOOGLETRANSLATE($B67,""en"",F$3)"),"arquivos Região INI de backup")</f>
        <v>arquivos Região INI de backup</v>
      </c>
      <c r="G67" s="12" t="str">
        <f ca="1">IFERROR(__xludf.DUMMYFUNCTION("GOOGLETRANSLATE($B67,""en"",G$3)"),"Région de sauvegarde des fichiers INI")</f>
        <v>Région de sauvegarde des fichiers INI</v>
      </c>
      <c r="H67" s="12" t="str">
        <f ca="1">IFERROR(__xludf.DUMMYFUNCTION("GOOGLETRANSLATE($B67,""en"",H$3)"),"Backup eskualdea INI fitxategiak")</f>
        <v>Backup eskualdea INI fitxategiak</v>
      </c>
      <c r="I67" s="12" t="str">
        <f ca="1">IFERROR(__xludf.DUMMYFUNCTION("GOOGLETRANSLATE($B67,""en"",I$3)"),"Els vostres còpies de seguretat Regió INI")</f>
        <v>Els vostres còpies de seguretat Regió INI</v>
      </c>
      <c r="J67" s="12" t="str">
        <f ca="1">IFERROR(__xludf.DUMMYFUNCTION("GOOGLETRANSLATE($B67,""en"",J$3)"),"Záložní soubory Region INI")</f>
        <v>Záložní soubory Region INI</v>
      </c>
      <c r="K67" s="12" t="str">
        <f ca="1">IFERROR(__xludf.DUMMYFUNCTION("GOOGLETRANSLATE($B67,""en"",K$3)"),"备份区INI文件")</f>
        <v>备份区INI文件</v>
      </c>
      <c r="L67" s="12" t="str">
        <f ca="1">IFERROR(__xludf.DUMMYFUNCTION("GOOGLETRANSLATE($B67,""en"",L$3)"),"備份區INI文件")</f>
        <v>備份區INI文件</v>
      </c>
      <c r="M67" s="12" t="str">
        <f ca="1">IFERROR(__xludf.DUMMYFUNCTION("GOOGLETRANSLATE($B67,""en"",M$3)"),"Backup Region INI-bestanden")</f>
        <v>Backup Region INI-bestanden</v>
      </c>
      <c r="N67" s="12" t="str">
        <f ca="1">IFERROR(__xludf.DUMMYFUNCTION("GOOGLETRANSLATE($B67,""en"",N$3)"),"Δημιουργία αντιγράφων ασφαλείας των αρχείων Περιφέρεια INI")</f>
        <v>Δημιουργία αντιγράφων ασφαλείας των αρχείων Περιφέρεια INI</v>
      </c>
      <c r="O67" s="12" t="str">
        <f ca="1">IFERROR(__xludf.DUMMYFUNCTION("GOOGLETRANSLATE($B67,""en"",O$3)"),"Backup alue INI tiedostoja")</f>
        <v>Backup alue INI tiedostoja</v>
      </c>
      <c r="P67" s="12" t="str">
        <f ca="1">IFERROR(__xludf.DUMMYFUNCTION("GOOGLETRANSLATE($B67,""en"",P$3)"),"Cúltaca Comhaid Réigiún INI")</f>
        <v>Cúltaca Comhaid Réigiún INI</v>
      </c>
      <c r="Q67" s="12" t="str">
        <f ca="1">IFERROR(__xludf.DUMMYFUNCTION("GOOGLETRANSLATE($B67,""en"",Q$3)"),"پشتیبان گیری فایل INI منطقه")</f>
        <v>پشتیبان گیری فایل INI منطقه</v>
      </c>
      <c r="R67" s="12" t="str">
        <f ca="1">IFERROR(__xludf.DUMMYFUNCTION("GOOGLETRANSLATE($B67,""en"",R$3)"),"גיבוי קבצי INI האזור")</f>
        <v>גיבוי קבצי INI האזור</v>
      </c>
      <c r="S67" s="12" t="str">
        <f ca="1">IFERROR(__xludf.DUMMYFUNCTION("GOOGLETRANSLATE($B67,""en"",S$3)"),"Afritun Region INI skrár")</f>
        <v>Afritun Region INI skrár</v>
      </c>
      <c r="T67" s="12" t="str">
        <f ca="1">IFERROR(__xludf.DUMMYFUNCTION("GOOGLETRANSLATE($B67,""en"",T$3)"),"Backup Region INI-filer")</f>
        <v>Backup Region INI-filer</v>
      </c>
      <c r="U67" s="12" t="str">
        <f ca="1">IFERROR(__xludf.DUMMYFUNCTION("GOOGLETRANSLATE($B67,""en"",U$3)"),"ملفات المنطقة INI النسخ الاحتياطي")</f>
        <v>ملفات المنطقة INI النسخ الاحتياطي</v>
      </c>
      <c r="V67" s="12" t="str">
        <f ca="1">IFERROR(__xludf.DUMMYFUNCTION("GOOGLETRANSLATE($B67,""en"",V$3)"),"Tworzenie kopii zapasowych plików INI Region")</f>
        <v>Tworzenie kopii zapasowych plików INI Region</v>
      </c>
      <c r="W67" s="12" t="str">
        <f ca="1">IFERROR(__xludf.DUMMYFUNCTION("GOOGLETRANSLATE($B67,""en"",W$3)"),"Резервное копирование файлов INI область")</f>
        <v>Резервное копирование файлов INI область</v>
      </c>
      <c r="X67" s="12" t="str">
        <f ca="1">IFERROR(__xludf.DUMMYFUNCTION("GOOGLETRANSLATE($B67,""en"",X$3)"),"Los archivos de respaldo Región INI")</f>
        <v>Los archivos de respaldo Región INI</v>
      </c>
      <c r="Y67" s="12"/>
      <c r="Z67" s="12"/>
    </row>
    <row r="68" spans="1:26" ht="32.25" customHeight="1" x14ac:dyDescent="0.2">
      <c r="A68" s="17" t="s">
        <v>213</v>
      </c>
      <c r="B68" s="17" t="s">
        <v>214</v>
      </c>
      <c r="C68" s="11" t="str">
        <f ca="1">IFERROR(__xludf.DUMMYFUNCTION("GOOGLETRANSLATE($B68,""en"",C$3)"),"Sichern Regionen Ordner")</f>
        <v>Sichern Regionen Ordner</v>
      </c>
      <c r="D68" s="12" t="str">
        <f ca="1">IFERROR(__xludf.DUMMYFUNCTION("GOOGLETRANSLATE($B68,""en"",D$3)"),"Säkerhetskopiera Regioner Folder")</f>
        <v>Säkerhetskopiera Regioner Folder</v>
      </c>
      <c r="E68" s="12" t="str">
        <f ca="1">IFERROR(__xludf.DUMMYFUNCTION("GOOGLETRANSLATE($B68,""en"",E$3)"),"Fazer o backup Regiões Pasta")</f>
        <v>Fazer o backup Regiões Pasta</v>
      </c>
      <c r="F68" s="12" t="str">
        <f ca="1">IFERROR(__xludf.DUMMYFUNCTION("GOOGLETRANSLATE($B68,""en"",F$3)"),"Fazer o backup Regiões Pasta")</f>
        <v>Fazer o backup Regiões Pasta</v>
      </c>
      <c r="G68" s="12" t="str">
        <f ca="1">IFERROR(__xludf.DUMMYFUNCTION("GOOGLETRANSLATE($B68,""en"",G$3)"),"Sauvegarde des dossiers Régions")</f>
        <v>Sauvegarde des dossiers Régions</v>
      </c>
      <c r="H68" s="12" t="str">
        <f ca="1">IFERROR(__xludf.DUMMYFUNCTION("GOOGLETRANSLATE($B68,""en"",H$3)"),"Babeskopiak Eskualde karpeta")</f>
        <v>Babeskopiak Eskualde karpeta</v>
      </c>
      <c r="I68" s="12" t="str">
        <f ca="1">IFERROR(__xludf.DUMMYFUNCTION("GOOGLETRANSLATE($B68,""en"",I$3)"),"Còpia de seguretat de carpetes Regions")</f>
        <v>Còpia de seguretat de carpetes Regions</v>
      </c>
      <c r="J68" s="12" t="str">
        <f ca="1">IFERROR(__xludf.DUMMYFUNCTION("GOOGLETRANSLATE($B68,""en"",J$3)"),"Zálohování Regiony složku")</f>
        <v>Zálohování Regiony složku</v>
      </c>
      <c r="K68" s="12" t="str">
        <f ca="1">IFERROR(__xludf.DUMMYFUNCTION("GOOGLETRANSLATE($B68,""en"",K$3)"),"备份文件夹区域")</f>
        <v>备份文件夹区域</v>
      </c>
      <c r="L68" s="12" t="str">
        <f ca="1">IFERROR(__xludf.DUMMYFUNCTION("GOOGLETRANSLATE($B68,""en"",L$3)"),"備份文件夾區域")</f>
        <v>備份文件夾區域</v>
      </c>
      <c r="M68" s="12" t="str">
        <f ca="1">IFERROR(__xludf.DUMMYFUNCTION("GOOGLETRANSLATE($B68,""en"",M$3)"),"Een back-up Regio Folder")</f>
        <v>Een back-up Regio Folder</v>
      </c>
      <c r="N68" s="12" t="str">
        <f ca="1">IFERROR(__xludf.DUMMYFUNCTION("GOOGLETRANSLATE($B68,""en"",N$3)"),"Δημιουργία αντιγράφων ασφαλείας Περιφερειών φακέλου")</f>
        <v>Δημιουργία αντιγράφων ασφαλείας Περιφερειών φακέλου</v>
      </c>
      <c r="O68" s="12" t="str">
        <f ca="1">IFERROR(__xludf.DUMMYFUNCTION("GOOGLETRANSLATE($B68,""en"",O$3)"),"Varmuuskopiointiin Alueet kansio")</f>
        <v>Varmuuskopiointiin Alueet kansio</v>
      </c>
      <c r="P68" s="12" t="str">
        <f ca="1">IFERROR(__xludf.DUMMYFUNCTION("GOOGLETRANSLATE($B68,""en"",P$3)"),"Tacaíocht suas Réigiúin Fillteán")</f>
        <v>Tacaíocht suas Réigiúin Fillteán</v>
      </c>
      <c r="Q68" s="12" t="str">
        <f ca="1">IFERROR(__xludf.DUMMYFUNCTION("GOOGLETRANSLATE($B68,""en"",Q$3)"),"تهیه نسخه پشتیبان از مناطق پوشه")</f>
        <v>تهیه نسخه پشتیبان از مناطق پوشه</v>
      </c>
      <c r="R68" s="12" t="str">
        <f ca="1">IFERROR(__xludf.DUMMYFUNCTION("GOOGLETRANSLATE($B68,""en"",R$3)"),"גיבוי אזורי תיקייה")</f>
        <v>גיבוי אזורי תיקייה</v>
      </c>
      <c r="S68" s="12" t="str">
        <f ca="1">IFERROR(__xludf.DUMMYFUNCTION("GOOGLETRANSLATE($B68,""en"",S$3)"),"Afritun Svæði möppu")</f>
        <v>Afritun Svæði möppu</v>
      </c>
      <c r="T68" s="12" t="str">
        <f ca="1">IFERROR(__xludf.DUMMYFUNCTION("GOOGLETRANSLATE($B68,""en"",T$3)"),"Sikkerhetskopiering Regioner Folder")</f>
        <v>Sikkerhetskopiering Regioner Folder</v>
      </c>
      <c r="U68" s="12" t="str">
        <f ca="1">IFERROR(__xludf.DUMMYFUNCTION("GOOGLETRANSLATE($B68,""en"",U$3)"),"النسخ الاحتياطي المناطق مجلد")</f>
        <v>النسخ الاحتياطي المناطق مجلد</v>
      </c>
      <c r="V68" s="12" t="str">
        <f ca="1">IFERROR(__xludf.DUMMYFUNCTION("GOOGLETRANSLATE($B68,""en"",V$3)"),"Tworzenie kopii zapasowej Regiony Folder")</f>
        <v>Tworzenie kopii zapasowej Regiony Folder</v>
      </c>
      <c r="W68" s="12" t="str">
        <f ca="1">IFERROR(__xludf.DUMMYFUNCTION("GOOGLETRANSLATE($B68,""en"",W$3)"),"Резервное копирование Регионы Папка")</f>
        <v>Резервное копирование Регионы Папка</v>
      </c>
      <c r="X68" s="12" t="str">
        <f ca="1">IFERROR(__xludf.DUMMYFUNCTION("GOOGLETRANSLATE($B68,""en"",X$3)"),"Copia de seguridad de carpetas Regiones")</f>
        <v>Copia de seguridad de carpetas Regiones</v>
      </c>
      <c r="Y68" s="12"/>
      <c r="Z68" s="12"/>
    </row>
    <row r="69" spans="1:26" ht="32.25" customHeight="1" x14ac:dyDescent="0.2">
      <c r="A69" s="17" t="s">
        <v>215</v>
      </c>
      <c r="B69" s="17" t="s">
        <v>216</v>
      </c>
      <c r="C69" s="11" t="str">
        <f ca="1">IFERROR(__xludf.DUMMYFUNCTION("GOOGLETRANSLATE($B69,""en"",C$3)"),"Klicken Sie auf Ihren Backup-Zeitplan einrichten")</f>
        <v>Klicken Sie auf Ihren Backup-Zeitplan einrichten</v>
      </c>
      <c r="D69" s="12" t="str">
        <f ca="1">IFERROR(__xludf.DUMMYFUNCTION("GOOGLETRANSLATE($B69,""en"",D$3)"),"Klicka för att ställa in din backup schema")</f>
        <v>Klicka för att ställa in din backup schema</v>
      </c>
      <c r="E69" s="12" t="str">
        <f ca="1">IFERROR(__xludf.DUMMYFUNCTION("GOOGLETRANSLATE($B69,""en"",E$3)"),"Clique para configurar o agendamento de backup")</f>
        <v>Clique para configurar o agendamento de backup</v>
      </c>
      <c r="F69" s="12" t="str">
        <f ca="1">IFERROR(__xludf.DUMMYFUNCTION("GOOGLETRANSLATE($B69,""en"",F$3)"),"Clique para configurar o agendamento de backup")</f>
        <v>Clique para configurar o agendamento de backup</v>
      </c>
      <c r="G69" s="12" t="str">
        <f ca="1">IFERROR(__xludf.DUMMYFUNCTION("GOOGLETRANSLATE($B69,""en"",G$3)"),"Cliquez pour configurer votre planification de sauvegarde")</f>
        <v>Cliquez pour configurer votre planification de sauvegarde</v>
      </c>
      <c r="H69" s="12" t="str">
        <f ca="1">IFERROR(__xludf.DUMMYFUNCTION("GOOGLETRANSLATE($B69,""en"",H$3)"),"Egin klik zure Backup ordutegia konfiguratzeko")</f>
        <v>Egin klik zure Backup ordutegia konfiguratzeko</v>
      </c>
      <c r="I69" s="12" t="str">
        <f ca="1">IFERROR(__xludf.DUMMYFUNCTION("GOOGLETRANSLATE($B69,""en"",I$3)"),"Feu clic aquí per configurar el seu horari de còpia de seguretat")</f>
        <v>Feu clic aquí per configurar el seu horari de còpia de seguretat</v>
      </c>
      <c r="J69" s="12" t="str">
        <f ca="1">IFERROR(__xludf.DUMMYFUNCTION("GOOGLETRANSLATE($B69,""en"",J$3)"),"Klepněte na tlačítko nastavit plán zálohování")</f>
        <v>Klepněte na tlačítko nastavit plán zálohování</v>
      </c>
      <c r="K69" s="12" t="str">
        <f ca="1">IFERROR(__xludf.DUMMYFUNCTION("GOOGLETRANSLATE($B69,""en"",K$3)"),"点击设置您的备份计划")</f>
        <v>点击设置您的备份计划</v>
      </c>
      <c r="L69" s="12" t="str">
        <f ca="1">IFERROR(__xludf.DUMMYFUNCTION("GOOGLETRANSLATE($B69,""en"",L$3)"),"點擊設置您的備份計劃")</f>
        <v>點擊設置您的備份計劃</v>
      </c>
      <c r="M69" s="12" t="str">
        <f ca="1">IFERROR(__xludf.DUMMYFUNCTION("GOOGLETRANSLATE($B69,""en"",M$3)"),"Klik hier om uw backupschema")</f>
        <v>Klik hier om uw backupschema</v>
      </c>
      <c r="N69" s="12" t="str">
        <f ca="1">IFERROR(__xludf.DUMMYFUNCTION("GOOGLETRANSLATE($B69,""en"",N$3)"),"Κάντε κλικ για να δημιουργήσει αντιγράφων ασφαλείας Χρονοδιάγραμμα σας")</f>
        <v>Κάντε κλικ για να δημιουργήσει αντιγράφων ασφαλείας Χρονοδιάγραμμα σας</v>
      </c>
      <c r="O69" s="12" t="str">
        <f ca="1">IFERROR(__xludf.DUMMYFUNCTION("GOOGLETRANSLATE($B69,""en"",O$3)"),"Klikkaa perustaa oman varmuuskopiointiaikataulun")</f>
        <v>Klikkaa perustaa oman varmuuskopiointiaikataulun</v>
      </c>
      <c r="P69" s="12" t="str">
        <f ca="1">IFERROR(__xludf.DUMMYFUNCTION("GOOGLETRANSLATE($B69,""en"",P$3)"),"Cliceáil a chur ar bun do Sceideal Cúltaca")</f>
        <v>Cliceáil a chur ar bun do Sceideal Cúltaca</v>
      </c>
      <c r="Q69" s="12" t="str">
        <f ca="1">IFERROR(__xludf.DUMMYFUNCTION("GOOGLETRANSLATE($B69,""en"",Q$3)"),"برای راه اندازی برنامه پشتیبان گیری خود را کلیک کنید")</f>
        <v>برای راه اندازی برنامه پشتیبان گیری خود را کلیک کنید</v>
      </c>
      <c r="R69" s="12" t="str">
        <f ca="1">IFERROR(__xludf.DUMMYFUNCTION("GOOGLETRANSLATE($B69,""en"",R$3)"),"לחץ כדי להגדיר לוח זמני הגיבוי שלך")</f>
        <v>לחץ כדי להגדיר לוח זמני הגיבוי שלך</v>
      </c>
      <c r="S69" s="12" t="str">
        <f ca="1">IFERROR(__xludf.DUMMYFUNCTION("GOOGLETRANSLATE($B69,""en"",S$3)"),"Smelltu til að setja upp Backup Stundaskrá þinn")</f>
        <v>Smelltu til að setja upp Backup Stundaskrá þinn</v>
      </c>
      <c r="T69" s="12" t="str">
        <f ca="1">IFERROR(__xludf.DUMMYFUNCTION("GOOGLETRANSLATE($B69,""en"",T$3)"),"Klikk for å sette opp din Backup Schedule")</f>
        <v>Klikk for å sette opp din Backup Schedule</v>
      </c>
      <c r="U69" s="12" t="str">
        <f ca="1">IFERROR(__xludf.DUMMYFUNCTION("GOOGLETRANSLATE($B69,""en"",U$3)"),"انقر لإنشاء جدول الاحتياطية الخاصة بك")</f>
        <v>انقر لإنشاء جدول الاحتياطية الخاصة بك</v>
      </c>
      <c r="V69" s="12" t="str">
        <f ca="1">IFERROR(__xludf.DUMMYFUNCTION("GOOGLETRANSLATE($B69,""en"",V$3)"),"Kliknij, aby utworzyć kopię zapasową Harmonogram")</f>
        <v>Kliknij, aby utworzyć kopię zapasową Harmonogram</v>
      </c>
      <c r="W69" s="12" t="str">
        <f ca="1">IFERROR(__xludf.DUMMYFUNCTION("GOOGLETRANSLATE($B69,""en"",W$3)"),"Нажмите, чтобы настроить расписание резервного копирования")</f>
        <v>Нажмите, чтобы настроить расписание резервного копирования</v>
      </c>
      <c r="X69" s="12" t="str">
        <f ca="1">IFERROR(__xludf.DUMMYFUNCTION("GOOGLETRANSLATE($B69,""en"",X$3)"),"Haga clic aquí para configurar su horario de copia de seguridad")</f>
        <v>Haga clic aquí para configurar su horario de copia de seguridad</v>
      </c>
      <c r="Y69" s="12"/>
      <c r="Z69" s="12"/>
    </row>
    <row r="70" spans="1:26" ht="32.25" customHeight="1" x14ac:dyDescent="0.2">
      <c r="A70" s="17" t="s">
        <v>217</v>
      </c>
      <c r="B70" s="17" t="s">
        <v>218</v>
      </c>
      <c r="C70" s="11" t="str">
        <f ca="1">IFERROR(__xludf.DUMMYFUNCTION("GOOGLETRANSLATE($B70,""en"",C$3)"),"Backup-Einstellungen")</f>
        <v>Backup-Einstellungen</v>
      </c>
      <c r="D70" s="12" t="str">
        <f ca="1">IFERROR(__xludf.DUMMYFUNCTION("GOOGLETRANSLATE($B70,""en"",D$3)"),"Backup Settings")</f>
        <v>Backup Settings</v>
      </c>
      <c r="E70" s="12" t="str">
        <f ca="1">IFERROR(__xludf.DUMMYFUNCTION("GOOGLETRANSLATE($B70,""en"",E$3)"),"Configurações de backup")</f>
        <v>Configurações de backup</v>
      </c>
      <c r="F70" s="12" t="str">
        <f ca="1">IFERROR(__xludf.DUMMYFUNCTION("GOOGLETRANSLATE($B70,""en"",F$3)"),"Configurações de backup")</f>
        <v>Configurações de backup</v>
      </c>
      <c r="G70" s="12" t="str">
        <f ca="1">IFERROR(__xludf.DUMMYFUNCTION("GOOGLETRANSLATE($B70,""en"",G$3)"),"Paramètres de sauvegarde")</f>
        <v>Paramètres de sauvegarde</v>
      </c>
      <c r="H70" s="12" t="str">
        <f ca="1">IFERROR(__xludf.DUMMYFUNCTION("GOOGLETRANSLATE($B70,""en"",H$3)"),"Backup ezarpenak")</f>
        <v>Backup ezarpenak</v>
      </c>
      <c r="I70" s="12" t="str">
        <f ca="1">IFERROR(__xludf.DUMMYFUNCTION("GOOGLETRANSLATE($B70,""en"",I$3)"),"Configuració de còpia de seguretat")</f>
        <v>Configuració de còpia de seguretat</v>
      </c>
      <c r="J70" s="12" t="str">
        <f ca="1">IFERROR(__xludf.DUMMYFUNCTION("GOOGLETRANSLATE($B70,""en"",J$3)"),"Nastavení zálohování")</f>
        <v>Nastavení zálohování</v>
      </c>
      <c r="K70" s="12" t="str">
        <f ca="1">IFERROR(__xludf.DUMMYFUNCTION("GOOGLETRANSLATE($B70,""en"",K$3)"),"备份设置")</f>
        <v>备份设置</v>
      </c>
      <c r="L70" s="12" t="str">
        <f ca="1">IFERROR(__xludf.DUMMYFUNCTION("GOOGLETRANSLATE($B70,""en"",L$3)"),"備份設置")</f>
        <v>備份設置</v>
      </c>
      <c r="M70" s="12" t="str">
        <f ca="1">IFERROR(__xludf.DUMMYFUNCTION("GOOGLETRANSLATE($B70,""en"",M$3)"),"backup-instellingen")</f>
        <v>backup-instellingen</v>
      </c>
      <c r="N70" s="12" t="str">
        <f ca="1">IFERROR(__xludf.DUMMYFUNCTION("GOOGLETRANSLATE($B70,""en"",N$3)"),"Backup Settings")</f>
        <v>Backup Settings</v>
      </c>
      <c r="O70" s="12" t="str">
        <f ca="1">IFERROR(__xludf.DUMMYFUNCTION("GOOGLETRANSLATE($B70,""en"",O$3)"),"varmuuskopiointiasetukset")</f>
        <v>varmuuskopiointiasetukset</v>
      </c>
      <c r="P70" s="12" t="str">
        <f ca="1">IFERROR(__xludf.DUMMYFUNCTION("GOOGLETRANSLATE($B70,""en"",P$3)"),"Socruithe Cúltaca")</f>
        <v>Socruithe Cúltaca</v>
      </c>
      <c r="Q70" s="12" t="str">
        <f ca="1">IFERROR(__xludf.DUMMYFUNCTION("GOOGLETRANSLATE($B70,""en"",Q$3)"),"تنظیمات پشتیبان گیری")</f>
        <v>تنظیمات پشتیبان گیری</v>
      </c>
      <c r="R70" s="12" t="str">
        <f ca="1">IFERROR(__xludf.DUMMYFUNCTION("GOOGLETRANSLATE($B70,""en"",R$3)"),"הגדרות גיבוי")</f>
        <v>הגדרות גיבוי</v>
      </c>
      <c r="S70" s="12" t="str">
        <f ca="1">IFERROR(__xludf.DUMMYFUNCTION("GOOGLETRANSLATE($B70,""en"",S$3)"),"Backup Settings")</f>
        <v>Backup Settings</v>
      </c>
      <c r="T70" s="12" t="str">
        <f ca="1">IFERROR(__xludf.DUMMYFUNCTION("GOOGLETRANSLATE($B70,""en"",T$3)"),"backup Settings")</f>
        <v>backup Settings</v>
      </c>
      <c r="U70" s="12" t="str">
        <f ca="1">IFERROR(__xludf.DUMMYFUNCTION("GOOGLETRANSLATE($B70,""en"",U$3)"),"إعدادات النسخ الاحتياطي")</f>
        <v>إعدادات النسخ الاحتياطي</v>
      </c>
      <c r="V70" s="12" t="str">
        <f ca="1">IFERROR(__xludf.DUMMYFUNCTION("GOOGLETRANSLATE($B70,""en"",V$3)"),"Ustawienia kopii zapasowej")</f>
        <v>Ustawienia kopii zapasowej</v>
      </c>
      <c r="W70" s="12" t="str">
        <f ca="1">IFERROR(__xludf.DUMMYFUNCTION("GOOGLETRANSLATE($B70,""en"",W$3)"),"Настройки резервного копирования")</f>
        <v>Настройки резервного копирования</v>
      </c>
      <c r="X70" s="12" t="str">
        <f ca="1">IFERROR(__xludf.DUMMYFUNCTION("GOOGLETRANSLATE($B70,""en"",X$3)"),"Configuración de copia de seguridad")</f>
        <v>Configuración de copia de seguridad</v>
      </c>
      <c r="Y70" s="12"/>
      <c r="Z70" s="12"/>
    </row>
    <row r="71" spans="1:26" ht="32.25" customHeight="1" x14ac:dyDescent="0.2">
      <c r="A71" s="17" t="s">
        <v>219</v>
      </c>
      <c r="B71" s="17" t="s">
        <v>220</v>
      </c>
      <c r="C71" s="11" t="str">
        <f ca="1">IFERROR(__xludf.DUMMYFUNCTION("GOOGLETRANSLATE($B71,""en"",C$3)"),"Sicherungskopie")</f>
        <v>Sicherungskopie</v>
      </c>
      <c r="D71" s="12" t="str">
        <f ca="1">IFERROR(__xludf.DUMMYFUNCTION("GOOGLETRANSLATE($B71,""en"",D$3)"),"Säkerhetskopiering")</f>
        <v>Säkerhetskopiering</v>
      </c>
      <c r="E71" s="12" t="str">
        <f ca="1">IFERROR(__xludf.DUMMYFUNCTION("GOOGLETRANSLATE($B71,""en"",E$3)"),"Cópia de segurança")</f>
        <v>Cópia de segurança</v>
      </c>
      <c r="F71" s="12" t="str">
        <f ca="1">IFERROR(__xludf.DUMMYFUNCTION("GOOGLETRANSLATE($B71,""en"",F$3)"),"Cópia de segurança")</f>
        <v>Cópia de segurança</v>
      </c>
      <c r="G71" s="12" t="str">
        <f ca="1">IFERROR(__xludf.DUMMYFUNCTION("GOOGLETRANSLATE($B71,""en"",G$3)"),"sauvegarde")</f>
        <v>sauvegarde</v>
      </c>
      <c r="H71" s="12" t="str">
        <f ca="1">IFERROR(__xludf.DUMMYFUNCTION("GOOGLETRANSLATE($B71,""en"",H$3)"),"Backup")</f>
        <v>Backup</v>
      </c>
      <c r="I71" s="12" t="str">
        <f ca="1">IFERROR(__xludf.DUMMYFUNCTION("GOOGLETRANSLATE($B71,""en"",I$3)"),"reserva")</f>
        <v>reserva</v>
      </c>
      <c r="J71" s="12" t="str">
        <f ca="1">IFERROR(__xludf.DUMMYFUNCTION("GOOGLETRANSLATE($B71,""en"",J$3)"),"Záloha")</f>
        <v>Záloha</v>
      </c>
      <c r="K71" s="12" t="str">
        <f ca="1">IFERROR(__xludf.DUMMYFUNCTION("GOOGLETRANSLATE($B71,""en"",K$3)"),"备用")</f>
        <v>备用</v>
      </c>
      <c r="L71" s="12" t="str">
        <f ca="1">IFERROR(__xludf.DUMMYFUNCTION("GOOGLETRANSLATE($B71,""en"",L$3)"),"備用")</f>
        <v>備用</v>
      </c>
      <c r="M71" s="12" t="str">
        <f ca="1">IFERROR(__xludf.DUMMYFUNCTION("GOOGLETRANSLATE($B71,""en"",M$3)"),"backup")</f>
        <v>backup</v>
      </c>
      <c r="N71" s="12" t="str">
        <f ca="1">IFERROR(__xludf.DUMMYFUNCTION("GOOGLETRANSLATE($B71,""en"",N$3)"),"Αντιγράφων ασφαλείας")</f>
        <v>Αντιγράφων ασφαλείας</v>
      </c>
      <c r="O71" s="12" t="str">
        <f ca="1">IFERROR(__xludf.DUMMYFUNCTION("GOOGLETRANSLATE($B71,""en"",O$3)"),"Varmuuskopioida")</f>
        <v>Varmuuskopioida</v>
      </c>
      <c r="P71" s="12" t="str">
        <f ca="1">IFERROR(__xludf.DUMMYFUNCTION("GOOGLETRANSLATE($B71,""en"",P$3)"),"Cúltaca")</f>
        <v>Cúltaca</v>
      </c>
      <c r="Q71" s="12" t="str">
        <f ca="1">IFERROR(__xludf.DUMMYFUNCTION("GOOGLETRANSLATE($B71,""en"",Q$3)"),"پشتیبان گیری")</f>
        <v>پشتیبان گیری</v>
      </c>
      <c r="R71" s="12" t="str">
        <f ca="1">IFERROR(__xludf.DUMMYFUNCTION("GOOGLETRANSLATE($B71,""en"",R$3)"),"גיבוי")</f>
        <v>גיבוי</v>
      </c>
      <c r="S71" s="12" t="str">
        <f ca="1">IFERROR(__xludf.DUMMYFUNCTION("GOOGLETRANSLATE($B71,""en"",S$3)"),"Afritun")</f>
        <v>Afritun</v>
      </c>
      <c r="T71" s="12" t="str">
        <f ca="1">IFERROR(__xludf.DUMMYFUNCTION("GOOGLETRANSLATE($B71,""en"",T$3)"),"backup")</f>
        <v>backup</v>
      </c>
      <c r="U71" s="12" t="str">
        <f ca="1">IFERROR(__xludf.DUMMYFUNCTION("GOOGLETRANSLATE($B71,""en"",U$3)"),"دعم")</f>
        <v>دعم</v>
      </c>
      <c r="V71" s="12" t="str">
        <f ca="1">IFERROR(__xludf.DUMMYFUNCTION("GOOGLETRANSLATE($B71,""en"",V$3)"),"Utworzyć kopię zapasową")</f>
        <v>Utworzyć kopię zapasową</v>
      </c>
      <c r="W71" s="12" t="str">
        <f ca="1">IFERROR(__xludf.DUMMYFUNCTION("GOOGLETRANSLATE($B71,""en"",W$3)"),"Резервное копирование")</f>
        <v>Резервное копирование</v>
      </c>
      <c r="X71" s="12" t="str">
        <f ca="1">IFERROR(__xludf.DUMMYFUNCTION("GOOGLETRANSLATE($B71,""en"",X$3)"),"Apoyo")</f>
        <v>Apoyo</v>
      </c>
      <c r="Y71" s="12"/>
      <c r="Z71" s="12"/>
    </row>
    <row r="72" spans="1:26" ht="32.25" customHeight="1" x14ac:dyDescent="0.2">
      <c r="A72" s="10" t="s">
        <v>221</v>
      </c>
      <c r="B72" s="10" t="s">
        <v>222</v>
      </c>
      <c r="C72" s="11" t="str">
        <f ca="1">IFERROR(__xludf.DUMMYFUNCTION("GOOGLETRANSLATE($B72,""en"",C$3)"),"Ban Liste")</f>
        <v>Ban Liste</v>
      </c>
      <c r="D72" s="11" t="str">
        <f ca="1">IFERROR(__xludf.DUMMYFUNCTION("GOOGLETRANSLATE($B72,""en"",D$3)"),"Ban Lista")</f>
        <v>Ban Lista</v>
      </c>
      <c r="E72" s="11" t="str">
        <f ca="1">IFERROR(__xludf.DUMMYFUNCTION("GOOGLETRANSLATE($B72,""en"",E$3)"),"Lista Ban")</f>
        <v>Lista Ban</v>
      </c>
      <c r="F72" s="11" t="str">
        <f ca="1">IFERROR(__xludf.DUMMYFUNCTION("GOOGLETRANSLATE($B72,""en"",F$3)"),"Lista Ban")</f>
        <v>Lista Ban</v>
      </c>
      <c r="G72" s="11" t="str">
        <f ca="1">IFERROR(__xludf.DUMMYFUNCTION("GOOGLETRANSLATE($B72,""en"",G$3)"),"Ban List")</f>
        <v>Ban List</v>
      </c>
      <c r="H72" s="11" t="str">
        <f ca="1">IFERROR(__xludf.DUMMYFUNCTION("GOOGLETRANSLATE($B72,""en"",H$3)"),"Ban zerrenda")</f>
        <v>Ban zerrenda</v>
      </c>
      <c r="I72" s="11" t="str">
        <f ca="1">IFERROR(__xludf.DUMMYFUNCTION("GOOGLETRANSLATE($B72,""en"",I$3)"),"llista Ban")</f>
        <v>llista Ban</v>
      </c>
      <c r="J72" s="11" t="str">
        <f ca="1">IFERROR(__xludf.DUMMYFUNCTION("GOOGLETRANSLATE($B72,""en"",J$3)"),"Ban Seznam")</f>
        <v>Ban Seznam</v>
      </c>
      <c r="K72" s="11" t="str">
        <f ca="1">IFERROR(__xludf.DUMMYFUNCTION("GOOGLETRANSLATE($B72,""en"",K$3)"),"禁令名单")</f>
        <v>禁令名单</v>
      </c>
      <c r="L72" s="11" t="str">
        <f ca="1">IFERROR(__xludf.DUMMYFUNCTION("GOOGLETRANSLATE($B72,""en"",L$3)"),"禁令名單")</f>
        <v>禁令名單</v>
      </c>
      <c r="M72" s="11" t="str">
        <f ca="1">IFERROR(__xludf.DUMMYFUNCTION("GOOGLETRANSLATE($B72,""en"",M$3)"),"Ban Lijst")</f>
        <v>Ban Lijst</v>
      </c>
      <c r="N72" s="11" t="str">
        <f ca="1">IFERROR(__xludf.DUMMYFUNCTION("GOOGLETRANSLATE($B72,""en"",N$3)"),"Μπαν Λίστα")</f>
        <v>Μπαν Λίστα</v>
      </c>
      <c r="O72" s="11" t="str">
        <f ca="1">IFERROR(__xludf.DUMMYFUNCTION("GOOGLETRANSLATE($B72,""en"",O$3)"),"Ban List")</f>
        <v>Ban List</v>
      </c>
      <c r="P72" s="11" t="str">
        <f ca="1">IFERROR(__xludf.DUMMYFUNCTION("GOOGLETRANSLATE($B72,""en"",P$3)"),"Ban Liosta")</f>
        <v>Ban Liosta</v>
      </c>
      <c r="Q72" s="11" t="str">
        <f ca="1">IFERROR(__xludf.DUMMYFUNCTION("GOOGLETRANSLATE($B72,""en"",Q$3)"),"فهرست بان")</f>
        <v>فهرست بان</v>
      </c>
      <c r="R72" s="11" t="str">
        <f ca="1">IFERROR(__xludf.DUMMYFUNCTION("GOOGLETRANSLATE($B72,""en"",R$3)"),"באן רשימה")</f>
        <v>באן רשימה</v>
      </c>
      <c r="S72" s="11" t="str">
        <f ca="1">IFERROR(__xludf.DUMMYFUNCTION("GOOGLETRANSLATE($B72,""en"",S$3)"),"Ban List")</f>
        <v>Ban List</v>
      </c>
      <c r="T72" s="11" t="str">
        <f ca="1">IFERROR(__xludf.DUMMYFUNCTION("GOOGLETRANSLATE($B72,""en"",T$3)"),"Ban List")</f>
        <v>Ban List</v>
      </c>
      <c r="U72" s="11" t="str">
        <f ca="1">IFERROR(__xludf.DUMMYFUNCTION("GOOGLETRANSLATE($B72,""en"",U$3)"),"قائمة الحظر")</f>
        <v>قائمة الحظر</v>
      </c>
      <c r="V72" s="11" t="str">
        <f ca="1">IFERROR(__xludf.DUMMYFUNCTION("GOOGLETRANSLATE($B72,""en"",V$3)"),"Ban Lista")</f>
        <v>Ban Lista</v>
      </c>
      <c r="W72" s="11" t="str">
        <f ca="1">IFERROR(__xludf.DUMMYFUNCTION("GOOGLETRANSLATE($B72,""en"",W$3)"),"Список Ban")</f>
        <v>Список Ban</v>
      </c>
      <c r="X72" s="11" t="str">
        <f ca="1">IFERROR(__xludf.DUMMYFUNCTION("GOOGLETRANSLATE($B72,""en"",X$3)"),"Lista Ban")</f>
        <v>Lista Ban</v>
      </c>
    </row>
    <row r="73" spans="1:26" ht="32.25" customHeight="1" x14ac:dyDescent="0.2">
      <c r="A73" s="10" t="s">
        <v>223</v>
      </c>
      <c r="B73" s="10" t="s">
        <v>224</v>
      </c>
      <c r="C73" s="11" t="str">
        <f ca="1">IFERROR(__xludf.DUMMYFUNCTION("GOOGLETRANSLATE($B73,""en"",C$3)"),"Klicken Sie zum Einrichten Grid, MAC-Adresse und IP-Verbote")</f>
        <v>Klicken Sie zum Einrichten Grid, MAC-Adresse und IP-Verbote</v>
      </c>
      <c r="D73" s="11" t="str">
        <f ca="1">IFERROR(__xludf.DUMMYFUNCTION("GOOGLETRANSLATE($B73,""en"",D$3)"),"Klicka för att ställa in Grid, MAC-adress och IP-förbud")</f>
        <v>Klicka för att ställa in Grid, MAC-adress och IP-förbud</v>
      </c>
      <c r="E73" s="11" t="str">
        <f ca="1">IFERROR(__xludf.DUMMYFUNCTION("GOOGLETRANSLATE($B73,""en"",E$3)"),"Clique para configurar Grade, endereço MAC e proibições IP")</f>
        <v>Clique para configurar Grade, endereço MAC e proibições IP</v>
      </c>
      <c r="F73" s="11" t="str">
        <f ca="1">IFERROR(__xludf.DUMMYFUNCTION("GOOGLETRANSLATE($B73,""en"",F$3)"),"Clique para configurar Grade, endereço MAC e proibições IP")</f>
        <v>Clique para configurar Grade, endereço MAC e proibições IP</v>
      </c>
      <c r="G73" s="11" t="str">
        <f ca="1">IFERROR(__xludf.DUMMYFUNCTION("GOOGLETRANSLATE($B73,""en"",G$3)"),"Cliquez pour mettre en place la grille, l'adresse MAC et les interdictions IP")</f>
        <v>Cliquez pour mettre en place la grille, l'adresse MAC et les interdictions IP</v>
      </c>
      <c r="H73" s="11" t="str">
        <f ca="1">IFERROR(__xludf.DUMMYFUNCTION("GOOGLETRANSLATE($B73,""en"",H$3)"),"Klik Grid, MAC helbidea eta IP debekatu konfiguratzeko")</f>
        <v>Klik Grid, MAC helbidea eta IP debekatu konfiguratzeko</v>
      </c>
      <c r="I73" s="11" t="str">
        <f ca="1">IFERROR(__xludf.DUMMYFUNCTION("GOOGLETRANSLATE($B73,""en"",I$3)"),"Feu clic per configurar la xarxa, l'adreça MAC i la prohibició d'IP")</f>
        <v>Feu clic per configurar la xarxa, l'adreça MAC i la prohibició d'IP</v>
      </c>
      <c r="J73" s="11" t="str">
        <f ca="1">IFERROR(__xludf.DUMMYFUNCTION("GOOGLETRANSLATE($B73,""en"",J$3)"),"Klepněte na tlačítko nastavit mřížku, MAC adresu a IP zákazy")</f>
        <v>Klepněte na tlačítko nastavit mřížku, MAC adresu a IP zákazy</v>
      </c>
      <c r="K73" s="11" t="str">
        <f ca="1">IFERROR(__xludf.DUMMYFUNCTION("GOOGLETRANSLATE($B73,""en"",K$3)"),"点击设置网格，MAC地址和IP禁令")</f>
        <v>点击设置网格，MAC地址和IP禁令</v>
      </c>
      <c r="L73" s="11" t="str">
        <f ca="1">IFERROR(__xludf.DUMMYFUNCTION("GOOGLETRANSLATE($B73,""en"",L$3)"),"點擊設置網格，MAC地址和IP禁令")</f>
        <v>點擊設置網格，MAC地址和IP禁令</v>
      </c>
      <c r="M73" s="11" t="str">
        <f ca="1">IFERROR(__xludf.DUMMYFUNCTION("GOOGLETRANSLATE($B73,""en"",M$3)"),"Klik op te zetten Grid, MAC-adres en IP bans")</f>
        <v>Klik op te zetten Grid, MAC-adres en IP bans</v>
      </c>
      <c r="N73" s="11" t="str">
        <f ca="1">IFERROR(__xludf.DUMMYFUNCTION("GOOGLETRANSLATE($B73,""en"",N$3)"),"Κάντε κλικ για να δημιουργήσει δίκτυο, τη διεύθυνση MAC και απαγορεύσεις IP")</f>
        <v>Κάντε κλικ για να δημιουργήσει δίκτυο, τη διεύθυνση MAC και απαγορεύσεις IP</v>
      </c>
      <c r="O73" s="11" t="str">
        <f ca="1">IFERROR(__xludf.DUMMYFUNCTION("GOOGLETRANSLATE($B73,""en"",O$3)"),"Klikkaa perustaa Grid, MAC-osoite ja IP kiellot")</f>
        <v>Klikkaa perustaa Grid, MAC-osoite ja IP kiellot</v>
      </c>
      <c r="P73" s="11" t="str">
        <f ca="1">IFERROR(__xludf.DUMMYFUNCTION("GOOGLETRANSLATE($B73,""en"",P$3)"),"Cliceáil a chur ar bun Eangach, seoladh MAC agus toirmisc IP")</f>
        <v>Cliceáil a chur ar bun Eangach, seoladh MAC agus toirmisc IP</v>
      </c>
      <c r="Q73" s="11" t="str">
        <f ca="1">IFERROR(__xludf.DUMMYFUNCTION("GOOGLETRANSLATE($B73,""en"",Q$3)"),"برای راه اندازی شبکه، آدرس MAC و IP ممنوعیت کلیک کنید")</f>
        <v>برای راه اندازی شبکه، آدرس MAC و IP ممنوعیت کلیک کنید</v>
      </c>
      <c r="R73" s="11" t="str">
        <f ca="1">IFERROR(__xludf.DUMMYFUNCTION("GOOGLETRANSLATE($B73,""en"",R$3)"),"לחץ כדי להגדיר רשת, כתובת MAC ו איסורים IP")</f>
        <v>לחץ כדי להגדיר רשת, כתובת MAC ו איסורים IP</v>
      </c>
      <c r="S73" s="11" t="str">
        <f ca="1">IFERROR(__xludf.DUMMYFUNCTION("GOOGLETRANSLATE($B73,""en"",S$3)"),"Smelltu til að setja upp töflu, MAC heimilisfang og IP bönn")</f>
        <v>Smelltu til að setja upp töflu, MAC heimilisfang og IP bönn</v>
      </c>
      <c r="T73" s="11" t="str">
        <f ca="1">IFERROR(__xludf.DUMMYFUNCTION("GOOGLETRANSLATE($B73,""en"",T$3)"),"Klikk for å sette opp Grid, MAC-adresse og IP-forbud")</f>
        <v>Klikk for å sette opp Grid, MAC-adresse og IP-forbud</v>
      </c>
      <c r="U73" s="11" t="str">
        <f ca="1">IFERROR(__xludf.DUMMYFUNCTION("GOOGLETRANSLATE($B73,""en"",U$3)"),"انقر لانشاء الشبكة وعنوان MAC وحظر IP")</f>
        <v>انقر لانشاء الشبكة وعنوان MAC وحظر IP</v>
      </c>
      <c r="V73" s="11" t="str">
        <f ca="1">IFERROR(__xludf.DUMMYFUNCTION("GOOGLETRANSLATE($B73,""en"",V$3)"),"Kliknij, aby utworzyć siatkę, adres MAC i IP zakazy")</f>
        <v>Kliknij, aby utworzyć siatkę, adres MAC i IP zakazy</v>
      </c>
      <c r="W73" s="11" t="str">
        <f ca="1">IFERROR(__xludf.DUMMYFUNCTION("GOOGLETRANSLATE($B73,""en"",W$3)"),"Нажмите, чтобы настроить сетку, MAC-адрес и IP баны")</f>
        <v>Нажмите, чтобы настроить сетку, MAC-адрес и IP баны</v>
      </c>
      <c r="X73" s="11" t="str">
        <f ca="1">IFERROR(__xludf.DUMMYFUNCTION("GOOGLETRANSLATE($B73,""en"",X$3)"),"Haga clic para configurar la red, la dirección MAC y la prohibición de IP")</f>
        <v>Haga clic para configurar la red, la dirección MAC y la prohibición de IP</v>
      </c>
    </row>
    <row r="74" spans="1:26" ht="32.25" customHeight="1" x14ac:dyDescent="0.2">
      <c r="A74" s="10" t="s">
        <v>225</v>
      </c>
      <c r="B74" s="10" t="s">
        <v>226</v>
      </c>
      <c r="C74" s="11" t="str">
        <f ca="1">IFERROR(__xludf.DUMMYFUNCTION("GOOGLETRANSLATE($B74,""en"",C$3)"),"Verboten")</f>
        <v>Verboten</v>
      </c>
      <c r="D74" s="11" t="str">
        <f ca="1">IFERROR(__xludf.DUMMYFUNCTION("GOOGLETRANSLATE($B74,""en"",D$3)"),"Förbjudna")</f>
        <v>Förbjudna</v>
      </c>
      <c r="E74" s="11" t="str">
        <f ca="1">IFERROR(__xludf.DUMMYFUNCTION("GOOGLETRANSLATE($B74,""en"",E$3)"),"Banido")</f>
        <v>Banido</v>
      </c>
      <c r="F74" s="11" t="str">
        <f ca="1">IFERROR(__xludf.DUMMYFUNCTION("GOOGLETRANSLATE($B74,""en"",F$3)"),"Banido")</f>
        <v>Banido</v>
      </c>
      <c r="G74" s="11" t="str">
        <f ca="1">IFERROR(__xludf.DUMMYFUNCTION("GOOGLETRANSLATE($B74,""en"",G$3)"),"banni")</f>
        <v>banni</v>
      </c>
      <c r="H74" s="11" t="str">
        <f ca="1">IFERROR(__xludf.DUMMYFUNCTION("GOOGLETRANSLATE($B74,""en"",H$3)"),"Debekatuta")</f>
        <v>Debekatuta</v>
      </c>
      <c r="I74" s="11" t="str">
        <f ca="1">IFERROR(__xludf.DUMMYFUNCTION("GOOGLETRANSLATE($B74,""en"",I$3)"),"prohibit")</f>
        <v>prohibit</v>
      </c>
      <c r="J74" s="11" t="str">
        <f ca="1">IFERROR(__xludf.DUMMYFUNCTION("GOOGLETRANSLATE($B74,""en"",J$3)"),"zakázán")</f>
        <v>zakázán</v>
      </c>
      <c r="K74" s="11" t="str">
        <f ca="1">IFERROR(__xludf.DUMMYFUNCTION("GOOGLETRANSLATE($B74,""en"",K$3)"),"取缔")</f>
        <v>取缔</v>
      </c>
      <c r="L74" s="11" t="str">
        <f ca="1">IFERROR(__xludf.DUMMYFUNCTION("GOOGLETRANSLATE($B74,""en"",L$3)"),"取締")</f>
        <v>取締</v>
      </c>
      <c r="M74" s="11" t="str">
        <f ca="1">IFERROR(__xludf.DUMMYFUNCTION("GOOGLETRANSLATE($B74,""en"",M$3)"),"verboden")</f>
        <v>verboden</v>
      </c>
      <c r="N74" s="11" t="str">
        <f ca="1">IFERROR(__xludf.DUMMYFUNCTION("GOOGLETRANSLATE($B74,""en"",N$3)"),"Αποκλεισμένο")</f>
        <v>Αποκλεισμένο</v>
      </c>
      <c r="O74" s="11" t="str">
        <f ca="1">IFERROR(__xludf.DUMMYFUNCTION("GOOGLETRANSLATE($B74,""en"",O$3)"),"Banned")</f>
        <v>Banned</v>
      </c>
      <c r="P74" s="11" t="str">
        <f ca="1">IFERROR(__xludf.DUMMYFUNCTION("GOOGLETRANSLATE($B74,""en"",P$3)"),"Banned")</f>
        <v>Banned</v>
      </c>
      <c r="Q74" s="11" t="str">
        <f ca="1">IFERROR(__xludf.DUMMYFUNCTION("GOOGLETRANSLATE($B74,""en"",Q$3)"),"ممنوع")</f>
        <v>ممنوع</v>
      </c>
      <c r="R74" s="11" t="str">
        <f ca="1">IFERROR(__xludf.DUMMYFUNCTION("GOOGLETRANSLATE($B74,""en"",R$3)"),"אָסוּר")</f>
        <v>אָסוּר</v>
      </c>
      <c r="S74" s="11" t="str">
        <f ca="1">IFERROR(__xludf.DUMMYFUNCTION("GOOGLETRANSLATE($B74,""en"",S$3)"),"bannaður")</f>
        <v>bannaður</v>
      </c>
      <c r="T74" s="11" t="str">
        <f ca="1">IFERROR(__xludf.DUMMYFUNCTION("GOOGLETRANSLATE($B74,""en"",T$3)"),"utestengt")</f>
        <v>utestengt</v>
      </c>
      <c r="U74" s="11" t="str">
        <f ca="1">IFERROR(__xludf.DUMMYFUNCTION("GOOGLETRANSLATE($B74,""en"",U$3)"),"محظور")</f>
        <v>محظور</v>
      </c>
      <c r="V74" s="11" t="str">
        <f ca="1">IFERROR(__xludf.DUMMYFUNCTION("GOOGLETRANSLATE($B74,""en"",V$3)"),"Zakazany")</f>
        <v>Zakazany</v>
      </c>
      <c r="W74" s="11" t="str">
        <f ca="1">IFERROR(__xludf.DUMMYFUNCTION("GOOGLETRANSLATE($B74,""en"",W$3)"),"запрещенный")</f>
        <v>запрещенный</v>
      </c>
      <c r="X74" s="11" t="str">
        <f ca="1">IFERROR(__xludf.DUMMYFUNCTION("GOOGLETRANSLATE($B74,""en"",X$3)"),"prohibido")</f>
        <v>prohibido</v>
      </c>
    </row>
    <row r="75" spans="1:26" ht="32.25" customHeight="1" x14ac:dyDescent="0.2">
      <c r="A75" s="10" t="s">
        <v>227</v>
      </c>
      <c r="B75" s="10" t="s">
        <v>6</v>
      </c>
      <c r="C75" s="11" t="str">
        <f ca="1">IFERROR(__xludf.DUMMYFUNCTION("GOOGLETRANSLATE($B75,""en"",C$3)"),"baskisch")</f>
        <v>baskisch</v>
      </c>
      <c r="D75" s="11" t="str">
        <f ca="1">IFERROR(__xludf.DUMMYFUNCTION("GOOGLETRANSLATE($B75,""en"",D$3)"),"baskiska")</f>
        <v>baskiska</v>
      </c>
      <c r="E75" s="11" t="str">
        <f ca="1">IFERROR(__xludf.DUMMYFUNCTION("GOOGLETRANSLATE($B75,""en"",E$3)"),"basco")</f>
        <v>basco</v>
      </c>
      <c r="F75" s="11" t="str">
        <f ca="1">IFERROR(__xludf.DUMMYFUNCTION("GOOGLETRANSLATE($B75,""en"",F$3)"),"basco")</f>
        <v>basco</v>
      </c>
      <c r="G75" s="11" t="str">
        <f ca="1">IFERROR(__xludf.DUMMYFUNCTION("GOOGLETRANSLATE($B75,""en"",G$3)"),"basque")</f>
        <v>basque</v>
      </c>
      <c r="H75" s="11" t="str">
        <f ca="1">IFERROR(__xludf.DUMMYFUNCTION("GOOGLETRANSLATE($B75,""en"",H$3)"),"Euskal")</f>
        <v>Euskal</v>
      </c>
      <c r="I75" s="11" t="str">
        <f ca="1">IFERROR(__xludf.DUMMYFUNCTION("GOOGLETRANSLATE($B75,""en"",I$3)"),"basc")</f>
        <v>basc</v>
      </c>
      <c r="J75" s="11" t="str">
        <f ca="1">IFERROR(__xludf.DUMMYFUNCTION("GOOGLETRANSLATE($B75,""en"",J$3)"),"Baskický")</f>
        <v>Baskický</v>
      </c>
      <c r="K75" s="11" t="str">
        <f ca="1">IFERROR(__xludf.DUMMYFUNCTION("GOOGLETRANSLATE($B75,""en"",K$3)"),"巴斯克")</f>
        <v>巴斯克</v>
      </c>
      <c r="L75" s="11" t="str">
        <f ca="1">IFERROR(__xludf.DUMMYFUNCTION("GOOGLETRANSLATE($B75,""en"",L$3)"),"巴斯克")</f>
        <v>巴斯克</v>
      </c>
      <c r="M75" s="11" t="str">
        <f ca="1">IFERROR(__xludf.DUMMYFUNCTION("GOOGLETRANSLATE($B75,""en"",M$3)"),"baskisch")</f>
        <v>baskisch</v>
      </c>
      <c r="N75" s="11" t="str">
        <f ca="1">IFERROR(__xludf.DUMMYFUNCTION("GOOGLETRANSLATE($B75,""en"",N$3)"),"Βάσκων")</f>
        <v>Βάσκων</v>
      </c>
      <c r="O75" s="11" t="str">
        <f ca="1">IFERROR(__xludf.DUMMYFUNCTION("GOOGLETRANSLATE($B75,""en"",O$3)"),"baski")</f>
        <v>baski</v>
      </c>
      <c r="P75" s="11" t="str">
        <f ca="1">IFERROR(__xludf.DUMMYFUNCTION("GOOGLETRANSLATE($B75,""en"",P$3)"),"Bascais")</f>
        <v>Bascais</v>
      </c>
      <c r="Q75" s="11" t="str">
        <f ca="1">IFERROR(__xludf.DUMMYFUNCTION("GOOGLETRANSLATE($B75,""en"",Q$3)"),"باسک")</f>
        <v>باسک</v>
      </c>
      <c r="R75" s="11" t="str">
        <f ca="1">IFERROR(__xludf.DUMMYFUNCTION("GOOGLETRANSLATE($B75,""en"",R$3)"),"הבסקים")</f>
        <v>הבסקים</v>
      </c>
      <c r="S75" s="11" t="str">
        <f ca="1">IFERROR(__xludf.DUMMYFUNCTION("GOOGLETRANSLATE($B75,""en"",S$3)"),"basque")</f>
        <v>basque</v>
      </c>
      <c r="T75" s="11" t="str">
        <f ca="1">IFERROR(__xludf.DUMMYFUNCTION("GOOGLETRANSLATE($B75,""en"",T$3)"),"basque")</f>
        <v>basque</v>
      </c>
      <c r="U75" s="11" t="str">
        <f ca="1">IFERROR(__xludf.DUMMYFUNCTION("GOOGLETRANSLATE($B75,""en"",U$3)"),"الباسكي")</f>
        <v>الباسكي</v>
      </c>
      <c r="V75" s="11" t="str">
        <f ca="1">IFERROR(__xludf.DUMMYFUNCTION("GOOGLETRANSLATE($B75,""en"",V$3)"),"baskijski")</f>
        <v>baskijski</v>
      </c>
      <c r="W75" s="11" t="str">
        <f ca="1">IFERROR(__xludf.DUMMYFUNCTION("GOOGLETRANSLATE($B75,""en"",W$3)"),"баскский")</f>
        <v>баскский</v>
      </c>
      <c r="X75" s="11" t="str">
        <f ca="1">IFERROR(__xludf.DUMMYFUNCTION("GOOGLETRANSLATE($B75,""en"",X$3)"),"vasco")</f>
        <v>vasco</v>
      </c>
    </row>
    <row r="76" spans="1:26" ht="32.25" customHeight="1" x14ac:dyDescent="0.2">
      <c r="A76" s="17" t="s">
        <v>228</v>
      </c>
      <c r="B76" s="17" t="s">
        <v>229</v>
      </c>
      <c r="C76" s="11" t="str">
        <f ca="1">IFERROR(__xludf.DUMMYFUNCTION("GOOGLETRANSLATE($B76,""en"",C$3)"),"Beste (Prims + Mesh, sehr langsam)")</f>
        <v>Beste (Prims + Mesh, sehr langsam)</v>
      </c>
      <c r="D76" s="12" t="str">
        <f ca="1">IFERROR(__xludf.DUMMYFUNCTION("GOOGLETRANSLATE($B76,""en"",D$3)"),"Bästa (Prims + Mesh, mycket långsamt)")</f>
        <v>Bästa (Prims + Mesh, mycket långsamt)</v>
      </c>
      <c r="E76" s="12" t="str">
        <f ca="1">IFERROR(__xludf.DUMMYFUNCTION("GOOGLETRANSLATE($B76,""en"",E$3)"),"Os melhores (Prims + Mesh, muito lento)")</f>
        <v>Os melhores (Prims + Mesh, muito lento)</v>
      </c>
      <c r="F76" s="12" t="str">
        <f ca="1">IFERROR(__xludf.DUMMYFUNCTION("GOOGLETRANSLATE($B76,""en"",F$3)"),"Os melhores (Prims + Mesh, muito lento)")</f>
        <v>Os melhores (Prims + Mesh, muito lento)</v>
      </c>
      <c r="G76" s="12" t="str">
        <f ca="1">IFERROR(__xludf.DUMMYFUNCTION("GOOGLETRANSLATE($B76,""en"",G$3)"),"Meilleur (Prims + Mesh, très lent)")</f>
        <v>Meilleur (Prims + Mesh, très lent)</v>
      </c>
      <c r="H76" s="12" t="str">
        <f ca="1">IFERROR(__xludf.DUMMYFUNCTION("GOOGLETRANSLATE($B76,""en"",H$3)"),"Best (Prims + Malla, oso motela)")</f>
        <v>Best (Prims + Malla, oso motela)</v>
      </c>
      <c r="I76" s="12" t="str">
        <f ca="1">IFERROR(__xludf.DUMMYFUNCTION("GOOGLETRANSLATE($B76,""en"",I$3)"),"Millor (Prims + malla, molt lent)")</f>
        <v>Millor (Prims + malla, molt lent)</v>
      </c>
      <c r="J76" s="12" t="str">
        <f ca="1">IFERROR(__xludf.DUMMYFUNCTION("GOOGLETRANSLATE($B76,""en"",J$3)"),"Best (prims + Mesh, velmi pomalu)")</f>
        <v>Best (prims + Mesh, velmi pomalu)</v>
      </c>
      <c r="K76" s="12" t="str">
        <f ca="1">IFERROR(__xludf.DUMMYFUNCTION("GOOGLETRANSLATE($B76,""en"",K$3)"),"最佳（Prims +网，很慢）")</f>
        <v>最佳（Prims +网，很慢）</v>
      </c>
      <c r="L76" s="12" t="str">
        <f ca="1">IFERROR(__xludf.DUMMYFUNCTION("GOOGLETRANSLATE($B76,""en"",L$3)"),"最佳（Prims +網，很慢）")</f>
        <v>最佳（Prims +網，很慢）</v>
      </c>
      <c r="M76" s="12" t="str">
        <f ca="1">IFERROR(__xludf.DUMMYFUNCTION("GOOGLETRANSLATE($B76,""en"",M$3)"),"Best (Prims + Mesh, zeer traag)")</f>
        <v>Best (Prims + Mesh, zeer traag)</v>
      </c>
      <c r="N76" s="12" t="str">
        <f ca="1">IFERROR(__xludf.DUMMYFUNCTION("GOOGLETRANSLATE($B76,""en"",N$3)"),"Καλύτερο (PRIMS + Mesh, πολύ αργά)")</f>
        <v>Καλύτερο (PRIMS + Mesh, πολύ αργά)</v>
      </c>
      <c r="O76" s="12" t="str">
        <f ca="1">IFERROR(__xludf.DUMMYFUNCTION("GOOGLETRANSLATE($B76,""en"",O$3)"),"Paras (prims + Mesh, hyvin hitaasti)")</f>
        <v>Paras (prims + Mesh, hyvin hitaasti)</v>
      </c>
      <c r="P76" s="12" t="str">
        <f ca="1">IFERROR(__xludf.DUMMYFUNCTION("GOOGLETRANSLATE($B76,""en"",P$3)"),"Best (Prims + mogalra, An-Mall)")</f>
        <v>Best (Prims + mogalra, An-Mall)</v>
      </c>
      <c r="Q76" s="12" t="str">
        <f ca="1">IFERROR(__xludf.DUMMYFUNCTION("GOOGLETRANSLATE($B76,""en"",Q$3)"),"بهترین (Prims + مش، بسیار کند)")</f>
        <v>بهترین (Prims + مش، بسیار کند)</v>
      </c>
      <c r="R76" s="12" t="str">
        <f ca="1">IFERROR(__xludf.DUMMYFUNCTION("GOOGLETRANSLATE($B76,""en"",R$3)"),"Best (Prims + Mesh, מאוד איטי)")</f>
        <v>Best (Prims + Mesh, מאוד איטי)</v>
      </c>
      <c r="S76" s="12" t="str">
        <f ca="1">IFERROR(__xludf.DUMMYFUNCTION("GOOGLETRANSLATE($B76,""en"",S$3)"),"Besta (Prims + Mesh, Very Slow)")</f>
        <v>Besta (Prims + Mesh, Very Slow)</v>
      </c>
      <c r="T76" s="12" t="str">
        <f ca="1">IFERROR(__xludf.DUMMYFUNCTION("GOOGLETRANSLATE($B76,""en"",T$3)"),"Best (Prims + Mesh, veldig sakte)")</f>
        <v>Best (Prims + Mesh, veldig sakte)</v>
      </c>
      <c r="U76" s="12" t="str">
        <f ca="1">IFERROR(__xludf.DUMMYFUNCTION("GOOGLETRANSLATE($B76,""en"",U$3)"),"أفضل (PRIMS + شبكة، بطيئة جدا)")</f>
        <v>أفضل (PRIMS + شبكة، بطيئة جدا)</v>
      </c>
      <c r="V76" s="12" t="str">
        <f ca="1">IFERROR(__xludf.DUMMYFUNCTION("GOOGLETRANSLATE($B76,""en"",V$3)"),"Najlepszy (Prims + Mesh, bardzo wolno)")</f>
        <v>Najlepszy (Prims + Mesh, bardzo wolno)</v>
      </c>
      <c r="W76" s="12" t="str">
        <f ca="1">IFERROR(__xludf.DUMMYFUNCTION("GOOGLETRANSLATE($B76,""en"",W$3)"),"Лучший (примы + Mesh, очень медленно)")</f>
        <v>Лучший (примы + Mesh, очень медленно)</v>
      </c>
      <c r="X76" s="12" t="str">
        <f ca="1">IFERROR(__xludf.DUMMYFUNCTION("GOOGLETRANSLATE($B76,""en"",X$3)"),"Mejor (Prims + malla, muy lento)")</f>
        <v>Mejor (Prims + malla, muy lento)</v>
      </c>
      <c r="Y76" s="12"/>
      <c r="Z76" s="12"/>
    </row>
    <row r="77" spans="1:26" ht="32.25" customHeight="1" x14ac:dyDescent="0.2">
      <c r="A77" s="17" t="s">
        <v>230</v>
      </c>
      <c r="B77" s="17" t="s">
        <v>231</v>
      </c>
      <c r="C77" s="11" t="str">
        <f ca="1">IFERROR(__xludf.DUMMYFUNCTION("GOOGLETRANSLATE($B77,""en"",C$3)"),"Besser (Prims, langsam)")</f>
        <v>Besser (Prims, langsam)</v>
      </c>
      <c r="D77" s="12" t="str">
        <f ca="1">IFERROR(__xludf.DUMMYFUNCTION("GOOGLETRANSLATE($B77,""en"",D$3)"),"Bättre (Prims, Slow)")</f>
        <v>Bättre (Prims, Slow)</v>
      </c>
      <c r="E77" s="12" t="str">
        <f ca="1">IFERROR(__xludf.DUMMYFUNCTION("GOOGLETRANSLATE($B77,""en"",E$3)"),"Melhor (Prims, Lento)")</f>
        <v>Melhor (Prims, Lento)</v>
      </c>
      <c r="F77" s="12" t="str">
        <f ca="1">IFERROR(__xludf.DUMMYFUNCTION("GOOGLETRANSLATE($B77,""en"",F$3)"),"Melhor (Prims, Lento)")</f>
        <v>Melhor (Prims, Lento)</v>
      </c>
      <c r="G77" s="12" t="str">
        <f ca="1">IFERROR(__xludf.DUMMYFUNCTION("GOOGLETRANSLATE($B77,""en"",G$3)"),"Mieux (Prims, lent)")</f>
        <v>Mieux (Prims, lent)</v>
      </c>
      <c r="H77" s="12" t="str">
        <f ca="1">IFERROR(__xludf.DUMMYFUNCTION("GOOGLETRANSLATE($B77,""en"",H$3)"),"Better (Prims, Slow)")</f>
        <v>Better (Prims, Slow)</v>
      </c>
      <c r="I77" s="12" t="str">
        <f ca="1">IFERROR(__xludf.DUMMYFUNCTION("GOOGLETRANSLATE($B77,""en"",I$3)"),"Better (Prims, Lent)")</f>
        <v>Better (Prims, Lent)</v>
      </c>
      <c r="J77" s="12" t="str">
        <f ca="1">IFERROR(__xludf.DUMMYFUNCTION("GOOGLETRANSLATE($B77,""en"",J$3)"),"Better (prims, Slow)")</f>
        <v>Better (prims, Slow)</v>
      </c>
      <c r="K77" s="12" t="str">
        <f ca="1">IFERROR(__xludf.DUMMYFUNCTION("GOOGLETRANSLATE($B77,""en"",K$3)"),"更好（Prims，慢）")</f>
        <v>更好（Prims，慢）</v>
      </c>
      <c r="L77" s="12" t="str">
        <f ca="1">IFERROR(__xludf.DUMMYFUNCTION("GOOGLETRANSLATE($B77,""en"",L$3)"),"更好（Prims，慢）")</f>
        <v>更好（Prims，慢）</v>
      </c>
      <c r="M77" s="12" t="str">
        <f ca="1">IFERROR(__xludf.DUMMYFUNCTION("GOOGLETRANSLATE($B77,""en"",M$3)"),"Better (Prims, Slow)")</f>
        <v>Better (Prims, Slow)</v>
      </c>
      <c r="N77" s="12" t="str">
        <f ca="1">IFERROR(__xludf.DUMMYFUNCTION("GOOGLETRANSLATE($B77,""en"",N$3)"),"Καλύτερη (PRIMS, Αργή)")</f>
        <v>Καλύτερη (PRIMS, Αργή)</v>
      </c>
      <c r="O77" s="12" t="str">
        <f ca="1">IFERROR(__xludf.DUMMYFUNCTION("GOOGLETRANSLATE($B77,""en"",O$3)"),"Parempi (prims, hidas)")</f>
        <v>Parempi (prims, hidas)</v>
      </c>
      <c r="P77" s="12" t="str">
        <f ca="1">IFERROR(__xludf.DUMMYFUNCTION("GOOGLETRANSLATE($B77,""en"",P$3)"),"Níos Fearr (Prims, Mall)")</f>
        <v>Níos Fearr (Prims, Mall)</v>
      </c>
      <c r="Q77" s="12" t="str">
        <f ca="1">IFERROR(__xludf.DUMMYFUNCTION("GOOGLETRANSLATE($B77,""en"",Q$3)"),"بهتر (Prims، آهسته)")</f>
        <v>بهتر (Prims، آهسته)</v>
      </c>
      <c r="R77" s="12" t="str">
        <f ca="1">IFERROR(__xludf.DUMMYFUNCTION("GOOGLETRANSLATE($B77,""en"",R$3)"),"Better (Prims, איטי)")</f>
        <v>Better (Prims, איטי)</v>
      </c>
      <c r="S77" s="12" t="str">
        <f ca="1">IFERROR(__xludf.DUMMYFUNCTION("GOOGLETRANSLATE($B77,""en"",S$3)"),"Betri (Prims, Slow)")</f>
        <v>Betri (Prims, Slow)</v>
      </c>
      <c r="T77" s="12" t="str">
        <f ca="1">IFERROR(__xludf.DUMMYFUNCTION("GOOGLETRANSLATE($B77,""en"",T$3)"),"Bedre (Prims, Slow)")</f>
        <v>Bedre (Prims, Slow)</v>
      </c>
      <c r="U77" s="12" t="str">
        <f ca="1">IFERROR(__xludf.DUMMYFUNCTION("GOOGLETRANSLATE($B77,""en"",U$3)"),"أفضل (PRIMS، بطيئة)")</f>
        <v>أفضل (PRIMS، بطيئة)</v>
      </c>
      <c r="V77" s="12" t="str">
        <f ca="1">IFERROR(__xludf.DUMMYFUNCTION("GOOGLETRANSLATE($B77,""en"",V$3)"),"Lepsze (Prims Slow)")</f>
        <v>Lepsze (Prims Slow)</v>
      </c>
      <c r="W77" s="12" t="str">
        <f ca="1">IFERROR(__xludf.DUMMYFUNCTION("GOOGLETRANSLATE($B77,""en"",W$3)"),"Лучше (примы, Slow)")</f>
        <v>Лучше (примы, Slow)</v>
      </c>
      <c r="X77" s="12" t="str">
        <f ca="1">IFERROR(__xludf.DUMMYFUNCTION("GOOGLETRANSLATE($B77,""en"",X$3)"),"Better (Prims, Lento)")</f>
        <v>Better (Prims, Lento)</v>
      </c>
      <c r="Y77" s="12"/>
      <c r="Z77" s="12"/>
    </row>
    <row r="78" spans="1:26" ht="32.25" customHeight="1" x14ac:dyDescent="0.2">
      <c r="A78" s="17" t="s">
        <v>232</v>
      </c>
      <c r="B78" s="17" t="s">
        <v>233</v>
      </c>
      <c r="C78" s="11" t="str">
        <f ca="1">IFERROR(__xludf.DUMMYFUNCTION("GOOGLETRANSLATE($B78,""en"",C$3)"),"Vogel-Menge Größe")</f>
        <v>Vogel-Menge Größe</v>
      </c>
      <c r="D78" s="12" t="str">
        <f ca="1">IFERROR(__xludf.DUMMYFUNCTION("GOOGLETRANSLATE($B78,""en"",D$3)"),"Bird Flock storlek")</f>
        <v>Bird Flock storlek</v>
      </c>
      <c r="E78" s="13" t="s">
        <v>234</v>
      </c>
      <c r="F78" s="13" t="s">
        <v>234</v>
      </c>
      <c r="G78" s="12" t="str">
        <f ca="1">IFERROR(__xludf.DUMMYFUNCTION("GOOGLETRANSLATE($B78,""en"",G$3)"),"Oiseau Taille Flock")</f>
        <v>Oiseau Taille Flock</v>
      </c>
      <c r="H78" s="12" t="str">
        <f ca="1">IFERROR(__xludf.DUMMYFUNCTION("GOOGLETRANSLATE($B78,""en"",H$3)"),"Bird Flock neurria")</f>
        <v>Bird Flock neurria</v>
      </c>
      <c r="I78" s="12" t="str">
        <f ca="1">IFERROR(__xludf.DUMMYFUNCTION("GOOGLETRANSLATE($B78,""en"",I$3)"),"esbart Mida")</f>
        <v>esbart Mida</v>
      </c>
      <c r="J78" s="12" t="str">
        <f ca="1">IFERROR(__xludf.DUMMYFUNCTION("GOOGLETRANSLATE($B78,""en"",J$3)"),"Bird Flock Size")</f>
        <v>Bird Flock Size</v>
      </c>
      <c r="K78" s="12" t="str">
        <f ca="1">IFERROR(__xludf.DUMMYFUNCTION("GOOGLETRANSLATE($B78,""en"",K$3)"),"鸟群大小")</f>
        <v>鸟群大小</v>
      </c>
      <c r="L78" s="12" t="str">
        <f ca="1">IFERROR(__xludf.DUMMYFUNCTION("GOOGLETRANSLATE($B78,""en"",L$3)"),"鳥群大小")</f>
        <v>鳥群大小</v>
      </c>
      <c r="M78" s="12" t="str">
        <f ca="1">IFERROR(__xludf.DUMMYFUNCTION("GOOGLETRANSLATE($B78,""en"",M$3)"),"Vogel Flock Size")</f>
        <v>Vogel Flock Size</v>
      </c>
      <c r="N78" s="12" t="str">
        <f ca="1">IFERROR(__xludf.DUMMYFUNCTION("GOOGLETRANSLATE($B78,""en"",N$3)"),"Bird Κοπάδι Μέγεθος")</f>
        <v>Bird Κοπάδι Μέγεθος</v>
      </c>
      <c r="O78" s="12" t="str">
        <f ca="1">IFERROR(__xludf.DUMMYFUNCTION("GOOGLETRANSLATE($B78,""en"",O$3)"),"Lintujen Flock Koko")</f>
        <v>Lintujen Flock Koko</v>
      </c>
      <c r="P78" s="12" t="str">
        <f ca="1">IFERROR(__xludf.DUMMYFUNCTION("GOOGLETRANSLATE($B78,""en"",P$3)"),"Bird Flock Méid")</f>
        <v>Bird Flock Méid</v>
      </c>
      <c r="Q78" s="12" t="str">
        <f ca="1">IFERROR(__xludf.DUMMYFUNCTION("GOOGLETRANSLATE($B78,""en"",Q$3)"),"پرنده اندازه گله")</f>
        <v>پرنده اندازه گله</v>
      </c>
      <c r="R78" s="12" t="str">
        <f ca="1">IFERROR(__xludf.DUMMYFUNCTION("GOOGLETRANSLATE($B78,""en"",R$3)"),"פלוק בירד גודל")</f>
        <v>פלוק בירד גודל</v>
      </c>
      <c r="S78" s="12" t="str">
        <f ca="1">IFERROR(__xludf.DUMMYFUNCTION("GOOGLETRANSLATE($B78,""en"",S$3)"),"Bird Flock Stærð")</f>
        <v>Bird Flock Stærð</v>
      </c>
      <c r="T78" s="12" t="str">
        <f ca="1">IFERROR(__xludf.DUMMYFUNCTION("GOOGLETRANSLATE($B78,""en"",T$3)"),"Bird Flock Størrelse")</f>
        <v>Bird Flock Størrelse</v>
      </c>
      <c r="U78" s="12" t="str">
        <f ca="1">IFERROR(__xludf.DUMMYFUNCTION("GOOGLETRANSLATE($B78,""en"",U$3)"),"الطيور قطيع الحجم")</f>
        <v>الطيور قطيع الحجم</v>
      </c>
      <c r="V78" s="12" t="str">
        <f ca="1">IFERROR(__xludf.DUMMYFUNCTION("GOOGLETRANSLATE($B78,""en"",V$3)"),"Stado ptaków Rozmiar")</f>
        <v>Stado ptaków Rozmiar</v>
      </c>
      <c r="W78" s="12" t="str">
        <f ca="1">IFERROR(__xludf.DUMMYFUNCTION("GOOGLETRANSLATE($B78,""en"",W$3)"),"Птица Flock Размер")</f>
        <v>Птица Flock Размер</v>
      </c>
      <c r="X78" s="12" t="str">
        <f ca="1">IFERROR(__xludf.DUMMYFUNCTION("GOOGLETRANSLATE($B78,""en"",X$3)"),"Bandada Tamaño")</f>
        <v>Bandada Tamaño</v>
      </c>
      <c r="Y78" s="12"/>
      <c r="Z78" s="12"/>
    </row>
    <row r="79" spans="1:26" ht="32.25" customHeight="1" x14ac:dyDescent="0.2">
      <c r="A79" s="17" t="s">
        <v>235</v>
      </c>
      <c r="B79" s="17" t="s">
        <v>236</v>
      </c>
      <c r="C79" s="11" t="str">
        <f ca="1">IFERROR(__xludf.DUMMYFUNCTION("GOOGLETRANSLATE($B79,""en"",C$3)"),"Klicken Sie für Hilfe auf Vögel")</f>
        <v>Klicken Sie für Hilfe auf Vögel</v>
      </c>
      <c r="D79" s="12" t="str">
        <f ca="1">IFERROR(__xludf.DUMMYFUNCTION("GOOGLETRANSLATE($B79,""en"",D$3)"),"Klicka för att få hjälp Birds")</f>
        <v>Klicka för att få hjälp Birds</v>
      </c>
      <c r="E79" s="13" t="s">
        <v>237</v>
      </c>
      <c r="F79" s="13" t="s">
        <v>237</v>
      </c>
      <c r="G79" s="12" t="str">
        <f ca="1">IFERROR(__xludf.DUMMYFUNCTION("GOOGLETRANSLATE($B79,""en"",G$3)"),"Cliquez pour Aide sur les oiseaux")</f>
        <v>Cliquez pour Aide sur les oiseaux</v>
      </c>
      <c r="H79" s="12" t="str">
        <f ca="1">IFERROR(__xludf.DUMMYFUNCTION("GOOGLETRANSLATE($B79,""en"",H$3)"),"Klik Laguntza Birds on")</f>
        <v>Klik Laguntza Birds on</v>
      </c>
      <c r="I79" s="12" t="str">
        <f ca="1">IFERROR(__xludf.DUMMYFUNCTION("GOOGLETRANSLATE($B79,""en"",I$3)"),"Feu clic per obtenir ajuda sobre les aus")</f>
        <v>Feu clic per obtenir ajuda sobre les aus</v>
      </c>
      <c r="J79" s="12" t="str">
        <f ca="1">IFERROR(__xludf.DUMMYFUNCTION("GOOGLETRANSLATE($B79,""en"",J$3)"),"Klikněte pro nápovědu ptáků")</f>
        <v>Klikněte pro nápovědu ptáků</v>
      </c>
      <c r="K79" s="12" t="str">
        <f ca="1">IFERROR(__xludf.DUMMYFUNCTION("GOOGLETRANSLATE($B79,""en"",K$3)"),"点击帮助鸟类")</f>
        <v>点击帮助鸟类</v>
      </c>
      <c r="L79" s="12" t="str">
        <f ca="1">IFERROR(__xludf.DUMMYFUNCTION("GOOGLETRANSLATE($B79,""en"",L$3)"),"點擊幫助鳥類")</f>
        <v>點擊幫助鳥類</v>
      </c>
      <c r="M79" s="12" t="str">
        <f ca="1">IFERROR(__xludf.DUMMYFUNCTION("GOOGLETRANSLATE($B79,""en"",M$3)"),"Klik voor hulp bij Vogels")</f>
        <v>Klik voor hulp bij Vogels</v>
      </c>
      <c r="N79" s="12" t="str">
        <f ca="1">IFERROR(__xludf.DUMMYFUNCTION("GOOGLETRANSLATE($B79,""en"",N$3)"),"Κάντε κλικ για Βοήθεια για Πουλιά")</f>
        <v>Κάντε κλικ για Βοήθεια για Πουλιά</v>
      </c>
      <c r="O79" s="12" t="str">
        <f ca="1">IFERROR(__xludf.DUMMYFUNCTION("GOOGLETRANSLATE($B79,""en"",O$3)"),"Klikkaa ohje Linnut")</f>
        <v>Klikkaa ohje Linnut</v>
      </c>
      <c r="P79" s="12" t="str">
        <f ca="1">IFERROR(__xludf.DUMMYFUNCTION("GOOGLETRANSLATE($B79,""en"",P$3)"),"Cliceáil chun Cabhair ar Éin")</f>
        <v>Cliceáil chun Cabhair ar Éin</v>
      </c>
      <c r="Q79" s="12" t="str">
        <f ca="1">IFERROR(__xludf.DUMMYFUNCTION("GOOGLETRANSLATE($B79,""en"",Q$3)"),"برای کمک در پرندگان را کلیک کنید")</f>
        <v>برای کمک در پرندگان را کلیک کنید</v>
      </c>
      <c r="R79" s="12" t="str">
        <f ca="1">IFERROR(__xludf.DUMMYFUNCTION("GOOGLETRANSLATE($B79,""en"",R$3)"),"לחץ על עזרה על ציפורים")</f>
        <v>לחץ על עזרה על ציפורים</v>
      </c>
      <c r="S79" s="12" t="str">
        <f ca="1">IFERROR(__xludf.DUMMYFUNCTION("GOOGLETRANSLATE($B79,""en"",S$3)"),"Smelltu á hjálp á fuglum")</f>
        <v>Smelltu á hjálp á fuglum</v>
      </c>
      <c r="T79" s="12" t="str">
        <f ca="1">IFERROR(__xludf.DUMMYFUNCTION("GOOGLETRANSLATE($B79,""en"",T$3)"),"Klikk for Hjelp på Birds")</f>
        <v>Klikk for Hjelp på Birds</v>
      </c>
      <c r="U79" s="12" t="str">
        <f ca="1">IFERROR(__xludf.DUMMYFUNCTION("GOOGLETRANSLATE($B79,""en"",U$3)"),"انقر للحصول على مساعدة على الطيور")</f>
        <v>انقر للحصول على مساعدة على الطيور</v>
      </c>
      <c r="V79" s="12" t="str">
        <f ca="1">IFERROR(__xludf.DUMMYFUNCTION("GOOGLETRANSLATE($B79,""en"",V$3)"),"Kliknij na Pomoc na ptaki")</f>
        <v>Kliknij na Pomoc na ptaki</v>
      </c>
      <c r="W79" s="12" t="str">
        <f ca="1">IFERROR(__xludf.DUMMYFUNCTION("GOOGLETRANSLATE($B79,""en"",W$3)"),"Нажмите для справки по Птицам")</f>
        <v>Нажмите для справки по Птицам</v>
      </c>
      <c r="X79" s="12" t="str">
        <f ca="1">IFERROR(__xludf.DUMMYFUNCTION("GOOGLETRANSLATE($B79,""en"",X$3)"),"Haga clic para obtener ayuda sobre las aves")</f>
        <v>Haga clic para obtener ayuda sobre las aves</v>
      </c>
      <c r="Y79" s="12"/>
      <c r="Z79" s="12"/>
    </row>
    <row r="80" spans="1:26" ht="32.25" customHeight="1" x14ac:dyDescent="0.2">
      <c r="A80" s="17" t="s">
        <v>238</v>
      </c>
      <c r="B80" s="17" t="s">
        <v>239</v>
      </c>
      <c r="C80" s="11" t="str">
        <f ca="1">IFERROR(__xludf.DUMMYFUNCTION("GOOGLETRANSLATE($B80,""en"",C$3)"),"Vogel-Modul")</f>
        <v>Vogel-Modul</v>
      </c>
      <c r="D80" s="12" t="str">
        <f ca="1">IFERROR(__xludf.DUMMYFUNCTION("GOOGLETRANSLATE($B80,""en"",D$3)"),"Bird Module")</f>
        <v>Bird Module</v>
      </c>
      <c r="E80" s="13" t="s">
        <v>240</v>
      </c>
      <c r="F80" s="13" t="s">
        <v>240</v>
      </c>
      <c r="G80" s="12" t="str">
        <f ca="1">IFERROR(__xludf.DUMMYFUNCTION("GOOGLETRANSLATE($B80,""en"",G$3)"),"oiseau Module")</f>
        <v>oiseau Module</v>
      </c>
      <c r="H80" s="12" t="str">
        <f ca="1">IFERROR(__xludf.DUMMYFUNCTION("GOOGLETRANSLATE($B80,""en"",H$3)"),"Bird modulua")</f>
        <v>Bird modulua</v>
      </c>
      <c r="I80" s="12" t="str">
        <f ca="1">IFERROR(__xludf.DUMMYFUNCTION("GOOGLETRANSLATE($B80,""en"",I$3)"),"Mòdul d'aus")</f>
        <v>Mòdul d'aus</v>
      </c>
      <c r="J80" s="12" t="str">
        <f ca="1">IFERROR(__xludf.DUMMYFUNCTION("GOOGLETRANSLATE($B80,""en"",J$3)"),"Bird Module")</f>
        <v>Bird Module</v>
      </c>
      <c r="K80" s="12" t="str">
        <f ca="1">IFERROR(__xludf.DUMMYFUNCTION("GOOGLETRANSLATE($B80,""en"",K$3)"),"伯德模块")</f>
        <v>伯德模块</v>
      </c>
      <c r="L80" s="12" t="str">
        <f ca="1">IFERROR(__xludf.DUMMYFUNCTION("GOOGLETRANSLATE($B80,""en"",L$3)"),"伯德模塊")</f>
        <v>伯德模塊</v>
      </c>
      <c r="M80" s="12" t="str">
        <f ca="1">IFERROR(__xludf.DUMMYFUNCTION("GOOGLETRANSLATE($B80,""en"",M$3)"),"Bird Module")</f>
        <v>Bird Module</v>
      </c>
      <c r="N80" s="12" t="str">
        <f ca="1">IFERROR(__xludf.DUMMYFUNCTION("GOOGLETRANSLATE($B80,""en"",N$3)"),"Ενότητα Bird")</f>
        <v>Ενότητα Bird</v>
      </c>
      <c r="O80" s="12" t="str">
        <f ca="1">IFERROR(__xludf.DUMMYFUNCTION("GOOGLETRANSLATE($B80,""en"",O$3)"),"lintu Module")</f>
        <v>lintu Module</v>
      </c>
      <c r="P80" s="12" t="str">
        <f ca="1">IFERROR(__xludf.DUMMYFUNCTION("GOOGLETRANSLATE($B80,""en"",P$3)"),"Modúl Bird")</f>
        <v>Modúl Bird</v>
      </c>
      <c r="Q80" s="12" t="str">
        <f ca="1">IFERROR(__xludf.DUMMYFUNCTION("GOOGLETRANSLATE($B80,""en"",Q$3)"),"پرنده ماژول")</f>
        <v>پرنده ماژول</v>
      </c>
      <c r="R80" s="12" t="str">
        <f ca="1">IFERROR(__xludf.DUMMYFUNCTION("GOOGLETRANSLATE($B80,""en"",R$3)"),"מודול בירד")</f>
        <v>מודול בירד</v>
      </c>
      <c r="S80" s="12" t="str">
        <f ca="1">IFERROR(__xludf.DUMMYFUNCTION("GOOGLETRANSLATE($B80,""en"",S$3)"),"Bird Module")</f>
        <v>Bird Module</v>
      </c>
      <c r="T80" s="12" t="str">
        <f ca="1">IFERROR(__xludf.DUMMYFUNCTION("GOOGLETRANSLATE($B80,""en"",T$3)"),"Bird Module")</f>
        <v>Bird Module</v>
      </c>
      <c r="U80" s="12" t="str">
        <f ca="1">IFERROR(__xludf.DUMMYFUNCTION("GOOGLETRANSLATE($B80,""en"",U$3)"),"وحدة الطيور")</f>
        <v>وحدة الطيور</v>
      </c>
      <c r="V80" s="12" t="str">
        <f ca="1">IFERROR(__xludf.DUMMYFUNCTION("GOOGLETRANSLATE($B80,""en"",V$3)"),"Moduł ptak")</f>
        <v>Moduł ptak</v>
      </c>
      <c r="W80" s="12" t="str">
        <f ca="1">IFERROR(__xludf.DUMMYFUNCTION("GOOGLETRANSLATE($B80,""en"",W$3)"),"Птица Модуль")</f>
        <v>Птица Модуль</v>
      </c>
      <c r="X80" s="12" t="str">
        <f ca="1">IFERROR(__xludf.DUMMYFUNCTION("GOOGLETRANSLATE($B80,""en"",X$3)"),"Módulo de aves")</f>
        <v>Módulo de aves</v>
      </c>
      <c r="Y80" s="12"/>
      <c r="Z80" s="12"/>
    </row>
    <row r="81" spans="1:26" ht="32.25" customHeight="1" x14ac:dyDescent="0.2">
      <c r="A81" s="17" t="s">
        <v>241</v>
      </c>
      <c r="B81" s="17" t="s">
        <v>242</v>
      </c>
      <c r="C81" s="11" t="str">
        <f ca="1">IFERROR(__xludf.DUMMYFUNCTION("GOOGLETRANSLATE($B81,""en"",C$3)"),"Vogel-Einstellungen")</f>
        <v>Vogel-Einstellungen</v>
      </c>
      <c r="D81" s="12" t="str">
        <f ca="1">IFERROR(__xludf.DUMMYFUNCTION("GOOGLETRANSLATE($B81,""en"",D$3)"),"Bird Inställningar")</f>
        <v>Bird Inställningar</v>
      </c>
      <c r="E81" s="12" t="str">
        <f ca="1">IFERROR(__xludf.DUMMYFUNCTION("GOOGLETRANSLATE($B81,""en"",E$3)"),"Configurações de aves")</f>
        <v>Configurações de aves</v>
      </c>
      <c r="F81" s="12" t="str">
        <f ca="1">IFERROR(__xludf.DUMMYFUNCTION("GOOGLETRANSLATE($B81,""en"",F$3)"),"Configurações de aves")</f>
        <v>Configurações de aves</v>
      </c>
      <c r="G81" s="12" t="str">
        <f ca="1">IFERROR(__xludf.DUMMYFUNCTION("GOOGLETRANSLATE($B81,""en"",G$3)"),"Réglages oiseaux")</f>
        <v>Réglages oiseaux</v>
      </c>
      <c r="H81" s="12" t="str">
        <f ca="1">IFERROR(__xludf.DUMMYFUNCTION("GOOGLETRANSLATE($B81,""en"",H$3)"),"Bird ezarpenak")</f>
        <v>Bird ezarpenak</v>
      </c>
      <c r="I81" s="12" t="str">
        <f ca="1">IFERROR(__xludf.DUMMYFUNCTION("GOOGLETRANSLATE($B81,""en"",I$3)"),"Ajustaments d'aus")</f>
        <v>Ajustaments d'aus</v>
      </c>
      <c r="J81" s="12" t="str">
        <f ca="1">IFERROR(__xludf.DUMMYFUNCTION("GOOGLETRANSLATE($B81,""en"",J$3)"),"Nastavení ptáků")</f>
        <v>Nastavení ptáků</v>
      </c>
      <c r="K81" s="12" t="str">
        <f ca="1">IFERROR(__xludf.DUMMYFUNCTION("GOOGLETRANSLATE($B81,""en"",K$3)"),"鸟设置")</f>
        <v>鸟设置</v>
      </c>
      <c r="L81" s="12" t="str">
        <f ca="1">IFERROR(__xludf.DUMMYFUNCTION("GOOGLETRANSLATE($B81,""en"",L$3)"),"鳥設置")</f>
        <v>鳥設置</v>
      </c>
      <c r="M81" s="12" t="str">
        <f ca="1">IFERROR(__xludf.DUMMYFUNCTION("GOOGLETRANSLATE($B81,""en"",M$3)"),"Bird Instellingen")</f>
        <v>Bird Instellingen</v>
      </c>
      <c r="N81" s="12" t="str">
        <f ca="1">IFERROR(__xludf.DUMMYFUNCTION("GOOGLETRANSLATE($B81,""en"",N$3)"),"Ρυθμίσεις Bird")</f>
        <v>Ρυθμίσεις Bird</v>
      </c>
      <c r="O81" s="12" t="str">
        <f ca="1">IFERROR(__xludf.DUMMYFUNCTION("GOOGLETRANSLATE($B81,""en"",O$3)"),"lintu Asetukset")</f>
        <v>lintu Asetukset</v>
      </c>
      <c r="P81" s="12" t="str">
        <f ca="1">IFERROR(__xludf.DUMMYFUNCTION("GOOGLETRANSLATE($B81,""en"",P$3)"),"Socruithe Bird")</f>
        <v>Socruithe Bird</v>
      </c>
      <c r="Q81" s="12" t="str">
        <f ca="1">IFERROR(__xludf.DUMMYFUNCTION("GOOGLETRANSLATE($B81,""en"",Q$3)"),"تنظیمات پرنده")</f>
        <v>تنظیمات پرنده</v>
      </c>
      <c r="R81" s="12" t="str">
        <f ca="1">IFERROR(__xludf.DUMMYFUNCTION("GOOGLETRANSLATE($B81,""en"",R$3)"),"הגדרות בירד")</f>
        <v>הגדרות בירד</v>
      </c>
      <c r="S81" s="12" t="str">
        <f ca="1">IFERROR(__xludf.DUMMYFUNCTION("GOOGLETRANSLATE($B81,""en"",S$3)"),"bird Stillingar")</f>
        <v>bird Stillingar</v>
      </c>
      <c r="T81" s="12" t="str">
        <f ca="1">IFERROR(__xludf.DUMMYFUNCTION("GOOGLETRANSLATE($B81,""en"",T$3)"),"Fugle Innstillinger")</f>
        <v>Fugle Innstillinger</v>
      </c>
      <c r="U81" s="12" t="str">
        <f ca="1">IFERROR(__xludf.DUMMYFUNCTION("GOOGLETRANSLATE($B81,""en"",U$3)"),"إعدادات الطيور")</f>
        <v>إعدادات الطيور</v>
      </c>
      <c r="V81" s="12" t="str">
        <f ca="1">IFERROR(__xludf.DUMMYFUNCTION("GOOGLETRANSLATE($B81,""en"",V$3)"),"Ustawienia ptaków")</f>
        <v>Ustawienia ptaków</v>
      </c>
      <c r="W81" s="12" t="str">
        <f ca="1">IFERROR(__xludf.DUMMYFUNCTION("GOOGLETRANSLATE($B81,""en"",W$3)"),"Настройки птиц")</f>
        <v>Настройки птиц</v>
      </c>
      <c r="X81" s="12" t="str">
        <f ca="1">IFERROR(__xludf.DUMMYFUNCTION("GOOGLETRANSLATE($B81,""en"",X$3)"),"Ajustes de aves")</f>
        <v>Ajustes de aves</v>
      </c>
      <c r="Y81" s="12"/>
      <c r="Z81" s="12"/>
    </row>
    <row r="82" spans="1:26" ht="32.25" customHeight="1" x14ac:dyDescent="0.2">
      <c r="A82" s="17" t="s">
        <v>243</v>
      </c>
      <c r="B82" s="17" t="s">
        <v>244</v>
      </c>
      <c r="C82" s="11" t="str">
        <f ca="1">IFERROR(__xludf.DUMMYFUNCTION("GOOGLETRANSLATE($B82,""en"",C$3)"),"Vögel")</f>
        <v>Vögel</v>
      </c>
      <c r="D82" s="12" t="str">
        <f ca="1">IFERROR(__xludf.DUMMYFUNCTION("GOOGLETRANSLATE($B82,""en"",D$3)"),"Fåglar")</f>
        <v>Fåglar</v>
      </c>
      <c r="E82" s="13" t="s">
        <v>245</v>
      </c>
      <c r="F82" s="13" t="s">
        <v>245</v>
      </c>
      <c r="G82" s="12" t="str">
        <f ca="1">IFERROR(__xludf.DUMMYFUNCTION("GOOGLETRANSLATE($B82,""en"",G$3)"),"Des oiseaux")</f>
        <v>Des oiseaux</v>
      </c>
      <c r="H82" s="12" t="str">
        <f ca="1">IFERROR(__xludf.DUMMYFUNCTION("GOOGLETRANSLATE($B82,""en"",H$3)"),"Birds")</f>
        <v>Birds</v>
      </c>
      <c r="I82" s="12" t="str">
        <f ca="1">IFERROR(__xludf.DUMMYFUNCTION("GOOGLETRANSLATE($B82,""en"",I$3)"),"Ocells")</f>
        <v>Ocells</v>
      </c>
      <c r="J82" s="12" t="str">
        <f ca="1">IFERROR(__xludf.DUMMYFUNCTION("GOOGLETRANSLATE($B82,""en"",J$3)"),"Ptactvo")</f>
        <v>Ptactvo</v>
      </c>
      <c r="K82" s="12" t="str">
        <f ca="1">IFERROR(__xludf.DUMMYFUNCTION("GOOGLETRANSLATE($B82,""en"",K$3)"),"鸟类")</f>
        <v>鸟类</v>
      </c>
      <c r="L82" s="12" t="str">
        <f ca="1">IFERROR(__xludf.DUMMYFUNCTION("GOOGLETRANSLATE($B82,""en"",L$3)"),"鳥類")</f>
        <v>鳥類</v>
      </c>
      <c r="M82" s="12" t="str">
        <f ca="1">IFERROR(__xludf.DUMMYFUNCTION("GOOGLETRANSLATE($B82,""en"",M$3)"),"vogelstand")</f>
        <v>vogelstand</v>
      </c>
      <c r="N82" s="12" t="str">
        <f ca="1">IFERROR(__xludf.DUMMYFUNCTION("GOOGLETRANSLATE($B82,""en"",N$3)"),"Πουλιά")</f>
        <v>Πουλιά</v>
      </c>
      <c r="O82" s="12" t="str">
        <f ca="1">IFERROR(__xludf.DUMMYFUNCTION("GOOGLETRANSLATE($B82,""en"",O$3)"),"linnut")</f>
        <v>linnut</v>
      </c>
      <c r="P82" s="12" t="str">
        <f ca="1">IFERROR(__xludf.DUMMYFUNCTION("GOOGLETRANSLATE($B82,""en"",P$3)"),"Éin")</f>
        <v>Éin</v>
      </c>
      <c r="Q82" s="12" t="str">
        <f ca="1">IFERROR(__xludf.DUMMYFUNCTION("GOOGLETRANSLATE($B82,""en"",Q$3)"),"پرنده ها")</f>
        <v>پرنده ها</v>
      </c>
      <c r="R82" s="12" t="str">
        <f ca="1">IFERROR(__xludf.DUMMYFUNCTION("GOOGLETRANSLATE($B82,""en"",R$3)"),"ציפור")</f>
        <v>ציפור</v>
      </c>
      <c r="S82" s="12" t="str">
        <f ca="1">IFERROR(__xludf.DUMMYFUNCTION("GOOGLETRANSLATE($B82,""en"",S$3)"),"fuglar")</f>
        <v>fuglar</v>
      </c>
      <c r="T82" s="12" t="str">
        <f ca="1">IFERROR(__xludf.DUMMYFUNCTION("GOOGLETRANSLATE($B82,""en"",T$3)"),"fugler")</f>
        <v>fugler</v>
      </c>
      <c r="U82" s="12" t="str">
        <f ca="1">IFERROR(__xludf.DUMMYFUNCTION("GOOGLETRANSLATE($B82,""en"",U$3)"),"الطيور")</f>
        <v>الطيور</v>
      </c>
      <c r="V82" s="12" t="str">
        <f ca="1">IFERROR(__xludf.DUMMYFUNCTION("GOOGLETRANSLATE($B82,""en"",V$3)"),"ptaki")</f>
        <v>ptaki</v>
      </c>
      <c r="W82" s="12" t="str">
        <f ca="1">IFERROR(__xludf.DUMMYFUNCTION("GOOGLETRANSLATE($B82,""en"",W$3)"),"птицы")</f>
        <v>птицы</v>
      </c>
      <c r="X82" s="12" t="str">
        <f ca="1">IFERROR(__xludf.DUMMYFUNCTION("GOOGLETRANSLATE($B82,""en"",X$3)"),"Aves")</f>
        <v>Aves</v>
      </c>
      <c r="Y82" s="12"/>
      <c r="Z82" s="12"/>
    </row>
    <row r="83" spans="1:26" ht="32.25" customHeight="1" x14ac:dyDescent="0.2">
      <c r="A83" s="17" t="s">
        <v>246</v>
      </c>
      <c r="B83" s="17" t="s">
        <v>247</v>
      </c>
      <c r="C83" s="11" t="str">
        <f ca="1">IFERROR(__xludf.DUMMYFUNCTION("GOOGLETRANSLATE($B83,""en"",C$3)"),"Schwarz")</f>
        <v>Schwarz</v>
      </c>
      <c r="D83" s="12" t="str">
        <f ca="1">IFERROR(__xludf.DUMMYFUNCTION("GOOGLETRANSLATE($B83,""en"",D$3)"),"Svart")</f>
        <v>Svart</v>
      </c>
      <c r="E83" s="12" t="str">
        <f ca="1">IFERROR(__xludf.DUMMYFUNCTION("GOOGLETRANSLATE($B83,""en"",E$3)"),"Preto")</f>
        <v>Preto</v>
      </c>
      <c r="F83" s="12" t="str">
        <f ca="1">IFERROR(__xludf.DUMMYFUNCTION("GOOGLETRANSLATE($B83,""en"",F$3)"),"Preto")</f>
        <v>Preto</v>
      </c>
      <c r="G83" s="12" t="str">
        <f ca="1">IFERROR(__xludf.DUMMYFUNCTION("GOOGLETRANSLATE($B83,""en"",G$3)"),"Noir")</f>
        <v>Noir</v>
      </c>
      <c r="H83" s="12" t="str">
        <f ca="1">IFERROR(__xludf.DUMMYFUNCTION("GOOGLETRANSLATE($B83,""en"",H$3)"),"Black")</f>
        <v>Black</v>
      </c>
      <c r="I83" s="12" t="str">
        <f ca="1">IFERROR(__xludf.DUMMYFUNCTION("GOOGLETRANSLATE($B83,""en"",I$3)"),"Negre")</f>
        <v>Negre</v>
      </c>
      <c r="J83" s="12" t="str">
        <f ca="1">IFERROR(__xludf.DUMMYFUNCTION("GOOGLETRANSLATE($B83,""en"",J$3)"),"Černá")</f>
        <v>Černá</v>
      </c>
      <c r="K83" s="12" t="str">
        <f ca="1">IFERROR(__xludf.DUMMYFUNCTION("GOOGLETRANSLATE($B83,""en"",K$3)"),"黑色")</f>
        <v>黑色</v>
      </c>
      <c r="L83" s="12" t="str">
        <f ca="1">IFERROR(__xludf.DUMMYFUNCTION("GOOGLETRANSLATE($B83,""en"",L$3)"),"黑色")</f>
        <v>黑色</v>
      </c>
      <c r="M83" s="12" t="str">
        <f ca="1">IFERROR(__xludf.DUMMYFUNCTION("GOOGLETRANSLATE($B83,""en"",M$3)"),"zwart")</f>
        <v>zwart</v>
      </c>
      <c r="N83" s="12" t="str">
        <f ca="1">IFERROR(__xludf.DUMMYFUNCTION("GOOGLETRANSLATE($B83,""en"",N$3)"),"Μαύρος")</f>
        <v>Μαύρος</v>
      </c>
      <c r="O83" s="12" t="str">
        <f ca="1">IFERROR(__xludf.DUMMYFUNCTION("GOOGLETRANSLATE($B83,""en"",O$3)"),"Musta")</f>
        <v>Musta</v>
      </c>
      <c r="P83" s="12" t="str">
        <f ca="1">IFERROR(__xludf.DUMMYFUNCTION("GOOGLETRANSLATE($B83,""en"",P$3)"),"Dubh")</f>
        <v>Dubh</v>
      </c>
      <c r="Q83" s="12" t="str">
        <f ca="1">IFERROR(__xludf.DUMMYFUNCTION("GOOGLETRANSLATE($B83,""en"",Q$3)"),"سیاه")</f>
        <v>سیاه</v>
      </c>
      <c r="R83" s="12" t="str">
        <f ca="1">IFERROR(__xludf.DUMMYFUNCTION("GOOGLETRANSLATE($B83,""en"",R$3)"),"שָׁחוֹר")</f>
        <v>שָׁחוֹר</v>
      </c>
      <c r="S83" s="12" t="str">
        <f ca="1">IFERROR(__xludf.DUMMYFUNCTION("GOOGLETRANSLATE($B83,""en"",S$3)"),"Black")</f>
        <v>Black</v>
      </c>
      <c r="T83" s="12" t="str">
        <f ca="1">IFERROR(__xludf.DUMMYFUNCTION("GOOGLETRANSLATE($B83,""en"",T$3)"),"Svart")</f>
        <v>Svart</v>
      </c>
      <c r="U83" s="12" t="str">
        <f ca="1">IFERROR(__xludf.DUMMYFUNCTION("GOOGLETRANSLATE($B83,""en"",U$3)"),"أسود")</f>
        <v>أسود</v>
      </c>
      <c r="V83" s="12" t="str">
        <f ca="1">IFERROR(__xludf.DUMMYFUNCTION("GOOGLETRANSLATE($B83,""en"",V$3)"),"czarny")</f>
        <v>czarny</v>
      </c>
      <c r="W83" s="12" t="str">
        <f ca="1">IFERROR(__xludf.DUMMYFUNCTION("GOOGLETRANSLATE($B83,""en"",W$3)"),"черный")</f>
        <v>черный</v>
      </c>
      <c r="X83" s="12" t="str">
        <f ca="1">IFERROR(__xludf.DUMMYFUNCTION("GOOGLETRANSLATE($B83,""en"",X$3)"),"Negro")</f>
        <v>Negro</v>
      </c>
      <c r="Y83" s="12"/>
      <c r="Z83" s="12"/>
    </row>
    <row r="84" spans="1:26" ht="32.25" customHeight="1" x14ac:dyDescent="0.2">
      <c r="A84" s="17" t="s">
        <v>248</v>
      </c>
      <c r="B84" s="17" t="s">
        <v>249</v>
      </c>
      <c r="C84" s="11" t="str">
        <f ca="1">IFERROR(__xludf.DUMMYFUNCTION("GOOGLETRANSLATE($B84,""en"",C$3)"),"Randgröße (Standard = 25,0)")</f>
        <v>Randgröße (Standard = 25,0)</v>
      </c>
      <c r="D84" s="12" t="str">
        <f ca="1">IFERROR(__xludf.DUMMYFUNCTION("GOOGLETRANSLATE($B84,""en"",D$3)"),"Gräns ​​Storlek (default = 25,0)")</f>
        <v>Gräns ​​Storlek (default = 25,0)</v>
      </c>
      <c r="E84" s="12" t="str">
        <f ca="1">IFERROR(__xludf.DUMMYFUNCTION("GOOGLETRANSLATE($B84,""en"",E$3)"),"Border Size (default = 25.0)")</f>
        <v>Border Size (default = 25.0)</v>
      </c>
      <c r="F84" s="12" t="str">
        <f ca="1">IFERROR(__xludf.DUMMYFUNCTION("GOOGLETRANSLATE($B84,""en"",F$3)"),"Border Size (default = 25.0)")</f>
        <v>Border Size (default = 25.0)</v>
      </c>
      <c r="G84" s="12" t="str">
        <f ca="1">IFERROR(__xludf.DUMMYFUNCTION("GOOGLETRANSLATE($B84,""en"",G$3)"),"Taille de la bordure (par défaut = 25,0)")</f>
        <v>Taille de la bordure (par défaut = 25,0)</v>
      </c>
      <c r="H84" s="12" t="str">
        <f ca="1">IFERROR(__xludf.DUMMYFUNCTION("GOOGLETRANSLATE($B84,""en"",H$3)"),"Border neurria (lehenetsia = 25,0)")</f>
        <v>Border neurria (lehenetsia = 25,0)</v>
      </c>
      <c r="I84" s="12" t="str">
        <f ca="1">IFERROR(__xludf.DUMMYFUNCTION("GOOGLETRANSLATE($B84,""en"",I$3)"),"Mida de la vora (per defecte = 25,0)")</f>
        <v>Mida de la vora (per defecte = 25,0)</v>
      </c>
      <c r="J84" s="12" t="str">
        <f ca="1">IFERROR(__xludf.DUMMYFUNCTION("GOOGLETRANSLATE($B84,""en"",J$3)"),"Border Size (default = 25.0)")</f>
        <v>Border Size (default = 25.0)</v>
      </c>
      <c r="K84" s="12" t="str">
        <f ca="1">IFERROR(__xludf.DUMMYFUNCTION("GOOGLETRANSLATE($B84,""en"",K$3)"),"边框大小（默认值= 25.0）")</f>
        <v>边框大小（默认值= 25.0）</v>
      </c>
      <c r="L84" s="12" t="str">
        <f ca="1">IFERROR(__xludf.DUMMYFUNCTION("GOOGLETRANSLATE($B84,""en"",L$3)"),"邊框大小（默認值= 25.0）")</f>
        <v>邊框大小（默認值= 25.0）</v>
      </c>
      <c r="M84" s="12" t="str">
        <f ca="1">IFERROR(__xludf.DUMMYFUNCTION("GOOGLETRANSLATE($B84,""en"",M$3)"),"Border Size (default = 25,0)")</f>
        <v>Border Size (default = 25,0)</v>
      </c>
      <c r="N84" s="12" t="str">
        <f ca="1">IFERROR(__xludf.DUMMYFUNCTION("GOOGLETRANSLATE($B84,""en"",N$3)"),"Border Μέγεθος (προεπιλογή = 25,0)")</f>
        <v>Border Μέγεθος (προεπιλογή = 25,0)</v>
      </c>
      <c r="O84" s="12" t="str">
        <f ca="1">IFERROR(__xludf.DUMMYFUNCTION("GOOGLETRANSLATE($B84,""en"",O$3)"),"Reunan koko (oletus = 25,0)")</f>
        <v>Reunan koko (oletus = 25,0)</v>
      </c>
      <c r="P84" s="12" t="str">
        <f ca="1">IFERROR(__xludf.DUMMYFUNCTION("GOOGLETRANSLATE($B84,""en"",P$3)"),"Méid na Teorann (réamhshocrú = 25.0)")</f>
        <v>Méid na Teorann (réamhshocrú = 25.0)</v>
      </c>
      <c r="Q84" s="12" t="str">
        <f ca="1">IFERROR(__xludf.DUMMYFUNCTION("GOOGLETRANSLATE($B84,""en"",Q$3)"),"اندازه مرز (به طور پیش فرض = 25.0)")</f>
        <v>اندازه مرز (به طور پیش فرض = 25.0)</v>
      </c>
      <c r="R84" s="12" t="str">
        <f ca="1">IFERROR(__xludf.DUMMYFUNCTION("GOOGLETRANSLATE($B84,""en"",R$3)"),"גודל גבול (ברירת מחדל = 25.0)")</f>
        <v>גודל גבול (ברירת מחדל = 25.0)</v>
      </c>
      <c r="S84" s="12" t="str">
        <f ca="1">IFERROR(__xludf.DUMMYFUNCTION("GOOGLETRANSLATE($B84,""en"",S$3)"),"Border Size (sjálfgefið = 25,0)")</f>
        <v>Border Size (sjálfgefið = 25,0)</v>
      </c>
      <c r="T84" s="12" t="str">
        <f ca="1">IFERROR(__xludf.DUMMYFUNCTION("GOOGLETRANSLATE($B84,""en"",T$3)"),"Border Størrelse (standard = 25,0)")</f>
        <v>Border Størrelse (standard = 25,0)</v>
      </c>
      <c r="U84" s="12" t="str">
        <f ca="1">IFERROR(__xludf.DUMMYFUNCTION("GOOGLETRANSLATE($B84,""en"",U$3)"),"الحدود الحجم (الافتراضي = 25.0)")</f>
        <v>الحدود الحجم (الافتراضي = 25.0)</v>
      </c>
      <c r="V84" s="12" t="str">
        <f ca="1">IFERROR(__xludf.DUMMYFUNCTION("GOOGLETRANSLATE($B84,""en"",V$3)"),"Granica Rozmiar (default = 25.0)")</f>
        <v>Granica Rozmiar (default = 25.0)</v>
      </c>
      <c r="W84" s="12" t="str">
        <f ca="1">IFERROR(__xludf.DUMMYFUNCTION("GOOGLETRANSLATE($B84,""en"",W$3)"),"Размер границы (по умолчанию = 25,0)")</f>
        <v>Размер границы (по умолчанию = 25,0)</v>
      </c>
      <c r="X84" s="12" t="str">
        <f ca="1">IFERROR(__xludf.DUMMYFUNCTION("GOOGLETRANSLATE($B84,""en"",X$3)"),"Tamaño del borde (por defecto = 25,0)")</f>
        <v>Tamaño del borde (por defecto = 25,0)</v>
      </c>
      <c r="Y84" s="12"/>
      <c r="Z84" s="12"/>
    </row>
    <row r="85" spans="1:26" ht="32.25" customHeight="1" x14ac:dyDescent="0.2">
      <c r="A85" s="17" t="s">
        <v>250</v>
      </c>
      <c r="B85" s="17" t="s">
        <v>251</v>
      </c>
      <c r="C85" s="11" t="str">
        <f ca="1">IFERROR(__xludf.DUMMYFUNCTION("GOOGLETRANSLATE($B85,""en"",C$3)"),"Einschuss Physik in separaten Thread")</f>
        <v>Einschuss Physik in separaten Thread</v>
      </c>
      <c r="D85" s="12" t="str">
        <f ca="1">IFERROR(__xludf.DUMMYFUNCTION("GOOGLETRANSLATE($B85,""en"",D$3)"),"Bullet fysik i separat tråd")</f>
        <v>Bullet fysik i separat tråd</v>
      </c>
      <c r="E85" s="12" t="str">
        <f ca="1">IFERROR(__xludf.DUMMYFUNCTION("GOOGLETRANSLATE($B85,""en"",E$3)"),"Bullet Physics em segmento separado")</f>
        <v>Bullet Physics em segmento separado</v>
      </c>
      <c r="F85" s="12" t="str">
        <f ca="1">IFERROR(__xludf.DUMMYFUNCTION("GOOGLETRANSLATE($B85,""en"",F$3)"),"Bullet Physics em segmento separado")</f>
        <v>Bullet Physics em segmento separado</v>
      </c>
      <c r="G85" s="12" t="str">
        <f ca="1">IFERROR(__xludf.DUMMYFUNCTION("GOOGLETRANSLATE($B85,""en"",G$3)"),"physique de balle en fil séparé")</f>
        <v>physique de balle en fil séparé</v>
      </c>
      <c r="H85" s="12" t="str">
        <f ca="1">IFERROR(__xludf.DUMMYFUNCTION("GOOGLETRANSLATE($B85,""en"",H$3)"),"Bullet fisika bereizi harian")</f>
        <v>Bullet fisika bereizi harian</v>
      </c>
      <c r="I85" s="12" t="str">
        <f ca="1">IFERROR(__xludf.DUMMYFUNCTION("GOOGLETRANSLATE($B85,""en"",I$3)"),"la física de punt negre en fil separat")</f>
        <v>la física de punt negre en fil separat</v>
      </c>
      <c r="J85" s="12" t="str">
        <f ca="1">IFERROR(__xludf.DUMMYFUNCTION("GOOGLETRANSLATE($B85,""en"",J$3)"),"Bullet fyziky v samostatném vlákně")</f>
        <v>Bullet fyziky v samostatném vlákně</v>
      </c>
      <c r="K85" s="12" t="str">
        <f ca="1">IFERROR(__xludf.DUMMYFUNCTION("GOOGLETRANSLATE($B85,""en"",K$3)"),"在单独的线程Bullet物理")</f>
        <v>在单独的线程Bullet物理</v>
      </c>
      <c r="L85" s="12" t="str">
        <f ca="1">IFERROR(__xludf.DUMMYFUNCTION("GOOGLETRANSLATE($B85,""en"",L$3)"),"在單獨的線程Bullet物理")</f>
        <v>在單獨的線程Bullet物理</v>
      </c>
      <c r="M85" s="12" t="str">
        <f ca="1">IFERROR(__xludf.DUMMYFUNCTION("GOOGLETRANSLATE($B85,""en"",M$3)"),"Bullet fysica in afzonderlijke thread")</f>
        <v>Bullet fysica in afzonderlijke thread</v>
      </c>
      <c r="N85" s="12" t="str">
        <f ca="1">IFERROR(__xludf.DUMMYFUNCTION("GOOGLETRANSLATE($B85,""en"",N$3)"),"φυσικής Bullet σε ξεχωριστό νήμα")</f>
        <v>φυσικής Bullet σε ξεχωριστό νήμα</v>
      </c>
      <c r="O85" s="12" t="str">
        <f ca="1">IFERROR(__xludf.DUMMYFUNCTION("GOOGLETRANSLATE($B85,""en"",O$3)"),"Bullet fysiikan erillisen säikeen")</f>
        <v>Bullet fysiikan erillisen säikeen</v>
      </c>
      <c r="P85" s="12" t="str">
        <f ca="1">IFERROR(__xludf.DUMMYFUNCTION("GOOGLETRANSLATE($B85,""en"",P$3)"),"fisic Bullet i snáithe ar leith")</f>
        <v>fisic Bullet i snáithe ar leith</v>
      </c>
      <c r="Q85" s="12" t="str">
        <f ca="1">IFERROR(__xludf.DUMMYFUNCTION("GOOGLETRANSLATE($B85,""en"",Q$3)"),"فیزیک گلوله در تاپیک جداگانه")</f>
        <v>فیزیک گلوله در تاپیک جداگانه</v>
      </c>
      <c r="R85" s="12" t="str">
        <f ca="1">IFERROR(__xludf.DUMMYFUNCTION("GOOGLETRANSLATE($B85,""en"",R$3)"),"פיזיקה Bullet פתיל נפרד")</f>
        <v>פיזיקה Bullet פתיל נפרד</v>
      </c>
      <c r="S85" s="12" t="str">
        <f ca="1">IFERROR(__xludf.DUMMYFUNCTION("GOOGLETRANSLATE($B85,""en"",S$3)"),"Bullet eðlisfræði í sérstökum þræði")</f>
        <v>Bullet eðlisfræði í sérstökum þræði</v>
      </c>
      <c r="T85" s="12" t="str">
        <f ca="1">IFERROR(__xludf.DUMMYFUNCTION("GOOGLETRANSLATE($B85,""en"",T$3)"),"Kule fysikk i separat tråd")</f>
        <v>Kule fysikk i separat tråd</v>
      </c>
      <c r="U85" s="12" t="str">
        <f ca="1">IFERROR(__xludf.DUMMYFUNCTION("GOOGLETRANSLATE($B85,""en"",U$3)"),"الفيزياء رصاصة في موضوع منفصل")</f>
        <v>الفيزياء رصاصة في موضوع منفصل</v>
      </c>
      <c r="V85" s="12" t="str">
        <f ca="1">IFERROR(__xludf.DUMMYFUNCTION("GOOGLETRANSLATE($B85,""en"",V$3)"),"Physics pocisk w oddzielnych nici")</f>
        <v>Physics pocisk w oddzielnych nici</v>
      </c>
      <c r="W85" s="12" t="str">
        <f ca="1">IFERROR(__xludf.DUMMYFUNCTION("GOOGLETRANSLATE($B85,""en"",W$3)"),"физика пули в отдельном потоке")</f>
        <v>физика пули в отдельном потоке</v>
      </c>
      <c r="X85" s="12" t="str">
        <f ca="1">IFERROR(__xludf.DUMMYFUNCTION("GOOGLETRANSLATE($B85,""en"",X$3)"),"la física de punto negro en hilo separado")</f>
        <v>la física de punto negro en hilo separado</v>
      </c>
      <c r="Y85" s="12"/>
      <c r="Z85" s="12"/>
    </row>
    <row r="86" spans="1:26" ht="32.25" customHeight="1" x14ac:dyDescent="0.2">
      <c r="A86" s="17" t="s">
        <v>252</v>
      </c>
      <c r="B86" s="17" t="s">
        <v>253</v>
      </c>
      <c r="C86" s="18" t="s">
        <v>254</v>
      </c>
      <c r="D86" s="12" t="str">
        <f ca="1">IFERROR(__xludf.DUMMYFUNCTION("GOOGLETRANSLATE($B86,""en"",D$3)"),"Chat tidvattnet information till regionen så skript kan flytta med strömmen?")</f>
        <v>Chat tidvattnet information till regionen så skript kan flytta med strömmen?</v>
      </c>
      <c r="E86" s="12" t="str">
        <f ca="1">IFERROR(__xludf.DUMMYFUNCTION("GOOGLETRANSLATE($B86,""en"",E$3)"),"Converse informações maré para a região assim que os scripts podem mover-se com a maré?")</f>
        <v>Converse informações maré para a região assim que os scripts podem mover-se com a maré?</v>
      </c>
      <c r="F86" s="12" t="str">
        <f ca="1">IFERROR(__xludf.DUMMYFUNCTION("GOOGLETRANSLATE($B86,""en"",F$3)"),"Converse informações maré para a região assim que os scripts podem mover-se com a maré?")</f>
        <v>Converse informações maré para a região assim que os scripts podem mover-se com a maré?</v>
      </c>
      <c r="G86" s="12" t="str">
        <f ca="1">IFERROR(__xludf.DUMMYFUNCTION("GOOGLETRANSLATE($B86,""en"",G$3)"),"Chat Infos marée dans la région afin scripts peuvent se déplacer avec la marée?")</f>
        <v>Chat Infos marée dans la région afin scripts peuvent se déplacer avec la marée?</v>
      </c>
      <c r="H86" s="12" t="str">
        <f ca="1">IFERROR(__xludf.DUMMYFUNCTION("GOOGLETRANSLATE($B86,""en"",H$3)"),"Berriketa marea eskualdean info beraz gidoiak marea batera eraman dezakezu?")</f>
        <v>Berriketa marea eskualdean info beraz gidoiak marea batera eraman dezakezu?</v>
      </c>
      <c r="I86" s="12" t="str">
        <f ca="1">IFERROR(__xludf.DUMMYFUNCTION("GOOGLETRANSLATE($B86,""en"",I$3)"),"Xat Informació de marees per a la regió de manera que les seqüències d'ordres es poden moure amb la marea?")</f>
        <v>Xat Informació de marees per a la regió de manera que les seqüències d'ordres es poden moure amb la marea?</v>
      </c>
      <c r="J86" s="12" t="str">
        <f ca="1">IFERROR(__xludf.DUMMYFUNCTION("GOOGLETRANSLATE($B86,""en"",J$3)"),"Chat příliv informací do regionu, aby skripty mohou pohybovat s přílivem?")</f>
        <v>Chat příliv informací do regionu, aby skripty mohou pohybovat s přílivem?</v>
      </c>
      <c r="K86" s="12" t="str">
        <f ca="1">IFERROR(__xludf.DUMMYFUNCTION("GOOGLETRANSLATE($B86,""en"",K$3)"),"聊天浪潮信息的区域，以便脚本可以随潮动？")</f>
        <v>聊天浪潮信息的区域，以便脚本可以随潮动？</v>
      </c>
      <c r="L86" s="12" t="str">
        <f ca="1">IFERROR(__xludf.DUMMYFUNCTION("GOOGLETRANSLATE($B86,""en"",L$3)"),"聊天浪潮信息的區域，以便腳本可以隨潮動？")</f>
        <v>聊天浪潮信息的區域，以便腳本可以隨潮動？</v>
      </c>
      <c r="M86" s="12" t="str">
        <f ca="1">IFERROR(__xludf.DUMMYFUNCTION("GOOGLETRANSLATE($B86,""en"",M$3)"),"Chat tij info aan de regio, zodat scripts kan bewegen met de stroom?")</f>
        <v>Chat tij info aan de regio, zodat scripts kan bewegen met de stroom?</v>
      </c>
      <c r="N86" s="12" t="str">
        <f ca="1">IFERROR(__xludf.DUMMYFUNCTION("GOOGLETRANSLATE($B86,""en"",N$3)"),"Συνομιλία πληροφορίες παλίρροιας στην περιοχή, ώστε σενάρια μπορεί να κινηθεί με την παλίρροια;")</f>
        <v>Συνομιλία πληροφορίες παλίρροιας στην περιοχή, ώστε σενάρια μπορεί να κινηθεί με την παλίρροια;</v>
      </c>
      <c r="O86" s="12" t="str">
        <f ca="1">IFERROR(__xludf.DUMMYFUNCTION("GOOGLETRANSLATE($B86,""en"",O$3)"),"Chat vuorovesi info alueelle niin skriptejä voi liikkua vuorovesi?")</f>
        <v>Chat vuorovesi info alueelle niin skriptejä voi liikkua vuorovesi?</v>
      </c>
      <c r="P86" s="12" t="str">
        <f ca="1">IFERROR(__xludf.DUMMYFUNCTION("GOOGLETRANSLATE($B86,""en"",P$3)"),"Comhrá info taoide ar an réigiún ionas gur féidir scripteanna a bhogadh leis an taoide?")</f>
        <v>Comhrá info taoide ar an réigiún ionas gur féidir scripteanna a bhogadh leis an taoide?</v>
      </c>
      <c r="Q86" s="12" t="str">
        <f ca="1">IFERROR(__xludf.DUMMYFUNCTION("GOOGLETRANSLATE($B86,""en"",Q$3)"),"چت اطلاعات جزر و مد به منطقه تا اسکریپت می توانید با جزر و مد حرکت می کند؟")</f>
        <v>چت اطلاعات جزر و مد به منطقه تا اسکریپت می توانید با جزر و مد حرکت می کند؟</v>
      </c>
      <c r="R86" s="12" t="str">
        <f ca="1">IFERROR(__xludf.DUMMYFUNCTION("GOOGLETRANSLATE($B86,""en"",R$3)"),"Chat מידע גאות לאזור כך סקריפטים יכול לנוע עם הזרם?")</f>
        <v>Chat מידע גאות לאזור כך סקריפטים יכול לנוע עם הזרם?</v>
      </c>
      <c r="S86" s="12" t="str">
        <f ca="1">IFERROR(__xludf.DUMMYFUNCTION("GOOGLETRANSLATE($B86,""en"",S$3)"),"Spjallaðu fjöru upplýsingar á svæðinu svo forskriftir geta flutt með fjöru?")</f>
        <v>Spjallaðu fjöru upplýsingar á svæðinu svo forskriftir geta flutt með fjöru?</v>
      </c>
      <c r="T86" s="12" t="str">
        <f ca="1">IFERROR(__xludf.DUMMYFUNCTION("GOOGLETRANSLATE($B86,""en"",T$3)"),"Chat tidevannet info til regionen slik at skript kan flytte med tidevannet?")</f>
        <v>Chat tidevannet info til regionen slik at skript kan flytte med tidevannet?</v>
      </c>
      <c r="U86" s="12" t="str">
        <f ca="1">IFERROR(__xludf.DUMMYFUNCTION("GOOGLETRANSLATE($B86,""en"",U$3)"),"دردشة معلومات المد إلى المنطقة حتى النصوص يمكن ان تتحرك مع المد والجزر؟")</f>
        <v>دردشة معلومات المد إلى المنطقة حتى النصوص يمكن ان تتحرك مع المد والجزر؟</v>
      </c>
      <c r="V86" s="12" t="str">
        <f ca="1">IFERROR(__xludf.DUMMYFUNCTION("GOOGLETRANSLATE($B86,""en"",V$3)"),"Czat informacji przypływ regionie tak skrypty mogą przejść z prądem?")</f>
        <v>Czat informacji przypływ regionie tak skrypty mogą przejść z prądem?</v>
      </c>
      <c r="W86" s="12" t="str">
        <f ca="1">IFERROR(__xludf.DUMMYFUNCTION("GOOGLETRANSLATE($B86,""en"",W$3)"),"Чат прилива информации в регионе, так сценарии могут двигаться по течению?")</f>
        <v>Чат прилива информации в регионе, так сценарии могут двигаться по течению?</v>
      </c>
      <c r="X86" s="12" t="str">
        <f ca="1">IFERROR(__xludf.DUMMYFUNCTION("GOOGLETRANSLATE($B86,""en"",X$3)"),"Chat Información de mareas para la región por lo que las secuencias de comandos se pueden mover con la marea?")</f>
        <v>Chat Información de mareas para la región por lo que las secuencias de comandos se pueden mover con la marea?</v>
      </c>
      <c r="Y86" s="12"/>
      <c r="Z86" s="12"/>
    </row>
    <row r="87" spans="1:26" ht="32.25" customHeight="1" x14ac:dyDescent="0.2">
      <c r="A87" s="17" t="s">
        <v>255</v>
      </c>
      <c r="B87" s="17" t="s">
        <v>256</v>
      </c>
      <c r="C87" s="11" t="str">
        <f ca="1">IFERROR(__xludf.DUMMYFUNCTION("GOOGLETRANSLATE($B87,""en"",C$3)"),"Broadcast Tide Info")</f>
        <v>Broadcast Tide Info</v>
      </c>
      <c r="D87" s="12" t="str">
        <f ca="1">IFERROR(__xludf.DUMMYFUNCTION("GOOGLETRANSLATE($B87,""en"",D$3)"),"Broadcast Tide Info")</f>
        <v>Broadcast Tide Info</v>
      </c>
      <c r="E87" s="13" t="s">
        <v>257</v>
      </c>
      <c r="F87" s="13" t="s">
        <v>257</v>
      </c>
      <c r="G87" s="12" t="str">
        <f ca="1">IFERROR(__xludf.DUMMYFUNCTION("GOOGLETRANSLATE($B87,""en"",G$3)"),"Infos diffusion Tide")</f>
        <v>Infos diffusion Tide</v>
      </c>
      <c r="H87" s="12" t="str">
        <f ca="1">IFERROR(__xludf.DUMMYFUNCTION("GOOGLETRANSLATE($B87,""en"",H$3)"),"Broadcast Marea Info")</f>
        <v>Broadcast Marea Info</v>
      </c>
      <c r="I87" s="12" t="str">
        <f ca="1">IFERROR(__xludf.DUMMYFUNCTION("GOOGLETRANSLATE($B87,""en"",I$3)"),"Broadcast Tide Informació")</f>
        <v>Broadcast Tide Informació</v>
      </c>
      <c r="J87" s="12" t="str">
        <f ca="1">IFERROR(__xludf.DUMMYFUNCTION("GOOGLETRANSLATE($B87,""en"",J$3)"),"Broadcast Tide Info")</f>
        <v>Broadcast Tide Info</v>
      </c>
      <c r="K87" s="12" t="str">
        <f ca="1">IFERROR(__xludf.DUMMYFUNCTION("GOOGLETRANSLATE($B87,""en"",K$3)"),"广播潮资讯")</f>
        <v>广播潮资讯</v>
      </c>
      <c r="L87" s="12" t="str">
        <f ca="1">IFERROR(__xludf.DUMMYFUNCTION("GOOGLETRANSLATE($B87,""en"",L$3)"),"廣播潮資訊")</f>
        <v>廣播潮資訊</v>
      </c>
      <c r="M87" s="12" t="str">
        <f ca="1">IFERROR(__xludf.DUMMYFUNCTION("GOOGLETRANSLATE($B87,""en"",M$3)"),"Broadcast Tide Info")</f>
        <v>Broadcast Tide Info</v>
      </c>
      <c r="N87" s="12" t="str">
        <f ca="1">IFERROR(__xludf.DUMMYFUNCTION("GOOGLETRANSLATE($B87,""en"",N$3)"),"Broadcast Tide Πληροφορίες")</f>
        <v>Broadcast Tide Πληροφορίες</v>
      </c>
      <c r="O87" s="12" t="str">
        <f ca="1">IFERROR(__xludf.DUMMYFUNCTION("GOOGLETRANSLATE($B87,""en"",O$3)"),"Broadcast Tide Info")</f>
        <v>Broadcast Tide Info</v>
      </c>
      <c r="P87" s="12" t="str">
        <f ca="1">IFERROR(__xludf.DUMMYFUNCTION("GOOGLETRANSLATE($B87,""en"",P$3)"),"Craoladh Tide Info")</f>
        <v>Craoladh Tide Info</v>
      </c>
      <c r="Q87" s="12" t="str">
        <f ca="1">IFERROR(__xludf.DUMMYFUNCTION("GOOGLETRANSLATE($B87,""en"",Q$3)"),"پخش جزر و مد اطلاعات")</f>
        <v>پخش جزر و مد اطلاعات</v>
      </c>
      <c r="R87" s="12" t="str">
        <f ca="1">IFERROR(__xludf.DUMMYFUNCTION("GOOGLETRANSLATE($B87,""en"",R$3)"),"מידע שידור Tide")</f>
        <v>מידע שידור Tide</v>
      </c>
      <c r="S87" s="12" t="str">
        <f ca="1">IFERROR(__xludf.DUMMYFUNCTION("GOOGLETRANSLATE($B87,""en"",S$3)"),"Broadcast Tide Info")</f>
        <v>Broadcast Tide Info</v>
      </c>
      <c r="T87" s="12" t="str">
        <f ca="1">IFERROR(__xludf.DUMMYFUNCTION("GOOGLETRANSLATE($B87,""en"",T$3)"),"Broadcast Tide Info")</f>
        <v>Broadcast Tide Info</v>
      </c>
      <c r="U87" s="12" t="str">
        <f ca="1">IFERROR(__xludf.DUMMYFUNCTION("GOOGLETRANSLATE($B87,""en"",U$3)"),"بث معلومات المد والجزر")</f>
        <v>بث معلومات المد والجزر</v>
      </c>
      <c r="V87" s="12" t="str">
        <f ca="1">IFERROR(__xludf.DUMMYFUNCTION("GOOGLETRANSLATE($B87,""en"",V$3)"),"Broadcast Tide Info")</f>
        <v>Broadcast Tide Info</v>
      </c>
      <c r="W87" s="12" t="str">
        <f ca="1">IFERROR(__xludf.DUMMYFUNCTION("GOOGLETRANSLATE($B87,""en"",W$3)"),"Broadcast Tide Info")</f>
        <v>Broadcast Tide Info</v>
      </c>
      <c r="X87" s="12" t="str">
        <f ca="1">IFERROR(__xludf.DUMMYFUNCTION("GOOGLETRANSLATE($B87,""en"",X$3)"),"Broadcast Tide Información")</f>
        <v>Broadcast Tide Información</v>
      </c>
      <c r="Y87" s="12"/>
      <c r="Z87" s="12"/>
    </row>
    <row r="88" spans="1:26" ht="32.25" customHeight="1" x14ac:dyDescent="0.2">
      <c r="A88" s="17" t="s">
        <v>258</v>
      </c>
      <c r="B88" s="17" t="s">
        <v>259</v>
      </c>
      <c r="C88" s="19" t="str">
        <f ca="1">IFERROR(__xludf.DUMMYFUNCTION("GOOGLETRANSLATE($B88,""en"",C$3)"),"Bullet Physik")</f>
        <v>Bullet Physik</v>
      </c>
      <c r="D88" s="12" t="str">
        <f ca="1">IFERROR(__xludf.DUMMYFUNCTION("GOOGLETRANSLATE($B88,""en"",D$3)"),"bullet fysik")</f>
        <v>bullet fysik</v>
      </c>
      <c r="E88" s="12" t="str">
        <f ca="1">IFERROR(__xludf.DUMMYFUNCTION("GOOGLETRANSLATE($B88,""en"",E$3)"),"bullet Physics")</f>
        <v>bullet Physics</v>
      </c>
      <c r="F88" s="12" t="str">
        <f ca="1">IFERROR(__xludf.DUMMYFUNCTION("GOOGLETRANSLATE($B88,""en"",F$3)"),"bullet Physics")</f>
        <v>bullet Physics</v>
      </c>
      <c r="G88" s="12" t="str">
        <f ca="1">IFERROR(__xludf.DUMMYFUNCTION("GOOGLETRANSLATE($B88,""en"",G$3)"),"physique Bullet")</f>
        <v>physique Bullet</v>
      </c>
      <c r="H88" s="12" t="str">
        <f ca="1">IFERROR(__xludf.DUMMYFUNCTION("GOOGLETRANSLATE($B88,""en"",H$3)"),"Bullet fisika")</f>
        <v>Bullet fisika</v>
      </c>
      <c r="I88" s="12" t="str">
        <f ca="1">IFERROR(__xludf.DUMMYFUNCTION("GOOGLETRANSLATE($B88,""en"",I$3)"),"la física de bala")</f>
        <v>la física de bala</v>
      </c>
      <c r="J88" s="12" t="str">
        <f ca="1">IFERROR(__xludf.DUMMYFUNCTION("GOOGLETRANSLATE($B88,""en"",J$3)"),"bullet physics")</f>
        <v>bullet physics</v>
      </c>
      <c r="K88" s="12" t="str">
        <f ca="1">IFERROR(__xludf.DUMMYFUNCTION("GOOGLETRANSLATE($B88,""en"",K$3)"),"Bullet物理")</f>
        <v>Bullet物理</v>
      </c>
      <c r="L88" s="12" t="str">
        <f ca="1">IFERROR(__xludf.DUMMYFUNCTION("GOOGLETRANSLATE($B88,""en"",L$3)"),"Bullet物理")</f>
        <v>Bullet物理</v>
      </c>
      <c r="M88" s="12" t="str">
        <f ca="1">IFERROR(__xludf.DUMMYFUNCTION("GOOGLETRANSLATE($B88,""en"",M$3)"),"bullet physics")</f>
        <v>bullet physics</v>
      </c>
      <c r="N88" s="12" t="str">
        <f ca="1">IFERROR(__xludf.DUMMYFUNCTION("GOOGLETRANSLATE($B88,""en"",N$3)"),"φυσικής bullet")</f>
        <v>φυσικής bullet</v>
      </c>
      <c r="O88" s="12" t="str">
        <f ca="1">IFERROR(__xludf.DUMMYFUNCTION("GOOGLETRANSLATE($B88,""en"",O$3)"),"Bullet fysiikan")</f>
        <v>Bullet fysiikan</v>
      </c>
      <c r="P88" s="12" t="str">
        <f ca="1">IFERROR(__xludf.DUMMYFUNCTION("GOOGLETRANSLATE($B88,""en"",P$3)"),"fisic Bullet")</f>
        <v>fisic Bullet</v>
      </c>
      <c r="Q88" s="12" t="str">
        <f ca="1">IFERROR(__xludf.DUMMYFUNCTION("GOOGLETRANSLATE($B88,""en"",Q$3)"),"فیزیک گلوله")</f>
        <v>فیزیک گلوله</v>
      </c>
      <c r="R88" s="12" t="str">
        <f ca="1">IFERROR(__xludf.DUMMYFUNCTION("GOOGLETRANSLATE($B88,""en"",R$3)"),"פיזיקה Bullet")</f>
        <v>פיזיקה Bullet</v>
      </c>
      <c r="S88" s="12" t="str">
        <f ca="1">IFERROR(__xludf.DUMMYFUNCTION("GOOGLETRANSLATE($B88,""en"",S$3)"),"Bullet eðlisfræði")</f>
        <v>Bullet eðlisfræði</v>
      </c>
      <c r="T88" s="12" t="str">
        <f ca="1">IFERROR(__xludf.DUMMYFUNCTION("GOOGLETRANSLATE($B88,""en"",T$3)"),"bullet fysikk")</f>
        <v>bullet fysikk</v>
      </c>
      <c r="U88" s="12" t="str">
        <f ca="1">IFERROR(__xludf.DUMMYFUNCTION("GOOGLETRANSLATE($B88,""en"",U$3)"),"الفيزياء رصاصة")</f>
        <v>الفيزياء رصاصة</v>
      </c>
      <c r="V88" s="12" t="str">
        <f ca="1">IFERROR(__xludf.DUMMYFUNCTION("GOOGLETRANSLATE($B88,""en"",V$3)"),"Bullet Physics")</f>
        <v>Bullet Physics</v>
      </c>
      <c r="W88" s="12" t="str">
        <f ca="1">IFERROR(__xludf.DUMMYFUNCTION("GOOGLETRANSLATE($B88,""en"",W$3)"),"физика пули")</f>
        <v>физика пули</v>
      </c>
      <c r="X88" s="12" t="str">
        <f ca="1">IFERROR(__xludf.DUMMYFUNCTION("GOOGLETRANSLATE($B88,""en"",X$3)"),"la física de bala")</f>
        <v>la física de bala</v>
      </c>
      <c r="Y88" s="12"/>
      <c r="Z88" s="12"/>
    </row>
    <row r="89" spans="1:26" ht="32.25" customHeight="1" x14ac:dyDescent="0.2">
      <c r="A89" s="17" t="s">
        <v>260</v>
      </c>
      <c r="B89" s="17" t="s">
        <v>261</v>
      </c>
      <c r="C89" s="20" t="s">
        <v>262</v>
      </c>
      <c r="D89" s="12" t="str">
        <f ca="1">IFERROR(__xludf.DUMMYFUNCTION("GOOGLETRANSLATE($B89,""en"",D$3)"),"bullet Gäng")</f>
        <v>bullet Gäng</v>
      </c>
      <c r="E89" s="12" t="str">
        <f ca="1">IFERROR(__xludf.DUMMYFUNCTION("GOOGLETRANSLATE($B89,""en"",E$3)"),"bala de Listagem")</f>
        <v>bala de Listagem</v>
      </c>
      <c r="F89" s="12" t="str">
        <f ca="1">IFERROR(__xludf.DUMMYFUNCTION("GOOGLETRANSLATE($B89,""en"",F$3)"),"bala de Listagem")</f>
        <v>bala de Listagem</v>
      </c>
      <c r="G89" s="12" t="str">
        <f ca="1">IFERROR(__xludf.DUMMYFUNCTION("GOOGLETRANSLATE($B89,""en"",G$3)"),"Fileté Bullet")</f>
        <v>Fileté Bullet</v>
      </c>
      <c r="H89" s="12" t="str">
        <f ca="1">IFERROR(__xludf.DUMMYFUNCTION("GOOGLETRANSLATE($B89,""en"",H$3)"),"Bullet Gaika")</f>
        <v>Bullet Gaika</v>
      </c>
      <c r="I89" s="12" t="str">
        <f ca="1">IFERROR(__xludf.DUMMYFUNCTION("GOOGLETRANSLATE($B89,""en"",I$3)"),"bala roscat")</f>
        <v>bala roscat</v>
      </c>
      <c r="J89" s="12" t="str">
        <f ca="1">IFERROR(__xludf.DUMMYFUNCTION("GOOGLETRANSLATE($B89,""en"",J$3)"),"kulka se závitem")</f>
        <v>kulka se závitem</v>
      </c>
      <c r="K89" s="12" t="str">
        <f ca="1">IFERROR(__xludf.DUMMYFUNCTION("GOOGLETRANSLATE($B89,""en"",K$3)"),"子弹螺纹")</f>
        <v>子弹螺纹</v>
      </c>
      <c r="L89" s="12" t="str">
        <f ca="1">IFERROR(__xludf.DUMMYFUNCTION("GOOGLETRANSLATE($B89,""en"",L$3)"),"子彈螺紋")</f>
        <v>子彈螺紋</v>
      </c>
      <c r="M89" s="12" t="str">
        <f ca="1">IFERROR(__xludf.DUMMYFUNCTION("GOOGLETRANSLATE($B89,""en"",M$3)"),"bullet Geneste")</f>
        <v>bullet Geneste</v>
      </c>
      <c r="N89" s="12" t="str">
        <f ca="1">IFERROR(__xludf.DUMMYFUNCTION("GOOGLETRANSLATE($B89,""en"",N$3)"),"bullet σπείρωμα")</f>
        <v>bullet σπείρωμα</v>
      </c>
      <c r="O89" s="12" t="str">
        <f ca="1">IFERROR(__xludf.DUMMYFUNCTION("GOOGLETRANSLATE($B89,""en"",O$3)"),"Bullet Kierteitetyt")</f>
        <v>Bullet Kierteitetyt</v>
      </c>
      <c r="P89" s="12" t="str">
        <f ca="1">IFERROR(__xludf.DUMMYFUNCTION("GOOGLETRANSLATE($B89,""en"",P$3)"),"Bullet Snáithithe")</f>
        <v>Bullet Snáithithe</v>
      </c>
      <c r="Q89" s="12" t="str">
        <f ca="1">IFERROR(__xludf.DUMMYFUNCTION("GOOGLETRANSLATE($B89,""en"",Q$3)"),"گلوله موضوعی")</f>
        <v>گلوله موضوعی</v>
      </c>
      <c r="R89" s="12" t="str">
        <f ca="1">IFERROR(__xludf.DUMMYFUNCTION("GOOGLETRANSLATE($B89,""en"",R$3)"),"Bullet משורשר")</f>
        <v>Bullet משורשר</v>
      </c>
      <c r="S89" s="12" t="str">
        <f ca="1">IFERROR(__xludf.DUMMYFUNCTION("GOOGLETRANSLATE($B89,""en"",S$3)"),"Bullet Threaded")</f>
        <v>Bullet Threaded</v>
      </c>
      <c r="T89" s="12" t="str">
        <f ca="1">IFERROR(__xludf.DUMMYFUNCTION("GOOGLETRANSLATE($B89,""en"",T$3)"),"Bullet gjenger")</f>
        <v>Bullet gjenger</v>
      </c>
      <c r="U89" s="12" t="str">
        <f ca="1">IFERROR(__xludf.DUMMYFUNCTION("GOOGLETRANSLATE($B89,""en"",U$3)"),"رصاصة مترابطة")</f>
        <v>رصاصة مترابطة</v>
      </c>
      <c r="V89" s="12" t="str">
        <f ca="1">IFERROR(__xludf.DUMMYFUNCTION("GOOGLETRANSLATE($B89,""en"",V$3)"),"Bullet gwintowane")</f>
        <v>Bullet gwintowane</v>
      </c>
      <c r="W89" s="12" t="str">
        <f ca="1">IFERROR(__xludf.DUMMYFUNCTION("GOOGLETRANSLATE($B89,""en"",W$3)"),"Пуля Каскадный")</f>
        <v>Пуля Каскадный</v>
      </c>
      <c r="X89" s="12" t="str">
        <f ca="1">IFERROR(__xludf.DUMMYFUNCTION("GOOGLETRANSLATE($B89,""en"",X$3)"),"bala roscado")</f>
        <v>bala roscado</v>
      </c>
      <c r="Y89" s="12"/>
      <c r="Z89" s="12"/>
    </row>
    <row r="90" spans="1:26" ht="32.25" customHeight="1" x14ac:dyDescent="0.2">
      <c r="A90" s="17" t="s">
        <v>263</v>
      </c>
      <c r="B90" s="17" t="s">
        <v>264</v>
      </c>
      <c r="C90" s="18" t="s">
        <v>264</v>
      </c>
      <c r="D90" s="12" t="str">
        <f ca="1">IFERROR(__xludf.DUMMYFUNCTION("GOOGLETRANSLATE($B90,""en"",D$3)"),"Kula")</f>
        <v>Kula</v>
      </c>
      <c r="E90" s="12" t="str">
        <f ca="1">IFERROR(__xludf.DUMMYFUNCTION("GOOGLETRANSLATE($B90,""en"",E$3)"),"Bala")</f>
        <v>Bala</v>
      </c>
      <c r="F90" s="12" t="str">
        <f ca="1">IFERROR(__xludf.DUMMYFUNCTION("GOOGLETRANSLATE($B90,""en"",F$3)"),"Bala")</f>
        <v>Bala</v>
      </c>
      <c r="G90" s="12" t="str">
        <f ca="1">IFERROR(__xludf.DUMMYFUNCTION("GOOGLETRANSLATE($B90,""en"",G$3)"),"Balle")</f>
        <v>Balle</v>
      </c>
      <c r="H90" s="12" t="str">
        <f ca="1">IFERROR(__xludf.DUMMYFUNCTION("GOOGLETRANSLATE($B90,""en"",H$3)"),"Bullet")</f>
        <v>Bullet</v>
      </c>
      <c r="I90" s="12" t="str">
        <f ca="1">IFERROR(__xludf.DUMMYFUNCTION("GOOGLETRANSLATE($B90,""en"",I$3)"),"bala")</f>
        <v>bala</v>
      </c>
      <c r="J90" s="12" t="str">
        <f ca="1">IFERROR(__xludf.DUMMYFUNCTION("GOOGLETRANSLATE($B90,""en"",J$3)"),"Kulka")</f>
        <v>Kulka</v>
      </c>
      <c r="K90" s="12" t="str">
        <f ca="1">IFERROR(__xludf.DUMMYFUNCTION("GOOGLETRANSLATE($B90,""en"",K$3)"),"子弹")</f>
        <v>子弹</v>
      </c>
      <c r="L90" s="12" t="str">
        <f ca="1">IFERROR(__xludf.DUMMYFUNCTION("GOOGLETRANSLATE($B90,""en"",L$3)"),"子彈")</f>
        <v>子彈</v>
      </c>
      <c r="M90" s="12" t="str">
        <f ca="1">IFERROR(__xludf.DUMMYFUNCTION("GOOGLETRANSLATE($B90,""en"",M$3)"),"Kogel")</f>
        <v>Kogel</v>
      </c>
      <c r="N90" s="12" t="str">
        <f ca="1">IFERROR(__xludf.DUMMYFUNCTION("GOOGLETRANSLATE($B90,""en"",N$3)"),"Σφαίρα")</f>
        <v>Σφαίρα</v>
      </c>
      <c r="O90" s="12" t="str">
        <f ca="1">IFERROR(__xludf.DUMMYFUNCTION("GOOGLETRANSLATE($B90,""en"",O$3)"),"luoti")</f>
        <v>luoti</v>
      </c>
      <c r="P90" s="12" t="str">
        <f ca="1">IFERROR(__xludf.DUMMYFUNCTION("GOOGLETRANSLATE($B90,""en"",P$3)"),"Bullet")</f>
        <v>Bullet</v>
      </c>
      <c r="Q90" s="12" t="str">
        <f ca="1">IFERROR(__xludf.DUMMYFUNCTION("GOOGLETRANSLATE($B90,""en"",Q$3)"),"گلوله")</f>
        <v>گلوله</v>
      </c>
      <c r="R90" s="12" t="str">
        <f ca="1">IFERROR(__xludf.DUMMYFUNCTION("GOOGLETRANSLATE($B90,""en"",R$3)"),"כַּדוּר")</f>
        <v>כַּדוּר</v>
      </c>
      <c r="S90" s="12" t="str">
        <f ca="1">IFERROR(__xludf.DUMMYFUNCTION("GOOGLETRANSLATE($B90,""en"",S$3)"),"Bullet")</f>
        <v>Bullet</v>
      </c>
      <c r="T90" s="12" t="str">
        <f ca="1">IFERROR(__xludf.DUMMYFUNCTION("GOOGLETRANSLATE($B90,""en"",T$3)"),"Kule")</f>
        <v>Kule</v>
      </c>
      <c r="U90" s="12" t="str">
        <f ca="1">IFERROR(__xludf.DUMMYFUNCTION("GOOGLETRANSLATE($B90,""en"",U$3)"),"رصاصة")</f>
        <v>رصاصة</v>
      </c>
      <c r="V90" s="12" t="str">
        <f ca="1">IFERROR(__xludf.DUMMYFUNCTION("GOOGLETRANSLATE($B90,""en"",V$3)"),"Pocisk")</f>
        <v>Pocisk</v>
      </c>
      <c r="W90" s="12" t="str">
        <f ca="1">IFERROR(__xludf.DUMMYFUNCTION("GOOGLETRANSLATE($B90,""en"",W$3)"),"пуля")</f>
        <v>пуля</v>
      </c>
      <c r="X90" s="12" t="str">
        <f ca="1">IFERROR(__xludf.DUMMYFUNCTION("GOOGLETRANSLATE($B90,""en"",X$3)"),"Bala")</f>
        <v>Bala</v>
      </c>
      <c r="Y90" s="12"/>
      <c r="Z90" s="12"/>
    </row>
    <row r="91" spans="1:26" ht="32.25" customHeight="1" x14ac:dyDescent="0.2">
      <c r="A91" s="17" t="s">
        <v>265</v>
      </c>
      <c r="B91" s="17" t="s">
        <v>266</v>
      </c>
      <c r="C91" s="11" t="str">
        <f ca="1">IFERROR(__xludf.DUMMYFUNCTION("GOOGLETRANSLATE($B91,""en"",C$3)"),"Beschäftigt")</f>
        <v>Beschäftigt</v>
      </c>
      <c r="D91" s="12" t="str">
        <f ca="1">IFERROR(__xludf.DUMMYFUNCTION("GOOGLETRANSLATE($B91,""en"",D$3)"),"Upptagen")</f>
        <v>Upptagen</v>
      </c>
      <c r="E91" s="12" t="str">
        <f ca="1">IFERROR(__xludf.DUMMYFUNCTION("GOOGLETRANSLATE($B91,""en"",E$3)"),"Ocupado")</f>
        <v>Ocupado</v>
      </c>
      <c r="F91" s="12" t="str">
        <f ca="1">IFERROR(__xludf.DUMMYFUNCTION("GOOGLETRANSLATE($B91,""en"",F$3)"),"Ocupado")</f>
        <v>Ocupado</v>
      </c>
      <c r="G91" s="12" t="str">
        <f ca="1">IFERROR(__xludf.DUMMYFUNCTION("GOOGLETRANSLATE($B91,""en"",G$3)"),"Occupé")</f>
        <v>Occupé</v>
      </c>
      <c r="H91" s="12" t="str">
        <f ca="1">IFERROR(__xludf.DUMMYFUNCTION("GOOGLETRANSLATE($B91,""en"",H$3)"),"Lanpetuta")</f>
        <v>Lanpetuta</v>
      </c>
      <c r="I91" s="12" t="str">
        <f ca="1">IFERROR(__xludf.DUMMYFUNCTION("GOOGLETRANSLATE($B91,""en"",I$3)"),"Ocupada")</f>
        <v>Ocupada</v>
      </c>
      <c r="J91" s="12" t="str">
        <f ca="1">IFERROR(__xludf.DUMMYFUNCTION("GOOGLETRANSLATE($B91,""en"",J$3)"),"Zaneprázdněný")</f>
        <v>Zaneprázdněný</v>
      </c>
      <c r="K91" s="12" t="str">
        <f ca="1">IFERROR(__xludf.DUMMYFUNCTION("GOOGLETRANSLATE($B91,""en"",K$3)"),"忙")</f>
        <v>忙</v>
      </c>
      <c r="L91" s="12" t="str">
        <f ca="1">IFERROR(__xludf.DUMMYFUNCTION("GOOGLETRANSLATE($B91,""en"",L$3)"),"忙")</f>
        <v>忙</v>
      </c>
      <c r="M91" s="12" t="str">
        <f ca="1">IFERROR(__xludf.DUMMYFUNCTION("GOOGLETRANSLATE($B91,""en"",M$3)"),"Druk")</f>
        <v>Druk</v>
      </c>
      <c r="N91" s="12" t="str">
        <f ca="1">IFERROR(__xludf.DUMMYFUNCTION("GOOGLETRANSLATE($B91,""en"",N$3)"),"Απασχολημένος")</f>
        <v>Απασχολημένος</v>
      </c>
      <c r="O91" s="12" t="str">
        <f ca="1">IFERROR(__xludf.DUMMYFUNCTION("GOOGLETRANSLATE($B91,""en"",O$3)"),"Kiireinen")</f>
        <v>Kiireinen</v>
      </c>
      <c r="P91" s="12" t="str">
        <f ca="1">IFERROR(__xludf.DUMMYFUNCTION("GOOGLETRANSLATE($B91,""en"",P$3)"),"Gnóthach")</f>
        <v>Gnóthach</v>
      </c>
      <c r="Q91" s="12" t="str">
        <f ca="1">IFERROR(__xludf.DUMMYFUNCTION("GOOGLETRANSLATE($B91,""en"",Q$3)"),"مشغول")</f>
        <v>مشغول</v>
      </c>
      <c r="R91" s="12" t="str">
        <f ca="1">IFERROR(__xludf.DUMMYFUNCTION("GOOGLETRANSLATE($B91,""en"",R$3)"),"עסוק")</f>
        <v>עסוק</v>
      </c>
      <c r="S91" s="12" t="str">
        <f ca="1">IFERROR(__xludf.DUMMYFUNCTION("GOOGLETRANSLATE($B91,""en"",S$3)"),"Upptekinn")</f>
        <v>Upptekinn</v>
      </c>
      <c r="T91" s="12" t="str">
        <f ca="1">IFERROR(__xludf.DUMMYFUNCTION("GOOGLETRANSLATE($B91,""en"",T$3)"),"Travelt")</f>
        <v>Travelt</v>
      </c>
      <c r="U91" s="12" t="str">
        <f ca="1">IFERROR(__xludf.DUMMYFUNCTION("GOOGLETRANSLATE($B91,""en"",U$3)"),"مشغول")</f>
        <v>مشغول</v>
      </c>
      <c r="V91" s="12" t="str">
        <f ca="1">IFERROR(__xludf.DUMMYFUNCTION("GOOGLETRANSLATE($B91,""en"",V$3)"),"Zajęty")</f>
        <v>Zajęty</v>
      </c>
      <c r="W91" s="12" t="str">
        <f ca="1">IFERROR(__xludf.DUMMYFUNCTION("GOOGLETRANSLATE($B91,""en"",W$3)"),"Занятый")</f>
        <v>Занятый</v>
      </c>
      <c r="X91" s="12" t="str">
        <f ca="1">IFERROR(__xludf.DUMMYFUNCTION("GOOGLETRANSLATE($B91,""en"",X$3)"),"Ocupado")</f>
        <v>Ocupado</v>
      </c>
      <c r="Y91" s="12"/>
      <c r="Z91" s="12"/>
    </row>
    <row r="92" spans="1:26" ht="32.25" customHeight="1" x14ac:dyDescent="0.2">
      <c r="A92" s="17" t="s">
        <v>267</v>
      </c>
      <c r="B92" s="17" t="s">
        <v>268</v>
      </c>
      <c r="C92" s="11" t="str">
        <f ca="1">IFERROR(__xludf.DUMMYFUNCTION("GOOGLETRANSLATE($B92,""en"",C$3)"),"Cache Control")</f>
        <v>Cache Control</v>
      </c>
      <c r="D92" s="12" t="str">
        <f ca="1">IFERROR(__xludf.DUMMYFUNCTION("GOOGLETRANSLATE($B92,""en"",D$3)"),"cache kontroll")</f>
        <v>cache kontroll</v>
      </c>
      <c r="E92" s="13" t="s">
        <v>269</v>
      </c>
      <c r="F92" s="13" t="s">
        <v>269</v>
      </c>
      <c r="G92" s="12" t="str">
        <f ca="1">IFERROR(__xludf.DUMMYFUNCTION("GOOGLETRANSLATE($B92,""en"",G$3)"),"cache Control")</f>
        <v>cache Control</v>
      </c>
      <c r="H92" s="12" t="str">
        <f ca="1">IFERROR(__xludf.DUMMYFUNCTION("GOOGLETRANSLATE($B92,""en"",H$3)"),"Cache Control")</f>
        <v>Cache Control</v>
      </c>
      <c r="I92" s="12" t="str">
        <f ca="1">IFERROR(__xludf.DUMMYFUNCTION("GOOGLETRANSLATE($B92,""en"",I$3)"),"control de memòria cau")</f>
        <v>control de memòria cau</v>
      </c>
      <c r="J92" s="12" t="str">
        <f ca="1">IFERROR(__xludf.DUMMYFUNCTION("GOOGLETRANSLATE($B92,""en"",J$3)"),"ovládání Cache")</f>
        <v>ovládání Cache</v>
      </c>
      <c r="K92" s="12" t="str">
        <f ca="1">IFERROR(__xludf.DUMMYFUNCTION("GOOGLETRANSLATE($B92,""en"",K$3)"),"高速缓存控制")</f>
        <v>高速缓存控制</v>
      </c>
      <c r="L92" s="12" t="str">
        <f ca="1">IFERROR(__xludf.DUMMYFUNCTION("GOOGLETRANSLATE($B92,""en"",L$3)"),"高速緩存控制")</f>
        <v>高速緩存控制</v>
      </c>
      <c r="M92" s="12" t="str">
        <f ca="1">IFERROR(__xludf.DUMMYFUNCTION("GOOGLETRANSLATE($B92,""en"",M$3)"),"Cache Controle")</f>
        <v>Cache Controle</v>
      </c>
      <c r="N92" s="12" t="str">
        <f ca="1">IFERROR(__xludf.DUMMYFUNCTION("GOOGLETRANSLATE($B92,""en"",N$3)"),"Cache Ελέγχου")</f>
        <v>Cache Ελέγχου</v>
      </c>
      <c r="O92" s="12" t="str">
        <f ca="1">IFERROR(__xludf.DUMMYFUNCTION("GOOGLETRANSLATE($B92,""en"",O$3)"),"cache Ohjaus")</f>
        <v>cache Ohjaus</v>
      </c>
      <c r="P92" s="12" t="str">
        <f ca="1">IFERROR(__xludf.DUMMYFUNCTION("GOOGLETRANSLATE($B92,""en"",P$3)"),"Rialú Cache")</f>
        <v>Rialú Cache</v>
      </c>
      <c r="Q92" s="12" t="str">
        <f ca="1">IFERROR(__xludf.DUMMYFUNCTION("GOOGLETRANSLATE($B92,""en"",Q$3)"),"کنترل کش")</f>
        <v>کنترل کش</v>
      </c>
      <c r="R92" s="12" t="str">
        <f ca="1">IFERROR(__xludf.DUMMYFUNCTION("GOOGLETRANSLATE($B92,""en"",R$3)"),"בקרת מטמון")</f>
        <v>בקרת מטמון</v>
      </c>
      <c r="S92" s="12" t="str">
        <f ca="1">IFERROR(__xludf.DUMMYFUNCTION("GOOGLETRANSLATE($B92,""en"",S$3)"),"Cache Control")</f>
        <v>Cache Control</v>
      </c>
      <c r="T92" s="12" t="str">
        <f ca="1">IFERROR(__xludf.DUMMYFUNCTION("GOOGLETRANSLATE($B92,""en"",T$3)"),"cache Kontroll")</f>
        <v>cache Kontroll</v>
      </c>
      <c r="U92" s="12" t="str">
        <f ca="1">IFERROR(__xludf.DUMMYFUNCTION("GOOGLETRANSLATE($B92,""en"",U$3)"),"مراقبة مخبأ")</f>
        <v>مراقبة مخبأ</v>
      </c>
      <c r="V92" s="12" t="str">
        <f ca="1">IFERROR(__xludf.DUMMYFUNCTION("GOOGLETRANSLATE($B92,""en"",V$3)"),"Kontrola pamięci podręcznej")</f>
        <v>Kontrola pamięci podręcznej</v>
      </c>
      <c r="W92" s="12" t="str">
        <f ca="1">IFERROR(__xludf.DUMMYFUNCTION("GOOGLETRANSLATE($B92,""en"",W$3)"),"Контроль кэша")</f>
        <v>Контроль кэша</v>
      </c>
      <c r="X92" s="12" t="str">
        <f ca="1">IFERROR(__xludf.DUMMYFUNCTION("GOOGLETRANSLATE($B92,""en"",X$3)"),"control de caché")</f>
        <v>control de caché</v>
      </c>
      <c r="Y92" s="12"/>
      <c r="Z92" s="12"/>
    </row>
    <row r="93" spans="1:26" ht="32.25" customHeight="1" x14ac:dyDescent="0.2">
      <c r="A93" s="17" t="s">
        <v>270</v>
      </c>
      <c r="B93" s="17" t="s">
        <v>271</v>
      </c>
      <c r="C93" s="11" t="str">
        <f ca="1">IFERROR(__xludf.DUMMYFUNCTION("GOOGLETRANSLATE($B93,""en"",C$3)"),"Cache-Verzeichnis")</f>
        <v>Cache-Verzeichnis</v>
      </c>
      <c r="D93" s="12" t="str">
        <f ca="1">IFERROR(__xludf.DUMMYFUNCTION("GOOGLETRANSLATE($B93,""en"",D$3)"),"cache Directory")</f>
        <v>cache Directory</v>
      </c>
      <c r="E93" s="13" t="s">
        <v>272</v>
      </c>
      <c r="F93" s="13" t="s">
        <v>272</v>
      </c>
      <c r="G93" s="12" t="str">
        <f ca="1">IFERROR(__xludf.DUMMYFUNCTION("GOOGLETRANSLATE($B93,""en"",G$3)"),"Répertoire cache")</f>
        <v>Répertoire cache</v>
      </c>
      <c r="H93" s="12" t="str">
        <f ca="1">IFERROR(__xludf.DUMMYFUNCTION("GOOGLETRANSLATE($B93,""en"",H$3)"),"Cache Directory")</f>
        <v>Cache Directory</v>
      </c>
      <c r="I93" s="12" t="str">
        <f ca="1">IFERROR(__xludf.DUMMYFUNCTION("GOOGLETRANSLATE($B93,""en"",I$3)"),"Directori de memòria cau")</f>
        <v>Directori de memòria cau</v>
      </c>
      <c r="J93" s="12" t="str">
        <f ca="1">IFERROR(__xludf.DUMMYFUNCTION("GOOGLETRANSLATE($B93,""en"",J$3)"),"Cache Directory")</f>
        <v>Cache Directory</v>
      </c>
      <c r="K93" s="12" t="str">
        <f ca="1">IFERROR(__xludf.DUMMYFUNCTION("GOOGLETRANSLATE($B93,""en"",K$3)"),"缓存目录")</f>
        <v>缓存目录</v>
      </c>
      <c r="L93" s="12" t="str">
        <f ca="1">IFERROR(__xludf.DUMMYFUNCTION("GOOGLETRANSLATE($B93,""en"",L$3)"),"緩存目錄")</f>
        <v>緩存目錄</v>
      </c>
      <c r="M93" s="12" t="str">
        <f ca="1">IFERROR(__xludf.DUMMYFUNCTION("GOOGLETRANSLATE($B93,""en"",M$3)"),"Cache Directory")</f>
        <v>Cache Directory</v>
      </c>
      <c r="N93" s="12" t="str">
        <f ca="1">IFERROR(__xludf.DUMMYFUNCTION("GOOGLETRANSLATE($B93,""en"",N$3)"),"Cache Directory")</f>
        <v>Cache Directory</v>
      </c>
      <c r="O93" s="12" t="str">
        <f ca="1">IFERROR(__xludf.DUMMYFUNCTION("GOOGLETRANSLATE($B93,""en"",O$3)"),"välimuistihakemisto")</f>
        <v>välimuistihakemisto</v>
      </c>
      <c r="P93" s="12" t="str">
        <f ca="1">IFERROR(__xludf.DUMMYFUNCTION("GOOGLETRANSLATE($B93,""en"",P$3)"),"Cache Eolaire")</f>
        <v>Cache Eolaire</v>
      </c>
      <c r="Q93" s="12" t="str">
        <f ca="1">IFERROR(__xludf.DUMMYFUNCTION("GOOGLETRANSLATE($B93,""en"",Q$3)"),"دایرکتوری کش")</f>
        <v>دایرکتوری کش</v>
      </c>
      <c r="R93" s="12" t="str">
        <f ca="1">IFERROR(__xludf.DUMMYFUNCTION("GOOGLETRANSLATE($B93,""en"",R$3)"),"ספריית מטמון")</f>
        <v>ספריית מטמון</v>
      </c>
      <c r="S93" s="12" t="str">
        <f ca="1">IFERROR(__xludf.DUMMYFUNCTION("GOOGLETRANSLATE($B93,""en"",S$3)"),"Cache Directory")</f>
        <v>Cache Directory</v>
      </c>
      <c r="T93" s="12" t="str">
        <f ca="1">IFERROR(__xludf.DUMMYFUNCTION("GOOGLETRANSLATE($B93,""en"",T$3)"),"cache Directory")</f>
        <v>cache Directory</v>
      </c>
      <c r="U93" s="12" t="str">
        <f ca="1">IFERROR(__xludf.DUMMYFUNCTION("GOOGLETRANSLATE($B93,""en"",U$3)"),"دليل مخبأ")</f>
        <v>دليل مخبأ</v>
      </c>
      <c r="V93" s="12" t="str">
        <f ca="1">IFERROR(__xludf.DUMMYFUNCTION("GOOGLETRANSLATE($B93,""en"",V$3)"),"katalog cache")</f>
        <v>katalog cache</v>
      </c>
      <c r="W93" s="12" t="str">
        <f ca="1">IFERROR(__xludf.DUMMYFUNCTION("GOOGLETRANSLATE($B93,""en"",W$3)"),"Каталог кэша")</f>
        <v>Каталог кэша</v>
      </c>
      <c r="X93" s="12" t="str">
        <f ca="1">IFERROR(__xludf.DUMMYFUNCTION("GOOGLETRANSLATE($B93,""en"",X$3)"),"Directorio de caché")</f>
        <v>Directorio de caché</v>
      </c>
      <c r="Y93" s="12"/>
      <c r="Z93" s="12"/>
    </row>
    <row r="94" spans="1:26" ht="32.25" customHeight="1" x14ac:dyDescent="0.2">
      <c r="A94" s="17" t="s">
        <v>273</v>
      </c>
      <c r="B94" s="17" t="s">
        <v>274</v>
      </c>
      <c r="C94" s="11" t="str">
        <f ca="1">IFERROR(__xludf.DUMMYFUNCTION("GOOGLETRANSLATE($B94,""en"",C$3)"),"Cache aktiviert")</f>
        <v>Cache aktiviert</v>
      </c>
      <c r="D94" s="12" t="str">
        <f ca="1">IFERROR(__xludf.DUMMYFUNCTION("GOOGLETRANSLATE($B94,""en"",D$3)"),"cache aktiverad")</f>
        <v>cache aktiverad</v>
      </c>
      <c r="E94" s="13" t="s">
        <v>275</v>
      </c>
      <c r="F94" s="13" t="s">
        <v>275</v>
      </c>
      <c r="G94" s="12" t="str">
        <f ca="1">IFERROR(__xludf.DUMMYFUNCTION("GOOGLETRANSLATE($B94,""en"",G$3)"),"cache activé")</f>
        <v>cache activé</v>
      </c>
      <c r="H94" s="12" t="str">
        <f ca="1">IFERROR(__xludf.DUMMYFUNCTION("GOOGLETRANSLATE($B94,""en"",H$3)"),"Cache gaituta")</f>
        <v>Cache gaituta</v>
      </c>
      <c r="I94" s="12" t="str">
        <f ca="1">IFERROR(__xludf.DUMMYFUNCTION("GOOGLETRANSLATE($B94,""en"",I$3)"),"habilitat memòria cau")</f>
        <v>habilitat memòria cau</v>
      </c>
      <c r="J94" s="12" t="str">
        <f ca="1">IFERROR(__xludf.DUMMYFUNCTION("GOOGLETRANSLATE($B94,""en"",J$3)"),"Cache Enabled")</f>
        <v>Cache Enabled</v>
      </c>
      <c r="K94" s="12" t="str">
        <f ca="1">IFERROR(__xludf.DUMMYFUNCTION("GOOGLETRANSLATE($B94,""en"",K$3)"),"高速缓存已启用")</f>
        <v>高速缓存已启用</v>
      </c>
      <c r="L94" s="12" t="str">
        <f ca="1">IFERROR(__xludf.DUMMYFUNCTION("GOOGLETRANSLATE($B94,""en"",L$3)"),"高速緩存已啟用")</f>
        <v>高速緩存已啟用</v>
      </c>
      <c r="M94" s="12" t="str">
        <f ca="1">IFERROR(__xludf.DUMMYFUNCTION("GOOGLETRANSLATE($B94,""en"",M$3)"),"Cache ingeschakeld")</f>
        <v>Cache ingeschakeld</v>
      </c>
      <c r="N94" s="12" t="str">
        <f ca="1">IFERROR(__xludf.DUMMYFUNCTION("GOOGLETRANSLATE($B94,""en"",N$3)"),"Cache Enabled")</f>
        <v>Cache Enabled</v>
      </c>
      <c r="O94" s="12" t="str">
        <f ca="1">IFERROR(__xludf.DUMMYFUNCTION("GOOGLETRANSLATE($B94,""en"",O$3)"),"välimuisti käytössä")</f>
        <v>välimuisti käytössä</v>
      </c>
      <c r="P94" s="12" t="str">
        <f ca="1">IFERROR(__xludf.DUMMYFUNCTION("GOOGLETRANSLATE($B94,""en"",P$3)"),"Cache Cumasaithe")</f>
        <v>Cache Cumasaithe</v>
      </c>
      <c r="Q94" s="12" t="str">
        <f ca="1">IFERROR(__xludf.DUMMYFUNCTION("GOOGLETRANSLATE($B94,""en"",Q$3)"),"کش را فعال")</f>
        <v>کش را فعال</v>
      </c>
      <c r="R94" s="12" t="str">
        <f ca="1">IFERROR(__xludf.DUMMYFUNCTION("GOOGLETRANSLATE($B94,""en"",R$3)"),"מטמון מאופשר")</f>
        <v>מטמון מאופשר</v>
      </c>
      <c r="S94" s="12" t="str">
        <f ca="1">IFERROR(__xludf.DUMMYFUNCTION("GOOGLETRANSLATE($B94,""en"",S$3)"),"Cache virkt")</f>
        <v>Cache virkt</v>
      </c>
      <c r="T94" s="12" t="str">
        <f ca="1">IFERROR(__xludf.DUMMYFUNCTION("GOOGLETRANSLATE($B94,""en"",T$3)"),"cache Enabled")</f>
        <v>cache Enabled</v>
      </c>
      <c r="U94" s="12" t="str">
        <f ca="1">IFERROR(__xludf.DUMMYFUNCTION("GOOGLETRANSLATE($B94,""en"",U$3)"),"ذاكرة التخزين المؤقت ممكن")</f>
        <v>ذاكرة التخزين المؤقت ممكن</v>
      </c>
      <c r="V94" s="12" t="str">
        <f ca="1">IFERROR(__xludf.DUMMYFUNCTION("GOOGLETRANSLATE($B94,""en"",V$3)"),"Włączone cache")</f>
        <v>Włączone cache</v>
      </c>
      <c r="W94" s="12" t="str">
        <f ca="1">IFERROR(__xludf.DUMMYFUNCTION("GOOGLETRANSLATE($B94,""en"",W$3)"),"кэш Enabled")</f>
        <v>кэш Enabled</v>
      </c>
      <c r="X94" s="12" t="str">
        <f ca="1">IFERROR(__xludf.DUMMYFUNCTION("GOOGLETRANSLATE($B94,""en"",X$3)"),"Habilitado caché")</f>
        <v>Habilitado caché</v>
      </c>
      <c r="Y94" s="12"/>
      <c r="Z94" s="12"/>
    </row>
    <row r="95" spans="1:26" ht="32.25" customHeight="1" x14ac:dyDescent="0.2">
      <c r="A95" s="17" t="s">
        <v>276</v>
      </c>
      <c r="B95" s="17" t="s">
        <v>277</v>
      </c>
      <c r="C95" s="11" t="str">
        <f ca="1">IFERROR(__xludf.DUMMYFUNCTION("GOOGLETRANSLATE($B95,""en"",C$3)"),"Alle Server Caches außer Scripts und Avatar backt wurden gelöscht. Opensim muss leserlich und backen Caches gestoppt werden.")</f>
        <v>Alle Server Caches außer Scripts und Avatar backt wurden gelöscht. Opensim muss leserlich und backen Caches gestoppt werden.</v>
      </c>
      <c r="D95" s="12" t="str">
        <f ca="1">IFERROR(__xludf.DUMMYFUNCTION("GOOGLETRANSLATE($B95,""en"",D$3)"),"Alla server cachar utom skript och Avatar bakar röjdes. Opensim måste stoppas till tryckbokstäver och baka cachar.")</f>
        <v>Alla server cachar utom skript och Avatar bakar röjdes. Opensim måste stoppas till tryckbokstäver och baka cachar.</v>
      </c>
      <c r="E95" s="12" t="str">
        <f ca="1">IFERROR(__xludf.DUMMYFUNCTION("GOOGLETRANSLATE($B95,""en"",E$3)"),"Todos os caches Server, exceto Scripts e coze Avatar foram apuradas. Opensim deve ser interrompido para claras de script e asse caches.")</f>
        <v>Todos os caches Server, exceto Scripts e coze Avatar foram apuradas. Opensim deve ser interrompido para claras de script e asse caches.</v>
      </c>
      <c r="F95" s="12" t="str">
        <f ca="1">IFERROR(__xludf.DUMMYFUNCTION("GOOGLETRANSLATE($B95,""en"",F$3)"),"Todos os caches Server, exceto Scripts e coze Avatar foram apuradas. Opensim deve ser interrompido para claras de script e asse caches.")</f>
        <v>Todos os caches Server, exceto Scripts e coze Avatar foram apuradas. Opensim deve ser interrompido para claras de script e asse caches.</v>
      </c>
      <c r="G95" s="12" t="str">
        <f ca="1">IFERROR(__xludf.DUMMYFUNCTION("GOOGLETRANSLATE($B95,""en"",G$3)"),"Tous Caches Server, à l'exception des scripts et gratins Avatar ont été effacés. Opensim doit être arrêté pour des caches de script claires et cuire au four.")</f>
        <v>Tous Caches Server, à l'exception des scripts et gratins Avatar ont été effacés. Opensim doit être arrêté pour des caches de script claires et cuire au four.</v>
      </c>
      <c r="H95" s="12" t="str">
        <f ca="1">IFERROR(__xludf.DUMMYFUNCTION("GOOGLETRANSLATE($B95,""en"",H$3)"),"Server cacheak guztiak Scripts eta Avatar bakes ezik garbitu ziren. Opensim egon argi gidoia eta bake cacheak gelditu behar.")</f>
        <v>Server cacheak guztiak Scripts eta Avatar bakes ezik garbitu ziren. Opensim egon argi gidoia eta bake cacheak gelditu behar.</v>
      </c>
      <c r="I95" s="12" t="str">
        <f ca="1">IFERROR(__xludf.DUMMYFUNCTION("GOOGLETRANSLATE($B95,""en"",I$3)"),"S'esborraran tots els caixets de servidor, excepte Scripts i s'enforna Avatar. Opensim ha de ser detingut a caixets de guió i de pastissos clars.")</f>
        <v>S'esborraran tots els caixets de servidor, excepte Scripts i s'enforna Avatar. Opensim ha de ser detingut a caixets de guió i de pastissos clars.</v>
      </c>
      <c r="J95" s="12" t="str">
        <f ca="1">IFERROR(__xludf.DUMMYFUNCTION("GOOGLETRANSLATE($B95,""en"",J$3)"),"Všechny serveru Cache kromě skripty a Avatar nákypy byly vymazány. Opensim musí být zastaven, aby čitelně a pečeme cache.")</f>
        <v>Všechny serveru Cache kromě skripty a Avatar nákypy byly vymazány. Opensim musí být zastaven, aby čitelně a pečeme cache.</v>
      </c>
      <c r="K95" s="12" t="str">
        <f ca="1">IFERROR(__xludf.DUMMYFUNCTION("GOOGLETRANSLATE($B95,""en"",K$3)"),"除了脚本和头像烘烤所有服务器缓存被清除。的OpenSim必须停下来明确脚本和烘烤缓存。")</f>
        <v>除了脚本和头像烘烤所有服务器缓存被清除。的OpenSim必须停下来明确脚本和烘烤缓存。</v>
      </c>
      <c r="L95" s="12" t="str">
        <f ca="1">IFERROR(__xludf.DUMMYFUNCTION("GOOGLETRANSLATE($B95,""en"",L$3)"),"除了腳本和頭像烘烤所有服務器緩存被清除。的OpenSim必須停下來明確腳本和烘烤緩存。")</f>
        <v>除了腳本和頭像烘烤所有服務器緩存被清除。的OpenSim必須停下來明確腳本和烘烤緩存。</v>
      </c>
      <c r="M95" s="12" t="str">
        <f ca="1">IFERROR(__xludf.DUMMYFUNCTION("GOOGLETRANSLATE($B95,""en"",M$3)"),"Alle Server Caches, behalve Scripts en Avatar bakt waren geruimd. OpenSim moet worden gestopt om duidelijke script en bakken caches.")</f>
        <v>Alle Server Caches, behalve Scripts en Avatar bakt waren geruimd. OpenSim moet worden gestopt om duidelijke script en bakken caches.</v>
      </c>
      <c r="N95" s="12" t="str">
        <f ca="1">IFERROR(__xludf.DUMMYFUNCTION("GOOGLETRANSLATE($B95,""en"",N$3)"),"Όλα τα κρυφή μνήμη διακομιστή, εκτός Σενάρια και ψήνει Avatar έχουν εκκαθαριστεί. Opensim πρέπει να σταματήσει να ευκρινής και ψήνουμε κρύπτες.")</f>
        <v>Όλα τα κρυφή μνήμη διακομιστή, εκτός Σενάρια και ψήνει Avatar έχουν εκκαθαριστεί. Opensim πρέπει να σταματήσει να ευκρινής και ψήνουμε κρύπτες.</v>
      </c>
      <c r="O95" s="12" t="str">
        <f ca="1">IFERROR(__xludf.DUMMYFUNCTION("GOOGLETRANSLATE($B95,""en"",O$3)"),"Kaikki Server välimuistit paitsi skriptit ja Avatar leipoo raivattiin. Opensim on pysähtynyt selvennettävä ja paista välimuistit.")</f>
        <v>Kaikki Server välimuistit paitsi skriptit ja Avatar leipoo raivattiin. Opensim on pysähtynyt selvennettävä ja paista välimuistit.</v>
      </c>
      <c r="P95" s="12" t="str">
        <f ca="1">IFERROR(__xludf.DUMMYFUNCTION("GOOGLETRANSLATE($B95,""en"",P$3)"),"Gach Caches Freastalaí seachas Scripteanna agus bakes Avatar glanadh. Ní mór Opensim a stopadh do script agus bake caches soiléire.")</f>
        <v>Gach Caches Freastalaí seachas Scripteanna agus bakes Avatar glanadh. Ní mór Opensim a stopadh do script agus bake caches soiléire.</v>
      </c>
      <c r="Q95" s="12" t="str">
        <f ca="1">IFERROR(__xludf.DUMMYFUNCTION("GOOGLETRANSLATE($B95,""en"",Q$3)"),"تمام انبارها سرور به جز اسکریپت و BAKES آواتار پاک شد. Opensim باید به اسکریپت و پخت روشن انبارهای متوقف شد.")</f>
        <v>تمام انبارها سرور به جز اسکریپت و BAKES آواتار پاک شد. Opensim باید به اسکریپت و پخت روشن انبارهای متوقف شد.</v>
      </c>
      <c r="R95" s="12" t="str">
        <f ca="1">IFERROR(__xludf.DUMMYFUNCTION("GOOGLETRANSLATE($B95,""en"",R$3)"),"כל מטמוני שרת חוץ סקריפטים ואופה אישי פונו. Opensim חייב להיפסק כדי מצבורי תסריט ואופים ברורים.")</f>
        <v>כל מטמוני שרת חוץ סקריפטים ואופה אישי פונו. Opensim חייב להיפסק כדי מצבורי תסריט ואופים ברורים.</v>
      </c>
      <c r="S95" s="12" t="str">
        <f ca="1">IFERROR(__xludf.DUMMYFUNCTION("GOOGLETRANSLATE($B95,""en"",S$3)"),"Allir Server Skyndiminni nema Scripts og Avatar bakar voru hreinsaðar. Opensim verður hætt að skýrum stöfum og bakað felustaður.")</f>
        <v>Allir Server Skyndiminni nema Scripts og Avatar bakar voru hreinsaðar. Opensim verður hætt að skýrum stöfum og bakað felustaður.</v>
      </c>
      <c r="T95" s="12" t="str">
        <f ca="1">IFERROR(__xludf.DUMMYFUNCTION("GOOGLETRANSLATE($B95,""en"",T$3)"),"Alle Server Caches unntatt Scripts og Avatar bakes ble ryddet. OpenSim må stoppes for å klare script og bake cacher.")</f>
        <v>Alle Server Caches unntatt Scripts og Avatar bakes ble ryddet. OpenSim må stoppes for å klare script og bake cacher.</v>
      </c>
      <c r="U95" s="12" t="str">
        <f ca="1">IFERROR(__xludf.DUMMYFUNCTION("GOOGLETRANSLATE($B95,""en"",U$3)"),"تم مسح جميع مخابئ خادم باستثناء البرامج النصية والرمزية يخبز. Opensim يجب أن يتوقف لواضحة النصي وتخبز مخابئ.")</f>
        <v>تم مسح جميع مخابئ خادم باستثناء البرامج النصية والرمزية يخبز. Opensim يجب أن يتوقف لواضحة النصي وتخبز مخابئ.</v>
      </c>
      <c r="V95" s="12" t="str">
        <f ca="1">IFERROR(__xludf.DUMMYFUNCTION("GOOGLETRANSLATE($B95,""en"",V$3)"),"Wszystkie z wyjątkiem serwera skrzynek Skrypty i zapiekanek Avatar zostały wyczyszczone. Opensim musi zostać zatrzymany do czytelnie i piec skrytek.")</f>
        <v>Wszystkie z wyjątkiem serwera skrzynek Skrypty i zapiekanek Avatar zostały wyczyszczone. Opensim musi zostać zatrzymany do czytelnie i piec skrytek.</v>
      </c>
      <c r="W95" s="12" t="str">
        <f ca="1">IFERROR(__xludf.DUMMYFUNCTION("GOOGLETRANSLATE($B95,""en"",W$3)"),"Все кэша сервера, кроме сценариев и аватар печет были очищены. OpenSim должен быть остановлен для четких сценариев и выпекать кэша.")</f>
        <v>Все кэша сервера, кроме сценариев и аватар печет были очищены. OpenSim должен быть остановлен для четких сценариев и выпекать кэша.</v>
      </c>
      <c r="X95" s="12" t="str">
        <f ca="1">IFERROR(__xludf.DUMMYFUNCTION("GOOGLETRANSLATE($B95,""en"",X$3)"),"Se borrarán todos los cachés de servidor, excepto Scripts y hornea Avatar. Opensim debe ser detenido a cachés de guión y de pasteles claros.")</f>
        <v>Se borrarán todos los cachés de servidor, excepto Scripts y hornea Avatar. Opensim debe ser detenido a cachés de guión y de pasteles claros.</v>
      </c>
      <c r="Y95" s="12"/>
      <c r="Z95" s="12"/>
    </row>
    <row r="96" spans="1:26" ht="32.25" customHeight="1" x14ac:dyDescent="0.2">
      <c r="A96" s="17" t="s">
        <v>278</v>
      </c>
      <c r="B96" s="17" t="s">
        <v>279</v>
      </c>
      <c r="C96" s="11" t="str">
        <f ca="1">IFERROR(__xludf.DUMMYFUNCTION("GOOGLETRANSLATE($B96,""en"",C$3)"),"Cache-Speicher")</f>
        <v>Cache-Speicher</v>
      </c>
      <c r="D96" s="12" t="str">
        <f ca="1">IFERROR(__xludf.DUMMYFUNCTION("GOOGLETRANSLATE($B96,""en"",D$3)"),"cachar")</f>
        <v>cachar</v>
      </c>
      <c r="E96" s="13" t="s">
        <v>280</v>
      </c>
      <c r="F96" s="13" t="s">
        <v>280</v>
      </c>
      <c r="G96" s="12" t="str">
        <f ca="1">IFERROR(__xludf.DUMMYFUNCTION("GOOGLETRANSLATE($B96,""en"",G$3)"),"caches")</f>
        <v>caches</v>
      </c>
      <c r="H96" s="12" t="str">
        <f ca="1">IFERROR(__xludf.DUMMYFUNCTION("GOOGLETRANSLATE($B96,""en"",H$3)"),"cacheak")</f>
        <v>cacheak</v>
      </c>
      <c r="I96" s="12" t="str">
        <f ca="1">IFERROR(__xludf.DUMMYFUNCTION("GOOGLETRANSLATE($B96,""en"",I$3)"),"caixets")</f>
        <v>caixets</v>
      </c>
      <c r="J96" s="12" t="str">
        <f ca="1">IFERROR(__xludf.DUMMYFUNCTION("GOOGLETRANSLATE($B96,""en"",J$3)"),"cache")</f>
        <v>cache</v>
      </c>
      <c r="K96" s="12" t="str">
        <f ca="1">IFERROR(__xludf.DUMMYFUNCTION("GOOGLETRANSLATE($B96,""en"",K$3)"),"高速缓存")</f>
        <v>高速缓存</v>
      </c>
      <c r="L96" s="12" t="str">
        <f ca="1">IFERROR(__xludf.DUMMYFUNCTION("GOOGLETRANSLATE($B96,""en"",L$3)"),"高速緩存")</f>
        <v>高速緩存</v>
      </c>
      <c r="M96" s="12" t="str">
        <f ca="1">IFERROR(__xludf.DUMMYFUNCTION("GOOGLETRANSLATE($B96,""en"",M$3)"),"caches")</f>
        <v>caches</v>
      </c>
      <c r="N96" s="12" t="str">
        <f ca="1">IFERROR(__xludf.DUMMYFUNCTION("GOOGLETRANSLATE($B96,""en"",N$3)"),"κρύπτες")</f>
        <v>κρύπτες</v>
      </c>
      <c r="O96" s="12" t="str">
        <f ca="1">IFERROR(__xludf.DUMMYFUNCTION("GOOGLETRANSLATE($B96,""en"",O$3)"),"välimuistit")</f>
        <v>välimuistit</v>
      </c>
      <c r="P96" s="12" t="str">
        <f ca="1">IFERROR(__xludf.DUMMYFUNCTION("GOOGLETRANSLATE($B96,""en"",P$3)"),"caches")</f>
        <v>caches</v>
      </c>
      <c r="Q96" s="12" t="str">
        <f ca="1">IFERROR(__xludf.DUMMYFUNCTION("GOOGLETRANSLATE($B96,""en"",Q$3)"),"حافظه های پنهان")</f>
        <v>حافظه های پنهان</v>
      </c>
      <c r="R96" s="12" t="str">
        <f ca="1">IFERROR(__xludf.DUMMYFUNCTION("GOOGLETRANSLATE($B96,""en"",R$3)"),"מטמון")</f>
        <v>מטמון</v>
      </c>
      <c r="S96" s="12" t="str">
        <f ca="1">IFERROR(__xludf.DUMMYFUNCTION("GOOGLETRANSLATE($B96,""en"",S$3)"),"felustaður")</f>
        <v>felustaður</v>
      </c>
      <c r="T96" s="12" t="str">
        <f ca="1">IFERROR(__xludf.DUMMYFUNCTION("GOOGLETRANSLATE($B96,""en"",T$3)"),"Caches")</f>
        <v>Caches</v>
      </c>
      <c r="U96" s="12" t="str">
        <f ca="1">IFERROR(__xludf.DUMMYFUNCTION("GOOGLETRANSLATE($B96,""en"",U$3)"),"مخابئ")</f>
        <v>مخابئ</v>
      </c>
      <c r="V96" s="12" t="str">
        <f ca="1">IFERROR(__xludf.DUMMYFUNCTION("GOOGLETRANSLATE($B96,""en"",V$3)"),"Skrytki")</f>
        <v>Skrytki</v>
      </c>
      <c r="W96" s="12" t="str">
        <f ca="1">IFERROR(__xludf.DUMMYFUNCTION("GOOGLETRANSLATE($B96,""en"",W$3)"),"Тайники")</f>
        <v>Тайники</v>
      </c>
      <c r="X96" s="12" t="str">
        <f ca="1">IFERROR(__xludf.DUMMYFUNCTION("GOOGLETRANSLATE($B96,""en"",X$3)"),"cachés")</f>
        <v>cachés</v>
      </c>
      <c r="Y96" s="12"/>
      <c r="Z96" s="12"/>
    </row>
    <row r="97" spans="1:26" ht="32.25" customHeight="1" x14ac:dyDescent="0.2">
      <c r="A97" s="17" t="s">
        <v>281</v>
      </c>
      <c r="B97" s="17" t="s">
        <v>282</v>
      </c>
      <c r="C97" s="11" t="str">
        <f ca="1">IFERROR(__xludf.DUMMYFUNCTION("GOOGLETRANSLATE($B97,""en"",C$3)"),"Stornieren")</f>
        <v>Stornieren</v>
      </c>
      <c r="D97" s="12" t="str">
        <f ca="1">IFERROR(__xludf.DUMMYFUNCTION("GOOGLETRANSLATE($B97,""en"",D$3)"),"Annullera")</f>
        <v>Annullera</v>
      </c>
      <c r="E97" s="12" t="str">
        <f ca="1">IFERROR(__xludf.DUMMYFUNCTION("GOOGLETRANSLATE($B97,""en"",E$3)"),"Cancelar")</f>
        <v>Cancelar</v>
      </c>
      <c r="F97" s="12" t="str">
        <f ca="1">IFERROR(__xludf.DUMMYFUNCTION("GOOGLETRANSLATE($B97,""en"",F$3)"),"Cancelar")</f>
        <v>Cancelar</v>
      </c>
      <c r="G97" s="12" t="str">
        <f ca="1">IFERROR(__xludf.DUMMYFUNCTION("GOOGLETRANSLATE($B97,""en"",G$3)"),"Annuler")</f>
        <v>Annuler</v>
      </c>
      <c r="H97" s="12" t="str">
        <f ca="1">IFERROR(__xludf.DUMMYFUNCTION("GOOGLETRANSLATE($B97,""en"",H$3)"),"Utzi")</f>
        <v>Utzi</v>
      </c>
      <c r="I97" s="12" t="str">
        <f ca="1">IFERROR(__xludf.DUMMYFUNCTION("GOOGLETRANSLATE($B97,""en"",I$3)"),"Cancel · lar")</f>
        <v>Cancel · lar</v>
      </c>
      <c r="J97" s="12" t="str">
        <f ca="1">IFERROR(__xludf.DUMMYFUNCTION("GOOGLETRANSLATE($B97,""en"",J$3)"),"zrušení")</f>
        <v>zrušení</v>
      </c>
      <c r="K97" s="12" t="str">
        <f ca="1">IFERROR(__xludf.DUMMYFUNCTION("GOOGLETRANSLATE($B97,""en"",K$3)"),"取消")</f>
        <v>取消</v>
      </c>
      <c r="L97" s="12" t="str">
        <f ca="1">IFERROR(__xludf.DUMMYFUNCTION("GOOGLETRANSLATE($B97,""en"",L$3)"),"取消")</f>
        <v>取消</v>
      </c>
      <c r="M97" s="12" t="str">
        <f ca="1">IFERROR(__xludf.DUMMYFUNCTION("GOOGLETRANSLATE($B97,""en"",M$3)"),"Annuleer")</f>
        <v>Annuleer</v>
      </c>
      <c r="N97" s="12" t="str">
        <f ca="1">IFERROR(__xludf.DUMMYFUNCTION("GOOGLETRANSLATE($B97,""en"",N$3)"),"Ματαίωση")</f>
        <v>Ματαίωση</v>
      </c>
      <c r="O97" s="12" t="str">
        <f ca="1">IFERROR(__xludf.DUMMYFUNCTION("GOOGLETRANSLATE($B97,""en"",O$3)"),"Peruuttaa")</f>
        <v>Peruuttaa</v>
      </c>
      <c r="P97" s="12" t="str">
        <f ca="1">IFERROR(__xludf.DUMMYFUNCTION("GOOGLETRANSLATE($B97,""en"",P$3)"),"Cealaigh")</f>
        <v>Cealaigh</v>
      </c>
      <c r="Q97" s="12" t="str">
        <f ca="1">IFERROR(__xludf.DUMMYFUNCTION("GOOGLETRANSLATE($B97,""en"",Q$3)"),"لغو کردن")</f>
        <v>لغو کردن</v>
      </c>
      <c r="R97" s="12" t="str">
        <f ca="1">IFERROR(__xludf.DUMMYFUNCTION("GOOGLETRANSLATE($B97,""en"",R$3)"),"לְבַטֵל")</f>
        <v>לְבַטֵל</v>
      </c>
      <c r="S97" s="12" t="str">
        <f ca="1">IFERROR(__xludf.DUMMYFUNCTION("GOOGLETRANSLATE($B97,""en"",S$3)"),"Hætta við")</f>
        <v>Hætta við</v>
      </c>
      <c r="T97" s="12" t="str">
        <f ca="1">IFERROR(__xludf.DUMMYFUNCTION("GOOGLETRANSLATE($B97,""en"",T$3)"),"Avbryt")</f>
        <v>Avbryt</v>
      </c>
      <c r="U97" s="12" t="str">
        <f ca="1">IFERROR(__xludf.DUMMYFUNCTION("GOOGLETRANSLATE($B97,""en"",U$3)"),"إلغاء")</f>
        <v>إلغاء</v>
      </c>
      <c r="V97" s="12" t="str">
        <f ca="1">IFERROR(__xludf.DUMMYFUNCTION("GOOGLETRANSLATE($B97,""en"",V$3)"),"Anuluj")</f>
        <v>Anuluj</v>
      </c>
      <c r="W97" s="12" t="str">
        <f ca="1">IFERROR(__xludf.DUMMYFUNCTION("GOOGLETRANSLATE($B97,""en"",W$3)"),"Отмена")</f>
        <v>Отмена</v>
      </c>
      <c r="X97" s="12" t="str">
        <f ca="1">IFERROR(__xludf.DUMMYFUNCTION("GOOGLETRANSLATE($B97,""en"",X$3)"),"Cancelar")</f>
        <v>Cancelar</v>
      </c>
      <c r="Y97" s="12"/>
      <c r="Z97" s="12"/>
    </row>
    <row r="98" spans="1:26" ht="32.25" customHeight="1" x14ac:dyDescent="0.2">
      <c r="A98" s="17" t="s">
        <v>283</v>
      </c>
      <c r="B98" s="17" t="s">
        <v>284</v>
      </c>
      <c r="C98" s="11" t="str">
        <f ca="1">IFERROR(__xludf.DUMMYFUNCTION("GOOGLETRANSLATE($B98,""en"",C$3)"),"Laden Sie IAR abgebrochen - müssen den vollständigen Benutzernamen und ein Passwort verwenden.")</f>
        <v>Laden Sie IAR abgebrochen - müssen den vollständigen Benutzernamen und ein Passwort verwenden.</v>
      </c>
      <c r="D98" s="12" t="str">
        <f ca="1">IFERROR(__xludf.DUMMYFUNCTION("GOOGLETRANSLATE($B98,""en"",D$3)"),"Fyll IAR avbryts - måste använda hela användarnamn och lösenord.")</f>
        <v>Fyll IAR avbryts - måste använda hela användarnamn och lösenord.</v>
      </c>
      <c r="E98" s="13" t="s">
        <v>285</v>
      </c>
      <c r="F98" s="13" t="s">
        <v>285</v>
      </c>
      <c r="G98" s="12" t="str">
        <f ca="1">IFERROR(__xludf.DUMMYFUNCTION("GOOGLETRANSLATE($B98,""en"",G$3)"),"Charger IAR annulé - doit utiliser le nom complet de l'utilisateur et mot de passe.")</f>
        <v>Charger IAR annulé - doit utiliser le nom complet de l'utilisateur et mot de passe.</v>
      </c>
      <c r="H98" s="12" t="str">
        <f ca="1">IFERROR(__xludf.DUMMYFUNCTION("GOOGLETRANSLATE($B98,""en"",H$3)"),"Kargatu iar behera utzi - beteta erabiltzaile izena eta pasahitza erabili behar dute.")</f>
        <v>Kargatu iar behera utzi - beteta erabiltzaile izena eta pasahitza erabili behar dute.</v>
      </c>
      <c r="I98" s="12" t="str">
        <f ca="1">IFERROR(__xludf.DUMMYFUNCTION("GOOGLETRANSLATE($B98,""en"",I$3)"),"Càrrega IAR cancel·lat - ha d'utilitzar el nom d'usuari i la contrasenya completa.")</f>
        <v>Càrrega IAR cancel·lat - ha d'utilitzar el nom d'usuari i la contrasenya completa.</v>
      </c>
      <c r="J98" s="12" t="str">
        <f ca="1">IFERROR(__xludf.DUMMYFUNCTION("GOOGLETRANSLATE($B98,""en"",J$3)"),"Načíst IAR zrušeno - je třeba použít úplné uživatelské jméno a heslo.")</f>
        <v>Načíst IAR zrušeno - je třeba použít úplné uživatelské jméno a heslo.</v>
      </c>
      <c r="K98" s="12" t="str">
        <f ca="1">IFERROR(__xludf.DUMMYFUNCTION("GOOGLETRANSLATE($B98,""en"",K$3)"),"加载IAR取消 - 必须使用完整的用户名和密码。")</f>
        <v>加载IAR取消 - 必须使用完整的用户名和密码。</v>
      </c>
      <c r="L98" s="12" t="str">
        <f ca="1">IFERROR(__xludf.DUMMYFUNCTION("GOOGLETRANSLATE($B98,""en"",L$3)"),"加載IAR取消 - 必須使用完整的用戶名和密碼。")</f>
        <v>加載IAR取消 - 必須使用完整的用戶名和密碼。</v>
      </c>
      <c r="M98" s="12" t="str">
        <f ca="1">IFERROR(__xludf.DUMMYFUNCTION("GOOGLETRANSLATE($B98,""en"",M$3)"),"Laad IAR geannuleerd - moet het volledige gebruikersnaam en wachtwoord gebruiken.")</f>
        <v>Laad IAR geannuleerd - moet het volledige gebruikersnaam en wachtwoord gebruiken.</v>
      </c>
      <c r="N98" s="12" t="str">
        <f ca="1">IFERROR(__xludf.DUMMYFUNCTION("GOOGLETRANSLATE($B98,""en"",N$3)"),"Τοποθετήστε IAR ακυρωθεί - πρέπει να χρησιμοποιήσετε το πλήρες όνομα χρήστη και τον κωδικό πρόσβασης.")</f>
        <v>Τοποθετήστε IAR ακυρωθεί - πρέπει να χρησιμοποιήσετε το πλήρες όνομα χρήστη και τον κωδικό πρόσβασης.</v>
      </c>
      <c r="O98" s="12" t="str">
        <f ca="1">IFERROR(__xludf.DUMMYFUNCTION("GOOGLETRANSLATE($B98,""en"",O$3)"),"Ladata IAR peruutettu - on käytettävä koko käyttäjätunnus ja salasana.")</f>
        <v>Ladata IAR peruutettu - on käytettävä koko käyttäjätunnus ja salasana.</v>
      </c>
      <c r="P98" s="12" t="str">
        <f ca="1">IFERROR(__xludf.DUMMYFUNCTION("GOOGLETRANSLATE($B98,""en"",P$3)"),"Luchtaigh IAR ar ceal - ní mór a bhaint as an t-ainm úsáideora agus do phasfhocal iomlán.")</f>
        <v>Luchtaigh IAR ar ceal - ní mór a bhaint as an t-ainm úsáideora agus do phasfhocal iomlán.</v>
      </c>
      <c r="Q98" s="12" t="str">
        <f ca="1">IFERROR(__xludf.DUMMYFUNCTION("GOOGLETRANSLATE($B98,""en"",Q$3)"),"بار IAR لغو - باید نام کامل کاربر و رمز عبور استفاده کنید.")</f>
        <v>بار IAR لغو - باید نام کامل کاربر و رمز عبور استفاده کنید.</v>
      </c>
      <c r="R98" s="12" t="str">
        <f ca="1">IFERROR(__xludf.DUMMYFUNCTION("GOOGLETRANSLATE($B98,""en"",R$3)"),"טעינת IAR בוטל - יש להשתמש בשם המשתמש והסיסמה מלא.")</f>
        <v>טעינת IAR בוטל - יש להשתמש בשם המשתמש והסיסמה מלא.</v>
      </c>
      <c r="S98" s="12" t="str">
        <f ca="1">IFERROR(__xludf.DUMMYFUNCTION("GOOGLETRANSLATE($B98,""en"",S$3)"),"Hlaða IAR niður - verður að nota fullt notandanafn og lykilorð.")</f>
        <v>Hlaða IAR niður - verður að nota fullt notandanafn og lykilorð.</v>
      </c>
      <c r="T98" s="12" t="str">
        <f ca="1">IFERROR(__xludf.DUMMYFUNCTION("GOOGLETRANSLATE($B98,""en"",T$3)"),"Laste IAR avlyst - må bruke hele brukernavnet og passordet.")</f>
        <v>Laste IAR avlyst - må bruke hele brukernavnet og passordet.</v>
      </c>
      <c r="U98" s="12" t="str">
        <f ca="1">IFERROR(__xludf.DUMMYFUNCTION("GOOGLETRANSLATE($B98,""en"",U$3)"),"تحميل إلغاء IAR - يجب استخدام اسم المستخدم وكلمة المرور بالكامل.")</f>
        <v>تحميل إلغاء IAR - يجب استخدام اسم المستخدم وكلمة المرور بالكامل.</v>
      </c>
      <c r="V98" s="12" t="str">
        <f ca="1">IFERROR(__xludf.DUMMYFUNCTION("GOOGLETRANSLATE($B98,""en"",V$3)"),"Załaduj IAR odwołany - należy użyć pełnej nazwy użytkownika i hasła.")</f>
        <v>Załaduj IAR odwołany - należy użyć pełnej nazwy użytkownika i hasła.</v>
      </c>
      <c r="W98" s="12" t="str">
        <f ca="1">IFERROR(__xludf.DUMMYFUNCTION("GOOGLETRANSLATE($B98,""en"",W$3)"),"Загрузка IAR отменена - должны использовать полное имя пользователя и пароль.")</f>
        <v>Загрузка IAR отменена - должны использовать полное имя пользователя и пароль.</v>
      </c>
      <c r="X98" s="12" t="str">
        <f ca="1">IFERROR(__xludf.DUMMYFUNCTION("GOOGLETRANSLATE($B98,""en"",X$3)"),"Carga IAR cancelado - debe utilizar el nombre de usuario y la contraseña completa.")</f>
        <v>Carga IAR cancelado - debe utilizar el nombre de usuario y la contraseña completa.</v>
      </c>
      <c r="Y98" s="12"/>
      <c r="Z98" s="12"/>
    </row>
    <row r="99" spans="1:26" ht="32.25" customHeight="1" x14ac:dyDescent="0.2">
      <c r="A99" s="17" t="s">
        <v>286</v>
      </c>
      <c r="B99" s="17" t="s">
        <v>287</v>
      </c>
      <c r="C99" s="11" t="str">
        <f ca="1">IFERROR(__xludf.DUMMYFUNCTION("GOOGLETRANSLATE($B99,""en"",C$3)"),"Abgesagt")</f>
        <v>Abgesagt</v>
      </c>
      <c r="D99" s="12" t="str">
        <f ca="1">IFERROR(__xludf.DUMMYFUNCTION("GOOGLETRANSLATE($B99,""en"",D$3)"),"Inställt")</f>
        <v>Inställt</v>
      </c>
      <c r="E99" s="12" t="str">
        <f ca="1">IFERROR(__xludf.DUMMYFUNCTION("GOOGLETRANSLATE($B99,""en"",E$3)"),"Cancelado")</f>
        <v>Cancelado</v>
      </c>
      <c r="F99" s="12" t="str">
        <f ca="1">IFERROR(__xludf.DUMMYFUNCTION("GOOGLETRANSLATE($B99,""en"",F$3)"),"Cancelado")</f>
        <v>Cancelado</v>
      </c>
      <c r="G99" s="12" t="str">
        <f ca="1">IFERROR(__xludf.DUMMYFUNCTION("GOOGLETRANSLATE($B99,""en"",G$3)"),"Annulé")</f>
        <v>Annulé</v>
      </c>
      <c r="H99" s="12" t="str">
        <f ca="1">IFERROR(__xludf.DUMMYFUNCTION("GOOGLETRANSLATE($B99,""en"",H$3)"),"Bertan behera")</f>
        <v>Bertan behera</v>
      </c>
      <c r="I99" s="12" t="str">
        <f ca="1">IFERROR(__xludf.DUMMYFUNCTION("GOOGLETRANSLATE($B99,""en"",I$3)"),"cancel·lat")</f>
        <v>cancel·lat</v>
      </c>
      <c r="J99" s="12" t="str">
        <f ca="1">IFERROR(__xludf.DUMMYFUNCTION("GOOGLETRANSLATE($B99,""en"",J$3)"),"zrušený")</f>
        <v>zrušený</v>
      </c>
      <c r="K99" s="12" t="str">
        <f ca="1">IFERROR(__xludf.DUMMYFUNCTION("GOOGLETRANSLATE($B99,""en"",K$3)"),"取消")</f>
        <v>取消</v>
      </c>
      <c r="L99" s="12" t="str">
        <f ca="1">IFERROR(__xludf.DUMMYFUNCTION("GOOGLETRANSLATE($B99,""en"",L$3)"),"取消")</f>
        <v>取消</v>
      </c>
      <c r="M99" s="12" t="str">
        <f ca="1">IFERROR(__xludf.DUMMYFUNCTION("GOOGLETRANSLATE($B99,""en"",M$3)"),"Geannuleerd")</f>
        <v>Geannuleerd</v>
      </c>
      <c r="N99" s="12" t="str">
        <f ca="1">IFERROR(__xludf.DUMMYFUNCTION("GOOGLETRANSLATE($B99,""en"",N$3)"),"Ακυρώθηκε")</f>
        <v>Ακυρώθηκε</v>
      </c>
      <c r="O99" s="12" t="str">
        <f ca="1">IFERROR(__xludf.DUMMYFUNCTION("GOOGLETRANSLATE($B99,""en"",O$3)"),"peruttu")</f>
        <v>peruttu</v>
      </c>
      <c r="P99" s="12" t="str">
        <f ca="1">IFERROR(__xludf.DUMMYFUNCTION("GOOGLETRANSLATE($B99,""en"",P$3)"),"cealaithe")</f>
        <v>cealaithe</v>
      </c>
      <c r="Q99" s="12" t="str">
        <f ca="1">IFERROR(__xludf.DUMMYFUNCTION("GOOGLETRANSLATE($B99,""en"",Q$3)"),"لغو شد")</f>
        <v>لغو شد</v>
      </c>
      <c r="R99" s="12" t="str">
        <f ca="1">IFERROR(__xludf.DUMMYFUNCTION("GOOGLETRANSLATE($B99,""en"",R$3)"),"מבוטל")</f>
        <v>מבוטל</v>
      </c>
      <c r="S99" s="12" t="str">
        <f ca="1">IFERROR(__xludf.DUMMYFUNCTION("GOOGLETRANSLATE($B99,""en"",S$3)"),"Hætt við")</f>
        <v>Hætt við</v>
      </c>
      <c r="T99" s="12" t="str">
        <f ca="1">IFERROR(__xludf.DUMMYFUNCTION("GOOGLETRANSLATE($B99,""en"",T$3)"),"avbrutt")</f>
        <v>avbrutt</v>
      </c>
      <c r="U99" s="12" t="str">
        <f ca="1">IFERROR(__xludf.DUMMYFUNCTION("GOOGLETRANSLATE($B99,""en"",U$3)"),"ألغيت")</f>
        <v>ألغيت</v>
      </c>
      <c r="V99" s="12" t="str">
        <f ca="1">IFERROR(__xludf.DUMMYFUNCTION("GOOGLETRANSLATE($B99,""en"",V$3)"),"Anulowany")</f>
        <v>Anulowany</v>
      </c>
      <c r="W99" s="12" t="str">
        <f ca="1">IFERROR(__xludf.DUMMYFUNCTION("GOOGLETRANSLATE($B99,""en"",W$3)"),"отменен")</f>
        <v>отменен</v>
      </c>
      <c r="X99" s="12" t="str">
        <f ca="1">IFERROR(__xludf.DUMMYFUNCTION("GOOGLETRANSLATE($B99,""en"",X$3)"),"Cancelado")</f>
        <v>Cancelado</v>
      </c>
      <c r="Y99" s="12"/>
      <c r="Z99" s="12"/>
    </row>
    <row r="100" spans="1:26" ht="32.25" customHeight="1" x14ac:dyDescent="0.2">
      <c r="A100" s="17" t="s">
        <v>288</v>
      </c>
      <c r="B100" s="17" t="s">
        <v>289</v>
      </c>
      <c r="C100" s="18" t="s">
        <v>290</v>
      </c>
      <c r="D100" s="12" t="str">
        <f ca="1">IFERROR(__xludf.DUMMYFUNCTION("GOOGLETRANSLATE($B100,""en"",D$3)"),"Kan inte hitta region")</f>
        <v>Kan inte hitta region</v>
      </c>
      <c r="E100" s="12" t="str">
        <f ca="1">IFERROR(__xludf.DUMMYFUNCTION("GOOGLETRANSLATE($B100,""en"",E$3)"),"Não é possível localizar a região")</f>
        <v>Não é possível localizar a região</v>
      </c>
      <c r="F100" s="12" t="str">
        <f ca="1">IFERROR(__xludf.DUMMYFUNCTION("GOOGLETRANSLATE($B100,""en"",F$3)"),"Não é possível localizar a região")</f>
        <v>Não é possível localizar a região</v>
      </c>
      <c r="G100" s="12" t="str">
        <f ca="1">IFERROR(__xludf.DUMMYFUNCTION("GOOGLETRANSLATE($B100,""en"",G$3)"),"Vous ne trouvez pas la région")</f>
        <v>Vous ne trouvez pas la région</v>
      </c>
      <c r="H100" s="12" t="str">
        <f ca="1">IFERROR(__xludf.DUMMYFUNCTION("GOOGLETRANSLATE($B100,""en"",H$3)"),"Ezin da eskualdean aurkitu")</f>
        <v>Ezin da eskualdean aurkitu</v>
      </c>
      <c r="I100" s="12" t="str">
        <f ca="1">IFERROR(__xludf.DUMMYFUNCTION("GOOGLETRANSLATE($B100,""en"",I$3)"),"No es pot trobar regió")</f>
        <v>No es pot trobar regió</v>
      </c>
      <c r="J100" s="12" t="str">
        <f ca="1">IFERROR(__xludf.DUMMYFUNCTION("GOOGLETRANSLATE($B100,""en"",J$3)"),"Nemůže najít oblast")</f>
        <v>Nemůže najít oblast</v>
      </c>
      <c r="K100" s="12" t="str">
        <f ca="1">IFERROR(__xludf.DUMMYFUNCTION("GOOGLETRANSLATE($B100,""en"",K$3)"),"找不到地区")</f>
        <v>找不到地区</v>
      </c>
      <c r="L100" s="12" t="str">
        <f ca="1">IFERROR(__xludf.DUMMYFUNCTION("GOOGLETRANSLATE($B100,""en"",L$3)"),"找不到地區")</f>
        <v>找不到地區</v>
      </c>
      <c r="M100" s="12" t="str">
        <f ca="1">IFERROR(__xludf.DUMMYFUNCTION("GOOGLETRANSLATE($B100,""en"",M$3)"),"Kan de regio niet vinden")</f>
        <v>Kan de regio niet vinden</v>
      </c>
      <c r="N100" s="12" t="str">
        <f ca="1">IFERROR(__xludf.DUMMYFUNCTION("GOOGLETRANSLATE($B100,""en"",N$3)"),"Δεν μπορείτε να βρείτε την περιοχή")</f>
        <v>Δεν μπορείτε να βρείτε την περιοχή</v>
      </c>
      <c r="O100" s="12" t="str">
        <f ca="1">IFERROR(__xludf.DUMMYFUNCTION("GOOGLETRANSLATE($B100,""en"",O$3)"),"Ei löydä alue")</f>
        <v>Ei löydä alue</v>
      </c>
      <c r="P100" s="12" t="str">
        <f ca="1">IFERROR(__xludf.DUMMYFUNCTION("GOOGLETRANSLATE($B100,""en"",P$3)"),"Ní féidir a aimsiú réigiún")</f>
        <v>Ní féidir a aimsiú réigiún</v>
      </c>
      <c r="Q100" s="12" t="str">
        <f ca="1">IFERROR(__xludf.DUMMYFUNCTION("GOOGLETRANSLATE($B100,""en"",Q$3)"),"نمی توانید پیدا کنید منطقه")</f>
        <v>نمی توانید پیدا کنید منطقه</v>
      </c>
      <c r="R100" s="12" t="str">
        <f ca="1">IFERROR(__xludf.DUMMYFUNCTION("GOOGLETRANSLATE($B100,""en"",R$3)"),"לא ניתן למצוא באזור")</f>
        <v>לא ניתן למצוא באזור</v>
      </c>
      <c r="S100" s="12" t="str">
        <f ca="1">IFERROR(__xludf.DUMMYFUNCTION("GOOGLETRANSLATE($B100,""en"",S$3)"),"Get ekki fundið svæði")</f>
        <v>Get ekki fundið svæði</v>
      </c>
      <c r="T100" s="12" t="str">
        <f ca="1">IFERROR(__xludf.DUMMYFUNCTION("GOOGLETRANSLATE($B100,""en"",T$3)"),"Kan ikke finne region")</f>
        <v>Kan ikke finne region</v>
      </c>
      <c r="U100" s="12" t="str">
        <f ca="1">IFERROR(__xludf.DUMMYFUNCTION("GOOGLETRANSLATE($B100,""en"",U$3)"),"لا يمكن العثور المنطقة")</f>
        <v>لا يمكن العثور المنطقة</v>
      </c>
      <c r="V100" s="12" t="str">
        <f ca="1">IFERROR(__xludf.DUMMYFUNCTION("GOOGLETRANSLATE($B100,""en"",V$3)"),"Nie można znaleźć regionu")</f>
        <v>Nie można znaleźć regionu</v>
      </c>
      <c r="W100" s="12" t="str">
        <f ca="1">IFERROR(__xludf.DUMMYFUNCTION("GOOGLETRANSLATE($B100,""en"",W$3)"),"Не удается найти область")</f>
        <v>Не удается найти область</v>
      </c>
      <c r="X100" s="12" t="str">
        <f ca="1">IFERROR(__xludf.DUMMYFUNCTION("GOOGLETRANSLATE($B100,""en"",X$3)"),"No se puede encontrar región")</f>
        <v>No se puede encontrar región</v>
      </c>
      <c r="Y100" s="12"/>
      <c r="Z100" s="12"/>
    </row>
    <row r="101" spans="1:26" ht="32.25" customHeight="1" x14ac:dyDescent="0.2">
      <c r="A101" s="17" t="s">
        <v>291</v>
      </c>
      <c r="B101" s="17" t="s">
        <v>292</v>
      </c>
      <c r="C101" s="18" t="s">
        <v>293</v>
      </c>
      <c r="D101" s="12" t="str">
        <f ca="1">IFERROR(__xludf.DUMMYFUNCTION("GOOGLETRANSLATE($B101,""en"",D$3)"),"Det går inte att hitta standard välkommen region")</f>
        <v>Det går inte att hitta standard välkommen region</v>
      </c>
      <c r="E101" s="12" t="str">
        <f ca="1">IFERROR(__xludf.DUMMYFUNCTION("GOOGLETRANSLATE($B101,""en"",E$3)"),"Não é possível localizar a região de boas-vindas padrão")</f>
        <v>Não é possível localizar a região de boas-vindas padrão</v>
      </c>
      <c r="F101" s="12" t="str">
        <f ca="1">IFERROR(__xludf.DUMMYFUNCTION("GOOGLETRANSLATE($B101,""en"",F$3)"),"Não é possível localizar a região de boas-vindas padrão")</f>
        <v>Não é possível localizar a região de boas-vindas padrão</v>
      </c>
      <c r="G101" s="12" t="str">
        <f ca="1">IFERROR(__xludf.DUMMYFUNCTION("GOOGLETRANSLATE($B101,""en"",G$3)"),"Impossible de localiser la région d'accueil par défaut")</f>
        <v>Impossible de localiser la région d'accueil par défaut</v>
      </c>
      <c r="H101" s="12" t="str">
        <f ca="1">IFERROR(__xludf.DUMMYFUNCTION("GOOGLETRANSLATE($B101,""en"",H$3)"),"Ezin da kokatu ongietorri eskualdean Default")</f>
        <v>Ezin da kokatu ongietorri eskualdean Default</v>
      </c>
      <c r="I101" s="12" t="str">
        <f ca="1">IFERROR(__xludf.DUMMYFUNCTION("GOOGLETRANSLATE($B101,""en"",I$3)"),"No es pot trobar la regió de benvinguda per defecte")</f>
        <v>No es pot trobar la regió de benvinguda per defecte</v>
      </c>
      <c r="J101" s="12" t="str">
        <f ca="1">IFERROR(__xludf.DUMMYFUNCTION("GOOGLETRANSLATE($B101,""en"",J$3)"),"Nelze najít výchozí uvítací region")</f>
        <v>Nelze najít výchozí uvítací region</v>
      </c>
      <c r="K101" s="12" t="str">
        <f ca="1">IFERROR(__xludf.DUMMYFUNCTION("GOOGLETRANSLATE($B101,""en"",K$3)"),"无法找到默认欢迎区")</f>
        <v>无法找到默认欢迎区</v>
      </c>
      <c r="L101" s="12" t="str">
        <f ca="1">IFERROR(__xludf.DUMMYFUNCTION("GOOGLETRANSLATE($B101,""en"",L$3)"),"無法找到默認歡迎區")</f>
        <v>無法找到默認歡迎區</v>
      </c>
      <c r="M101" s="12" t="str">
        <f ca="1">IFERROR(__xludf.DUMMYFUNCTION("GOOGLETRANSLATE($B101,""en"",M$3)"),"Kan niet vinden Default welcome regio")</f>
        <v>Kan niet vinden Default welcome regio</v>
      </c>
      <c r="N101" s="12" t="str">
        <f ca="1">IFERROR(__xludf.DUMMYFUNCTION("GOOGLETRANSLATE($B101,""en"",N$3)"),"δεν μπορεί να εντοπίσει Προεπιλογή περιοχή ευπρόσδεκτη")</f>
        <v>δεν μπορεί να εντοπίσει Προεπιλογή περιοχή ευπρόσδεκτη</v>
      </c>
      <c r="O101" s="12" t="str">
        <f ca="1">IFERROR(__xludf.DUMMYFUNCTION("GOOGLETRANSLATE($B101,""en"",O$3)"),"Ei löydy oletustervehdystekstin alue")</f>
        <v>Ei löydy oletustervehdystekstin alue</v>
      </c>
      <c r="P101" s="12" t="str">
        <f ca="1">IFERROR(__xludf.DUMMYFUNCTION("GOOGLETRANSLATE($B101,""en"",P$3)"),"Ní féidir a aimsiú fáilte roimh réigiún réamhshocraithe")</f>
        <v>Ní féidir a aimsiú fáilte roimh réigiún réamhshocraithe</v>
      </c>
      <c r="Q101" s="12" t="str">
        <f ca="1">IFERROR(__xludf.DUMMYFUNCTION("GOOGLETRANSLATE($B101,""en"",Q$3)"),"می توانید بیابید منطقه خوش آمدید پیش فرض را نمی")</f>
        <v>می توانید بیابید منطقه خوش آمدید پیش فرض را نمی</v>
      </c>
      <c r="R101" s="12" t="str">
        <f ca="1">IFERROR(__xludf.DUMMYFUNCTION("GOOGLETRANSLATE($B101,""en"",R$3)"),"אין אפשרות לאתר באזור בברכת ברירה")</f>
        <v>אין אפשרות לאתר באזור בברכת ברירה</v>
      </c>
      <c r="S101" s="12" t="str">
        <f ca="1">IFERROR(__xludf.DUMMYFUNCTION("GOOGLETRANSLATE($B101,""en"",S$3)"),"Ekki er hægt að staðsetja Sjálfgefið velkomin svæði")</f>
        <v>Ekki er hægt að staðsetja Sjálfgefið velkomin svæði</v>
      </c>
      <c r="T101" s="12" t="str">
        <f ca="1">IFERROR(__xludf.DUMMYFUNCTION("GOOGLETRANSLATE($B101,""en"",T$3)"),"Finner ikke standard velkommen region")</f>
        <v>Finner ikke standard velkommen region</v>
      </c>
      <c r="U101" s="12" t="str">
        <f ca="1">IFERROR(__xludf.DUMMYFUNCTION("GOOGLETRANSLATE($B101,""en"",U$3)"),"لا يمكن تحديد موقع المنطقة ترحيب افتراضي")</f>
        <v>لا يمكن تحديد موقع المنطقة ترحيب افتراضي</v>
      </c>
      <c r="V101" s="12" t="str">
        <f ca="1">IFERROR(__xludf.DUMMYFUNCTION("GOOGLETRANSLATE($B101,""en"",V$3)"),"nie może zlokalizować Domyślny obszar powitalny")</f>
        <v>nie może zlokalizować Domyślny obszar powitalny</v>
      </c>
      <c r="W101" s="12" t="str">
        <f ca="1">IFERROR(__xludf.DUMMYFUNCTION("GOOGLETRANSLATE($B101,""en"",W$3)"),"Не удается найти по умолчанию приветственное область")</f>
        <v>Не удается найти по умолчанию приветственное область</v>
      </c>
      <c r="X101" s="12" t="str">
        <f ca="1">IFERROR(__xludf.DUMMYFUNCTION("GOOGLETRANSLATE($B101,""en"",X$3)"),"No se puede encontrar la región de bienvenida por defecto")</f>
        <v>No se puede encontrar la región de bienvenida por defecto</v>
      </c>
      <c r="Y101" s="12"/>
      <c r="Z101" s="12"/>
    </row>
    <row r="102" spans="1:26" ht="32.25" customHeight="1" x14ac:dyDescent="0.2">
      <c r="A102" s="17" t="s">
        <v>294</v>
      </c>
      <c r="B102" s="17" t="s">
        <v>295</v>
      </c>
      <c r="C102" s="18" t="s">
        <v>296</v>
      </c>
      <c r="D102" s="12" t="str">
        <f ca="1">IFERROR(__xludf.DUMMYFUNCTION("GOOGLETRANSLATE($B102,""en"",D$3)"),"Det går inte att hitta mappen")</f>
        <v>Det går inte att hitta mappen</v>
      </c>
      <c r="E102" s="12" t="str">
        <f ca="1">IFERROR(__xludf.DUMMYFUNCTION("GOOGLETRANSLATE($B102,""en"",E$3)"),"Não é possível localizar pasta")</f>
        <v>Não é possível localizar pasta</v>
      </c>
      <c r="F102" s="12" t="str">
        <f ca="1">IFERROR(__xludf.DUMMYFUNCTION("GOOGLETRANSLATE($B102,""en"",F$3)"),"Não é possível localizar pasta")</f>
        <v>Não é possível localizar pasta</v>
      </c>
      <c r="G102" s="12" t="str">
        <f ca="1">IFERROR(__xludf.DUMMYFUNCTION("GOOGLETRANSLATE($B102,""en"",G$3)"),"Impossible de localiser le dossier")</f>
        <v>Impossible de localiser le dossier</v>
      </c>
      <c r="H102" s="12" t="str">
        <f ca="1">IFERROR(__xludf.DUMMYFUNCTION("GOOGLETRANSLATE($B102,""en"",H$3)"),"Ezin da kokatu karpetan")</f>
        <v>Ezin da kokatu karpetan</v>
      </c>
      <c r="I102" s="12" t="str">
        <f ca="1">IFERROR(__xludf.DUMMYFUNCTION("GOOGLETRANSLATE($B102,""en"",I$3)"),"No es pot trobar la carpeta")</f>
        <v>No es pot trobar la carpeta</v>
      </c>
      <c r="J102" s="12" t="str">
        <f ca="1">IFERROR(__xludf.DUMMYFUNCTION("GOOGLETRANSLATE($B102,""en"",J$3)"),"Nelze najít složku")</f>
        <v>Nelze najít složku</v>
      </c>
      <c r="K102" s="12" t="str">
        <f ca="1">IFERROR(__xludf.DUMMYFUNCTION("GOOGLETRANSLATE($B102,""en"",K$3)"),"无法找到文件夹")</f>
        <v>无法找到文件夹</v>
      </c>
      <c r="L102" s="12" t="str">
        <f ca="1">IFERROR(__xludf.DUMMYFUNCTION("GOOGLETRANSLATE($B102,""en"",L$3)"),"無法找到文件夾")</f>
        <v>無法找到文件夾</v>
      </c>
      <c r="M102" s="12" t="str">
        <f ca="1">IFERROR(__xludf.DUMMYFUNCTION("GOOGLETRANSLATE($B102,""en"",M$3)"),"Kan niet vinden map")</f>
        <v>Kan niet vinden map</v>
      </c>
      <c r="N102" s="12" t="str">
        <f ca="1">IFERROR(__xludf.DUMMYFUNCTION("GOOGLETRANSLATE($B102,""en"",N$3)"),"Δεν μπορείτε να εντοπίσετε το φάκελο")</f>
        <v>Δεν μπορείτε να εντοπίσετε το φάκελο</v>
      </c>
      <c r="O102" s="12" t="str">
        <f ca="1">IFERROR(__xludf.DUMMYFUNCTION("GOOGLETRANSLATE($B102,""en"",O$3)"),"Ei löydy kansiota")</f>
        <v>Ei löydy kansiota</v>
      </c>
      <c r="P102" s="12" t="str">
        <f ca="1">IFERROR(__xludf.DUMMYFUNCTION("GOOGLETRANSLATE($B102,""en"",P$3)"),"Ní féidir a aimsiú fillteán")</f>
        <v>Ní féidir a aimsiú fillteán</v>
      </c>
      <c r="Q102" s="12" t="str">
        <f ca="1">IFERROR(__xludf.DUMMYFUNCTION("GOOGLETRANSLATE($B102,""en"",Q$3)"),"نمی توانید بیابید پوشه")</f>
        <v>نمی توانید بیابید پوشه</v>
      </c>
      <c r="R102" s="12" t="str">
        <f ca="1">IFERROR(__xludf.DUMMYFUNCTION("GOOGLETRANSLATE($B102,""en"",R$3)"),"אין אפשרות לאתר תיקייה")</f>
        <v>אין אפשרות לאתר תיקייה</v>
      </c>
      <c r="S102" s="12" t="str">
        <f ca="1">IFERROR(__xludf.DUMMYFUNCTION("GOOGLETRANSLATE($B102,""en"",S$3)"),"Ekki er hægt að staðsetja mappa")</f>
        <v>Ekki er hægt að staðsetja mappa</v>
      </c>
      <c r="T102" s="12" t="str">
        <f ca="1">IFERROR(__xludf.DUMMYFUNCTION("GOOGLETRANSLATE($B102,""en"",T$3)"),"Finner ikke mappen")</f>
        <v>Finner ikke mappen</v>
      </c>
      <c r="U102" s="12" t="str">
        <f ca="1">IFERROR(__xludf.DUMMYFUNCTION("GOOGLETRANSLATE($B102,""en"",U$3)"),"لا يمكن تحديد موقع المجلد")</f>
        <v>لا يمكن تحديد موقع المجلد</v>
      </c>
      <c r="V102" s="12" t="str">
        <f ca="1">IFERROR(__xludf.DUMMYFUNCTION("GOOGLETRANSLATE($B102,""en"",V$3)"),"nie może zlokalizować folderu")</f>
        <v>nie może zlokalizować folderu</v>
      </c>
      <c r="W102" s="12" t="str">
        <f ca="1">IFERROR(__xludf.DUMMYFUNCTION("GOOGLETRANSLATE($B102,""en"",W$3)"),"Не удается найти папку")</f>
        <v>Не удается найти папку</v>
      </c>
      <c r="X102" s="12" t="str">
        <f ca="1">IFERROR(__xludf.DUMMYFUNCTION("GOOGLETRANSLATE($B102,""en"",X$3)"),"No se puede encontrar la carpeta")</f>
        <v>No se puede encontrar la carpeta</v>
      </c>
      <c r="Y102" s="12"/>
      <c r="Z102" s="12"/>
    </row>
    <row r="103" spans="1:26" ht="32.25" customHeight="1" x14ac:dyDescent="0.2">
      <c r="A103" s="17" t="s">
        <v>297</v>
      </c>
      <c r="B103" s="17" t="s">
        <v>298</v>
      </c>
      <c r="C103" s="18" t="s">
        <v>1787</v>
      </c>
      <c r="D103" s="12" t="str">
        <f ca="1">IFERROR(__xludf.DUMMYFUNCTION("GOOGLETRANSLATE($B103,""en"",D$3)"),"Det går inte att normalisera kartan som region kommer att vara på en plats mindre än 0")</f>
        <v>Det går inte att normalisera kartan som region kommer att vara på en plats mindre än 0</v>
      </c>
      <c r="E103" s="12" t="str">
        <f ca="1">IFERROR(__xludf.DUMMYFUNCTION("GOOGLETRANSLATE($B103,""en"",E$3)"),"não pode normalizar mapear como uma Região será em um local menor do que 0")</f>
        <v>não pode normalizar mapear como uma Região será em um local menor do que 0</v>
      </c>
      <c r="F103" s="12" t="str">
        <f ca="1">IFERROR(__xludf.DUMMYFUNCTION("GOOGLETRANSLATE($B103,""en"",F$3)"),"não pode normalizar mapear como uma Região será em um local menor do que 0")</f>
        <v>não pode normalizar mapear como uma Região será em um local menor do que 0</v>
      </c>
      <c r="G103" s="12" t="str">
        <f ca="1">IFERROR(__xludf.DUMMYFUNCTION("GOOGLETRANSLATE($B103,""en"",G$3)"),"Impossible de mapper Normaliser comme une région sera à un endroit moins de 0")</f>
        <v>Impossible de mapper Normaliser comme une région sera à un endroit moins de 0</v>
      </c>
      <c r="H103" s="12" t="str">
        <f ca="1">IFERROR(__xludf.DUMMYFUNCTION("GOOGLETRANSLATE($B103,""en"",H$3)"),"Ezin da normalizatu Region gisa mapa egingo kokaleku batera 0 baino txikiagoa izan")</f>
        <v>Ezin da normalizatu Region gisa mapa egingo kokaleku batera 0 baino txikiagoa izan</v>
      </c>
      <c r="I103" s="12" t="str">
        <f ca="1">IFERROR(__xludf.DUMMYFUNCTION("GOOGLETRANSLATE($B103,""en"",I$3)"),"No es pot assignar normalitzar com una regió estarà en una posició inferior a 0")</f>
        <v>No es pot assignar normalitzar com una regió estarà en una posició inferior a 0</v>
      </c>
      <c r="J103" s="12" t="str">
        <f ca="1">IFERROR(__xludf.DUMMYFUNCTION("GOOGLETRANSLATE($B103,""en"",J$3)"),"Nemůže normalizovat mapa jako region bude v místě méně než 0")</f>
        <v>Nemůže normalizovat mapa jako region bude v místě méně než 0</v>
      </c>
      <c r="K103" s="12" t="str">
        <f ca="1">IFERROR(__xludf.DUMMYFUNCTION("GOOGLETRANSLATE($B103,""en"",K$3)"),"不能正常化映射为一个地区将在一个位置小于0")</f>
        <v>不能正常化映射为一个地区将在一个位置小于0</v>
      </c>
      <c r="L103" s="12" t="str">
        <f ca="1">IFERROR(__xludf.DUMMYFUNCTION("GOOGLETRANSLATE($B103,""en"",L$3)"),"不能正常化映射為一個地區將在一個位置小於0")</f>
        <v>不能正常化映射為一個地區將在一個位置小於0</v>
      </c>
      <c r="M103" s="12" t="str">
        <f ca="1">IFERROR(__xludf.DUMMYFUNCTION("GOOGLETRANSLATE($B103,""en"",M$3)"),"Kan niet normaliseren kaart te zetten als een regio zal worden op een locatie op minder dan 0")</f>
        <v>Kan niet normaliseren kaart te zetten als een regio zal worden op een locatie op minder dan 0</v>
      </c>
      <c r="N103" s="12" t="str">
        <f ca="1">IFERROR(__xludf.DUMMYFUNCTION("GOOGLETRANSLATE($B103,""en"",N$3)"),"Δεν είναι δυνατή η ομαλοποίηση χάρτη ως Περιφέρεια θα είναι σε θέση λιγότερο από 0")</f>
        <v>Δεν είναι δυνατή η ομαλοποίηση χάρτη ως Περιφέρεια θα είναι σε θέση λιγότερο από 0</v>
      </c>
      <c r="O103" s="12" t="str">
        <f ca="1">IFERROR(__xludf.DUMMYFUNCTION("GOOGLETRANSLATE($B103,""en"",O$3)"),"Voi Normalisointipainike kartta alueena tulee olemaan paikassa alle 0")</f>
        <v>Voi Normalisointipainike kartta alueena tulee olemaan paikassa alle 0</v>
      </c>
      <c r="P103" s="12" t="str">
        <f ca="1">IFERROR(__xludf.DUMMYFUNCTION("GOOGLETRANSLATE($B103,""en"",P$3)"),"Ní féidir léarscáil normalú mar Réigiún a bheith ag ionad níos lú ná 0")</f>
        <v>Ní féidir léarscáil normalú mar Réigiún a bheith ag ionad níos lú ná 0</v>
      </c>
      <c r="Q103" s="12" t="str">
        <f ca="1">IFERROR(__xludf.DUMMYFUNCTION("GOOGLETRANSLATE($B103,""en"",Q$3)"),"می توانید عادی نه به عنوان یک منطقه بر روی نقشه را در یک مکان کمتر از 0 باشد")</f>
        <v>می توانید عادی نه به عنوان یک منطقه بر روی نقشه را در یک مکان کمتر از 0 باشد</v>
      </c>
      <c r="R103" s="12" t="str">
        <f ca="1">IFERROR(__xludf.DUMMYFUNCTION("GOOGLETRANSLATE($B103,""en"",R$3)"),"לנרמל לא יכול למפות כאזור יהיה במיקום פחות מ 0")</f>
        <v>לנרמל לא יכול למפות כאזור יהיה במיקום פחות מ 0</v>
      </c>
      <c r="S103" s="12" t="str">
        <f ca="1">IFERROR(__xludf.DUMMYFUNCTION("GOOGLETRANSLATE($B103,""en"",S$3)"),"Ekki er hægt að staðla landakort sem svæðið verður á stað minna en 0")</f>
        <v>Ekki er hægt að staðla landakort sem svæðið verður á stað minna en 0</v>
      </c>
      <c r="T103" s="12" t="str">
        <f ca="1">IFERROR(__xludf.DUMMYFUNCTION("GOOGLETRANSLATE($B103,""en"",T$3)"),"Kan ikke normalisere kart som en region vil være på et sted mindre enn 0")</f>
        <v>Kan ikke normalisere kart som en region vil være på et sted mindre enn 0</v>
      </c>
      <c r="U103" s="12" t="str">
        <f ca="1">IFERROR(__xludf.DUMMYFUNCTION("GOOGLETRANSLATE($B103,""en"",U$3)"),"لا يمكن تعيين تطبيع كمنطقة ستكون في موقع أقل من 0")</f>
        <v>لا يمكن تعيين تطبيع كمنطقة ستكون في موقع أقل من 0</v>
      </c>
      <c r="V103" s="12" t="str">
        <f ca="1">IFERROR(__xludf.DUMMYFUNCTION("GOOGLETRANSLATE($B103,""en"",V$3)"),"Nie można normalizować map jako region będzie w miejscu mniej niż 0")</f>
        <v>Nie można normalizować map jako region będzie w miejscu mniej niż 0</v>
      </c>
      <c r="W103" s="12" t="str">
        <f ca="1">IFERROR(__xludf.DUMMYFUNCTION("GOOGLETRANSLATE($B103,""en"",W$3)"),"Не удается нормализовать карту как область будет на месте меньше, чем 0")</f>
        <v>Не удается нормализовать карту как область будет на месте меньше, чем 0</v>
      </c>
      <c r="X103" s="12" t="str">
        <f ca="1">IFERROR(__xludf.DUMMYFUNCTION("GOOGLETRANSLATE($B103,""en"",X$3)"),"No se puede asignar normalizar como una región estará en una posición inferior a 0")</f>
        <v>No se puede asignar normalizar como una región estará en una posición inferior a 0</v>
      </c>
      <c r="Y103" s="12"/>
      <c r="Z103" s="12"/>
    </row>
    <row r="104" spans="1:26" ht="32.25" customHeight="1" x14ac:dyDescent="0.2">
      <c r="A104" s="17" t="s">
        <v>299</v>
      </c>
      <c r="B104" s="17" t="s">
        <v>300</v>
      </c>
      <c r="C104" s="11" t="str">
        <f ca="1">IFERROR(__xludf.DUMMYFUNCTION("GOOGLETRANSLATE($B104,""en"",C$3)"),"Kann nicht lösen")</f>
        <v>Kann nicht lösen</v>
      </c>
      <c r="D104" s="12" t="str">
        <f ca="1">IFERROR(__xludf.DUMMYFUNCTION("GOOGLETRANSLATE($B104,""en"",D$3)"),"Det går inte att lösa")</f>
        <v>Det går inte att lösa</v>
      </c>
      <c r="E104" s="12" t="str">
        <f ca="1">IFERROR(__xludf.DUMMYFUNCTION("GOOGLETRANSLATE($B104,""en"",E$3)"),"Não é possível resolver")</f>
        <v>Não é possível resolver</v>
      </c>
      <c r="F104" s="12" t="str">
        <f ca="1">IFERROR(__xludf.DUMMYFUNCTION("GOOGLETRANSLATE($B104,""en"",F$3)"),"Não é possível resolver")</f>
        <v>Não é possível resolver</v>
      </c>
      <c r="G104" s="12" t="str">
        <f ca="1">IFERROR(__xludf.DUMMYFUNCTION("GOOGLETRANSLATE($B104,""en"",G$3)"),"Ne peut pas résoudre")</f>
        <v>Ne peut pas résoudre</v>
      </c>
      <c r="H104" s="12" t="str">
        <f ca="1">IFERROR(__xludf.DUMMYFUNCTION("GOOGLETRANSLATE($B104,""en"",H$3)"),"Ezin konpontzeko")</f>
        <v>Ezin konpontzeko</v>
      </c>
      <c r="I104" s="12" t="str">
        <f ca="1">IFERROR(__xludf.DUMMYFUNCTION("GOOGLETRANSLATE($B104,""en"",I$3)"),"No es pot resoldre")</f>
        <v>No es pot resoldre</v>
      </c>
      <c r="J104" s="12" t="str">
        <f ca="1">IFERROR(__xludf.DUMMYFUNCTION("GOOGLETRANSLATE($B104,""en"",J$3)"),"Nelze vyřešit")</f>
        <v>Nelze vyřešit</v>
      </c>
      <c r="K104" s="12" t="str">
        <f ca="1">IFERROR(__xludf.DUMMYFUNCTION("GOOGLETRANSLATE($B104,""en"",K$3)"),"无法解析")</f>
        <v>无法解析</v>
      </c>
      <c r="L104" s="12" t="str">
        <f ca="1">IFERROR(__xludf.DUMMYFUNCTION("GOOGLETRANSLATE($B104,""en"",L$3)"),"無法解析")</f>
        <v>無法解析</v>
      </c>
      <c r="M104" s="12" t="str">
        <f ca="1">IFERROR(__xludf.DUMMYFUNCTION("GOOGLETRANSLATE($B104,""en"",M$3)"),"Kan niet op te lossen")</f>
        <v>Kan niet op te lossen</v>
      </c>
      <c r="N104" s="12" t="str">
        <f ca="1">IFERROR(__xludf.DUMMYFUNCTION("GOOGLETRANSLATE($B104,""en"",N$3)"),"δεν μπορεί να επιλύσει")</f>
        <v>δεν μπορεί να επιλύσει</v>
      </c>
      <c r="O104" s="12" t="str">
        <f ca="1">IFERROR(__xludf.DUMMYFUNCTION("GOOGLETRANSLATE($B104,""en"",O$3)"),"Voi ratkaista")</f>
        <v>Voi ratkaista</v>
      </c>
      <c r="P104" s="12" t="str">
        <f ca="1">IFERROR(__xludf.DUMMYFUNCTION("GOOGLETRANSLATE($B104,""en"",P$3)"),"Ní féidir a réiteach")</f>
        <v>Ní féidir a réiteach</v>
      </c>
      <c r="Q104" s="12" t="str">
        <f ca="1">IFERROR(__xludf.DUMMYFUNCTION("GOOGLETRANSLATE($B104,""en"",Q$3)"),"نمی تواند حل")</f>
        <v>نمی تواند حل</v>
      </c>
      <c r="R104" s="12" t="str">
        <f ca="1">IFERROR(__xludf.DUMMYFUNCTION("GOOGLETRANSLATE($B104,""en"",R$3)"),"לא ניתן לפענח")</f>
        <v>לא ניתן לפענח</v>
      </c>
      <c r="S104" s="12" t="str">
        <f ca="1">IFERROR(__xludf.DUMMYFUNCTION("GOOGLETRANSLATE($B104,""en"",S$3)"),"Ekki er hægt að leysa")</f>
        <v>Ekki er hægt að leysa</v>
      </c>
      <c r="T104" s="12" t="str">
        <f ca="1">IFERROR(__xludf.DUMMYFUNCTION("GOOGLETRANSLATE($B104,""en"",T$3)"),"Kan ikke løse")</f>
        <v>Kan ikke løse</v>
      </c>
      <c r="U104" s="12" t="str">
        <f ca="1">IFERROR(__xludf.DUMMYFUNCTION("GOOGLETRANSLATE($B104,""en"",U$3)"),"لا يمكن حل")</f>
        <v>لا يمكن حل</v>
      </c>
      <c r="V104" s="12" t="str">
        <f ca="1">IFERROR(__xludf.DUMMYFUNCTION("GOOGLETRANSLATE($B104,""en"",V$3)"),"nie można rozwiązać")</f>
        <v>nie można rozwiązać</v>
      </c>
      <c r="W104" s="12" t="str">
        <f ca="1">IFERROR(__xludf.DUMMYFUNCTION("GOOGLETRANSLATE($B104,""en"",W$3)"),"Не удается разрешить")</f>
        <v>Не удается разрешить</v>
      </c>
      <c r="X104" s="12" t="str">
        <f ca="1">IFERROR(__xludf.DUMMYFUNCTION("GOOGLETRANSLATE($B104,""en"",X$3)"),"No se puede resolver")</f>
        <v>No se puede resolver</v>
      </c>
      <c r="Y104" s="12"/>
      <c r="Z104" s="12"/>
    </row>
    <row r="105" spans="1:26" ht="32.25" customHeight="1" x14ac:dyDescent="0.2">
      <c r="A105" s="17" t="s">
        <v>301</v>
      </c>
      <c r="B105" s="17" t="s">
        <v>302</v>
      </c>
      <c r="C105" s="18" t="s">
        <v>303</v>
      </c>
      <c r="D105" s="12" t="str">
        <f ca="1">IFERROR(__xludf.DUMMYFUNCTION("GOOGLETRANSLATE($B105,""en"",D$3)"),"Det går inte att spara region:")</f>
        <v>Det går inte att spara region:</v>
      </c>
      <c r="E105" s="12" t="str">
        <f ca="1">IFERROR(__xludf.DUMMYFUNCTION("GOOGLETRANSLATE($B105,""en"",E$3)"),"Não é possível salvar a região:")</f>
        <v>Não é possível salvar a região:</v>
      </c>
      <c r="F105" s="12" t="str">
        <f ca="1">IFERROR(__xludf.DUMMYFUNCTION("GOOGLETRANSLATE($B105,""en"",F$3)"),"Não é possível salvar a região:")</f>
        <v>Não é possível salvar a região:</v>
      </c>
      <c r="G105" s="12" t="str">
        <f ca="1">IFERROR(__xludf.DUMMYFUNCTION("GOOGLETRANSLATE($B105,""en"",G$3)"),"Impossible d'enregistrer la région:")</f>
        <v>Impossible d'enregistrer la région:</v>
      </c>
      <c r="H105" s="12" t="str">
        <f ca="1">IFERROR(__xludf.DUMMYFUNCTION("GOOGLETRANSLATE($B105,""en"",H$3)"),"Ezin da eskualdean gorde:")</f>
        <v>Ezin da eskualdean gorde:</v>
      </c>
      <c r="I105" s="12" t="str">
        <f ca="1">IFERROR(__xludf.DUMMYFUNCTION("GOOGLETRANSLATE($B105,""en"",I$3)"),"No es pot desar regió:")</f>
        <v>No es pot desar regió:</v>
      </c>
      <c r="J105" s="12" t="str">
        <f ca="1">IFERROR(__xludf.DUMMYFUNCTION("GOOGLETRANSLATE($B105,""en"",J$3)"),"Nelze uložit region:")</f>
        <v>Nelze uložit region:</v>
      </c>
      <c r="K105" s="12" t="str">
        <f ca="1">IFERROR(__xludf.DUMMYFUNCTION("GOOGLETRANSLATE($B105,""en"",K$3)"),"无法保存区域：")</f>
        <v>无法保存区域：</v>
      </c>
      <c r="L105" s="12" t="str">
        <f ca="1">IFERROR(__xludf.DUMMYFUNCTION("GOOGLETRANSLATE($B105,""en"",L$3)"),"無法保存區域：")</f>
        <v>無法保存區域：</v>
      </c>
      <c r="M105" s="12" t="str">
        <f ca="1">IFERROR(__xludf.DUMMYFUNCTION("GOOGLETRANSLATE($B105,""en"",M$3)"),"Kan regio niet opslaan:")</f>
        <v>Kan regio niet opslaan:</v>
      </c>
      <c r="N105" s="12" t="str">
        <f ca="1">IFERROR(__xludf.DUMMYFUNCTION("GOOGLETRANSLATE($B105,""en"",N$3)"),"δεν μπορεί να σώσει την περιοχή:")</f>
        <v>δεν μπορεί να σώσει την περιοχή:</v>
      </c>
      <c r="O105" s="12" t="str">
        <f ca="1">IFERROR(__xludf.DUMMYFUNCTION("GOOGLETRANSLATE($B105,""en"",O$3)"),"Tallennus ei onnistu alueella:")</f>
        <v>Tallennus ei onnistu alueella:</v>
      </c>
      <c r="P105" s="12" t="str">
        <f ca="1">IFERROR(__xludf.DUMMYFUNCTION("GOOGLETRANSLATE($B105,""en"",P$3)"),"Ní féidir a shábháil réigiún:")</f>
        <v>Ní féidir a shábháil réigiún:</v>
      </c>
      <c r="Q105" s="12" t="str">
        <f ca="1">IFERROR(__xludf.DUMMYFUNCTION("GOOGLETRANSLATE($B105,""en"",Q$3)"),"می توانید ذخیره کنید نه منطقه:")</f>
        <v>می توانید ذخیره کنید نه منطقه:</v>
      </c>
      <c r="R105" s="12" t="str">
        <f ca="1">IFERROR(__xludf.DUMMYFUNCTION("GOOGLETRANSLATE($B105,""en"",R$3)"),"לא ניתן לשמור אזור:")</f>
        <v>לא ניתן לשמור אזור:</v>
      </c>
      <c r="S105" s="12" t="str">
        <f ca="1">IFERROR(__xludf.DUMMYFUNCTION("GOOGLETRANSLATE($B105,""en"",S$3)"),"Get ekki vistað svæði:")</f>
        <v>Get ekki vistað svæði:</v>
      </c>
      <c r="T105" s="12" t="str">
        <f ca="1">IFERROR(__xludf.DUMMYFUNCTION("GOOGLETRANSLATE($B105,""en"",T$3)"),"Kan ikke lagre region:")</f>
        <v>Kan ikke lagre region:</v>
      </c>
      <c r="U105" s="12" t="str">
        <f ca="1">IFERROR(__xludf.DUMMYFUNCTION("GOOGLETRANSLATE($B105,""en"",U$3)"),"لا يمكن حفظ المنطقة:")</f>
        <v>لا يمكن حفظ المنطقة:</v>
      </c>
      <c r="V105" s="12" t="str">
        <f ca="1">IFERROR(__xludf.DUMMYFUNCTION("GOOGLETRANSLATE($B105,""en"",V$3)"),"Nie można zapisać region:")</f>
        <v>Nie można zapisać region:</v>
      </c>
      <c r="W105" s="12" t="str">
        <f ca="1">IFERROR(__xludf.DUMMYFUNCTION("GOOGLETRANSLATE($B105,""en"",W$3)"),"Невозможно сохранить регион:")</f>
        <v>Невозможно сохранить регион:</v>
      </c>
      <c r="X105" s="12" t="str">
        <f ca="1">IFERROR(__xludf.DUMMYFUNCTION("GOOGLETRANSLATE($B105,""en"",X$3)"),"No se puede guardar región:")</f>
        <v>No se puede guardar región:</v>
      </c>
      <c r="Y105" s="12"/>
      <c r="Z105" s="12"/>
    </row>
    <row r="106" spans="1:26" ht="32.25" customHeight="1" x14ac:dyDescent="0.2">
      <c r="A106" s="10" t="s">
        <v>7</v>
      </c>
      <c r="B106" s="10" t="s">
        <v>7</v>
      </c>
      <c r="C106" s="11" t="str">
        <f ca="1">IFERROR(__xludf.DUMMYFUNCTION("GOOGLETRANSLATE($B106,""en"",C$3)"),"katalanisch")</f>
        <v>katalanisch</v>
      </c>
      <c r="D106" s="11" t="str">
        <f ca="1">IFERROR(__xludf.DUMMYFUNCTION("GOOGLETRANSLATE($B106,""en"",D$3)"),"katalansk")</f>
        <v>katalansk</v>
      </c>
      <c r="E106" s="11" t="str">
        <f ca="1">IFERROR(__xludf.DUMMYFUNCTION("GOOGLETRANSLATE($B106,""en"",E$3)"),"catalão")</f>
        <v>catalão</v>
      </c>
      <c r="F106" s="11" t="str">
        <f ca="1">IFERROR(__xludf.DUMMYFUNCTION("GOOGLETRANSLATE($B106,""en"",F$3)"),"catalão")</f>
        <v>catalão</v>
      </c>
      <c r="G106" s="11" t="str">
        <f ca="1">IFERROR(__xludf.DUMMYFUNCTION("GOOGLETRANSLATE($B106,""en"",G$3)"),"catalan")</f>
        <v>catalan</v>
      </c>
      <c r="H106" s="11" t="str">
        <f ca="1">IFERROR(__xludf.DUMMYFUNCTION("GOOGLETRANSLATE($B106,""en"",H$3)"),"katalanez")</f>
        <v>katalanez</v>
      </c>
      <c r="I106" s="11" t="str">
        <f ca="1">IFERROR(__xludf.DUMMYFUNCTION("GOOGLETRANSLATE($B106,""en"",I$3)"),"català")</f>
        <v>català</v>
      </c>
      <c r="J106" s="11" t="str">
        <f ca="1">IFERROR(__xludf.DUMMYFUNCTION("GOOGLETRANSLATE($B106,""en"",J$3)"),"katalánština")</f>
        <v>katalánština</v>
      </c>
      <c r="K106" s="11" t="str">
        <f ca="1">IFERROR(__xludf.DUMMYFUNCTION("GOOGLETRANSLATE($B106,""en"",K$3)"),"加泰罗尼亚")</f>
        <v>加泰罗尼亚</v>
      </c>
      <c r="L106" s="11" t="str">
        <f ca="1">IFERROR(__xludf.DUMMYFUNCTION("GOOGLETRANSLATE($B106,""en"",L$3)"),"加泰羅尼亞")</f>
        <v>加泰羅尼亞</v>
      </c>
      <c r="M106" s="11" t="str">
        <f ca="1">IFERROR(__xludf.DUMMYFUNCTION("GOOGLETRANSLATE($B106,""en"",M$3)"),"Catalan")</f>
        <v>Catalan</v>
      </c>
      <c r="N106" s="11" t="str">
        <f ca="1">IFERROR(__xludf.DUMMYFUNCTION("GOOGLETRANSLATE($B106,""en"",N$3)"),"Καταλανικά")</f>
        <v>Καταλανικά</v>
      </c>
      <c r="O106" s="11" t="str">
        <f ca="1">IFERROR(__xludf.DUMMYFUNCTION("GOOGLETRANSLATE($B106,""en"",O$3)"),"katalaani")</f>
        <v>katalaani</v>
      </c>
      <c r="P106" s="11" t="str">
        <f ca="1">IFERROR(__xludf.DUMMYFUNCTION("GOOGLETRANSLATE($B106,""en"",P$3)"),"Gaeilge")</f>
        <v>Gaeilge</v>
      </c>
      <c r="Q106" s="11" t="str">
        <f ca="1">IFERROR(__xludf.DUMMYFUNCTION("GOOGLETRANSLATE($B106,""en"",Q$3)"),"کاتالان")</f>
        <v>کاتالان</v>
      </c>
      <c r="R106" s="11" t="str">
        <f ca="1">IFERROR(__xludf.DUMMYFUNCTION("GOOGLETRANSLATE($B106,""en"",R$3)"),"קטלאנית")</f>
        <v>קטלאנית</v>
      </c>
      <c r="S106" s="11" t="str">
        <f ca="1">IFERROR(__xludf.DUMMYFUNCTION("GOOGLETRANSLATE($B106,""en"",S$3)"),"catalan")</f>
        <v>catalan</v>
      </c>
      <c r="T106" s="11" t="str">
        <f ca="1">IFERROR(__xludf.DUMMYFUNCTION("GOOGLETRANSLATE($B106,""en"",T$3)"),"catalan")</f>
        <v>catalan</v>
      </c>
      <c r="U106" s="11" t="str">
        <f ca="1">IFERROR(__xludf.DUMMYFUNCTION("GOOGLETRANSLATE($B106,""en"",U$3)"),"الكاتالونية")</f>
        <v>الكاتالونية</v>
      </c>
      <c r="V106" s="11" t="str">
        <f ca="1">IFERROR(__xludf.DUMMYFUNCTION("GOOGLETRANSLATE($B106,""en"",V$3)"),"Kataloński")</f>
        <v>Kataloński</v>
      </c>
      <c r="W106" s="11" t="str">
        <f ca="1">IFERROR(__xludf.DUMMYFUNCTION("GOOGLETRANSLATE($B106,""en"",W$3)"),"каталонский")</f>
        <v>каталонский</v>
      </c>
      <c r="X106" s="11" t="str">
        <f ca="1">IFERROR(__xludf.DUMMYFUNCTION("GOOGLETRANSLATE($B106,""en"",X$3)"),"catalán")</f>
        <v>catalán</v>
      </c>
    </row>
    <row r="107" spans="1:26" ht="32.25" customHeight="1" x14ac:dyDescent="0.2">
      <c r="A107" s="17" t="s">
        <v>304</v>
      </c>
      <c r="B107" s="17" t="s">
        <v>305</v>
      </c>
      <c r="C107" s="11" t="str">
        <f ca="1">IFERROR(__xludf.DUMMYFUNCTION("GOOGLETRANSLATE($B107,""en"",C$3)"),"Kategorie")</f>
        <v>Kategorie</v>
      </c>
      <c r="D107" s="12" t="str">
        <f ca="1">IFERROR(__xludf.DUMMYFUNCTION("GOOGLETRANSLATE($B107,""en"",D$3)"),"Kategori")</f>
        <v>Kategori</v>
      </c>
      <c r="E107" s="12" t="str">
        <f ca="1">IFERROR(__xludf.DUMMYFUNCTION("GOOGLETRANSLATE($B107,""en"",E$3)"),"Categoria")</f>
        <v>Categoria</v>
      </c>
      <c r="F107" s="12" t="str">
        <f ca="1">IFERROR(__xludf.DUMMYFUNCTION("GOOGLETRANSLATE($B107,""en"",F$3)"),"Categoria")</f>
        <v>Categoria</v>
      </c>
      <c r="G107" s="12" t="str">
        <f ca="1">IFERROR(__xludf.DUMMYFUNCTION("GOOGLETRANSLATE($B107,""en"",G$3)"),"Catégorie")</f>
        <v>Catégorie</v>
      </c>
      <c r="H107" s="12" t="str">
        <f ca="1">IFERROR(__xludf.DUMMYFUNCTION("GOOGLETRANSLATE($B107,""en"",H$3)"),"Kategoria")</f>
        <v>Kategoria</v>
      </c>
      <c r="I107" s="12" t="str">
        <f ca="1">IFERROR(__xludf.DUMMYFUNCTION("GOOGLETRANSLATE($B107,""en"",I$3)"),"categoria")</f>
        <v>categoria</v>
      </c>
      <c r="J107" s="12" t="str">
        <f ca="1">IFERROR(__xludf.DUMMYFUNCTION("GOOGLETRANSLATE($B107,""en"",J$3)"),"Kategorie")</f>
        <v>Kategorie</v>
      </c>
      <c r="K107" s="12" t="str">
        <f ca="1">IFERROR(__xludf.DUMMYFUNCTION("GOOGLETRANSLATE($B107,""en"",K$3)"),"类别")</f>
        <v>类别</v>
      </c>
      <c r="L107" s="12" t="str">
        <f ca="1">IFERROR(__xludf.DUMMYFUNCTION("GOOGLETRANSLATE($B107,""en"",L$3)"),"類別")</f>
        <v>類別</v>
      </c>
      <c r="M107" s="12" t="str">
        <f ca="1">IFERROR(__xludf.DUMMYFUNCTION("GOOGLETRANSLATE($B107,""en"",M$3)"),"Categorie")</f>
        <v>Categorie</v>
      </c>
      <c r="N107" s="12" t="str">
        <f ca="1">IFERROR(__xludf.DUMMYFUNCTION("GOOGLETRANSLATE($B107,""en"",N$3)"),"Κατηγορία")</f>
        <v>Κατηγορία</v>
      </c>
      <c r="O107" s="12" t="str">
        <f ca="1">IFERROR(__xludf.DUMMYFUNCTION("GOOGLETRANSLATE($B107,""en"",O$3)"),"Kategoria")</f>
        <v>Kategoria</v>
      </c>
      <c r="P107" s="12" t="str">
        <f ca="1">IFERROR(__xludf.DUMMYFUNCTION("GOOGLETRANSLATE($B107,""en"",P$3)"),"Catagóir")</f>
        <v>Catagóir</v>
      </c>
      <c r="Q107" s="12" t="str">
        <f ca="1">IFERROR(__xludf.DUMMYFUNCTION("GOOGLETRANSLATE($B107,""en"",Q$3)"),"دسته بندی")</f>
        <v>دسته بندی</v>
      </c>
      <c r="R107" s="12" t="str">
        <f ca="1">IFERROR(__xludf.DUMMYFUNCTION("GOOGLETRANSLATE($B107,""en"",R$3)"),"קטגוריה")</f>
        <v>קטגוריה</v>
      </c>
      <c r="S107" s="12" t="str">
        <f ca="1">IFERROR(__xludf.DUMMYFUNCTION("GOOGLETRANSLATE($B107,""en"",S$3)"),"Flokkur")</f>
        <v>Flokkur</v>
      </c>
      <c r="T107" s="12" t="str">
        <f ca="1">IFERROR(__xludf.DUMMYFUNCTION("GOOGLETRANSLATE($B107,""en"",T$3)"),"Kategori")</f>
        <v>Kategori</v>
      </c>
      <c r="U107" s="12" t="str">
        <f ca="1">IFERROR(__xludf.DUMMYFUNCTION("GOOGLETRANSLATE($B107,""en"",U$3)"),"الفئة")</f>
        <v>الفئة</v>
      </c>
      <c r="V107" s="12" t="str">
        <f ca="1">IFERROR(__xludf.DUMMYFUNCTION("GOOGLETRANSLATE($B107,""en"",V$3)"),"Kategoria")</f>
        <v>Kategoria</v>
      </c>
      <c r="W107" s="12" t="str">
        <f ca="1">IFERROR(__xludf.DUMMYFUNCTION("GOOGLETRANSLATE($B107,""en"",W$3)"),"категория")</f>
        <v>категория</v>
      </c>
      <c r="X107" s="12" t="str">
        <f ca="1">IFERROR(__xludf.DUMMYFUNCTION("GOOGLETRANSLATE($B107,""en"",X$3)"),"Categoría")</f>
        <v>Categoría</v>
      </c>
      <c r="Y107" s="12"/>
      <c r="Z107" s="12"/>
    </row>
    <row r="108" spans="1:26" ht="32.25" customHeight="1" x14ac:dyDescent="0.2">
      <c r="A108" s="17" t="s">
        <v>306</v>
      </c>
      <c r="B108" s="17" t="s">
        <v>307</v>
      </c>
      <c r="C108" s="11" t="str">
        <f ca="1">IFERROR(__xludf.DUMMYFUNCTION("GOOGLETRANSLATE($B108,""en"",C$3)"),"Mitte der Karte koordinieren")</f>
        <v>Mitte der Karte koordinieren</v>
      </c>
      <c r="D108" s="12" t="str">
        <f ca="1">IFERROR(__xludf.DUMMYFUNCTION("GOOGLETRANSLATE($B108,""en"",D$3)"),"Mitten av kartan samordna")</f>
        <v>Mitten av kartan samordna</v>
      </c>
      <c r="E108" s="12" t="str">
        <f ca="1">IFERROR(__xludf.DUMMYFUNCTION("GOOGLETRANSLATE($B108,""en"",E$3)"),"Centro do mapa de coordenadas")</f>
        <v>Centro do mapa de coordenadas</v>
      </c>
      <c r="F108" s="12" t="str">
        <f ca="1">IFERROR(__xludf.DUMMYFUNCTION("GOOGLETRANSLATE($B108,""en"",F$3)"),"Centro do mapa de coordenadas")</f>
        <v>Centro do mapa de coordenadas</v>
      </c>
      <c r="G108" s="12" t="str">
        <f ca="1">IFERROR(__xludf.DUMMYFUNCTION("GOOGLETRANSLATE($B108,""en"",G$3)"),"Centre de la carte de coordonnées")</f>
        <v>Centre de la carte de coordonnées</v>
      </c>
      <c r="H108" s="12" t="str">
        <f ca="1">IFERROR(__xludf.DUMMYFUNCTION("GOOGLETRANSLATE($B108,""en"",H$3)"),"maparen erdian koordinatzeko")</f>
        <v>maparen erdian koordinatzeko</v>
      </c>
      <c r="I108" s="12" t="str">
        <f ca="1">IFERROR(__xludf.DUMMYFUNCTION("GOOGLETRANSLATE($B108,""en"",I$3)"),"Centre de mapa de coordenades")</f>
        <v>Centre de mapa de coordenades</v>
      </c>
      <c r="J108" s="12" t="str">
        <f ca="1">IFERROR(__xludf.DUMMYFUNCTION("GOOGLETRANSLATE($B108,""en"",J$3)"),"Střed mapy souřadnic")</f>
        <v>Střed mapy souřadnic</v>
      </c>
      <c r="K108" s="12" t="str">
        <f ca="1">IFERROR(__xludf.DUMMYFUNCTION("GOOGLETRANSLATE($B108,""en"",K$3)"),"在地图的中心坐标")</f>
        <v>在地图的中心坐标</v>
      </c>
      <c r="L108" s="12" t="str">
        <f ca="1">IFERROR(__xludf.DUMMYFUNCTION("GOOGLETRANSLATE($B108,""en"",L$3)"),"在地圖的中心坐標")</f>
        <v>在地圖的中心坐標</v>
      </c>
      <c r="M108" s="12" t="str">
        <f ca="1">IFERROR(__xludf.DUMMYFUNCTION("GOOGLETRANSLATE($B108,""en"",M$3)"),"Midden van de kaart te coördineren")</f>
        <v>Midden van de kaart te coördineren</v>
      </c>
      <c r="N108" s="12" t="str">
        <f ca="1">IFERROR(__xludf.DUMMYFUNCTION("GOOGLETRANSLATE($B108,""en"",N$3)"),"Κέντρο του χάρτη συντεταγμένων")</f>
        <v>Κέντρο του χάρτη συντεταγμένων</v>
      </c>
      <c r="O108" s="12" t="str">
        <f ca="1">IFERROR(__xludf.DUMMYFUNCTION("GOOGLETRANSLATE($B108,""en"",O$3)"),"Kartan keskelle koordinoida")</f>
        <v>Kartan keskelle koordinoida</v>
      </c>
      <c r="P108" s="12" t="str">
        <f ca="1">IFERROR(__xludf.DUMMYFUNCTION("GOOGLETRANSLATE($B108,""en"",P$3)"),"Ionad an léarscáil chomhordú")</f>
        <v>Ionad an léarscáil chomhordú</v>
      </c>
      <c r="Q108" s="12" t="str">
        <f ca="1">IFERROR(__xludf.DUMMYFUNCTION("GOOGLETRANSLATE($B108,""en"",Q$3)"),"مرکز نقشه مختصات")</f>
        <v>مرکز نقشه مختصات</v>
      </c>
      <c r="R108" s="12" t="str">
        <f ca="1">IFERROR(__xludf.DUMMYFUNCTION("GOOGLETRANSLATE($B108,""en"",R$3)"),"במרכז המפה לתאם")</f>
        <v>במרכז המפה לתאם</v>
      </c>
      <c r="S108" s="12" t="str">
        <f ca="1">IFERROR(__xludf.DUMMYFUNCTION("GOOGLETRANSLATE($B108,""en"",S$3)"),"Miðju kortinu samræma")</f>
        <v>Miðju kortinu samræma</v>
      </c>
      <c r="T108" s="12" t="str">
        <f ca="1">IFERROR(__xludf.DUMMYFUNCTION("GOOGLETRANSLATE($B108,""en"",T$3)"),"Midt på kartet koordinere")</f>
        <v>Midt på kartet koordinere</v>
      </c>
      <c r="U108" s="12" t="str">
        <f ca="1">IFERROR(__xludf.DUMMYFUNCTION("GOOGLETRANSLATE($B108,""en"",U$3)"),"مركز الخريطة تنسيق")</f>
        <v>مركز الخريطة تنسيق</v>
      </c>
      <c r="V108" s="12" t="str">
        <f ca="1">IFERROR(__xludf.DUMMYFUNCTION("GOOGLETRANSLATE($B108,""en"",V$3)"),"Centrum mapie koordynować")</f>
        <v>Centrum mapie koordynować</v>
      </c>
      <c r="W108" s="12" t="str">
        <f ca="1">IFERROR(__xludf.DUMMYFUNCTION("GOOGLETRANSLATE($B108,""en"",W$3)"),"Центр координат карты")</f>
        <v>Центр координат карты</v>
      </c>
      <c r="X108" s="12" t="str">
        <f ca="1">IFERROR(__xludf.DUMMYFUNCTION("GOOGLETRANSLATE($B108,""en"",X$3)"),"Centro del mapa de coordenadas")</f>
        <v>Centro del mapa de coordenadas</v>
      </c>
      <c r="Y108" s="12"/>
      <c r="Z108" s="12"/>
    </row>
    <row r="109" spans="1:26" ht="32.25" customHeight="1" x14ac:dyDescent="0.2">
      <c r="A109" s="17" t="s">
        <v>308</v>
      </c>
      <c r="B109" s="17" t="s">
        <v>309</v>
      </c>
      <c r="C109" s="11" t="str">
        <f ca="1">IFERROR(__xludf.DUMMYFUNCTION("GOOGLETRANSLATE($B109,""en"",C$3)"),"Ändere das Passwort")</f>
        <v>Ändere das Passwort</v>
      </c>
      <c r="D109" s="12" t="str">
        <f ca="1">IFERROR(__xludf.DUMMYFUNCTION("GOOGLETRANSLATE($B109,""en"",D$3)"),"Ändra lösenord")</f>
        <v>Ändra lösenord</v>
      </c>
      <c r="E109" s="12" t="str">
        <f ca="1">IFERROR(__xludf.DUMMYFUNCTION("GOOGLETRANSLATE($B109,""en"",E$3)"),"Mudar senha")</f>
        <v>Mudar senha</v>
      </c>
      <c r="F109" s="12" t="str">
        <f ca="1">IFERROR(__xludf.DUMMYFUNCTION("GOOGLETRANSLATE($B109,""en"",F$3)"),"Mudar senha")</f>
        <v>Mudar senha</v>
      </c>
      <c r="G109" s="12" t="str">
        <f ca="1">IFERROR(__xludf.DUMMYFUNCTION("GOOGLETRANSLATE($B109,""en"",G$3)"),"Changer le mot de passe")</f>
        <v>Changer le mot de passe</v>
      </c>
      <c r="H109" s="12" t="str">
        <f ca="1">IFERROR(__xludf.DUMMYFUNCTION("GOOGLETRANSLATE($B109,""en"",H$3)"),"Aldatu pasahitza")</f>
        <v>Aldatu pasahitza</v>
      </c>
      <c r="I109" s="12" t="str">
        <f ca="1">IFERROR(__xludf.DUMMYFUNCTION("GOOGLETRANSLATE($B109,""en"",I$3)"),"canviar contrasenya")</f>
        <v>canviar contrasenya</v>
      </c>
      <c r="J109" s="12" t="str">
        <f ca="1">IFERROR(__xludf.DUMMYFUNCTION("GOOGLETRANSLATE($B109,""en"",J$3)"),"Změnit heslo")</f>
        <v>Změnit heslo</v>
      </c>
      <c r="K109" s="12" t="str">
        <f ca="1">IFERROR(__xludf.DUMMYFUNCTION("GOOGLETRANSLATE($B109,""en"",K$3)"),"更改密码")</f>
        <v>更改密码</v>
      </c>
      <c r="L109" s="12" t="str">
        <f ca="1">IFERROR(__xludf.DUMMYFUNCTION("GOOGLETRANSLATE($B109,""en"",L$3)"),"更改密碼")</f>
        <v>更改密碼</v>
      </c>
      <c r="M109" s="12" t="str">
        <f ca="1">IFERROR(__xludf.DUMMYFUNCTION("GOOGLETRANSLATE($B109,""en"",M$3)"),"Wachtwoord wijzigen")</f>
        <v>Wachtwoord wijzigen</v>
      </c>
      <c r="N109" s="12" t="str">
        <f ca="1">IFERROR(__xludf.DUMMYFUNCTION("GOOGLETRANSLATE($B109,""en"",N$3)"),"Άλλαξε κωδικό")</f>
        <v>Άλλαξε κωδικό</v>
      </c>
      <c r="O109" s="12" t="str">
        <f ca="1">IFERROR(__xludf.DUMMYFUNCTION("GOOGLETRANSLATE($B109,""en"",O$3)"),"Vaihda salasana")</f>
        <v>Vaihda salasana</v>
      </c>
      <c r="P109" s="12" t="str">
        <f ca="1">IFERROR(__xludf.DUMMYFUNCTION("GOOGLETRANSLATE($B109,""en"",P$3)"),"Athraigh do phasfhocal")</f>
        <v>Athraigh do phasfhocal</v>
      </c>
      <c r="Q109" s="12" t="str">
        <f ca="1">IFERROR(__xludf.DUMMYFUNCTION("GOOGLETRANSLATE($B109,""en"",Q$3)"),"تغییر رمز عبور")</f>
        <v>تغییر رمز عبور</v>
      </c>
      <c r="R109" s="12" t="str">
        <f ca="1">IFERROR(__xludf.DUMMYFUNCTION("GOOGLETRANSLATE($B109,""en"",R$3)"),"שנה סיסמא")</f>
        <v>שנה סיסמא</v>
      </c>
      <c r="S109" s="12" t="str">
        <f ca="1">IFERROR(__xludf.DUMMYFUNCTION("GOOGLETRANSLATE($B109,""en"",S$3)"),"Breyta lykilorði")</f>
        <v>Breyta lykilorði</v>
      </c>
      <c r="T109" s="12" t="str">
        <f ca="1">IFERROR(__xludf.DUMMYFUNCTION("GOOGLETRANSLATE($B109,""en"",T$3)"),"Bytt passord")</f>
        <v>Bytt passord</v>
      </c>
      <c r="U109" s="12" t="str">
        <f ca="1">IFERROR(__xludf.DUMMYFUNCTION("GOOGLETRANSLATE($B109,""en"",U$3)"),"غير كلمة السر")</f>
        <v>غير كلمة السر</v>
      </c>
      <c r="V109" s="12" t="str">
        <f ca="1">IFERROR(__xludf.DUMMYFUNCTION("GOOGLETRANSLATE($B109,""en"",V$3)"),"Zmień hasło")</f>
        <v>Zmień hasło</v>
      </c>
      <c r="W109" s="12" t="str">
        <f ca="1">IFERROR(__xludf.DUMMYFUNCTION("GOOGLETRANSLATE($B109,""en"",W$3)"),"Сменить пароль")</f>
        <v>Сменить пароль</v>
      </c>
      <c r="X109" s="12" t="str">
        <f ca="1">IFERROR(__xludf.DUMMYFUNCTION("GOOGLETRANSLATE($B109,""en"",X$3)"),"Cambia la contraseña")</f>
        <v>Cambia la contraseña</v>
      </c>
      <c r="Y109" s="12"/>
      <c r="Z109" s="12"/>
    </row>
    <row r="110" spans="1:26" ht="32.25" customHeight="1" x14ac:dyDescent="0.2">
      <c r="A110" s="17" t="s">
        <v>310</v>
      </c>
      <c r="B110" s="17" t="s">
        <v>311</v>
      </c>
      <c r="C110" s="11" t="str">
        <f ca="1">IFERROR(__xludf.DUMMYFUNCTION("GOOGLETRANSLATE($B110,""en"",C$3)"),"die UUID ändern, werden alle Daten in der alten SIM verlieren und eine neue, leere SIM erstellen. Sind Sie sicher, dass Sie die UUID ändern?")</f>
        <v>die UUID ändern, werden alle Daten in der alten SIM verlieren und eine neue, leere SIM erstellen. Sind Sie sicher, dass Sie die UUID ändern?</v>
      </c>
      <c r="D110" s="12" t="str">
        <f ca="1">IFERROR(__xludf.DUMMYFUNCTION("GOOGLETRANSLATE($B110,""en"",D$3)"),"Ändra UUID kommer att förlora all data i gamla sim och skapa en ny, tom sim. Är du säker på att du vill ändra UUID?")</f>
        <v>Ändra UUID kommer att förlora all data i gamla sim och skapa en ny, tom sim. Är du säker på att du vill ändra UUID?</v>
      </c>
      <c r="E110" s="12" t="str">
        <f ca="1">IFERROR(__xludf.DUMMYFUNCTION("GOOGLETRANSLATE($B110,""en"",E$3)"),"Alterar o UUID vai perder todos os dados no antigo sim e criar um novo sim, vazio. Tem certeza de que deseja alterar o UUID?")</f>
        <v>Alterar o UUID vai perder todos os dados no antigo sim e criar um novo sim, vazio. Tem certeza de que deseja alterar o UUID?</v>
      </c>
      <c r="F110" s="12" t="str">
        <f ca="1">IFERROR(__xludf.DUMMYFUNCTION("GOOGLETRANSLATE($B110,""en"",F$3)"),"Alterar o UUID vai perder todos os dados no antigo sim e criar um novo sim, vazio. Tem certeza de que deseja alterar o UUID?")</f>
        <v>Alterar o UUID vai perder todos os dados no antigo sim e criar um novo sim, vazio. Tem certeza de que deseja alterar o UUID?</v>
      </c>
      <c r="G110" s="12" t="str">
        <f ca="1">IFERROR(__xludf.DUMMYFUNCTION("GOOGLETRANSLATE($B110,""en"",G$3)"),"Modification de l'UUID perdrez toutes les données dans l'ancienne sim et créer une nouvelle sim vide. Etes-vous sûr de vouloir changer le UUID?")</f>
        <v>Modification de l'UUID perdrez toutes les données dans l'ancienne sim et créer une nouvelle sim vide. Etes-vous sûr de vouloir changer le UUID?</v>
      </c>
      <c r="H110" s="12" t="str">
        <f ca="1">IFERROR(__xludf.DUMMYFUNCTION("GOOGLETRANSLATE($B110,""en"",H$3)"),"UUID aldatzeak zaharra sim datu guztiak galdu egingo du eta, sim huts bat sortzeko. Ziur zaude UUID aldatu nahi duzula?")</f>
        <v>UUID aldatzeak zaharra sim datu guztiak galdu egingo du eta, sim huts bat sortzeko. Ziur zaude UUID aldatu nahi duzula?</v>
      </c>
      <c r="I110" s="12" t="str">
        <f ca="1">IFERROR(__xludf.DUMMYFUNCTION("GOOGLETRANSLATE($B110,""en"",I$3)"),"Canviar el UUID perdrà totes les dades en el vell sim i crear una nova SIM buida. Esteu segur que voleu canviar el UUID?")</f>
        <v>Canviar el UUID perdrà totes les dades en el vell sim i crear una nova SIM buida. Esteu segur que voleu canviar el UUID?</v>
      </c>
      <c r="J110" s="12" t="str">
        <f ca="1">IFERROR(__xludf.DUMMYFUNCTION("GOOGLETRANSLATE($B110,""en"",J$3)"),"Změna UUID ztratí všechna data ve starém sim a vytvořit nové, prázdné sim. Jste si jisti, chcete změnit UUID?")</f>
        <v>Změna UUID ztratí všechna data ve starém sim a vytvořit nové, prázdné sim. Jste si jisti, chcete změnit UUID?</v>
      </c>
      <c r="K110" s="12" t="str">
        <f ca="1">IFERROR(__xludf.DUMMYFUNCTION("GOOGLETRANSLATE($B110,""en"",K$3)"),"更改UUID将失去在旧SIM卡的所有数据，并创建一个新的空卡。你确定你要更改的UUID？")</f>
        <v>更改UUID将失去在旧SIM卡的所有数据，并创建一个新的空卡。你确定你要更改的UUID？</v>
      </c>
      <c r="L110" s="12" t="str">
        <f ca="1">IFERROR(__xludf.DUMMYFUNCTION("GOOGLETRANSLATE($B110,""en"",L$3)"),"更改UUID將失去在舊SIM卡的所有數據，並創建一個新的空卡。你確定你要更改的UUID？")</f>
        <v>更改UUID將失去在舊SIM卡的所有數據，並創建一個新的空卡。你確定你要更改的UUID？</v>
      </c>
      <c r="M110" s="12" t="str">
        <f ca="1">IFERROR(__xludf.DUMMYFUNCTION("GOOGLETRANSLATE($B110,""en"",M$3)"),"Het veranderen van de UUID worden alle gegevens in het oude sim verliezen en het creëren van een nieuwe, lege sim. Weet u zeker dat u de UUID veranderen?")</f>
        <v>Het veranderen van de UUID worden alle gegevens in het oude sim verliezen en het creëren van een nieuwe, lege sim. Weet u zeker dat u de UUID veranderen?</v>
      </c>
      <c r="N110" s="12" t="str">
        <f ca="1">IFERROR(__xludf.DUMMYFUNCTION("GOOGLETRANSLATE($B110,""en"",N$3)"),"Η αλλαγή του UUID θα χάσετε όλα τα δεδομένα στην παλιά sim και να δημιουργήσει μια νέα, κενή sim. Είστε σίγουροι ότι θέλετε να αλλάξετε το UUID;")</f>
        <v>Η αλλαγή του UUID θα χάσετε όλα τα δεδομένα στην παλιά sim και να δημιουργήσει μια νέα, κενή sim. Είστε σίγουροι ότι θέλετε να αλλάξετε το UUID;</v>
      </c>
      <c r="O110" s="12" t="str">
        <f ca="1">IFERROR(__xludf.DUMMYFUNCTION("GOOGLETRANSLATE($B110,""en"",O$3)"),"Muuttaminen UUID menettää kaikki tiedot vanhan sim ja luo uuden, tyhjän sim. Oletko varma, että haluat vaihtaa UUID?")</f>
        <v>Muuttaminen UUID menettää kaikki tiedot vanhan sim ja luo uuden, tyhjän sim. Oletko varma, että haluat vaihtaa UUID?</v>
      </c>
      <c r="P110" s="12" t="str">
        <f ca="1">IFERROR(__xludf.DUMMYFUNCTION("GOOGLETRANSLATE($B110,""en"",P$3)"),"Beidh Athrú ar an UUID caillfidh na sonraí go léir sa SIM sean agus nua, SIM folamh a chruthú. An bhfuil tú cinnte go dteastaíonn uait a athrú ar an UUID?")</f>
        <v>Beidh Athrú ar an UUID caillfidh na sonraí go léir sa SIM sean agus nua, SIM folamh a chruthú. An bhfuil tú cinnte go dteastaíonn uait a athrú ar an UUID?</v>
      </c>
      <c r="Q110" s="12" t="str">
        <f ca="1">IFERROR(__xludf.DUMMYFUNCTION("GOOGLETRANSLATE($B110,""en"",Q$3)"),"تغییر UUID تمام داده ها در سیم کارت های قدیمی از دست دادن و ایجاد یک جدید، سیم کارت خالی است. آیا مطمئن هستید که مایل به تغییر UUID؟")</f>
        <v>تغییر UUID تمام داده ها در سیم کارت های قدیمی از دست دادن و ایجاد یک جدید، سیم کارت خالی است. آیا مطمئن هستید که مایل به تغییر UUID؟</v>
      </c>
      <c r="R110" s="12" t="str">
        <f ca="1">IFERROR(__xludf.DUMMYFUNCTION("GOOGLETRANSLATE($B110,""en"",R$3)"),"שינוי UUID תאבד את כל הנתונים SIM הישן וליצור SIM החדש, ריק. האם אתה בטוח שאתה רוצה לשנות את UUID?")</f>
        <v>שינוי UUID תאבד את כל הנתונים SIM הישן וליצור SIM החדש, ריק. האם אתה בטוח שאתה רוצה לשנות את UUID?</v>
      </c>
      <c r="S110" s="12" t="str">
        <f ca="1">IFERROR(__xludf.DUMMYFUNCTION("GOOGLETRANSLATE($B110,""en"",S$3)"),"Breyting á UUID munt tapa öllum gögnum í gamla sim og búa til nýja, tómt sim. Ertu viss um að þú viljir breyta UUID?")</f>
        <v>Breyting á UUID munt tapa öllum gögnum í gamla sim og búa til nýja, tómt sim. Ertu viss um að þú viljir breyta UUID?</v>
      </c>
      <c r="T110" s="12" t="str">
        <f ca="1">IFERROR(__xludf.DUMMYFUNCTION("GOOGLETRANSLATE($B110,""en"",T$3)"),"Endre UUID vil miste all data i den gamle sim og opprette en ny, tom sim. Er du sikker på at du ønsker å endre UUID?")</f>
        <v>Endre UUID vil miste all data i den gamle sim og opprette en ny, tom sim. Er du sikker på at du ønsker å endre UUID?</v>
      </c>
      <c r="U110" s="12" t="str">
        <f ca="1">IFERROR(__xludf.DUMMYFUNCTION("GOOGLETRANSLATE($B110,""en"",U$3)"),"وتغيير UUID تفقد كل البيانات في سيم القديم وإنشاء، وسيم جديد فارغ. هل أنت متأكد أنك ترغب في تغيير UUID؟")</f>
        <v>وتغيير UUID تفقد كل البيانات في سيم القديم وإنشاء، وسيم جديد فارغ. هل أنت متأكد أنك ترغب في تغيير UUID؟</v>
      </c>
      <c r="V110" s="12" t="str">
        <f ca="1">IFERROR(__xludf.DUMMYFUNCTION("GOOGLETRANSLATE($B110,""en"",V$3)"),"Zmiana UUID straci wszystkie dane w starym SIM i utworzyć nowy, pusty SIM. Czy na pewno chcesz zmienić UUID?")</f>
        <v>Zmiana UUID straci wszystkie dane w starym SIM i utworzyć nowy, pusty SIM. Czy na pewno chcesz zmienić UUID?</v>
      </c>
      <c r="W110" s="12" t="str">
        <f ca="1">IFERROR(__xludf.DUMMYFUNCTION("GOOGLETRANSLATE($B110,""en"",W$3)"),"Изменение UUID потеряет все данные в старом сима и создать новый, пустой сим. Вы уверены, что Вы хотите изменить UUID?")</f>
        <v>Изменение UUID потеряет все данные в старом сима и создать новый, пустой сим. Вы уверены, что Вы хотите изменить UUID?</v>
      </c>
      <c r="X110" s="12" t="str">
        <f ca="1">IFERROR(__xludf.DUMMYFUNCTION("GOOGLETRANSLATE($B110,""en"",X$3)"),"Cambiar el UUID perderá todos los datos en el viejo sim y crear una nueva SIM vacía. ¿Seguro que desea cambiar el UUID?")</f>
        <v>Cambiar el UUID perderá todos los datos en el viejo sim y crear una nueva SIM vacía. ¿Seguro que desea cambiar el UUID?</v>
      </c>
      <c r="Y110" s="12"/>
      <c r="Z110" s="12"/>
    </row>
    <row r="111" spans="1:26" ht="32.25" customHeight="1" x14ac:dyDescent="0.2">
      <c r="A111" s="17" t="s">
        <v>312</v>
      </c>
      <c r="B111" s="17" t="s">
        <v>313</v>
      </c>
      <c r="C111" s="11" t="str">
        <f ca="1">IFERROR(__xludf.DUMMYFUNCTION("GOOGLETRANSLATE($B111,""en"",C$3)"),"Veränderungen wurden gemacht. Sparen?")</f>
        <v>Veränderungen wurden gemacht. Sparen?</v>
      </c>
      <c r="D111" s="12" t="str">
        <f ca="1">IFERROR(__xludf.DUMMYFUNCTION("GOOGLETRANSLATE($B111,""en"",D$3)"),"Ändringar har gjorts. Spara?")</f>
        <v>Ändringar har gjorts. Spara?</v>
      </c>
      <c r="E111" s="13" t="s">
        <v>314</v>
      </c>
      <c r="F111" s="13" t="s">
        <v>314</v>
      </c>
      <c r="G111" s="12" t="str">
        <f ca="1">IFERROR(__xludf.DUMMYFUNCTION("GOOGLETRANSLATE($B111,""en"",G$3)"),"Des modifications ont été apportées. Sauver?")</f>
        <v>Des modifications ont été apportées. Sauver?</v>
      </c>
      <c r="H111" s="12" t="str">
        <f ca="1">IFERROR(__xludf.DUMMYFUNCTION("GOOGLETRANSLATE($B111,""en"",H$3)"),"Aldaketak egin dira. Save?")</f>
        <v>Aldaketak egin dira. Save?</v>
      </c>
      <c r="I111" s="12" t="str">
        <f ca="1">IFERROR(__xludf.DUMMYFUNCTION("GOOGLETRANSLATE($B111,""en"",I$3)"),"S'han fet canvis. Guardar?")</f>
        <v>S'han fet canvis. Guardar?</v>
      </c>
      <c r="J111" s="12" t="str">
        <f ca="1">IFERROR(__xludf.DUMMYFUNCTION("GOOGLETRANSLATE($B111,""en"",J$3)"),"Změny byly provedeny. Uložit?")</f>
        <v>Změny byly provedeny. Uložit?</v>
      </c>
      <c r="K111" s="12" t="str">
        <f ca="1">IFERROR(__xludf.DUMMYFUNCTION("GOOGLETRANSLATE($B111,""en"",K$3)"),"进行了更改。保存？")</f>
        <v>进行了更改。保存？</v>
      </c>
      <c r="L111" s="12" t="str">
        <f ca="1">IFERROR(__xludf.DUMMYFUNCTION("GOOGLETRANSLATE($B111,""en"",L$3)"),"進行了更改。保存？")</f>
        <v>進行了更改。保存？</v>
      </c>
      <c r="M111" s="12" t="str">
        <f ca="1">IFERROR(__xludf.DUMMYFUNCTION("GOOGLETRANSLATE($B111,""en"",M$3)"),"Veranderingen zijn gemaakt. Sparen?")</f>
        <v>Veranderingen zijn gemaakt. Sparen?</v>
      </c>
      <c r="N111" s="12" t="str">
        <f ca="1">IFERROR(__xludf.DUMMYFUNCTION("GOOGLETRANSLATE($B111,""en"",N$3)"),"Έχουν γίνει αλλαγές. Αποθηκεύσετε?")</f>
        <v>Έχουν γίνει αλλαγές. Αποθηκεύσετε?</v>
      </c>
      <c r="O111" s="12" t="str">
        <f ca="1">IFERROR(__xludf.DUMMYFUNCTION("GOOGLETRANSLATE($B111,""en"",O$3)"),"Muutoksia on tehty. Tallentaa?")</f>
        <v>Muutoksia on tehty. Tallentaa?</v>
      </c>
      <c r="P111" s="12" t="str">
        <f ca="1">IFERROR(__xludf.DUMMYFUNCTION("GOOGLETRANSLATE($B111,""en"",P$3)"),"Iomaí athrú atá déanta. Sábháil?")</f>
        <v>Iomaí athrú atá déanta. Sábháil?</v>
      </c>
      <c r="Q111" s="12" t="str">
        <f ca="1">IFERROR(__xludf.DUMMYFUNCTION("GOOGLETRANSLATE($B111,""en"",Q$3)"),"تغییر شده اند ساخته شده است. صرفه جویی؟")</f>
        <v>تغییر شده اند ساخته شده است. صرفه جویی؟</v>
      </c>
      <c r="R111" s="12" t="str">
        <f ca="1">IFERROR(__xludf.DUMMYFUNCTION("GOOGLETRANSLATE($B111,""en"",R$3)"),"בוצעו שינויים. לשמור?")</f>
        <v>בוצעו שינויים. לשמור?</v>
      </c>
      <c r="S111" s="12" t="str">
        <f ca="1">IFERROR(__xludf.DUMMYFUNCTION("GOOGLETRANSLATE($B111,""en"",S$3)"),"Breytingar hafa verið gerðar. Vista?")</f>
        <v>Breytingar hafa verið gerðar. Vista?</v>
      </c>
      <c r="T111" s="12" t="str">
        <f ca="1">IFERROR(__xludf.DUMMYFUNCTION("GOOGLETRANSLATE($B111,""en"",T$3)"),"Endringer er blitt gjort. Lagre?")</f>
        <v>Endringer er blitt gjort. Lagre?</v>
      </c>
      <c r="U111" s="12" t="str">
        <f ca="1">IFERROR(__xludf.DUMMYFUNCTION("GOOGLETRANSLATE($B111,""en"",U$3)"),"تم إجراء تغييرات. حفظ؟")</f>
        <v>تم إجراء تغييرات. حفظ؟</v>
      </c>
      <c r="V111" s="12" t="str">
        <f ca="1">IFERROR(__xludf.DUMMYFUNCTION("GOOGLETRANSLATE($B111,""en"",V$3)"),"Zmiany zostały dokonane. Zapisać?")</f>
        <v>Zmiany zostały dokonane. Zapisać?</v>
      </c>
      <c r="W111" s="12" t="str">
        <f ca="1">IFERROR(__xludf.DUMMYFUNCTION("GOOGLETRANSLATE($B111,""en"",W$3)"),"Были внесены изменения. Сохранить?")</f>
        <v>Были внесены изменения. Сохранить?</v>
      </c>
      <c r="X111" s="12" t="str">
        <f ca="1">IFERROR(__xludf.DUMMYFUNCTION("GOOGLETRANSLATE($B111,""en"",X$3)"),"Se han realizado cambios. ¿Salvar?")</f>
        <v>Se han realizado cambios. ¿Salvar?</v>
      </c>
      <c r="Y111" s="12"/>
      <c r="Z111" s="12"/>
    </row>
    <row r="112" spans="1:26" ht="32.25" customHeight="1" x14ac:dyDescent="0.2">
      <c r="A112" s="17" t="s">
        <v>315</v>
      </c>
      <c r="B112" s="17" t="s">
        <v>316</v>
      </c>
      <c r="C112" s="11" t="str">
        <f ca="1">IFERROR(__xludf.DUMMYFUNCTION("GOOGLETRANSLATE($B112,""en"",C$3)"),"Chat-Kanal")</f>
        <v>Chat-Kanal</v>
      </c>
      <c r="D112" s="12" t="str">
        <f ca="1">IFERROR(__xludf.DUMMYFUNCTION("GOOGLETRANSLATE($B112,""en"",D$3)"),"Chat Channel")</f>
        <v>Chat Channel</v>
      </c>
      <c r="E112" s="12" t="str">
        <f ca="1">IFERROR(__xludf.DUMMYFUNCTION("GOOGLETRANSLATE($B112,""en"",E$3)"),"bate-papo Canal")</f>
        <v>bate-papo Canal</v>
      </c>
      <c r="F112" s="12" t="str">
        <f ca="1">IFERROR(__xludf.DUMMYFUNCTION("GOOGLETRANSLATE($B112,""en"",F$3)"),"bate-papo Canal")</f>
        <v>bate-papo Canal</v>
      </c>
      <c r="G112" s="12" t="str">
        <f ca="1">IFERROR(__xludf.DUMMYFUNCTION("GOOGLETRANSLATE($B112,""en"",G$3)"),"le chat canal")</f>
        <v>le chat canal</v>
      </c>
      <c r="H112" s="12" t="str">
        <f ca="1">IFERROR(__xludf.DUMMYFUNCTION("GOOGLETRANSLATE($B112,""en"",H$3)"),"Berriketan Channel")</f>
        <v>Berriketan Channel</v>
      </c>
      <c r="I112" s="12" t="str">
        <f ca="1">IFERROR(__xludf.DUMMYFUNCTION("GOOGLETRANSLATE($B112,""en"",I$3)"),"canal de xat")</f>
        <v>canal de xat</v>
      </c>
      <c r="J112" s="12" t="str">
        <f ca="1">IFERROR(__xludf.DUMMYFUNCTION("GOOGLETRANSLATE($B112,""en"",J$3)"),"Chat Channel")</f>
        <v>Chat Channel</v>
      </c>
      <c r="K112" s="12" t="str">
        <f ca="1">IFERROR(__xludf.DUMMYFUNCTION("GOOGLETRANSLATE($B112,""en"",K$3)"),"聊天频道")</f>
        <v>聊天频道</v>
      </c>
      <c r="L112" s="12" t="str">
        <f ca="1">IFERROR(__xludf.DUMMYFUNCTION("GOOGLETRANSLATE($B112,""en"",L$3)"),"聊天頻道")</f>
        <v>聊天頻道</v>
      </c>
      <c r="M112" s="12" t="str">
        <f ca="1">IFERROR(__xludf.DUMMYFUNCTION("GOOGLETRANSLATE($B112,""en"",M$3)"),"Chat Channel")</f>
        <v>Chat Channel</v>
      </c>
      <c r="N112" s="12" t="str">
        <f ca="1">IFERROR(__xludf.DUMMYFUNCTION("GOOGLETRANSLATE($B112,""en"",N$3)"),"Chat καναλιού")</f>
        <v>Chat καναλιού</v>
      </c>
      <c r="O112" s="12" t="str">
        <f ca="1">IFERROR(__xludf.DUMMYFUNCTION("GOOGLETRANSLATE($B112,""en"",O$3)"),"chat kanava")</f>
        <v>chat kanava</v>
      </c>
      <c r="P112" s="12" t="str">
        <f ca="1">IFERROR(__xludf.DUMMYFUNCTION("GOOGLETRANSLATE($B112,""en"",P$3)"),"comhrá Channel")</f>
        <v>comhrá Channel</v>
      </c>
      <c r="Q112" s="12" t="str">
        <f ca="1">IFERROR(__xludf.DUMMYFUNCTION("GOOGLETRANSLATE($B112,""en"",Q$3)"),"چت کانال")</f>
        <v>چت کانال</v>
      </c>
      <c r="R112" s="12" t="str">
        <f ca="1">IFERROR(__xludf.DUMMYFUNCTION("GOOGLETRANSLATE($B112,""en"",R$3)"),"ערוץ צ'אט")</f>
        <v>ערוץ צ'אט</v>
      </c>
      <c r="S112" s="12" t="str">
        <f ca="1">IFERROR(__xludf.DUMMYFUNCTION("GOOGLETRANSLATE($B112,""en"",S$3)"),"spjall rás")</f>
        <v>spjall rás</v>
      </c>
      <c r="T112" s="12" t="str">
        <f ca="1">IFERROR(__xludf.DUMMYFUNCTION("GOOGLETRANSLATE($B112,""en"",T$3)"),"Chat Channel")</f>
        <v>Chat Channel</v>
      </c>
      <c r="U112" s="12" t="str">
        <f ca="1">IFERROR(__xludf.DUMMYFUNCTION("GOOGLETRANSLATE($B112,""en"",U$3)"),"قناة دردشة")</f>
        <v>قناة دردشة</v>
      </c>
      <c r="V112" s="12" t="str">
        <f ca="1">IFERROR(__xludf.DUMMYFUNCTION("GOOGLETRANSLATE($B112,""en"",V$3)"),"Kanał czatu")</f>
        <v>Kanał czatu</v>
      </c>
      <c r="W112" s="12" t="str">
        <f ca="1">IFERROR(__xludf.DUMMYFUNCTION("GOOGLETRANSLATE($B112,""en"",W$3)"),"Чат канал")</f>
        <v>Чат канал</v>
      </c>
      <c r="X112" s="12" t="str">
        <f ca="1">IFERROR(__xludf.DUMMYFUNCTION("GOOGLETRANSLATE($B112,""en"",X$3)"),"canal de chat")</f>
        <v>canal de chat</v>
      </c>
      <c r="Y112" s="12"/>
      <c r="Z112" s="12"/>
    </row>
    <row r="113" spans="1:26" ht="32.25" customHeight="1" x14ac:dyDescent="0.2">
      <c r="A113" s="17" t="s">
        <v>317</v>
      </c>
      <c r="B113" s="17" t="s">
        <v>318</v>
      </c>
      <c r="C113" s="18" t="s">
        <v>1788</v>
      </c>
      <c r="D113" s="12" t="str">
        <f ca="1">IFERROR(__xludf.DUMMYFUNCTION("GOOGLETRANSLATE($B113,""en"",D$3)"),"Kontrollera och reparera databas")</f>
        <v>Kontrollera och reparera databas</v>
      </c>
      <c r="E113" s="13" t="s">
        <v>319</v>
      </c>
      <c r="F113" s="13" t="s">
        <v>319</v>
      </c>
      <c r="G113" s="12" t="str">
        <f ca="1">IFERROR(__xludf.DUMMYFUNCTION("GOOGLETRANSLATE($B113,""en"",G$3)"),"Base de données de contrôle et de réparation")</f>
        <v>Base de données de contrôle et de réparation</v>
      </c>
      <c r="H113" s="12" t="str">
        <f ca="1">IFERROR(__xludf.DUMMYFUNCTION("GOOGLETRANSLATE($B113,""en"",H$3)"),"Check eta konponketa Database")</f>
        <v>Check eta konponketa Database</v>
      </c>
      <c r="I113" s="12" t="str">
        <f ca="1">IFERROR(__xludf.DUMMYFUNCTION("GOOGLETRANSLATE($B113,""en"",I$3)"),"Comprovar i reparar base de dades")</f>
        <v>Comprovar i reparar base de dades</v>
      </c>
      <c r="J113" s="12" t="str">
        <f ca="1">IFERROR(__xludf.DUMMYFUNCTION("GOOGLETRANSLATE($B113,""en"",J$3)"),"Kontrola a opravy Database")</f>
        <v>Kontrola a opravy Database</v>
      </c>
      <c r="K113" s="12" t="str">
        <f ca="1">IFERROR(__xludf.DUMMYFUNCTION("GOOGLETRANSLATE($B113,""en"",K$3)"),"检查和修复数据库")</f>
        <v>检查和修复数据库</v>
      </c>
      <c r="L113" s="12" t="str">
        <f ca="1">IFERROR(__xludf.DUMMYFUNCTION("GOOGLETRANSLATE($B113,""en"",L$3)"),"檢查和修復數據庫")</f>
        <v>檢查和修復數據庫</v>
      </c>
      <c r="M113" s="12" t="str">
        <f ca="1">IFERROR(__xludf.DUMMYFUNCTION("GOOGLETRANSLATE($B113,""en"",M$3)"),"Controleren en repareren van Database")</f>
        <v>Controleren en repareren van Database</v>
      </c>
      <c r="N113" s="12" t="str">
        <f ca="1">IFERROR(__xludf.DUMMYFUNCTION("GOOGLETRANSLATE($B113,""en"",N$3)"),"Έλεγχος και επισκευή βάση δεδομένων")</f>
        <v>Έλεγχος και επισκευή βάση δεδομένων</v>
      </c>
      <c r="O113" s="12" t="str">
        <f ca="1">IFERROR(__xludf.DUMMYFUNCTION("GOOGLETRANSLATE($B113,""en"",O$3)"),"Tarkista ja korjaa tietokanta")</f>
        <v>Tarkista ja korjaa tietokanta</v>
      </c>
      <c r="P113" s="12" t="str">
        <f ca="1">IFERROR(__xludf.DUMMYFUNCTION("GOOGLETRANSLATE($B113,""en"",P$3)"),"Seiceáil agus Deisiú Bunachar Sonraí")</f>
        <v>Seiceáil agus Deisiú Bunachar Sonraí</v>
      </c>
      <c r="Q113" s="12" t="str">
        <f ca="1">IFERROR(__xludf.DUMMYFUNCTION("GOOGLETRANSLATE($B113,""en"",Q$3)"),"بررسی و تعمیر پایگاه")</f>
        <v>بررسی و تعمیر پایگاه</v>
      </c>
      <c r="R113" s="12" t="str">
        <f ca="1">IFERROR(__xludf.DUMMYFUNCTION("GOOGLETRANSLATE($B113,""en"",R$3)"),"מסד בדיקה ותיקון")</f>
        <v>מסד בדיקה ותיקון</v>
      </c>
      <c r="S113" s="12" t="str">
        <f ca="1">IFERROR(__xludf.DUMMYFUNCTION("GOOGLETRANSLATE($B113,""en"",S$3)"),"Athuga og viðgerðir Database")</f>
        <v>Athuga og viðgerðir Database</v>
      </c>
      <c r="T113" s="12" t="str">
        <f ca="1">IFERROR(__xludf.DUMMYFUNCTION("GOOGLETRANSLATE($B113,""en"",T$3)"),"Sjekk og reparer database")</f>
        <v>Sjekk og reparer database</v>
      </c>
      <c r="U113" s="12" t="str">
        <f ca="1">IFERROR(__xludf.DUMMYFUNCTION("GOOGLETRANSLATE($B113,""en"",U$3)"),"الاختيار وإصلاح قاعدة البيانات")</f>
        <v>الاختيار وإصلاح قاعدة البيانات</v>
      </c>
      <c r="V113" s="12" t="str">
        <f ca="1">IFERROR(__xludf.DUMMYFUNCTION("GOOGLETRANSLATE($B113,""en"",V$3)"),"Sprawdź i napraw Database")</f>
        <v>Sprawdź i napraw Database</v>
      </c>
      <c r="W113" s="12" t="str">
        <f ca="1">IFERROR(__xludf.DUMMYFUNCTION("GOOGLETRANSLATE($B113,""en"",W$3)"),"Проверить и восстановить базу данных")</f>
        <v>Проверить и восстановить базу данных</v>
      </c>
      <c r="X113" s="12" t="str">
        <f ca="1">IFERROR(__xludf.DUMMYFUNCTION("GOOGLETRANSLATE($B113,""en"",X$3)"),"Comprobar y reparar base de datos")</f>
        <v>Comprobar y reparar base de datos</v>
      </c>
      <c r="Y113" s="12"/>
      <c r="Z113" s="12"/>
    </row>
    <row r="114" spans="1:26" ht="32.25" customHeight="1" x14ac:dyDescent="0.2">
      <c r="A114" s="17" t="s">
        <v>320</v>
      </c>
      <c r="B114" s="17" t="s">
        <v>321</v>
      </c>
      <c r="C114" s="11" t="str">
        <f ca="1">IFERROR(__xludf.DUMMYFUNCTION("GOOGLETRANSLATE($B114,""en"",C$3)"),"Überprüfen Diagnose-Port")</f>
        <v>Überprüfen Diagnose-Port</v>
      </c>
      <c r="D114" s="12" t="str">
        <f ca="1">IFERROR(__xludf.DUMMYFUNCTION("GOOGLETRANSLATE($B114,""en"",D$3)"),"Kontroll Diagnostik port")</f>
        <v>Kontroll Diagnostik port</v>
      </c>
      <c r="E114" s="13" t="s">
        <v>322</v>
      </c>
      <c r="F114" s="13" t="s">
        <v>322</v>
      </c>
      <c r="G114" s="12" t="str">
        <f ca="1">IFERROR(__xludf.DUMMYFUNCTION("GOOGLETRANSLATE($B114,""en"",G$3)"),"Vérification port de diagnostic")</f>
        <v>Vérification port de diagnostic</v>
      </c>
      <c r="H114" s="12" t="str">
        <f ca="1">IFERROR(__xludf.DUMMYFUNCTION("GOOGLETRANSLATE($B114,""en"",H$3)"),"Diagnostikoak ataka egiaztatzen")</f>
        <v>Diagnostikoak ataka egiaztatzen</v>
      </c>
      <c r="I114" s="12" t="str">
        <f ca="1">IFERROR(__xludf.DUMMYFUNCTION("GOOGLETRANSLATE($B114,""en"",I$3)"),"Comprovació de port de diagnòstic")</f>
        <v>Comprovació de port de diagnòstic</v>
      </c>
      <c r="J114" s="12" t="str">
        <f ca="1">IFERROR(__xludf.DUMMYFUNCTION("GOOGLETRANSLATE($B114,""en"",J$3)"),"Kontrola diagnostiky portu")</f>
        <v>Kontrola diagnostiky portu</v>
      </c>
      <c r="K114" s="12" t="str">
        <f ca="1">IFERROR(__xludf.DUMMYFUNCTION("GOOGLETRANSLATE($B114,""en"",K$3)"),"检查诊断端口")</f>
        <v>检查诊断端口</v>
      </c>
      <c r="L114" s="12" t="str">
        <f ca="1">IFERROR(__xludf.DUMMYFUNCTION("GOOGLETRANSLATE($B114,""en"",L$3)"),"檢查診斷端口")</f>
        <v>檢查診斷端口</v>
      </c>
      <c r="M114" s="12" t="str">
        <f ca="1">IFERROR(__xludf.DUMMYFUNCTION("GOOGLETRANSLATE($B114,""en"",M$3)"),"Controle Diagnostics port")</f>
        <v>Controle Diagnostics port</v>
      </c>
      <c r="N114" s="12" t="str">
        <f ca="1">IFERROR(__xludf.DUMMYFUNCTION("GOOGLETRANSLATE($B114,""en"",N$3)"),"Έλεγχος λιμάνι Diagnostics")</f>
        <v>Έλεγχος λιμάνι Diagnostics</v>
      </c>
      <c r="O114" s="12" t="str">
        <f ca="1">IFERROR(__xludf.DUMMYFUNCTION("GOOGLETRANSLATE($B114,""en"",O$3)"),"Tarkistetaan Diagnostiikka portti")</f>
        <v>Tarkistetaan Diagnostiikka portti</v>
      </c>
      <c r="P114" s="12" t="str">
        <f ca="1">IFERROR(__xludf.DUMMYFUNCTION("GOOGLETRANSLATE($B114,""en"",P$3)"),"Seiceáil Diagnóisic port")</f>
        <v>Seiceáil Diagnóisic port</v>
      </c>
      <c r="Q114" s="12" t="str">
        <f ca="1">IFERROR(__xludf.DUMMYFUNCTION("GOOGLETRANSLATE($B114,""en"",Q$3)"),"چک کردن پورت تشخیص")</f>
        <v>چک کردن پورت تشخیص</v>
      </c>
      <c r="R114" s="12" t="str">
        <f ca="1">IFERROR(__xludf.DUMMYFUNCTION("GOOGLETRANSLATE($B114,""en"",R$3)"),"בדיקת יציאת אבחון")</f>
        <v>בדיקת יציאת אבחון</v>
      </c>
      <c r="S114" s="12" t="str">
        <f ca="1">IFERROR(__xludf.DUMMYFUNCTION("GOOGLETRANSLATE($B114,""en"",S$3)"),"Athugar Diagnostics höfn")</f>
        <v>Athugar Diagnostics höfn</v>
      </c>
      <c r="T114" s="12" t="str">
        <f ca="1">IFERROR(__xludf.DUMMYFUNCTION("GOOGLETRANSLATE($B114,""en"",T$3)"),"Kontrollere Diagnostics port")</f>
        <v>Kontrollere Diagnostics port</v>
      </c>
      <c r="U114" s="12" t="str">
        <f ca="1">IFERROR(__xludf.DUMMYFUNCTION("GOOGLETRANSLATE($B114,""en"",U$3)"),"التحقق من ميناء التشخيص")</f>
        <v>التحقق من ميناء التشخيص</v>
      </c>
      <c r="V114" s="12" t="str">
        <f ca="1">IFERROR(__xludf.DUMMYFUNCTION("GOOGLETRANSLATE($B114,""en"",V$3)"),"Sprawdzanie portu Diagnostics")</f>
        <v>Sprawdzanie portu Diagnostics</v>
      </c>
      <c r="W114" s="12" t="str">
        <f ca="1">IFERROR(__xludf.DUMMYFUNCTION("GOOGLETRANSLATE($B114,""en"",W$3)"),"Проверка порта диагностики")</f>
        <v>Проверка порта диагностики</v>
      </c>
      <c r="X114" s="12" t="str">
        <f ca="1">IFERROR(__xludf.DUMMYFUNCTION("GOOGLETRANSLATE($B114,""en"",X$3)"),"Comprobación de puerto de diagnóstico")</f>
        <v>Comprobación de puerto de diagnóstico</v>
      </c>
      <c r="Y114" s="12"/>
      <c r="Z114" s="12"/>
    </row>
    <row r="115" spans="1:26" ht="32.25" customHeight="1" x14ac:dyDescent="0.2">
      <c r="A115" s="17" t="s">
        <v>323</v>
      </c>
      <c r="B115" s="17" t="s">
        <v>324</v>
      </c>
      <c r="C115" s="11" t="str">
        <f ca="1">IFERROR(__xludf.DUMMYFUNCTION("GOOGLETRANSLATE($B115,""en"",C$3)"),"Auf Updates prüfen")</f>
        <v>Auf Updates prüfen</v>
      </c>
      <c r="D115" s="12" t="str">
        <f ca="1">IFERROR(__xludf.DUMMYFUNCTION("GOOGLETRANSLATE($B115,""en"",D$3)"),"Sök efter uppdateringar")</f>
        <v>Sök efter uppdateringar</v>
      </c>
      <c r="E115" s="13" t="s">
        <v>325</v>
      </c>
      <c r="F115" s="13" t="s">
        <v>325</v>
      </c>
      <c r="G115" s="12" t="str">
        <f ca="1">IFERROR(__xludf.DUMMYFUNCTION("GOOGLETRANSLATE($B115,""en"",G$3)"),"Check for Updates")</f>
        <v>Check for Updates</v>
      </c>
      <c r="H115" s="12" t="str">
        <f ca="1">IFERROR(__xludf.DUMMYFUNCTION("GOOGLETRANSLATE($B115,""en"",H$3)"),"Bilatu eguneratzeak")</f>
        <v>Bilatu eguneratzeak</v>
      </c>
      <c r="I115" s="12" t="str">
        <f ca="1">IFERROR(__xludf.DUMMYFUNCTION("GOOGLETRANSLATE($B115,""en"",I$3)"),"Buscar actualitzacions")</f>
        <v>Buscar actualitzacions</v>
      </c>
      <c r="J115" s="12" t="str">
        <f ca="1">IFERROR(__xludf.DUMMYFUNCTION("GOOGLETRANSLATE($B115,""en"",J$3)"),"Kontrola aktualizací")</f>
        <v>Kontrola aktualizací</v>
      </c>
      <c r="K115" s="12" t="str">
        <f ca="1">IFERROR(__xludf.DUMMYFUNCTION("GOOGLETRANSLATE($B115,""en"",K$3)"),"检查更新")</f>
        <v>检查更新</v>
      </c>
      <c r="L115" s="12" t="str">
        <f ca="1">IFERROR(__xludf.DUMMYFUNCTION("GOOGLETRANSLATE($B115,""en"",L$3)"),"檢查更新")</f>
        <v>檢查更新</v>
      </c>
      <c r="M115" s="12" t="str">
        <f ca="1">IFERROR(__xludf.DUMMYFUNCTION("GOOGLETRANSLATE($B115,""en"",M$3)"),"Controleren op updates")</f>
        <v>Controleren op updates</v>
      </c>
      <c r="N115" s="12" t="str">
        <f ca="1">IFERROR(__xludf.DUMMYFUNCTION("GOOGLETRANSLATE($B115,""en"",N$3)"),"Ελεγχος για ενημερώσεις")</f>
        <v>Ελεγχος για ενημερώσεις</v>
      </c>
      <c r="O115" s="12" t="str">
        <f ca="1">IFERROR(__xludf.DUMMYFUNCTION("GOOGLETRANSLATE($B115,""en"",O$3)"),"Tarkista päivitykset")</f>
        <v>Tarkista päivitykset</v>
      </c>
      <c r="P115" s="12" t="str">
        <f ca="1">IFERROR(__xludf.DUMMYFUNCTION("GOOGLETRANSLATE($B115,""en"",P$3)"),"Seiceáil do nuashrónaithe")</f>
        <v>Seiceáil do nuashrónaithe</v>
      </c>
      <c r="Q115" s="12" t="str">
        <f ca="1">IFERROR(__xludf.DUMMYFUNCTION("GOOGLETRANSLATE($B115,""en"",Q$3)"),"بررسی برای به روز رسانی")</f>
        <v>بررسی برای به روز رسانی</v>
      </c>
      <c r="R115" s="12" t="str">
        <f ca="1">IFERROR(__xludf.DUMMYFUNCTION("GOOGLETRANSLATE($B115,""en"",R$3)"),"בדוק עדכונים")</f>
        <v>בדוק עדכונים</v>
      </c>
      <c r="S115" s="12" t="str">
        <f ca="1">IFERROR(__xludf.DUMMYFUNCTION("GOOGLETRANSLATE($B115,""en"",S$3)"),"Athugaðu með uppfærslur")</f>
        <v>Athugaðu með uppfærslur</v>
      </c>
      <c r="T115" s="12" t="str">
        <f ca="1">IFERROR(__xludf.DUMMYFUNCTION("GOOGLETRANSLATE($B115,""en"",T$3)"),"Se etter oppdateringer")</f>
        <v>Se etter oppdateringer</v>
      </c>
      <c r="U115" s="12" t="str">
        <f ca="1">IFERROR(__xludf.DUMMYFUNCTION("GOOGLETRANSLATE($B115,""en"",U$3)"),"تحقق من وجود تحديثات")</f>
        <v>تحقق من وجود تحديثات</v>
      </c>
      <c r="V115" s="12" t="str">
        <f ca="1">IFERROR(__xludf.DUMMYFUNCTION("GOOGLETRANSLATE($B115,""en"",V$3)"),"Sprawdź aktualizacje")</f>
        <v>Sprawdź aktualizacje</v>
      </c>
      <c r="W115" s="12" t="str">
        <f ca="1">IFERROR(__xludf.DUMMYFUNCTION("GOOGLETRANSLATE($B115,""en"",W$3)"),"Проверить наличие обновлений")</f>
        <v>Проверить наличие обновлений</v>
      </c>
      <c r="X115" s="12" t="str">
        <f ca="1">IFERROR(__xludf.DUMMYFUNCTION("GOOGLETRANSLATE($B115,""en"",X$3)"),"Buscar actualizaciones")</f>
        <v>Buscar actualizaciones</v>
      </c>
      <c r="Y115" s="12"/>
      <c r="Z115" s="12"/>
    </row>
    <row r="116" spans="1:26" ht="32.25" customHeight="1" x14ac:dyDescent="0.2">
      <c r="A116" s="17" t="s">
        <v>326</v>
      </c>
      <c r="B116" s="17" t="s">
        <v>327</v>
      </c>
      <c r="C116" s="11" t="str">
        <f ca="1">IFERROR(__xludf.DUMMYFUNCTION("GOOGLETRANSLATE($B116,""en"",C$3)"),"Überprüfen Apache-Service")</f>
        <v>Überprüfen Apache-Service</v>
      </c>
      <c r="D116" s="12" t="str">
        <f ca="1">IFERROR(__xludf.DUMMYFUNCTION("GOOGLETRANSLATE($B116,""en"",D$3)"),"Kontroll Apache tjänsten")</f>
        <v>Kontroll Apache tjänsten</v>
      </c>
      <c r="E116" s="12" t="str">
        <f ca="1">IFERROR(__xludf.DUMMYFUNCTION("GOOGLETRANSLATE($B116,""en"",E$3)"),"Verificando serviço Apache")</f>
        <v>Verificando serviço Apache</v>
      </c>
      <c r="F116" s="12" t="str">
        <f ca="1">IFERROR(__xludf.DUMMYFUNCTION("GOOGLETRANSLATE($B116,""en"",F$3)"),"Verificando serviço Apache")</f>
        <v>Verificando serviço Apache</v>
      </c>
      <c r="G116" s="12" t="str">
        <f ca="1">IFERROR(__xludf.DUMMYFUNCTION("GOOGLETRANSLATE($B116,""en"",G$3)"),"Vérification de service Apache")</f>
        <v>Vérification de service Apache</v>
      </c>
      <c r="H116" s="12" t="str">
        <f ca="1">IFERROR(__xludf.DUMMYFUNCTION("GOOGLETRANSLATE($B116,""en"",H$3)"),"Apache zerbitzu egiaztatzen")</f>
        <v>Apache zerbitzu egiaztatzen</v>
      </c>
      <c r="I116" s="12" t="str">
        <f ca="1">IFERROR(__xludf.DUMMYFUNCTION("GOOGLETRANSLATE($B116,""en"",I$3)"),"Comprovació de servei d'Apache")</f>
        <v>Comprovació de servei d'Apache</v>
      </c>
      <c r="J116" s="12" t="str">
        <f ca="1">IFERROR(__xludf.DUMMYFUNCTION("GOOGLETRANSLATE($B116,""en"",J$3)"),"Kontrola služby Apache")</f>
        <v>Kontrola služby Apache</v>
      </c>
      <c r="K116" s="12" t="str">
        <f ca="1">IFERROR(__xludf.DUMMYFUNCTION("GOOGLETRANSLATE($B116,""en"",K$3)"),"检查Apache服务")</f>
        <v>检查Apache服务</v>
      </c>
      <c r="L116" s="12" t="str">
        <f ca="1">IFERROR(__xludf.DUMMYFUNCTION("GOOGLETRANSLATE($B116,""en"",L$3)"),"檢查Apache服務")</f>
        <v>檢查Apache服務</v>
      </c>
      <c r="M116" s="12" t="str">
        <f ca="1">IFERROR(__xludf.DUMMYFUNCTION("GOOGLETRANSLATE($B116,""en"",M$3)"),"Het controleren van Apache dienst")</f>
        <v>Het controleren van Apache dienst</v>
      </c>
      <c r="N116" s="12" t="str">
        <f ca="1">IFERROR(__xludf.DUMMYFUNCTION("GOOGLETRANSLATE($B116,""en"",N$3)"),"Έλεγχος υπηρεσία Apache")</f>
        <v>Έλεγχος υπηρεσία Apache</v>
      </c>
      <c r="O116" s="12" t="str">
        <f ca="1">IFERROR(__xludf.DUMMYFUNCTION("GOOGLETRANSLATE($B116,""en"",O$3)"),"Tarkistetaan Apache palvelun")</f>
        <v>Tarkistetaan Apache palvelun</v>
      </c>
      <c r="P116" s="12" t="str">
        <f ca="1">IFERROR(__xludf.DUMMYFUNCTION("GOOGLETRANSLATE($B116,""en"",P$3)"),"Seiceáil Seirbhís Apache")</f>
        <v>Seiceáil Seirbhís Apache</v>
      </c>
      <c r="Q116" s="12" t="str">
        <f ca="1">IFERROR(__xludf.DUMMYFUNCTION("GOOGLETRANSLATE($B116,""en"",Q$3)"),"چک کردن سرویس آپاچی")</f>
        <v>چک کردن سرویس آپاچی</v>
      </c>
      <c r="R116" s="12" t="str">
        <f ca="1">IFERROR(__xludf.DUMMYFUNCTION("GOOGLETRANSLATE($B116,""en"",R$3)"),"שירות Apache בבדיקה")</f>
        <v>שירות Apache בבדיקה</v>
      </c>
      <c r="S116" s="12" t="str">
        <f ca="1">IFERROR(__xludf.DUMMYFUNCTION("GOOGLETRANSLATE($B116,""en"",S$3)"),"Athugar Apache þjónustu")</f>
        <v>Athugar Apache þjónustu</v>
      </c>
      <c r="T116" s="12" t="str">
        <f ca="1">IFERROR(__xludf.DUMMYFUNCTION("GOOGLETRANSLATE($B116,""en"",T$3)"),"Kontroll Apache tjeneste")</f>
        <v>Kontroll Apache tjeneste</v>
      </c>
      <c r="U116" s="12" t="str">
        <f ca="1">IFERROR(__xludf.DUMMYFUNCTION("GOOGLETRANSLATE($B116,""en"",U$3)"),"فحص خدمة أباتشي")</f>
        <v>فحص خدمة أباتشي</v>
      </c>
      <c r="V116" s="12" t="str">
        <f ca="1">IFERROR(__xludf.DUMMYFUNCTION("GOOGLETRANSLATE($B116,""en"",V$3)"),"Sprawdzanie usługa Apache")</f>
        <v>Sprawdzanie usługa Apache</v>
      </c>
      <c r="W116" s="12" t="str">
        <f ca="1">IFERROR(__xludf.DUMMYFUNCTION("GOOGLETRANSLATE($B116,""en"",W$3)"),"Проверка службы Apache")</f>
        <v>Проверка службы Apache</v>
      </c>
      <c r="X116" s="12" t="str">
        <f ca="1">IFERROR(__xludf.DUMMYFUNCTION("GOOGLETRANSLATE($B116,""en"",X$3)"),"Comprobación de servicio de Apache")</f>
        <v>Comprobación de servicio de Apache</v>
      </c>
      <c r="Y116" s="12"/>
      <c r="Z116" s="12"/>
    </row>
    <row r="117" spans="1:26" ht="32.25" customHeight="1" x14ac:dyDescent="0.2">
      <c r="A117" s="17" t="s">
        <v>328</v>
      </c>
      <c r="B117" s="17" t="s">
        <v>329</v>
      </c>
      <c r="C117" s="11" t="str">
        <f ca="1">IFERROR(__xludf.DUMMYFUNCTION("GOOGLETRANSLATE($B117,""en"",C$3)"),"Überprüfen auf Updates")</f>
        <v>Überprüfen auf Updates</v>
      </c>
      <c r="D117" s="12" t="str">
        <f ca="1">IFERROR(__xludf.DUMMYFUNCTION("GOOGLETRANSLATE($B117,""en"",D$3)"),"Kollar efter uppdateringar")</f>
        <v>Kollar efter uppdateringar</v>
      </c>
      <c r="E117" s="12" t="str">
        <f ca="1">IFERROR(__xludf.DUMMYFUNCTION("GOOGLETRANSLATE($B117,""en"",E$3)"),"Verificar atualizações")</f>
        <v>Verificar atualizações</v>
      </c>
      <c r="F117" s="12" t="str">
        <f ca="1">IFERROR(__xludf.DUMMYFUNCTION("GOOGLETRANSLATE($B117,""en"",F$3)"),"Verificar atualizações")</f>
        <v>Verificar atualizações</v>
      </c>
      <c r="G117" s="12" t="str">
        <f ca="1">IFERROR(__xludf.DUMMYFUNCTION("GOOGLETRANSLATE($B117,""en"",G$3)"),"Vérification des mises à jour")</f>
        <v>Vérification des mises à jour</v>
      </c>
      <c r="H117" s="12" t="str">
        <f ca="1">IFERROR(__xludf.DUMMYFUNCTION("GOOGLETRANSLATE($B117,""en"",H$3)"),"Eguneratzeak bilatzen")</f>
        <v>Eguneratzeak bilatzen</v>
      </c>
      <c r="I117" s="12" t="str">
        <f ca="1">IFERROR(__xludf.DUMMYFUNCTION("GOOGLETRANSLATE($B117,""en"",I$3)"),"Cerca d'actualitzacions")</f>
        <v>Cerca d'actualitzacions</v>
      </c>
      <c r="J117" s="12" t="str">
        <f ca="1">IFERROR(__xludf.DUMMYFUNCTION("GOOGLETRANSLATE($B117,""en"",J$3)"),"Kontrola aktualizací")</f>
        <v>Kontrola aktualizací</v>
      </c>
      <c r="K117" s="12" t="str">
        <f ca="1">IFERROR(__xludf.DUMMYFUNCTION("GOOGLETRANSLATE($B117,""en"",K$3)"),"查询更新")</f>
        <v>查询更新</v>
      </c>
      <c r="L117" s="12" t="str">
        <f ca="1">IFERROR(__xludf.DUMMYFUNCTION("GOOGLETRANSLATE($B117,""en"",L$3)"),"查詢更新")</f>
        <v>查詢更新</v>
      </c>
      <c r="M117" s="12" t="str">
        <f ca="1">IFERROR(__xludf.DUMMYFUNCTION("GOOGLETRANSLATE($B117,""en"",M$3)"),"Controleren op updates")</f>
        <v>Controleren op updates</v>
      </c>
      <c r="N117" s="12" t="str">
        <f ca="1">IFERROR(__xludf.DUMMYFUNCTION("GOOGLETRANSLATE($B117,""en"",N$3)"),"Ελεγχος για ενημερώσεις")</f>
        <v>Ελεγχος για ενημερώσεις</v>
      </c>
      <c r="O117" s="12" t="str">
        <f ca="1">IFERROR(__xludf.DUMMYFUNCTION("GOOGLETRANSLATE($B117,""en"",O$3)"),"Tarkistetaan päivityksiä")</f>
        <v>Tarkistetaan päivityksiä</v>
      </c>
      <c r="P117" s="12" t="str">
        <f ca="1">IFERROR(__xludf.DUMMYFUNCTION("GOOGLETRANSLATE($B117,""en"",P$3)"),"Seiceáil do Nuashonruithe")</f>
        <v>Seiceáil do Nuashonruithe</v>
      </c>
      <c r="Q117" s="12" t="str">
        <f ca="1">IFERROR(__xludf.DUMMYFUNCTION("GOOGLETRANSLATE($B117,""en"",Q$3)"),"چک کردن برای به روز رسانی")</f>
        <v>چک کردن برای به روز رسانی</v>
      </c>
      <c r="R117" s="12" t="str">
        <f ca="1">IFERROR(__xludf.DUMMYFUNCTION("GOOGLETRANSLATE($B117,""en"",R$3)"),"מחפש עדכונים")</f>
        <v>מחפש עדכונים</v>
      </c>
      <c r="S117" s="12" t="str">
        <f ca="1">IFERROR(__xludf.DUMMYFUNCTION("GOOGLETRANSLATE($B117,""en"",S$3)"),"Athugar Uppfærslur")</f>
        <v>Athugar Uppfærslur</v>
      </c>
      <c r="T117" s="12" t="str">
        <f ca="1">IFERROR(__xludf.DUMMYFUNCTION("GOOGLETRANSLATE($B117,""en"",T$3)"),"Ser etter oppdateringer")</f>
        <v>Ser etter oppdateringer</v>
      </c>
      <c r="U117" s="12" t="str">
        <f ca="1">IFERROR(__xludf.DUMMYFUNCTION("GOOGLETRANSLATE($B117,""en"",U$3)"),"البحث عن تحديثات")</f>
        <v>البحث عن تحديثات</v>
      </c>
      <c r="V117" s="12" t="str">
        <f ca="1">IFERROR(__xludf.DUMMYFUNCTION("GOOGLETRANSLATE($B117,""en"",V$3)"),"Sprawdzanie aktualizacji")</f>
        <v>Sprawdzanie aktualizacji</v>
      </c>
      <c r="W117" s="12" t="str">
        <f ca="1">IFERROR(__xludf.DUMMYFUNCTION("GOOGLETRANSLATE($B117,""en"",W$3)"),"Проверка обновлений")</f>
        <v>Проверка обновлений</v>
      </c>
      <c r="X117" s="12" t="str">
        <f ca="1">IFERROR(__xludf.DUMMYFUNCTION("GOOGLETRANSLATE($B117,""en"",X$3)"),"Comprobando actualizaciones")</f>
        <v>Comprobando actualizaciones</v>
      </c>
      <c r="Y117" s="12"/>
      <c r="Z117" s="12"/>
    </row>
    <row r="118" spans="1:26" ht="32.25" customHeight="1" x14ac:dyDescent="0.2">
      <c r="A118" s="17" t="s">
        <v>330</v>
      </c>
      <c r="B118" s="17" t="s">
        <v>331</v>
      </c>
      <c r="C118" s="11" t="str">
        <f ca="1">IFERROR(__xludf.DUMMYFUNCTION("GOOGLETRANSLATE($B118,""en"",C$3)"),"Überprüfen LAN Loopback")</f>
        <v>Überprüfen LAN Loopback</v>
      </c>
      <c r="D118" s="12" t="str">
        <f ca="1">IFERROR(__xludf.DUMMYFUNCTION("GOOGLETRANSLATE($B118,""en"",D$3)"),"Kontroll LAN loopback")</f>
        <v>Kontroll LAN loopback</v>
      </c>
      <c r="E118" s="12" t="str">
        <f ca="1">IFERROR(__xludf.DUMMYFUNCTION("GOOGLETRANSLATE($B118,""en"",E$3)"),"Verificando LAN Loopback")</f>
        <v>Verificando LAN Loopback</v>
      </c>
      <c r="F118" s="12" t="str">
        <f ca="1">IFERROR(__xludf.DUMMYFUNCTION("GOOGLETRANSLATE($B118,""en"",F$3)"),"Verificando LAN Loopback")</f>
        <v>Verificando LAN Loopback</v>
      </c>
      <c r="G118" s="12" t="str">
        <f ca="1">IFERROR(__xludf.DUMMYFUNCTION("GOOGLETRANSLATE($B118,""en"",G$3)"),"Vérification LAN Bouclage")</f>
        <v>Vérification LAN Bouclage</v>
      </c>
      <c r="H118" s="12" t="str">
        <f ca="1">IFERROR(__xludf.DUMMYFUNCTION("GOOGLETRANSLATE($B118,""en"",H$3)"),"LAN loopback egiaztatzen")</f>
        <v>LAN loopback egiaztatzen</v>
      </c>
      <c r="I118" s="12" t="str">
        <f ca="1">IFERROR(__xludf.DUMMYFUNCTION("GOOGLETRANSLATE($B118,""en"",I$3)"),"Comprovació de bucle invertit de LAN")</f>
        <v>Comprovació de bucle invertit de LAN</v>
      </c>
      <c r="J118" s="12" t="str">
        <f ca="1">IFERROR(__xludf.DUMMYFUNCTION("GOOGLETRANSLATE($B118,""en"",J$3)"),"Kontrola LAN Loopback")</f>
        <v>Kontrola LAN Loopback</v>
      </c>
      <c r="K118" s="12" t="str">
        <f ca="1">IFERROR(__xludf.DUMMYFUNCTION("GOOGLETRANSLATE($B118,""en"",K$3)"),"检查LAN回环")</f>
        <v>检查LAN回环</v>
      </c>
      <c r="L118" s="12" t="str">
        <f ca="1">IFERROR(__xludf.DUMMYFUNCTION("GOOGLETRANSLATE($B118,""en"",L$3)"),"檢查LAN回環")</f>
        <v>檢查LAN回環</v>
      </c>
      <c r="M118" s="12" t="str">
        <f ca="1">IFERROR(__xludf.DUMMYFUNCTION("GOOGLETRANSLATE($B118,""en"",M$3)"),"Het controleren van LAN Loopback")</f>
        <v>Het controleren van LAN Loopback</v>
      </c>
      <c r="N118" s="12" t="str">
        <f ca="1">IFERROR(__xludf.DUMMYFUNCTION("GOOGLETRANSLATE($B118,""en"",N$3)"),"Έλεγχος LAN Loopback")</f>
        <v>Έλεγχος LAN Loopback</v>
      </c>
      <c r="O118" s="12" t="str">
        <f ca="1">IFERROR(__xludf.DUMMYFUNCTION("GOOGLETRANSLATE($B118,""en"",O$3)"),"Tarkistaminen LAN Loopback")</f>
        <v>Tarkistaminen LAN Loopback</v>
      </c>
      <c r="P118" s="12" t="str">
        <f ca="1">IFERROR(__xludf.DUMMYFUNCTION("GOOGLETRANSLATE($B118,""en"",P$3)"),"Seiceáil LAN loopback")</f>
        <v>Seiceáil LAN loopback</v>
      </c>
      <c r="Q118" s="12" t="str">
        <f ca="1">IFERROR(__xludf.DUMMYFUNCTION("GOOGLETRANSLATE($B118,""en"",Q$3)"),"چک کردن شبکه پرونده")</f>
        <v>چک کردن شبکه پرونده</v>
      </c>
      <c r="R118" s="12" t="str">
        <f ca="1">IFERROR(__xludf.DUMMYFUNCTION("GOOGLETRANSLATE($B118,""en"",R$3)"),"בדיקת LAN Loopback")</f>
        <v>בדיקת LAN Loopback</v>
      </c>
      <c r="S118" s="12" t="str">
        <f ca="1">IFERROR(__xludf.DUMMYFUNCTION("GOOGLETRANSLATE($B118,""en"",S$3)"),"Athugar LAN sýndardiskur")</f>
        <v>Athugar LAN sýndardiskur</v>
      </c>
      <c r="T118" s="12" t="str">
        <f ca="1">IFERROR(__xludf.DUMMYFUNCTION("GOOGLETRANSLATE($B118,""en"",T$3)"),"Sjekker LAN Loopback")</f>
        <v>Sjekker LAN Loopback</v>
      </c>
      <c r="U118" s="12" t="str">
        <f ca="1">IFERROR(__xludf.DUMMYFUNCTION("GOOGLETRANSLATE($B118,""en"",U$3)"),"فحص LAN الاسترجاع")</f>
        <v>فحص LAN الاسترجاع</v>
      </c>
      <c r="V118" s="12" t="str">
        <f ca="1">IFERROR(__xludf.DUMMYFUNCTION("GOOGLETRANSLATE($B118,""en"",V$3)"),"Sprawdzanie LAN LOOPBACK")</f>
        <v>Sprawdzanie LAN LOOPBACK</v>
      </c>
      <c r="W118" s="12" t="str">
        <f ca="1">IFERROR(__xludf.DUMMYFUNCTION("GOOGLETRANSLATE($B118,""en"",W$3)"),"Проверка LAN Loopback")</f>
        <v>Проверка LAN Loopback</v>
      </c>
      <c r="X118" s="12" t="str">
        <f ca="1">IFERROR(__xludf.DUMMYFUNCTION("GOOGLETRANSLATE($B118,""en"",X$3)"),"Comprobación de bucle invertido de LAN")</f>
        <v>Comprobación de bucle invertido de LAN</v>
      </c>
      <c r="Y118" s="12"/>
      <c r="Z118" s="12"/>
    </row>
    <row r="119" spans="1:26" ht="32.25" customHeight="1" x14ac:dyDescent="0.2">
      <c r="A119" s="17" t="s">
        <v>332</v>
      </c>
      <c r="B119" s="17" t="s">
        <v>333</v>
      </c>
      <c r="C119" s="11" t="str">
        <f ca="1">IFERROR(__xludf.DUMMYFUNCTION("GOOGLETRANSLATE($B119,""en"",C$3)"),"Überprüfen Loopback")</f>
        <v>Überprüfen Loopback</v>
      </c>
      <c r="D119" s="12" t="str">
        <f ca="1">IFERROR(__xludf.DUMMYFUNCTION("GOOGLETRANSLATE($B119,""en"",D$3)"),"kontroll Loopback")</f>
        <v>kontroll Loopback</v>
      </c>
      <c r="E119" s="13" t="s">
        <v>334</v>
      </c>
      <c r="F119" s="13" t="s">
        <v>334</v>
      </c>
      <c r="G119" s="12" t="str">
        <f ca="1">IFERROR(__xludf.DUMMYFUNCTION("GOOGLETRANSLATE($B119,""en"",G$3)"),"Vérification bouclage")</f>
        <v>Vérification bouclage</v>
      </c>
      <c r="H119" s="12" t="str">
        <f ca="1">IFERROR(__xludf.DUMMYFUNCTION("GOOGLETRANSLATE($B119,""en"",H$3)"),"loopback egiaztatzen")</f>
        <v>loopback egiaztatzen</v>
      </c>
      <c r="I119" s="12" t="str">
        <f ca="1">IFERROR(__xludf.DUMMYFUNCTION("GOOGLETRANSLATE($B119,""en"",I$3)"),"Comprovació de bucle invertit")</f>
        <v>Comprovació de bucle invertit</v>
      </c>
      <c r="J119" s="12" t="str">
        <f ca="1">IFERROR(__xludf.DUMMYFUNCTION("GOOGLETRANSLATE($B119,""en"",J$3)"),"Kontrola Loopback")</f>
        <v>Kontrola Loopback</v>
      </c>
      <c r="K119" s="12" t="str">
        <f ca="1">IFERROR(__xludf.DUMMYFUNCTION("GOOGLETRANSLATE($B119,""en"",K$3)"),"检查环回")</f>
        <v>检查环回</v>
      </c>
      <c r="L119" s="12" t="str">
        <f ca="1">IFERROR(__xludf.DUMMYFUNCTION("GOOGLETRANSLATE($B119,""en"",L$3)"),"檢查環回")</f>
        <v>檢查環回</v>
      </c>
      <c r="M119" s="12" t="str">
        <f ca="1">IFERROR(__xludf.DUMMYFUNCTION("GOOGLETRANSLATE($B119,""en"",M$3)"),"Het controleren van Loopback")</f>
        <v>Het controleren van Loopback</v>
      </c>
      <c r="N119" s="12" t="str">
        <f ca="1">IFERROR(__xludf.DUMMYFUNCTION("GOOGLETRANSLATE($B119,""en"",N$3)"),"Έλεγχος Loopback")</f>
        <v>Έλεγχος Loopback</v>
      </c>
      <c r="O119" s="12" t="str">
        <f ca="1">IFERROR(__xludf.DUMMYFUNCTION("GOOGLETRANSLATE($B119,""en"",O$3)"),"Tarkistetaan Loopback")</f>
        <v>Tarkistetaan Loopback</v>
      </c>
      <c r="P119" s="12" t="str">
        <f ca="1">IFERROR(__xludf.DUMMYFUNCTION("GOOGLETRANSLATE($B119,""en"",P$3)"),"Seiceáil loopback")</f>
        <v>Seiceáil loopback</v>
      </c>
      <c r="Q119" s="12" t="str">
        <f ca="1">IFERROR(__xludf.DUMMYFUNCTION("GOOGLETRANSLATE($B119,""en"",Q$3)"),"چک کردن پرونده")</f>
        <v>چک کردن پرونده</v>
      </c>
      <c r="R119" s="12" t="str">
        <f ca="1">IFERROR(__xludf.DUMMYFUNCTION("GOOGLETRANSLATE($B119,""en"",R$3)"),"בדיקת Loopback")</f>
        <v>בדיקת Loopback</v>
      </c>
      <c r="S119" s="12" t="str">
        <f ca="1">IFERROR(__xludf.DUMMYFUNCTION("GOOGLETRANSLATE($B119,""en"",S$3)"),"Athugar sýndardiskur")</f>
        <v>Athugar sýndardiskur</v>
      </c>
      <c r="T119" s="12" t="str">
        <f ca="1">IFERROR(__xludf.DUMMYFUNCTION("GOOGLETRANSLATE($B119,""en"",T$3)"),"Kontroll Loopback")</f>
        <v>Kontroll Loopback</v>
      </c>
      <c r="U119" s="12" t="str">
        <f ca="1">IFERROR(__xludf.DUMMYFUNCTION("GOOGLETRANSLATE($B119,""en"",U$3)"),"التحقق الاسترجاع")</f>
        <v>التحقق الاسترجاع</v>
      </c>
      <c r="V119" s="12" t="str">
        <f ca="1">IFERROR(__xludf.DUMMYFUNCTION("GOOGLETRANSLATE($B119,""en"",V$3)"),"Sprawdzanie lOOPBACK")</f>
        <v>Sprawdzanie lOOPBACK</v>
      </c>
      <c r="W119" s="12" t="str">
        <f ca="1">IFERROR(__xludf.DUMMYFUNCTION("GOOGLETRANSLATE($B119,""en"",W$3)"),"Проверка Loopback")</f>
        <v>Проверка Loopback</v>
      </c>
      <c r="X119" s="12" t="str">
        <f ca="1">IFERROR(__xludf.DUMMYFUNCTION("GOOGLETRANSLATE($B119,""en"",X$3)"),"Comprobación de bucle invertido")</f>
        <v>Comprobación de bucle invertido</v>
      </c>
      <c r="Y119" s="12"/>
      <c r="Z119" s="12"/>
    </row>
    <row r="120" spans="1:26" ht="32.25" customHeight="1" x14ac:dyDescent="0.2">
      <c r="A120" s="17" t="s">
        <v>335</v>
      </c>
      <c r="B120" s="17" t="s">
        <v>336</v>
      </c>
      <c r="C120" s="11" t="str">
        <f ca="1">IFERROR(__xludf.DUMMYFUNCTION("GOOGLETRANSLATE($B120,""en"",C$3)"),"Überprüfen MySql")</f>
        <v>Überprüfen MySql</v>
      </c>
      <c r="D120" s="12" t="str">
        <f ca="1">IFERROR(__xludf.DUMMYFUNCTION("GOOGLETRANSLATE($B120,""en"",D$3)"),"kontroll MySql")</f>
        <v>kontroll MySql</v>
      </c>
      <c r="E120" s="12" t="str">
        <f ca="1">IFERROR(__xludf.DUMMYFUNCTION("GOOGLETRANSLATE($B120,""en"",E$3)"),"Verificando MySql")</f>
        <v>Verificando MySql</v>
      </c>
      <c r="F120" s="12" t="str">
        <f ca="1">IFERROR(__xludf.DUMMYFUNCTION("GOOGLETRANSLATE($B120,""en"",F$3)"),"Verificando MySql")</f>
        <v>Verificando MySql</v>
      </c>
      <c r="G120" s="12" t="str">
        <f ca="1">IFERROR(__xludf.DUMMYFUNCTION("GOOGLETRANSLATE($B120,""en"",G$3)"),"Vérification MySql")</f>
        <v>Vérification MySql</v>
      </c>
      <c r="H120" s="12" t="str">
        <f ca="1">IFERROR(__xludf.DUMMYFUNCTION("GOOGLETRANSLATE($B120,""en"",H$3)"),"egiaztatzen MySql")</f>
        <v>egiaztatzen MySql</v>
      </c>
      <c r="I120" s="12" t="str">
        <f ca="1">IFERROR(__xludf.DUMMYFUNCTION("GOOGLETRANSLATE($B120,""en"",I$3)"),"Comprovació de MySql")</f>
        <v>Comprovació de MySql</v>
      </c>
      <c r="J120" s="12" t="str">
        <f ca="1">IFERROR(__xludf.DUMMYFUNCTION("GOOGLETRANSLATE($B120,""en"",J$3)"),"Kontrola MySQL")</f>
        <v>Kontrola MySQL</v>
      </c>
      <c r="K120" s="12" t="str">
        <f ca="1">IFERROR(__xludf.DUMMYFUNCTION("GOOGLETRANSLATE($B120,""en"",K$3)"),"检查的MySql")</f>
        <v>检查的MySql</v>
      </c>
      <c r="L120" s="12" t="str">
        <f ca="1">IFERROR(__xludf.DUMMYFUNCTION("GOOGLETRANSLATE($B120,""en"",L$3)"),"檢查的MySql")</f>
        <v>檢查的MySql</v>
      </c>
      <c r="M120" s="12" t="str">
        <f ca="1">IFERROR(__xludf.DUMMYFUNCTION("GOOGLETRANSLATE($B120,""en"",M$3)"),"Controle MySql")</f>
        <v>Controle MySql</v>
      </c>
      <c r="N120" s="12" t="str">
        <f ca="1">IFERROR(__xludf.DUMMYFUNCTION("GOOGLETRANSLATE($B120,""en"",N$3)"),"Έλεγχος MySql")</f>
        <v>Έλεγχος MySql</v>
      </c>
      <c r="O120" s="12" t="str">
        <f ca="1">IFERROR(__xludf.DUMMYFUNCTION("GOOGLETRANSLATE($B120,""en"",O$3)"),"Tarkistetaan MySQL")</f>
        <v>Tarkistetaan MySQL</v>
      </c>
      <c r="P120" s="12" t="str">
        <f ca="1">IFERROR(__xludf.DUMMYFUNCTION("GOOGLETRANSLATE($B120,""en"",P$3)"),"MySQL Seiceáil")</f>
        <v>MySQL Seiceáil</v>
      </c>
      <c r="Q120" s="12" t="str">
        <f ca="1">IFERROR(__xludf.DUMMYFUNCTION("GOOGLETRANSLATE($B120,""en"",Q$3)"),"چک کردن خروجی")</f>
        <v>چک کردن خروجی</v>
      </c>
      <c r="R120" s="12" t="str">
        <f ca="1">IFERROR(__xludf.DUMMYFUNCTION("GOOGLETRANSLATE($B120,""en"",R$3)"),"בדיקת MySql")</f>
        <v>בדיקת MySql</v>
      </c>
      <c r="S120" s="12" t="str">
        <f ca="1">IFERROR(__xludf.DUMMYFUNCTION("GOOGLETRANSLATE($B120,""en"",S$3)"),"Athugar MySql")</f>
        <v>Athugar MySql</v>
      </c>
      <c r="T120" s="12" t="str">
        <f ca="1">IFERROR(__xludf.DUMMYFUNCTION("GOOGLETRANSLATE($B120,""en"",T$3)"),"Kontroll MySql")</f>
        <v>Kontroll MySql</v>
      </c>
      <c r="U120" s="12" t="str">
        <f ca="1">IFERROR(__xludf.DUMMYFUNCTION("GOOGLETRANSLATE($B120,""en"",U$3)"),"فحص الخلية")</f>
        <v>فحص الخلية</v>
      </c>
      <c r="V120" s="12" t="str">
        <f ca="1">IFERROR(__xludf.DUMMYFUNCTION("GOOGLETRANSLATE($B120,""en"",V$3)"),"Sprawdzanie MySql")</f>
        <v>Sprawdzanie MySql</v>
      </c>
      <c r="W120" s="12" t="str">
        <f ca="1">IFERROR(__xludf.DUMMYFUNCTION("GOOGLETRANSLATE($B120,""en"",W$3)"),"Проверка MySql")</f>
        <v>Проверка MySql</v>
      </c>
      <c r="X120" s="12" t="str">
        <f ca="1">IFERROR(__xludf.DUMMYFUNCTION("GOOGLETRANSLATE($B120,""en"",X$3)"),"Comprobación de MySql")</f>
        <v>Comprobación de MySql</v>
      </c>
      <c r="Y120" s="12"/>
      <c r="Z120" s="12"/>
    </row>
    <row r="121" spans="1:26" ht="32.25" customHeight="1" x14ac:dyDescent="0.2">
      <c r="A121" s="17" t="s">
        <v>337</v>
      </c>
      <c r="B121" s="17" t="s">
        <v>338</v>
      </c>
      <c r="C121" s="11" t="str">
        <f ca="1">IFERROR(__xludf.DUMMYFUNCTION("GOOGLETRANSLATE($B121,""en"",C$3)"),"Überprüfen Router")</f>
        <v>Überprüfen Router</v>
      </c>
      <c r="D121" s="12" t="str">
        <f ca="1">IFERROR(__xludf.DUMMYFUNCTION("GOOGLETRANSLATE($B121,""en"",D$3)"),"kontroll Router")</f>
        <v>kontroll Router</v>
      </c>
      <c r="E121" s="12" t="str">
        <f ca="1">IFERROR(__xludf.DUMMYFUNCTION("GOOGLETRANSLATE($B121,""en"",E$3)"),"Verificando Router")</f>
        <v>Verificando Router</v>
      </c>
      <c r="F121" s="12" t="str">
        <f ca="1">IFERROR(__xludf.DUMMYFUNCTION("GOOGLETRANSLATE($B121,""en"",F$3)"),"Verificando Router")</f>
        <v>Verificando Router</v>
      </c>
      <c r="G121" s="12" t="str">
        <f ca="1">IFERROR(__xludf.DUMMYFUNCTION("GOOGLETRANSLATE($B121,""en"",G$3)"),"Router Vérification")</f>
        <v>Router Vérification</v>
      </c>
      <c r="H121" s="12" t="str">
        <f ca="1">IFERROR(__xludf.DUMMYFUNCTION("GOOGLETRANSLATE($B121,""en"",H$3)"),"Router egiaztatzen")</f>
        <v>Router egiaztatzen</v>
      </c>
      <c r="I121" s="12" t="str">
        <f ca="1">IFERROR(__xludf.DUMMYFUNCTION("GOOGLETRANSLATE($B121,""en"",I$3)"),"Comprovació de l'router")</f>
        <v>Comprovació de l'router</v>
      </c>
      <c r="J121" s="12" t="str">
        <f ca="1">IFERROR(__xludf.DUMMYFUNCTION("GOOGLETRANSLATE($B121,""en"",J$3)"),"Kontrola Router")</f>
        <v>Kontrola Router</v>
      </c>
      <c r="K121" s="12" t="str">
        <f ca="1">IFERROR(__xludf.DUMMYFUNCTION("GOOGLETRANSLATE($B121,""en"",K$3)"),"检查路由器")</f>
        <v>检查路由器</v>
      </c>
      <c r="L121" s="12" t="str">
        <f ca="1">IFERROR(__xludf.DUMMYFUNCTION("GOOGLETRANSLATE($B121,""en"",L$3)"),"檢查路由器")</f>
        <v>檢查路由器</v>
      </c>
      <c r="M121" s="12" t="str">
        <f ca="1">IFERROR(__xludf.DUMMYFUNCTION("GOOGLETRANSLATE($B121,""en"",M$3)"),"Controle Router")</f>
        <v>Controle Router</v>
      </c>
      <c r="N121" s="12" t="str">
        <f ca="1">IFERROR(__xludf.DUMMYFUNCTION("GOOGLETRANSLATE($B121,""en"",N$3)"),"Έλεγχος Router")</f>
        <v>Έλεγχος Router</v>
      </c>
      <c r="O121" s="12" t="str">
        <f ca="1">IFERROR(__xludf.DUMMYFUNCTION("GOOGLETRANSLATE($B121,""en"",O$3)"),"Tarkistetaan reititin")</f>
        <v>Tarkistetaan reititin</v>
      </c>
      <c r="P121" s="12" t="str">
        <f ca="1">IFERROR(__xludf.DUMMYFUNCTION("GOOGLETRANSLATE($B121,""en"",P$3)"),"Seiceáil Ródaire")</f>
        <v>Seiceáil Ródaire</v>
      </c>
      <c r="Q121" s="12" t="str">
        <f ca="1">IFERROR(__xludf.DUMMYFUNCTION("GOOGLETRANSLATE($B121,""en"",Q$3)"),"چک کردن روتر")</f>
        <v>چک کردن روتر</v>
      </c>
      <c r="R121" s="12" t="str">
        <f ca="1">IFERROR(__xludf.DUMMYFUNCTION("GOOGLETRANSLATE($B121,""en"",R$3)"),"בדיקת נתב")</f>
        <v>בדיקת נתב</v>
      </c>
      <c r="S121" s="12" t="str">
        <f ca="1">IFERROR(__xludf.DUMMYFUNCTION("GOOGLETRANSLATE($B121,""en"",S$3)"),"Athugar router")</f>
        <v>Athugar router</v>
      </c>
      <c r="T121" s="12" t="str">
        <f ca="1">IFERROR(__xludf.DUMMYFUNCTION("GOOGLETRANSLATE($B121,""en"",T$3)"),"Kontroll Router")</f>
        <v>Kontroll Router</v>
      </c>
      <c r="U121" s="12" t="str">
        <f ca="1">IFERROR(__xludf.DUMMYFUNCTION("GOOGLETRANSLATE($B121,""en"",U$3)"),"فحص راوتر")</f>
        <v>فحص راوتر</v>
      </c>
      <c r="V121" s="12" t="str">
        <f ca="1">IFERROR(__xludf.DUMMYFUNCTION("GOOGLETRANSLATE($B121,""en"",V$3)"),"Sprawdzanie routera")</f>
        <v>Sprawdzanie routera</v>
      </c>
      <c r="W121" s="12" t="str">
        <f ca="1">IFERROR(__xludf.DUMMYFUNCTION("GOOGLETRANSLATE($B121,""en"",W$3)"),"Проверка маршрутизатора")</f>
        <v>Проверка маршрутизатора</v>
      </c>
      <c r="X121" s="12" t="str">
        <f ca="1">IFERROR(__xludf.DUMMYFUNCTION("GOOGLETRANSLATE($B121,""en"",X$3)"),"Comprobación del router")</f>
        <v>Comprobación del router</v>
      </c>
      <c r="Y121" s="12"/>
      <c r="Z121" s="12"/>
    </row>
    <row r="122" spans="1:26" ht="32.25" customHeight="1" x14ac:dyDescent="0.2">
      <c r="A122" s="10" t="s">
        <v>339</v>
      </c>
      <c r="B122" s="10" t="s">
        <v>9</v>
      </c>
      <c r="C122" s="11" t="str">
        <f ca="1">IFERROR(__xludf.DUMMYFUNCTION("GOOGLETRANSLATE($B122,""en"",C$3)"),"Chinese Simplifed")</f>
        <v>Chinese Simplifed</v>
      </c>
      <c r="D122" s="11" t="str">
        <f ca="1">IFERROR(__xludf.DUMMYFUNCTION("GOOGLETRANSLATE($B122,""en"",D$3)"),"kinesiska Simplifed")</f>
        <v>kinesiska Simplifed</v>
      </c>
      <c r="E122" s="11" t="str">
        <f ca="1">IFERROR(__xludf.DUMMYFUNCTION("GOOGLETRANSLATE($B122,""en"",E$3)"),"Simplificado chinês")</f>
        <v>Simplificado chinês</v>
      </c>
      <c r="F122" s="11" t="str">
        <f ca="1">IFERROR(__xludf.DUMMYFUNCTION("GOOGLETRANSLATE($B122,""en"",F$3)"),"Simplificado chinês")</f>
        <v>Simplificado chinês</v>
      </c>
      <c r="G122" s="11" t="str">
        <f ca="1">IFERROR(__xludf.DUMMYFUNCTION("GOOGLETRANSLATE($B122,""en"",G$3)"),"chinois Simplifed")</f>
        <v>chinois Simplifed</v>
      </c>
      <c r="H122" s="11" t="str">
        <f ca="1">IFERROR(__xludf.DUMMYFUNCTION("GOOGLETRANSLATE($B122,""en"",H$3)"),"Txinako Simplifed")</f>
        <v>Txinako Simplifed</v>
      </c>
      <c r="I122" s="11" t="str">
        <f ca="1">IFERROR(__xludf.DUMMYFUNCTION("GOOGLETRANSLATE($B122,""en"",I$3)"),"simplifed xinès")</f>
        <v>simplifed xinès</v>
      </c>
      <c r="J122" s="11" t="str">
        <f ca="1">IFERROR(__xludf.DUMMYFUNCTION("GOOGLETRANSLATE($B122,""en"",J$3)"),"Čínský Simplifed")</f>
        <v>Čínský Simplifed</v>
      </c>
      <c r="K122" s="11" t="str">
        <f ca="1">IFERROR(__xludf.DUMMYFUNCTION("GOOGLETRANSLATE($B122,""en"",K$3)"),"中国Simplifed")</f>
        <v>中国Simplifed</v>
      </c>
      <c r="L122" s="11" t="str">
        <f ca="1">IFERROR(__xludf.DUMMYFUNCTION("GOOGLETRANSLATE($B122,""en"",L$3)"),"中國Simplifed")</f>
        <v>中國Simplifed</v>
      </c>
      <c r="M122" s="11" t="str">
        <f ca="1">IFERROR(__xludf.DUMMYFUNCTION("GOOGLETRANSLATE($B122,""en"",M$3)"),"Chinese Simplifed")</f>
        <v>Chinese Simplifed</v>
      </c>
      <c r="N122" s="11" t="str">
        <f ca="1">IFERROR(__xludf.DUMMYFUNCTION("GOOGLETRANSLATE($B122,""en"",N$3)"),"κινεζική simplifed")</f>
        <v>κινεζική simplifed</v>
      </c>
      <c r="O122" s="11" t="str">
        <f ca="1">IFERROR(__xludf.DUMMYFUNCTION("GOOGLETRANSLATE($B122,""en"",O$3)"),"kiinalainen simplifed")</f>
        <v>kiinalainen simplifed</v>
      </c>
      <c r="P122" s="11" t="str">
        <f ca="1">IFERROR(__xludf.DUMMYFUNCTION("GOOGLETRANSLATE($B122,""en"",P$3)"),"Sínis Simplifed")</f>
        <v>Sínis Simplifed</v>
      </c>
      <c r="Q122" s="11" t="str">
        <f ca="1">IFERROR(__xludf.DUMMYFUNCTION("GOOGLETRANSLATE($B122,""en"",Q$3)"),"Simplifed چینی")</f>
        <v>Simplifed چینی</v>
      </c>
      <c r="R122" s="11" t="str">
        <f ca="1">IFERROR(__xludf.DUMMYFUNCTION("GOOGLETRANSLATE($B122,""en"",R$3)"),"סיני Simplifed")</f>
        <v>סיני Simplifed</v>
      </c>
      <c r="S122" s="11" t="str">
        <f ca="1">IFERROR(__xludf.DUMMYFUNCTION("GOOGLETRANSLATE($B122,""en"",S$3)"),"Kínverska Simplifed")</f>
        <v>Kínverska Simplifed</v>
      </c>
      <c r="T122" s="11" t="str">
        <f ca="1">IFERROR(__xludf.DUMMYFUNCTION("GOOGLETRANSLATE($B122,""en"",T$3)"),"kinesisk Forenklet")</f>
        <v>kinesisk Forenklet</v>
      </c>
      <c r="U122" s="11" t="str">
        <f ca="1">IFERROR(__xludf.DUMMYFUNCTION("GOOGLETRANSLATE($B122,""en"",U$3)"),"Simplifed الصينية")</f>
        <v>Simplifed الصينية</v>
      </c>
      <c r="V122" s="11" t="str">
        <f ca="1">IFERROR(__xludf.DUMMYFUNCTION("GOOGLETRANSLATE($B122,""en"",V$3)"),"Chiński Simplifed")</f>
        <v>Chiński Simplifed</v>
      </c>
      <c r="W122" s="11" t="str">
        <f ca="1">IFERROR(__xludf.DUMMYFUNCTION("GOOGLETRANSLATE($B122,""en"",W$3)"),"китайский упрощенный")</f>
        <v>китайский упрощенный</v>
      </c>
      <c r="X122" s="11" t="str">
        <f ca="1">IFERROR(__xludf.DUMMYFUNCTION("GOOGLETRANSLATE($B122,""en"",X$3)"),"simplifed chino")</f>
        <v>simplifed chino</v>
      </c>
    </row>
    <row r="123" spans="1:26" ht="32.25" customHeight="1" x14ac:dyDescent="0.2">
      <c r="A123" s="10" t="s">
        <v>340</v>
      </c>
      <c r="B123" s="10" t="s">
        <v>10</v>
      </c>
      <c r="C123" s="11" t="str">
        <f ca="1">IFERROR(__xludf.DUMMYFUNCTION("GOOGLETRANSLATE($B123,""en"",C$3)"),"Chinesische Tradition")</f>
        <v>Chinesische Tradition</v>
      </c>
      <c r="D123" s="11" t="str">
        <f ca="1">IFERROR(__xludf.DUMMYFUNCTION("GOOGLETRANSLATE($B123,""en"",D$3)"),"Traditionell Kinesisk")</f>
        <v>Traditionell Kinesisk</v>
      </c>
      <c r="E123" s="11" t="str">
        <f ca="1">IFERROR(__xludf.DUMMYFUNCTION("GOOGLETRANSLATE($B123,""en"",E$3)"),"Chinês tradicional")</f>
        <v>Chinês tradicional</v>
      </c>
      <c r="F123" s="11" t="str">
        <f ca="1">IFERROR(__xludf.DUMMYFUNCTION("GOOGLETRANSLATE($B123,""en"",F$3)"),"Chinês tradicional")</f>
        <v>Chinês tradicional</v>
      </c>
      <c r="G123" s="11" t="str">
        <f ca="1">IFERROR(__xludf.DUMMYFUNCTION("GOOGLETRANSLATE($B123,""en"",G$3)"),"Chinois (Traditionnel")</f>
        <v>Chinois (Traditionnel</v>
      </c>
      <c r="H123" s="11" t="str">
        <f ca="1">IFERROR(__xludf.DUMMYFUNCTION("GOOGLETRANSLATE($B123,""en"",H$3)"),"Txinera tradizionala")</f>
        <v>Txinera tradizionala</v>
      </c>
      <c r="I123" s="11" t="str">
        <f ca="1">IFERROR(__xludf.DUMMYFUNCTION("GOOGLETRANSLATE($B123,""en"",I$3)"),"tradicional xinesa")</f>
        <v>tradicional xinesa</v>
      </c>
      <c r="J123" s="11" t="str">
        <f ca="1">IFERROR(__xludf.DUMMYFUNCTION("GOOGLETRANSLATE($B123,""en"",J$3)"),"Tradiční čínština")</f>
        <v>Tradiční čínština</v>
      </c>
      <c r="K123" s="11" t="str">
        <f ca="1">IFERROR(__xludf.DUMMYFUNCTION("GOOGLETRANSLATE($B123,""en"",K$3)"),"中国传统的")</f>
        <v>中国传统的</v>
      </c>
      <c r="L123" s="11" t="str">
        <f ca="1">IFERROR(__xludf.DUMMYFUNCTION("GOOGLETRANSLATE($B123,""en"",L$3)"),"中國傳統的")</f>
        <v>中國傳統的</v>
      </c>
      <c r="M123" s="11" t="str">
        <f ca="1">IFERROR(__xludf.DUMMYFUNCTION("GOOGLETRANSLATE($B123,""en"",M$3)"),"Chinese traditionele")</f>
        <v>Chinese traditionele</v>
      </c>
      <c r="N123" s="11" t="str">
        <f ca="1">IFERROR(__xludf.DUMMYFUNCTION("GOOGLETRANSLATE($B123,""en"",N$3)"),"Παραδοσιακά κινέζικα")</f>
        <v>Παραδοσιακά κινέζικα</v>
      </c>
      <c r="O123" s="11" t="str">
        <f ca="1">IFERROR(__xludf.DUMMYFUNCTION("GOOGLETRANSLATE($B123,""en"",O$3)"),"Kiinalainen perinteinen")</f>
        <v>Kiinalainen perinteinen</v>
      </c>
      <c r="P123" s="11" t="str">
        <f ca="1">IFERROR(__xludf.DUMMYFUNCTION("GOOGLETRANSLATE($B123,""en"",P$3)"),"Sínis Traidisiúnta")</f>
        <v>Sínis Traidisiúnta</v>
      </c>
      <c r="Q123" s="11" t="str">
        <f ca="1">IFERROR(__xludf.DUMMYFUNCTION("GOOGLETRANSLATE($B123,""en"",Q$3)"),"سنتی چینی")</f>
        <v>سنتی چینی</v>
      </c>
      <c r="R123" s="11" t="str">
        <f ca="1">IFERROR(__xludf.DUMMYFUNCTION("GOOGLETRANSLATE($B123,""en"",R$3)"),"מסורת סינית")</f>
        <v>מסורת סינית</v>
      </c>
      <c r="S123" s="11" t="str">
        <f ca="1">IFERROR(__xludf.DUMMYFUNCTION("GOOGLETRANSLATE($B123,""en"",S$3)"),"Kínverji Hefðbundinn")</f>
        <v>Kínverji Hefðbundinn</v>
      </c>
      <c r="T123" s="11" t="str">
        <f ca="1">IFERROR(__xludf.DUMMYFUNCTION("GOOGLETRANSLATE($B123,""en"",T$3)"),"Tradisjonell kinesisk")</f>
        <v>Tradisjonell kinesisk</v>
      </c>
      <c r="U123" s="11" t="str">
        <f ca="1">IFERROR(__xludf.DUMMYFUNCTION("GOOGLETRANSLATE($B123,""en"",U$3)"),"تقاليد صينية")</f>
        <v>تقاليد صينية</v>
      </c>
      <c r="V123" s="11" t="str">
        <f ca="1">IFERROR(__xludf.DUMMYFUNCTION("GOOGLETRANSLATE($B123,""en"",V$3)"),"Chiński tradycyjny")</f>
        <v>Chiński tradycyjny</v>
      </c>
      <c r="W123" s="11" t="str">
        <f ca="1">IFERROR(__xludf.DUMMYFUNCTION("GOOGLETRANSLATE($B123,""en"",W$3)"),"Китайский традиционный")</f>
        <v>Китайский традиционный</v>
      </c>
      <c r="X123" s="11" t="str">
        <f ca="1">IFERROR(__xludf.DUMMYFUNCTION("GOOGLETRANSLATE($B123,""en"",X$3)"),"Chino tradicional")</f>
        <v>Chino tradicional</v>
      </c>
    </row>
    <row r="124" spans="1:26" ht="32.25" customHeight="1" x14ac:dyDescent="0.2">
      <c r="A124" s="10" t="s">
        <v>341</v>
      </c>
      <c r="B124" s="10" t="s">
        <v>342</v>
      </c>
      <c r="C124" s="11" t="str">
        <f ca="1">IFERROR(__xludf.DUMMYFUNCTION("GOOGLETRANSLATE($B124,""en"",C$3)"),"Wählen Sie einen Ordner")</f>
        <v>Wählen Sie einen Ordner</v>
      </c>
      <c r="D124" s="11" t="str">
        <f ca="1">IFERROR(__xludf.DUMMYFUNCTION("GOOGLETRANSLATE($B124,""en"",D$3)"),"Välj en mapp")</f>
        <v>Välj en mapp</v>
      </c>
      <c r="E124" s="11" t="str">
        <f ca="1">IFERROR(__xludf.DUMMYFUNCTION("GOOGLETRANSLATE($B124,""en"",E$3)"),"Escolha uma pasta")</f>
        <v>Escolha uma pasta</v>
      </c>
      <c r="F124" s="11" t="str">
        <f ca="1">IFERROR(__xludf.DUMMYFUNCTION("GOOGLETRANSLATE($B124,""en"",F$3)"),"Escolha uma pasta")</f>
        <v>Escolha uma pasta</v>
      </c>
      <c r="G124" s="11" t="str">
        <f ca="1">IFERROR(__xludf.DUMMYFUNCTION("GOOGLETRANSLATE($B124,""en"",G$3)"),"Choisissez un dossier")</f>
        <v>Choisissez un dossier</v>
      </c>
      <c r="H124" s="11" t="str">
        <f ca="1">IFERROR(__xludf.DUMMYFUNCTION("GOOGLETRANSLATE($B124,""en"",H$3)"),"Aukeratu karpeta bat")</f>
        <v>Aukeratu karpeta bat</v>
      </c>
      <c r="I124" s="11" t="str">
        <f ca="1">IFERROR(__xludf.DUMMYFUNCTION("GOOGLETRANSLATE($B124,""en"",I$3)"),"Trieu una carpeta")</f>
        <v>Trieu una carpeta</v>
      </c>
      <c r="J124" s="11" t="str">
        <f ca="1">IFERROR(__xludf.DUMMYFUNCTION("GOOGLETRANSLATE($B124,""en"",J$3)"),"Vybrat složku")</f>
        <v>Vybrat složku</v>
      </c>
      <c r="K124" s="11" t="str">
        <f ca="1">IFERROR(__xludf.DUMMYFUNCTION("GOOGLETRANSLATE($B124,""en"",K$3)"),"选择一个文件夹")</f>
        <v>选择一个文件夹</v>
      </c>
      <c r="L124" s="11" t="str">
        <f ca="1">IFERROR(__xludf.DUMMYFUNCTION("GOOGLETRANSLATE($B124,""en"",L$3)"),"選擇一個文件夾")</f>
        <v>選擇一個文件夾</v>
      </c>
      <c r="M124" s="11" t="str">
        <f ca="1">IFERROR(__xludf.DUMMYFUNCTION("GOOGLETRANSLATE($B124,""en"",M$3)"),"Kies een map")</f>
        <v>Kies een map</v>
      </c>
      <c r="N124" s="11" t="str">
        <f ca="1">IFERROR(__xludf.DUMMYFUNCTION("GOOGLETRANSLATE($B124,""en"",N$3)"),"Επιλέξτε ένα φάκελο")</f>
        <v>Επιλέξτε ένα φάκελο</v>
      </c>
      <c r="O124" s="11" t="str">
        <f ca="1">IFERROR(__xludf.DUMMYFUNCTION("GOOGLETRANSLATE($B124,""en"",O$3)"),"Valitse kansio")</f>
        <v>Valitse kansio</v>
      </c>
      <c r="P124" s="11" t="str">
        <f ca="1">IFERROR(__xludf.DUMMYFUNCTION("GOOGLETRANSLATE($B124,""en"",P$3)"),"Roghnaigh fillteán")</f>
        <v>Roghnaigh fillteán</v>
      </c>
      <c r="Q124" s="11" t="str">
        <f ca="1">IFERROR(__xludf.DUMMYFUNCTION("GOOGLETRANSLATE($B124,""en"",Q$3)"),"یک پوشه را انتخاب کنید")</f>
        <v>یک پوشه را انتخاب کنید</v>
      </c>
      <c r="R124" s="11" t="str">
        <f ca="1">IFERROR(__xludf.DUMMYFUNCTION("GOOGLETRANSLATE($B124,""en"",R$3)"),"בחר תיקייה")</f>
        <v>בחר תיקייה</v>
      </c>
      <c r="S124" s="11" t="str">
        <f ca="1">IFERROR(__xludf.DUMMYFUNCTION("GOOGLETRANSLATE($B124,""en"",S$3)"),"Veldu möppu")</f>
        <v>Veldu möppu</v>
      </c>
      <c r="T124" s="11" t="str">
        <f ca="1">IFERROR(__xludf.DUMMYFUNCTION("GOOGLETRANSLATE($B124,""en"",T$3)"),"Velg en mappe")</f>
        <v>Velg en mappe</v>
      </c>
      <c r="U124" s="11" t="str">
        <f ca="1">IFERROR(__xludf.DUMMYFUNCTION("GOOGLETRANSLATE($B124,""en"",U$3)"),"اختيار مجلد")</f>
        <v>اختيار مجلد</v>
      </c>
      <c r="V124" s="11" t="str">
        <f ca="1">IFERROR(__xludf.DUMMYFUNCTION("GOOGLETRANSLATE($B124,""en"",V$3)"),"Wybierz folder")</f>
        <v>Wybierz folder</v>
      </c>
      <c r="W124" s="11" t="str">
        <f ca="1">IFERROR(__xludf.DUMMYFUNCTION("GOOGLETRANSLATE($B124,""en"",W$3)"),"Выберите папку")</f>
        <v>Выберите папку</v>
      </c>
      <c r="X124" s="11" t="str">
        <f ca="1">IFERROR(__xludf.DUMMYFUNCTION("GOOGLETRANSLATE($B124,""en"",X$3)"),"Elija una carpeta")</f>
        <v>Elija una carpeta</v>
      </c>
    </row>
    <row r="125" spans="1:26" ht="32.25" customHeight="1" x14ac:dyDescent="0.2">
      <c r="A125" s="17" t="s">
        <v>341</v>
      </c>
      <c r="B125" s="17" t="s">
        <v>342</v>
      </c>
      <c r="C125" s="21" t="str">
        <f ca="1">IFERROR(__xludf.DUMMYFUNCTION("GOOGLETRANSLATE($B125,""en"",C$3)"),"Wählen Sie einen Ordner")</f>
        <v>Wählen Sie einen Ordner</v>
      </c>
      <c r="D125" s="12" t="str">
        <f ca="1">IFERROR(__xludf.DUMMYFUNCTION("GOOGLETRANSLATE($B125,""en"",D$3)"),"Välj en mapp")</f>
        <v>Välj en mapp</v>
      </c>
      <c r="E125" s="12" t="str">
        <f ca="1">IFERROR(__xludf.DUMMYFUNCTION("GOOGLETRANSLATE($B125,""en"",E$3)"),"Escolha uma pasta")</f>
        <v>Escolha uma pasta</v>
      </c>
      <c r="F125" s="12" t="str">
        <f ca="1">IFERROR(__xludf.DUMMYFUNCTION("GOOGLETRANSLATE($B125,""en"",F$3)"),"Escolha uma pasta")</f>
        <v>Escolha uma pasta</v>
      </c>
      <c r="G125" s="12" t="str">
        <f ca="1">IFERROR(__xludf.DUMMYFUNCTION("GOOGLETRANSLATE($B125,""en"",G$3)"),"Choisissez un dossier")</f>
        <v>Choisissez un dossier</v>
      </c>
      <c r="H125" s="12" t="str">
        <f ca="1">IFERROR(__xludf.DUMMYFUNCTION("GOOGLETRANSLATE($B125,""en"",H$3)"),"Aukeratu karpeta bat")</f>
        <v>Aukeratu karpeta bat</v>
      </c>
      <c r="I125" s="12" t="str">
        <f ca="1">IFERROR(__xludf.DUMMYFUNCTION("GOOGLETRANSLATE($B125,""en"",I$3)"),"Trieu una carpeta")</f>
        <v>Trieu una carpeta</v>
      </c>
      <c r="J125" s="12" t="str">
        <f ca="1">IFERROR(__xludf.DUMMYFUNCTION("GOOGLETRANSLATE($B125,""en"",J$3)"),"Vybrat složku")</f>
        <v>Vybrat složku</v>
      </c>
      <c r="K125" s="12" t="str">
        <f ca="1">IFERROR(__xludf.DUMMYFUNCTION("GOOGLETRANSLATE($B125,""en"",K$3)"),"选择一个文件夹")</f>
        <v>选择一个文件夹</v>
      </c>
      <c r="L125" s="12" t="str">
        <f ca="1">IFERROR(__xludf.DUMMYFUNCTION("GOOGLETRANSLATE($B125,""en"",L$3)"),"選擇一個文件夾")</f>
        <v>選擇一個文件夾</v>
      </c>
      <c r="M125" s="12" t="str">
        <f ca="1">IFERROR(__xludf.DUMMYFUNCTION("GOOGLETRANSLATE($B125,""en"",M$3)"),"Kies een map")</f>
        <v>Kies een map</v>
      </c>
      <c r="N125" s="12" t="str">
        <f ca="1">IFERROR(__xludf.DUMMYFUNCTION("GOOGLETRANSLATE($B125,""en"",N$3)"),"Επιλέξτε ένα φάκελο")</f>
        <v>Επιλέξτε ένα φάκελο</v>
      </c>
      <c r="O125" s="12" t="str">
        <f ca="1">IFERROR(__xludf.DUMMYFUNCTION("GOOGLETRANSLATE($B125,""en"",O$3)"),"Valitse kansio")</f>
        <v>Valitse kansio</v>
      </c>
      <c r="P125" s="12" t="str">
        <f ca="1">IFERROR(__xludf.DUMMYFUNCTION("GOOGLETRANSLATE($B125,""en"",P$3)"),"Roghnaigh fillteán")</f>
        <v>Roghnaigh fillteán</v>
      </c>
      <c r="Q125" s="12" t="str">
        <f ca="1">IFERROR(__xludf.DUMMYFUNCTION("GOOGLETRANSLATE($B125,""en"",Q$3)"),"یک پوشه را انتخاب کنید")</f>
        <v>یک پوشه را انتخاب کنید</v>
      </c>
      <c r="R125" s="12" t="str">
        <f ca="1">IFERROR(__xludf.DUMMYFUNCTION("GOOGLETRANSLATE($B125,""en"",R$3)"),"בחר תיקייה")</f>
        <v>בחר תיקייה</v>
      </c>
      <c r="S125" s="12" t="str">
        <f ca="1">IFERROR(__xludf.DUMMYFUNCTION("GOOGLETRANSLATE($B125,""en"",S$3)"),"Veldu möppu")</f>
        <v>Veldu möppu</v>
      </c>
      <c r="T125" s="12" t="str">
        <f ca="1">IFERROR(__xludf.DUMMYFUNCTION("GOOGLETRANSLATE($B125,""en"",T$3)"),"Velg en mappe")</f>
        <v>Velg en mappe</v>
      </c>
      <c r="U125" s="12" t="str">
        <f ca="1">IFERROR(__xludf.DUMMYFUNCTION("GOOGLETRANSLATE($B125,""en"",U$3)"),"اختيار مجلد")</f>
        <v>اختيار مجلد</v>
      </c>
      <c r="V125" s="12" t="str">
        <f ca="1">IFERROR(__xludf.DUMMYFUNCTION("GOOGLETRANSLATE($B125,""en"",V$3)"),"Wybierz folder")</f>
        <v>Wybierz folder</v>
      </c>
      <c r="W125" s="12" t="str">
        <f ca="1">IFERROR(__xludf.DUMMYFUNCTION("GOOGLETRANSLATE($B125,""en"",W$3)"),"Выберите папку")</f>
        <v>Выберите папку</v>
      </c>
      <c r="X125" s="12" t="str">
        <f ca="1">IFERROR(__xludf.DUMMYFUNCTION("GOOGLETRANSLATE($B125,""en"",X$3)"),"Elija una carpeta")</f>
        <v>Elija una carpeta</v>
      </c>
      <c r="Y125" s="22"/>
      <c r="Z125" s="22"/>
    </row>
    <row r="126" spans="1:26" ht="32.25" customHeight="1" x14ac:dyDescent="0.2">
      <c r="A126" s="17" t="s">
        <v>343</v>
      </c>
      <c r="B126" s="17" t="s">
        <v>344</v>
      </c>
      <c r="C126" s="18" t="s">
        <v>345</v>
      </c>
      <c r="D126" s="12" t="str">
        <f ca="1">IFERROR(__xludf.DUMMYFUNCTION("GOOGLETRANSLATE($B126,""en"",D$3)"),"Välj vilken cache för att tömma")</f>
        <v>Välj vilken cache för att tömma</v>
      </c>
      <c r="E126" s="13" t="s">
        <v>346</v>
      </c>
      <c r="F126" s="13" t="s">
        <v>346</v>
      </c>
      <c r="G126" s="12" t="str">
        <f ca="1">IFERROR(__xludf.DUMMYFUNCTION("GOOGLETRANSLATE($B126,""en"",G$3)"),"Choisissez le cache à vide")</f>
        <v>Choisissez le cache à vide</v>
      </c>
      <c r="H126" s="12" t="str">
        <f ca="1">IFERROR(__xludf.DUMMYFUNCTION("GOOGLETRANSLATE($B126,""en"",H$3)"),"Aukeratu zein cache hustu")</f>
        <v>Aukeratu zein cache hustu</v>
      </c>
      <c r="I126" s="12" t="str">
        <f ca="1">IFERROR(__xludf.DUMMYFUNCTION("GOOGLETRANSLATE($B126,""en"",I$3)"),"Triar la memòria cau per a buidar")</f>
        <v>Triar la memòria cau per a buidar</v>
      </c>
      <c r="J126" s="12" t="str">
        <f ca="1">IFERROR(__xludf.DUMMYFUNCTION("GOOGLETRANSLATE($B126,""en"",J$3)"),"Vyberte si, které mezipaměť vyprázdnit")</f>
        <v>Vyberte si, které mezipaměť vyprázdnit</v>
      </c>
      <c r="K126" s="12" t="str">
        <f ca="1">IFERROR(__xludf.DUMMYFUNCTION("GOOGLETRANSLATE($B126,""en"",K$3)"),"选择清空缓存哪些")</f>
        <v>选择清空缓存哪些</v>
      </c>
      <c r="L126" s="12" t="str">
        <f ca="1">IFERROR(__xludf.DUMMYFUNCTION("GOOGLETRANSLATE($B126,""en"",L$3)"),"選擇清空緩存哪些")</f>
        <v>選擇清空緩存哪些</v>
      </c>
      <c r="M126" s="12" t="str">
        <f ca="1">IFERROR(__xludf.DUMMYFUNCTION("GOOGLETRANSLATE($B126,""en"",M$3)"),"Kies welke cache te legen")</f>
        <v>Kies welke cache te legen</v>
      </c>
      <c r="N126" s="12" t="str">
        <f ca="1">IFERROR(__xludf.DUMMYFUNCTION("GOOGLETRANSLATE($B126,""en"",N$3)"),"Επιλέξτε ποια μνήμη cache για να αδειάσει")</f>
        <v>Επιλέξτε ποια μνήμη cache για να αδειάσει</v>
      </c>
      <c r="O126" s="12" t="str">
        <f ca="1">IFERROR(__xludf.DUMMYFUNCTION("GOOGLETRANSLATE($B126,""en"",O$3)"),"Valita, mitä välimuistin tyhjentää")</f>
        <v>Valita, mitä välimuistin tyhjentää</v>
      </c>
      <c r="P126" s="12" t="str">
        <f ca="1">IFERROR(__xludf.DUMMYFUNCTION("GOOGLETRANSLATE($B126,""en"",P$3)"),"Roghnaigh cén taisce a fholmhú")</f>
        <v>Roghnaigh cén taisce a fholmhú</v>
      </c>
      <c r="Q126" s="12" t="str">
        <f ca="1">IFERROR(__xludf.DUMMYFUNCTION("GOOGLETRANSLATE($B126,""en"",Q$3)"),"را انتخاب کنید که کش برای خالی")</f>
        <v>را انتخاب کنید که کش برای خالی</v>
      </c>
      <c r="R126" s="12" t="str">
        <f ca="1">IFERROR(__xludf.DUMMYFUNCTION("GOOGLETRANSLATE($B126,""en"",R$3)"),"בחר אילו מטמון לרוקן")</f>
        <v>בחר אילו מטמון לרוקן</v>
      </c>
      <c r="S126" s="12" t="str">
        <f ca="1">IFERROR(__xludf.DUMMYFUNCTION("GOOGLETRANSLATE($B126,""en"",S$3)"),"Veldu hvaða skyndiminni til að tæma")</f>
        <v>Veldu hvaða skyndiminni til að tæma</v>
      </c>
      <c r="T126" s="12" t="str">
        <f ca="1">IFERROR(__xludf.DUMMYFUNCTION("GOOGLETRANSLATE($B126,""en"",T$3)"),"Velg hvilken cache for å tømme")</f>
        <v>Velg hvilken cache for å tømme</v>
      </c>
      <c r="U126" s="12" t="str">
        <f ca="1">IFERROR(__xludf.DUMMYFUNCTION("GOOGLETRANSLATE($B126,""en"",U$3)"),"اختيار أي مخبأ لإفراغ")</f>
        <v>اختيار أي مخبأ لإفراغ</v>
      </c>
      <c r="V126" s="12" t="str">
        <f ca="1">IFERROR(__xludf.DUMMYFUNCTION("GOOGLETRANSLATE($B126,""en"",V$3)"),"Wybierz który cache, aby opróżnić")</f>
        <v>Wybierz który cache, aby opróżnić</v>
      </c>
      <c r="W126" s="12" t="str">
        <f ca="1">IFERROR(__xludf.DUMMYFUNCTION("GOOGLETRANSLATE($B126,""en"",W$3)"),"Выберите, какой кэш опорожнить")</f>
        <v>Выберите, какой кэш опорожнить</v>
      </c>
      <c r="X126" s="12" t="str">
        <f ca="1">IFERROR(__xludf.DUMMYFUNCTION("GOOGLETRANSLATE($B126,""en"",X$3)"),"Elegir el caché para vaciar")</f>
        <v>Elegir el caché para vaciar</v>
      </c>
      <c r="Y126" s="12"/>
      <c r="Z126" s="12"/>
    </row>
    <row r="127" spans="1:26" ht="32.25" customHeight="1" x14ac:dyDescent="0.2">
      <c r="A127" s="17" t="s">
        <v>347</v>
      </c>
      <c r="B127" s="17" t="s">
        <v>348</v>
      </c>
      <c r="C127" s="11" t="str">
        <f ca="1">IFERROR(__xludf.DUMMYFUNCTION("GOOGLETRANSLATE($B127,""en"",C$3)"),"Wählen Sie einen Ordner zum Speichern von Backups")</f>
        <v>Wählen Sie einen Ordner zum Speichern von Backups</v>
      </c>
      <c r="D127" s="12" t="str">
        <f ca="1">IFERROR(__xludf.DUMMYFUNCTION("GOOGLETRANSLATE($B127,""en"",D$3)"),"Välj en mapp för att lagra säkerhetskopior")</f>
        <v>Välj en mapp för att lagra säkerhetskopior</v>
      </c>
      <c r="E127" s="12" t="str">
        <f ca="1">IFERROR(__xludf.DUMMYFUNCTION("GOOGLETRANSLATE($B127,""en"",E$3)"),"Escolha uma pasta para backups de loja")</f>
        <v>Escolha uma pasta para backups de loja</v>
      </c>
      <c r="F127" s="12" t="str">
        <f ca="1">IFERROR(__xludf.DUMMYFUNCTION("GOOGLETRANSLATE($B127,""en"",F$3)"),"Escolha uma pasta para backups de loja")</f>
        <v>Escolha uma pasta para backups de loja</v>
      </c>
      <c r="G127" s="12" t="str">
        <f ca="1">IFERROR(__xludf.DUMMYFUNCTION("GOOGLETRANSLATE($B127,""en"",G$3)"),"Choisissez un dossier pour les sauvegardes de magasin")</f>
        <v>Choisissez un dossier pour les sauvegardes de magasin</v>
      </c>
      <c r="H127" s="12" t="str">
        <f ca="1">IFERROR(__xludf.DUMMYFUNCTION("GOOGLETRANSLATE($B127,""en"",H$3)"),"Aukeratu denda backups karpeta bat")</f>
        <v>Aukeratu denda backups karpeta bat</v>
      </c>
      <c r="I127" s="12" t="str">
        <f ca="1">IFERROR(__xludf.DUMMYFUNCTION("GOOGLETRANSLATE($B127,""en"",I$3)"),"Seleccioneu una carpeta per emmagatzemar les còpies de seguretat")</f>
        <v>Seleccioneu una carpeta per emmagatzemar les còpies de seguretat</v>
      </c>
      <c r="J127" s="12" t="str">
        <f ca="1">IFERROR(__xludf.DUMMYFUNCTION("GOOGLETRANSLATE($B127,""en"",J$3)"),"Vyberte složku pro ukládání záloh")</f>
        <v>Vyberte složku pro ukládání záloh</v>
      </c>
      <c r="K127" s="12" t="str">
        <f ca="1">IFERROR(__xludf.DUMMYFUNCTION("GOOGLETRANSLATE($B127,""en"",K$3)"),"选择一个文件夹来存储备份")</f>
        <v>选择一个文件夹来存储备份</v>
      </c>
      <c r="L127" s="12" t="str">
        <f ca="1">IFERROR(__xludf.DUMMYFUNCTION("GOOGLETRANSLATE($B127,""en"",L$3)"),"選擇一個文件夾來存儲備份")</f>
        <v>選擇一個文件夾來存儲備份</v>
      </c>
      <c r="M127" s="12" t="str">
        <f ca="1">IFERROR(__xludf.DUMMYFUNCTION("GOOGLETRANSLATE($B127,""en"",M$3)"),"Kies een map voor het opslaan van back-ups")</f>
        <v>Kies een map voor het opslaan van back-ups</v>
      </c>
      <c r="N127" s="12" t="str">
        <f ca="1">IFERROR(__xludf.DUMMYFUNCTION("GOOGLETRANSLATE($B127,""en"",N$3)"),"Επιλέξτε ένα φάκελο για τα αντίγραφα ασφαλείας καταστημάτων")</f>
        <v>Επιλέξτε ένα φάκελο για τα αντίγραφα ασφαλείας καταστημάτων</v>
      </c>
      <c r="O127" s="12" t="str">
        <f ca="1">IFERROR(__xludf.DUMMYFUNCTION("GOOGLETRANSLATE($B127,""en"",O$3)"),"Valitse kansio tallentaa varmuuskopioita")</f>
        <v>Valitse kansio tallentaa varmuuskopioita</v>
      </c>
      <c r="P127" s="12" t="str">
        <f ca="1">IFERROR(__xludf.DUMMYFUNCTION("GOOGLETRANSLATE($B127,""en"",P$3)"),"Roghnaigh fillteán le backups stóráil")</f>
        <v>Roghnaigh fillteán le backups stóráil</v>
      </c>
      <c r="Q127" s="12" t="str">
        <f ca="1">IFERROR(__xludf.DUMMYFUNCTION("GOOGLETRANSLATE($B127,""en"",Q$3)"),"یک پوشه به فروشگاه پشتیبان گیری را انتخاب کنید")</f>
        <v>یک پوشه به فروشگاه پشتیبان گیری را انتخاب کنید</v>
      </c>
      <c r="R127" s="12" t="str">
        <f ca="1">IFERROR(__xludf.DUMMYFUNCTION("GOOGLETRANSLATE($B127,""en"",R$3)"),"בחר תיקיית גיבויי חנות")</f>
        <v>בחר תיקיית גיבויי חנות</v>
      </c>
      <c r="S127" s="12" t="str">
        <f ca="1">IFERROR(__xludf.DUMMYFUNCTION("GOOGLETRANSLATE($B127,""en"",S$3)"),"Veldu möppu til að geyma afrit")</f>
        <v>Veldu möppu til að geyma afrit</v>
      </c>
      <c r="T127" s="12" t="str">
        <f ca="1">IFERROR(__xludf.DUMMYFUNCTION("GOOGLETRANSLATE($B127,""en"",T$3)"),"Velg en mappe for å lagre sikkerhetskopier")</f>
        <v>Velg en mappe for å lagre sikkerhetskopier</v>
      </c>
      <c r="U127" s="12" t="str">
        <f ca="1">IFERROR(__xludf.DUMMYFUNCTION("GOOGLETRANSLATE($B127,""en"",U$3)"),"اختيار مجلد لتخزين النسخ الاحتياطية")</f>
        <v>اختيار مجلد لتخزين النسخ الاحتياطية</v>
      </c>
      <c r="V127" s="12" t="str">
        <f ca="1">IFERROR(__xludf.DUMMYFUNCTION("GOOGLETRANSLATE($B127,""en"",V$3)"),"Wybierz folder do przechowywania kopii zapasowych")</f>
        <v>Wybierz folder do przechowywania kopii zapasowych</v>
      </c>
      <c r="W127" s="12" t="str">
        <f ca="1">IFERROR(__xludf.DUMMYFUNCTION("GOOGLETRANSLATE($B127,""en"",W$3)"),"Выберите папку для хранения резервных копий")</f>
        <v>Выберите папку для хранения резервных копий</v>
      </c>
      <c r="X127" s="12" t="str">
        <f ca="1">IFERROR(__xludf.DUMMYFUNCTION("GOOGLETRANSLATE($B127,""en"",X$3)"),"Seleccione una carpeta para almacenar las copias de seguridad")</f>
        <v>Seleccione una carpeta para almacenar las copias de seguridad</v>
      </c>
      <c r="Y127" s="12"/>
      <c r="Z127" s="12"/>
    </row>
    <row r="128" spans="1:26" ht="32.25" customHeight="1" x14ac:dyDescent="0.2">
      <c r="A128" s="17" t="s">
        <v>349</v>
      </c>
      <c r="B128" s="17" t="s">
        <v>350</v>
      </c>
      <c r="C128" s="11" t="str">
        <f ca="1">IFERROR(__xludf.DUMMYFUNCTION("GOOGLETRANSLATE($B128,""en"",C$3)"),"wählen Sie Region")</f>
        <v>wählen Sie Region</v>
      </c>
      <c r="D128" s="12" t="str">
        <f ca="1">IFERROR(__xludf.DUMMYFUNCTION("GOOGLETRANSLATE($B128,""en"",D$3)"),"Välj Region")</f>
        <v>Välj Region</v>
      </c>
      <c r="E128" s="12" t="str">
        <f ca="1">IFERROR(__xludf.DUMMYFUNCTION("GOOGLETRANSLATE($B128,""en"",E$3)"),"Escolha Região")</f>
        <v>Escolha Região</v>
      </c>
      <c r="F128" s="12" t="str">
        <f ca="1">IFERROR(__xludf.DUMMYFUNCTION("GOOGLETRANSLATE($B128,""en"",F$3)"),"Escolha Região")</f>
        <v>Escolha Região</v>
      </c>
      <c r="G128" s="12" t="str">
        <f ca="1">IFERROR(__xludf.DUMMYFUNCTION("GOOGLETRANSLATE($B128,""en"",G$3)"),"Choisissez la région")</f>
        <v>Choisissez la région</v>
      </c>
      <c r="H128" s="12" t="str">
        <f ca="1">IFERROR(__xludf.DUMMYFUNCTION("GOOGLETRANSLATE($B128,""en"",H$3)"),"Aukeratu eskualdea")</f>
        <v>Aukeratu eskualdea</v>
      </c>
      <c r="I128" s="12" t="str">
        <f ca="1">IFERROR(__xludf.DUMMYFUNCTION("GOOGLETRANSLATE($B128,""en"",I$3)"),"Trieu Regió")</f>
        <v>Trieu Regió</v>
      </c>
      <c r="J128" s="12" t="str">
        <f ca="1">IFERROR(__xludf.DUMMYFUNCTION("GOOGLETRANSLATE($B128,""en"",J$3)"),"vyberte si kraj")</f>
        <v>vyberte si kraj</v>
      </c>
      <c r="K128" s="12" t="str">
        <f ca="1">IFERROR(__xludf.DUMMYFUNCTION("GOOGLETRANSLATE($B128,""en"",K$3)"),"选择地区")</f>
        <v>选择地区</v>
      </c>
      <c r="L128" s="12" t="str">
        <f ca="1">IFERROR(__xludf.DUMMYFUNCTION("GOOGLETRANSLATE($B128,""en"",L$3)"),"選擇地區")</f>
        <v>選擇地區</v>
      </c>
      <c r="M128" s="12" t="str">
        <f ca="1">IFERROR(__xludf.DUMMYFUNCTION("GOOGLETRANSLATE($B128,""en"",M$3)"),"Kies Region")</f>
        <v>Kies Region</v>
      </c>
      <c r="N128" s="12" t="str">
        <f ca="1">IFERROR(__xludf.DUMMYFUNCTION("GOOGLETRANSLATE($B128,""en"",N$3)"),"Επιλέξτε Περιοχή")</f>
        <v>Επιλέξτε Περιοχή</v>
      </c>
      <c r="O128" s="12" t="str">
        <f ca="1">IFERROR(__xludf.DUMMYFUNCTION("GOOGLETRANSLATE($B128,""en"",O$3)"),"Valitse alue")</f>
        <v>Valitse alue</v>
      </c>
      <c r="P128" s="12" t="str">
        <f ca="1">IFERROR(__xludf.DUMMYFUNCTION("GOOGLETRANSLATE($B128,""en"",P$3)"),"Roghnaigh Réigiún")</f>
        <v>Roghnaigh Réigiún</v>
      </c>
      <c r="Q128" s="12" t="str">
        <f ca="1">IFERROR(__xludf.DUMMYFUNCTION("GOOGLETRANSLATE($B128,""en"",Q$3)"),"انتخاب استان")</f>
        <v>انتخاب استان</v>
      </c>
      <c r="R128" s="12" t="str">
        <f ca="1">IFERROR(__xludf.DUMMYFUNCTION("GOOGLETRANSLATE($B128,""en"",R$3)"),"בחר אזור")</f>
        <v>בחר אזור</v>
      </c>
      <c r="S128" s="12" t="str">
        <f ca="1">IFERROR(__xludf.DUMMYFUNCTION("GOOGLETRANSLATE($B128,""en"",S$3)"),"Veldu svæði")</f>
        <v>Veldu svæði</v>
      </c>
      <c r="T128" s="12" t="str">
        <f ca="1">IFERROR(__xludf.DUMMYFUNCTION("GOOGLETRANSLATE($B128,""en"",T$3)"),"Velg region")</f>
        <v>Velg region</v>
      </c>
      <c r="U128" s="12" t="str">
        <f ca="1">IFERROR(__xludf.DUMMYFUNCTION("GOOGLETRANSLATE($B128,""en"",U$3)"),"اختر منطقة")</f>
        <v>اختر منطقة</v>
      </c>
      <c r="V128" s="12" t="str">
        <f ca="1">IFERROR(__xludf.DUMMYFUNCTION("GOOGLETRANSLATE($B128,""en"",V$3)"),"Wybierz region")</f>
        <v>Wybierz region</v>
      </c>
      <c r="W128" s="12" t="str">
        <f ca="1">IFERROR(__xludf.DUMMYFUNCTION("GOOGLETRANSLATE($B128,""en"",W$3)"),"Выберите регион")</f>
        <v>Выберите регион</v>
      </c>
      <c r="X128" s="12" t="str">
        <f ca="1">IFERROR(__xludf.DUMMYFUNCTION("GOOGLETRANSLATE($B128,""en"",X$3)"),"Elija Región")</f>
        <v>Elija Región</v>
      </c>
      <c r="Y128" s="12"/>
      <c r="Z128" s="12"/>
    </row>
    <row r="129" spans="1:26" ht="32.25" customHeight="1" x14ac:dyDescent="0.2">
      <c r="A129" s="17" t="s">
        <v>351</v>
      </c>
      <c r="B129" s="17" t="s">
        <v>352</v>
      </c>
      <c r="C129" s="11" t="str">
        <f ca="1">IFERROR(__xludf.DUMMYFUNCTION("GOOGLETRANSLATE($B129,""en"",C$3)"),"Wählen Sie Ihre Region Willkommen")</f>
        <v>Wählen Sie Ihre Region Willkommen</v>
      </c>
      <c r="D129" s="12" t="str">
        <f ca="1">IFERROR(__xludf.DUMMYFUNCTION("GOOGLETRANSLATE($B129,""en"",D$3)"),"Välj din Välkommen region")</f>
        <v>Välj din Välkommen region</v>
      </c>
      <c r="E129" s="12" t="str">
        <f ca="1">IFERROR(__xludf.DUMMYFUNCTION("GOOGLETRANSLATE($B129,""en"",E$3)"),"Escolha a sua região Bem-vindo")</f>
        <v>Escolha a sua região Bem-vindo</v>
      </c>
      <c r="F129" s="12" t="str">
        <f ca="1">IFERROR(__xludf.DUMMYFUNCTION("GOOGLETRANSLATE($B129,""en"",F$3)"),"Escolha a sua região Bem-vindo")</f>
        <v>Escolha a sua região Bem-vindo</v>
      </c>
      <c r="G129" s="12" t="str">
        <f ca="1">IFERROR(__xludf.DUMMYFUNCTION("GOOGLETRANSLATE($B129,""en"",G$3)"),"Choisissez votre région Bienvenue")</f>
        <v>Choisissez votre région Bienvenue</v>
      </c>
      <c r="H129" s="12" t="str">
        <f ca="1">IFERROR(__xludf.DUMMYFUNCTION("GOOGLETRANSLATE($B129,""en"",H$3)"),"Aukeratu Ongi eskualdea")</f>
        <v>Aukeratu Ongi eskualdea</v>
      </c>
      <c r="I129" s="12" t="str">
        <f ca="1">IFERROR(__xludf.DUMMYFUNCTION("GOOGLETRANSLATE($B129,""en"",I$3)"),"Seleccioneu la seva regió de benvinguda")</f>
        <v>Seleccioneu la seva regió de benvinguda</v>
      </c>
      <c r="J129" s="12" t="str">
        <f ca="1">IFERROR(__xludf.DUMMYFUNCTION("GOOGLETRANSLATE($B129,""en"",J$3)"),"Vyberte si uvítací region")</f>
        <v>Vyberte si uvítací region</v>
      </c>
      <c r="K129" s="12" t="str">
        <f ca="1">IFERROR(__xludf.DUMMYFUNCTION("GOOGLETRANSLATE($B129,""en"",K$3)"),"选择你的欢迎区")</f>
        <v>选择你的欢迎区</v>
      </c>
      <c r="L129" s="12" t="str">
        <f ca="1">IFERROR(__xludf.DUMMYFUNCTION("GOOGLETRANSLATE($B129,""en"",L$3)"),"選擇你的歡迎區")</f>
        <v>選擇你的歡迎區</v>
      </c>
      <c r="M129" s="12" t="str">
        <f ca="1">IFERROR(__xludf.DUMMYFUNCTION("GOOGLETRANSLATE($B129,""en"",M$3)"),"Kies uw Welcome regio")</f>
        <v>Kies uw Welcome regio</v>
      </c>
      <c r="N129" s="12" t="str">
        <f ca="1">IFERROR(__xludf.DUMMYFUNCTION("GOOGLETRANSLATE($B129,""en"",N$3)"),"Επιλέξτε περιοχή Καλώς σας")</f>
        <v>Επιλέξτε περιοχή Καλώς σας</v>
      </c>
      <c r="O129" s="12" t="str">
        <f ca="1">IFERROR(__xludf.DUMMYFUNCTION("GOOGLETRANSLATE($B129,""en"",O$3)"),"Valitse Tervetuloa alue")</f>
        <v>Valitse Tervetuloa alue</v>
      </c>
      <c r="P129" s="12" t="str">
        <f ca="1">IFERROR(__xludf.DUMMYFUNCTION("GOOGLETRANSLATE($B129,""en"",P$3)"),"Roghnaigh do réigiún Fáilte")</f>
        <v>Roghnaigh do réigiún Fáilte</v>
      </c>
      <c r="Q129" s="12" t="str">
        <f ca="1">IFERROR(__xludf.DUMMYFUNCTION("GOOGLETRANSLATE($B129,""en"",Q$3)"),"انتخاب استان قابلی ندارد")</f>
        <v>انتخاب استان قابلی ندارد</v>
      </c>
      <c r="R129" s="12" t="str">
        <f ca="1">IFERROR(__xludf.DUMMYFUNCTION("GOOGLETRANSLATE($B129,""en"",R$3)"),"בחר אזור ברוכים הבאים שלך")</f>
        <v>בחר אזור ברוכים הבאים שלך</v>
      </c>
      <c r="S129" s="12" t="str">
        <f ca="1">IFERROR(__xludf.DUMMYFUNCTION("GOOGLETRANSLATE($B129,""en"",S$3)"),"Veldu Welcome svæði þitt")</f>
        <v>Veldu Welcome svæði þitt</v>
      </c>
      <c r="T129" s="12" t="str">
        <f ca="1">IFERROR(__xludf.DUMMYFUNCTION("GOOGLETRANSLATE($B129,""en"",T$3)"),"Velg Velkommen region")</f>
        <v>Velg Velkommen region</v>
      </c>
      <c r="U129" s="12" t="str">
        <f ca="1">IFERROR(__xludf.DUMMYFUNCTION("GOOGLETRANSLATE($B129,""en"",U$3)"),"اختر المنطقة أهلا بك")</f>
        <v>اختر المنطقة أهلا بك</v>
      </c>
      <c r="V129" s="12" t="str">
        <f ca="1">IFERROR(__xludf.DUMMYFUNCTION("GOOGLETRANSLATE($B129,""en"",V$3)"),"Wybierz region Welcome")</f>
        <v>Wybierz region Welcome</v>
      </c>
      <c r="W129" s="12" t="str">
        <f ca="1">IFERROR(__xludf.DUMMYFUNCTION("GOOGLETRANSLATE($B129,""en"",W$3)"),"Выберите регион Добро пожаловать")</f>
        <v>Выберите регион Добро пожаловать</v>
      </c>
      <c r="X129" s="12" t="str">
        <f ca="1">IFERROR(__xludf.DUMMYFUNCTION("GOOGLETRANSLATE($B129,""en"",X$3)"),"Seleccione su región de bienvenida")</f>
        <v>Seleccione su región de bienvenida</v>
      </c>
      <c r="Y129" s="12"/>
      <c r="Z129" s="12"/>
    </row>
    <row r="130" spans="1:26" ht="32.25" customHeight="1" x14ac:dyDescent="0.2">
      <c r="A130" s="17" t="s">
        <v>353</v>
      </c>
      <c r="B130" s="17" t="s">
        <v>354</v>
      </c>
      <c r="C130" s="18" t="s">
        <v>355</v>
      </c>
      <c r="D130" s="12" t="str">
        <f ca="1">IFERROR(__xludf.DUMMYFUNCTION("GOOGLETRANSLATE($B130,""en"",D$3)"),"Välj var att sätta OAR:")</f>
        <v>Välj var att sätta OAR:</v>
      </c>
      <c r="E130" s="12" t="str">
        <f ca="1">IFERROR(__xludf.DUMMYFUNCTION("GOOGLETRANSLATE($B130,""en"",E$3)"),"Escolha onde colocar o OAR:")</f>
        <v>Escolha onde colocar o OAR:</v>
      </c>
      <c r="F130" s="12" t="str">
        <f ca="1">IFERROR(__xludf.DUMMYFUNCTION("GOOGLETRANSLATE($B130,""en"",F$3)"),"Escolha onde colocar o OAR:")</f>
        <v>Escolha onde colocar o OAR:</v>
      </c>
      <c r="G130" s="12" t="str">
        <f ca="1">IFERROR(__xludf.DUMMYFUNCTION("GOOGLETRANSLATE($B130,""en"",G$3)"),"Choisissez où mettre l'OAR:")</f>
        <v>Choisissez où mettre l'OAR:</v>
      </c>
      <c r="H130" s="12" t="str">
        <f ca="1">IFERROR(__xludf.DUMMYFUNCTION("GOOGLETRANSLATE($B130,""en"",H$3)"),"Aukeratu non OAR jarri:")</f>
        <v>Aukeratu non OAR jarri:</v>
      </c>
      <c r="I130" s="12" t="str">
        <f ca="1">IFERROR(__xludf.DUMMYFUNCTION("GOOGLETRANSLATE($B130,""en"",I$3)"),"Triar on posar l'OAR:")</f>
        <v>Triar on posar l'OAR:</v>
      </c>
      <c r="J130" s="12" t="str">
        <f ca="1">IFERROR(__xludf.DUMMYFUNCTION("GOOGLETRANSLATE($B130,""en"",J$3)"),"Vyberte si, kam umístit Oar:")</f>
        <v>Vyberte si, kam umístit Oar:</v>
      </c>
      <c r="K130" s="12" t="str">
        <f ca="1">IFERROR(__xludf.DUMMYFUNCTION("GOOGLETRANSLATE($B130,""en"",K$3)"),"选择哪里放OAR：")</f>
        <v>选择哪里放OAR：</v>
      </c>
      <c r="L130" s="12" t="str">
        <f ca="1">IFERROR(__xludf.DUMMYFUNCTION("GOOGLETRANSLATE($B130,""en"",L$3)"),"選擇哪裡放OAR：")</f>
        <v>選擇哪裡放OAR：</v>
      </c>
      <c r="M130" s="12" t="str">
        <f ca="1">IFERROR(__xludf.DUMMYFUNCTION("GOOGLETRANSLATE($B130,""en"",M$3)"),"Kies waar u de OAR zetten:")</f>
        <v>Kies waar u de OAR zetten:</v>
      </c>
      <c r="N130" s="12" t="str">
        <f ca="1">IFERROR(__xludf.DUMMYFUNCTION("GOOGLETRANSLATE($B130,""en"",N$3)"),"Επιλέξτε πού να βάλει το κουπί:")</f>
        <v>Επιλέξτε πού να βάλει το κουπί:</v>
      </c>
      <c r="O130" s="12" t="str">
        <f ca="1">IFERROR(__xludf.DUMMYFUNCTION("GOOGLETRANSLATE($B130,""en"",O$3)"),"Valitse, mihin OAR:")</f>
        <v>Valitse, mihin OAR:</v>
      </c>
      <c r="P130" s="12" t="str">
        <f ca="1">IFERROR(__xludf.DUMMYFUNCTION("GOOGLETRANSLATE($B130,""en"",P$3)"),"Roghnaigh nuair a chur ar an OAR:")</f>
        <v>Roghnaigh nuair a chur ar an OAR:</v>
      </c>
      <c r="Q130" s="12" t="str">
        <f ca="1">IFERROR(__xludf.DUMMYFUNCTION("GOOGLETRANSLATE($B130,""en"",Q$3)"),"را انتخاب کنید که برای قرار دادن پارو:")</f>
        <v>را انتخاب کنید که برای قرار دادن پارو:</v>
      </c>
      <c r="R130" s="12" t="str">
        <f ca="1">IFERROR(__xludf.DUMMYFUNCTION("GOOGLETRANSLATE($B130,""en"",R$3)"),"בחר היכן לשים את המשוט:")</f>
        <v>בחר היכן לשים את המשוט:</v>
      </c>
      <c r="S130" s="12" t="str">
        <f ca="1">IFERROR(__xludf.DUMMYFUNCTION("GOOGLETRANSLATE($B130,""en"",S$3)"),"Veldu hvar á að setja árina:")</f>
        <v>Veldu hvar á að setja árina:</v>
      </c>
      <c r="T130" s="12" t="str">
        <f ca="1">IFERROR(__xludf.DUMMYFUNCTION("GOOGLETRANSLATE($B130,""en"",T$3)"),"Velg hvor du vil sette YL:")</f>
        <v>Velg hvor du vil sette YL:</v>
      </c>
      <c r="U130" s="12" t="str">
        <f ca="1">IFERROR(__xludf.DUMMYFUNCTION("GOOGLETRANSLATE($B130,""en"",U$3)"),"اختيار مكان وضع OAR:")</f>
        <v>اختيار مكان وضع OAR:</v>
      </c>
      <c r="V130" s="12" t="str">
        <f ca="1">IFERROR(__xludf.DUMMYFUNCTION("GOOGLETRANSLATE($B130,""en"",V$3)"),"Wybierz gdzie umieścić wiosło:")</f>
        <v>Wybierz gdzie umieścić wiosło:</v>
      </c>
      <c r="W130" s="12" t="str">
        <f ca="1">IFERROR(__xludf.DUMMYFUNCTION("GOOGLETRANSLATE($B130,""en"",W$3)"),"Выберите, куда поместить ВЕСЛО:")</f>
        <v>Выберите, куда поместить ВЕСЛО:</v>
      </c>
      <c r="X130" s="12" t="str">
        <f ca="1">IFERROR(__xludf.DUMMYFUNCTION("GOOGLETRANSLATE($B130,""en"",X$3)"),"Elegir dónde poner el OAR:")</f>
        <v>Elegir dónde poner el OAR:</v>
      </c>
      <c r="Y130" s="12"/>
      <c r="Z130" s="12"/>
    </row>
    <row r="131" spans="1:26" ht="32.25" customHeight="1" x14ac:dyDescent="0.2">
      <c r="A131" s="17" t="s">
        <v>356</v>
      </c>
      <c r="B131" s="17" t="s">
        <v>357</v>
      </c>
      <c r="C131" s="11" t="str">
        <f ca="1">IFERROR(__xludf.DUMMYFUNCTION("GOOGLETRANSLATE($B131,""en"",C$3)"),"Clamp Prim Größe")</f>
        <v>Clamp Prim Größe</v>
      </c>
      <c r="D131" s="12" t="str">
        <f ca="1">IFERROR(__xludf.DUMMYFUNCTION("GOOGLETRANSLATE($B131,""en"",D$3)"),"Clamp Prim Storlek")</f>
        <v>Clamp Prim Storlek</v>
      </c>
      <c r="E131" s="13" t="s">
        <v>358</v>
      </c>
      <c r="F131" s="13" t="s">
        <v>358</v>
      </c>
      <c r="G131" s="12" t="str">
        <f ca="1">IFERROR(__xludf.DUMMYFUNCTION("GOOGLETRANSLATE($B131,""en"",G$3)"),"Taille de collier Prim")</f>
        <v>Taille de collier Prim</v>
      </c>
      <c r="H131" s="12" t="str">
        <f ca="1">IFERROR(__xludf.DUMMYFUNCTION("GOOGLETRANSLATE($B131,""en"",H$3)"),"Clamp Prim neurria")</f>
        <v>Clamp Prim neurria</v>
      </c>
      <c r="I131" s="12" t="str">
        <f ca="1">IFERROR(__xludf.DUMMYFUNCTION("GOOGLETRANSLATE($B131,""en"",I$3)"),"Mida pinça Prim")</f>
        <v>Mida pinça Prim</v>
      </c>
      <c r="J131" s="12" t="str">
        <f ca="1">IFERROR(__xludf.DUMMYFUNCTION("GOOGLETRANSLATE($B131,""en"",J$3)"),"Svorka Prim Size")</f>
        <v>Svorka Prim Size</v>
      </c>
      <c r="K131" s="12" t="str">
        <f ca="1">IFERROR(__xludf.DUMMYFUNCTION("GOOGLETRANSLATE($B131,""en"",K$3)"),"钳普里姆大小")</f>
        <v>钳普里姆大小</v>
      </c>
      <c r="L131" s="12" t="str">
        <f ca="1">IFERROR(__xludf.DUMMYFUNCTION("GOOGLETRANSLATE($B131,""en"",L$3)"),"鉗普里姆大小")</f>
        <v>鉗普里姆大小</v>
      </c>
      <c r="M131" s="12" t="str">
        <f ca="1">IFERROR(__xludf.DUMMYFUNCTION("GOOGLETRANSLATE($B131,""en"",M$3)"),"Clamp Prim Size")</f>
        <v>Clamp Prim Size</v>
      </c>
      <c r="N131" s="12" t="str">
        <f ca="1">IFERROR(__xludf.DUMMYFUNCTION("GOOGLETRANSLATE($B131,""en"",N$3)"),"Σφιγκτήρας Prim Μέγεθος")</f>
        <v>Σφιγκτήρας Prim Μέγεθος</v>
      </c>
      <c r="O131" s="12" t="str">
        <f ca="1">IFERROR(__xludf.DUMMYFUNCTION("GOOGLETRANSLATE($B131,""en"",O$3)"),"Clamp Prim Koko")</f>
        <v>Clamp Prim Koko</v>
      </c>
      <c r="P131" s="12" t="str">
        <f ca="1">IFERROR(__xludf.DUMMYFUNCTION("GOOGLETRANSLATE($B131,""en"",P$3)"),"Clamp Prim Méid")</f>
        <v>Clamp Prim Méid</v>
      </c>
      <c r="Q131" s="12" t="str">
        <f ca="1">IFERROR(__xludf.DUMMYFUNCTION("GOOGLETRANSLATE($B131,""en"",Q$3)"),"گیره پریم حجم")</f>
        <v>گیره پریم حجم</v>
      </c>
      <c r="R131" s="12" t="str">
        <f ca="1">IFERROR(__xludf.DUMMYFUNCTION("GOOGLETRANSLATE($B131,""en"",R$3)"),"גודל קלאמפ פרים")</f>
        <v>גודל קלאמפ פרים</v>
      </c>
      <c r="S131" s="12" t="str">
        <f ca="1">IFERROR(__xludf.DUMMYFUNCTION("GOOGLETRANSLATE($B131,""en"",S$3)"),"Þvinga Prim Stærð")</f>
        <v>Þvinga Prim Stærð</v>
      </c>
      <c r="T131" s="12" t="str">
        <f ca="1">IFERROR(__xludf.DUMMYFUNCTION("GOOGLETRANSLATE($B131,""en"",T$3)"),"Clamp Prim Size")</f>
        <v>Clamp Prim Size</v>
      </c>
      <c r="U131" s="12" t="str">
        <f ca="1">IFERROR(__xludf.DUMMYFUNCTION("GOOGLETRANSLATE($B131,""en"",U$3)"),"المشبك متزمت الحجم")</f>
        <v>المشبك متزمت الحجم</v>
      </c>
      <c r="V131" s="12" t="str">
        <f ca="1">IFERROR(__xludf.DUMMYFUNCTION("GOOGLETRANSLATE($B131,""en"",V$3)"),"Zacisk Prim Rozmiar")</f>
        <v>Zacisk Prim Rozmiar</v>
      </c>
      <c r="W131" s="12" t="str">
        <f ca="1">IFERROR(__xludf.DUMMYFUNCTION("GOOGLETRANSLATE($B131,""en"",W$3)"),"Зажим Prim Размер")</f>
        <v>Зажим Prim Размер</v>
      </c>
      <c r="X131" s="12" t="str">
        <f ca="1">IFERROR(__xludf.DUMMYFUNCTION("GOOGLETRANSLATE($B131,""en"",X$3)"),"Tamaño pinza Prim")</f>
        <v>Tamaño pinza Prim</v>
      </c>
      <c r="Y131" s="12"/>
      <c r="Z131" s="12"/>
    </row>
    <row r="132" spans="1:26" ht="32.25" customHeight="1" x14ac:dyDescent="0.2">
      <c r="A132" s="17" t="s">
        <v>359</v>
      </c>
      <c r="B132" s="23" t="s">
        <v>360</v>
      </c>
      <c r="C132" s="11" t="str">
        <f ca="1">IFERROR(__xludf.DUMMYFUNCTION("GOOGLETRANSLATE($B132,""en"",C$3)"),"Clamp Prim Size‘ist eine Option nicht prim, um sicherzustellen, können die festgelegte Größe überschreiten")</f>
        <v>Clamp Prim Size‘ist eine Option nicht prim, um sicherzustellen, können die festgelegte Größe überschreiten</v>
      </c>
      <c r="D132" s="12" t="str">
        <f ca="1">IFERROR(__xludf.DUMMYFUNCTION("GOOGLETRANSLATE($B132,""en"",D$3)"),"Clamp Prim Size' är ett alternativ för att säkerställa att ingen prim kan överskrida den inställda storleken")</f>
        <v>Clamp Prim Size' är ett alternativ för att säkerställa att ingen prim kan överskrida den inställda storleken</v>
      </c>
      <c r="E132" s="12" t="str">
        <f ca="1">IFERROR(__xludf.DUMMYFUNCTION("GOOGLETRANSLATE($B132,""en"",E$3)"),"Braçadeira Prim Size' é uma opção para garantir que nenhum prim pode exceder o tamanho do conjunto")</f>
        <v>Braçadeira Prim Size' é uma opção para garantir que nenhum prim pode exceder o tamanho do conjunto</v>
      </c>
      <c r="F132" s="12" t="str">
        <f ca="1">IFERROR(__xludf.DUMMYFUNCTION("GOOGLETRANSLATE($B132,""en"",F$3)"),"Braçadeira Prim Size' é uma opção para garantir que nenhum prim pode exceder o tamanho do conjunto")</f>
        <v>Braçadeira Prim Size' é uma opção para garantir que nenhum prim pode exceder o tamanho do conjunto</v>
      </c>
      <c r="G132" s="12" t="str">
        <f ca="1">IFERROR(__xludf.DUMMYFUNCTION("GOOGLETRANSLATE($B132,""en"",G$3)"),"Pince Prim Taille » est une option pour assurer qu'aucun prim peut dépasser la taille du jeu")</f>
        <v>Pince Prim Taille » est une option pour assurer qu'aucun prim peut dépasser la taille du jeu</v>
      </c>
      <c r="H132" s="12" t="str">
        <f ca="1">IFERROR(__xludf.DUMMYFUNCTION("GOOGLETRANSLATE($B132,""en"",H$3)"),"Clamp Prim neurria 'aukera bat prim dago tamaina gainditu ahal bermatzeko")</f>
        <v>Clamp Prim neurria 'aukera bat prim dago tamaina gainditu ahal bermatzeko</v>
      </c>
      <c r="I132" s="12" t="str">
        <f ca="1">IFERROR(__xludf.DUMMYFUNCTION("GOOGLETRANSLATE($B132,""en"",I$3)"),"Mida pinça Prim 'és una opció per assegurar que no prim pot excedir la mida del conjunt")</f>
        <v>Mida pinça Prim 'és una opció per assegurar que no prim pot excedir la mida del conjunt</v>
      </c>
      <c r="J132" s="12" t="str">
        <f ca="1">IFERROR(__xludf.DUMMYFUNCTION("GOOGLETRANSLATE($B132,""en"",J$3)"),"Svorka Prim Size‘je možnost zajistit, aby nedocházelo Prim může přesáhnout velikost nastavenou")</f>
        <v>Svorka Prim Size‘je možnost zajistit, aby nedocházelo Prim může přesáhnout velikost nastavenou</v>
      </c>
      <c r="K132" s="12" t="str">
        <f ca="1">IFERROR(__xludf.DUMMYFUNCTION("GOOGLETRANSLATE($B132,""en"",K$3)"),"钳普里姆尺寸”，以确保没有一本正经可能超过设定大小的选项")</f>
        <v>钳普里姆尺寸”，以确保没有一本正经可能超过设定大小的选项</v>
      </c>
      <c r="L132" s="12" t="str">
        <f ca="1">IFERROR(__xludf.DUMMYFUNCTION("GOOGLETRANSLATE($B132,""en"",L$3)"),"鉗普里姆尺寸'，以確保沒有一本正經可能超過設定大小的選項")</f>
        <v>鉗普里姆尺寸'，以確保沒有一本正經可能超過設定大小的選項</v>
      </c>
      <c r="M132" s="12" t="str">
        <f ca="1">IFERROR(__xludf.DUMMYFUNCTION("GOOGLETRANSLATE($B132,""en"",M$3)"),"Clamp Prim Size' is een optie om geen prim kan de ingestelde grootte overschrijdt zorgen")</f>
        <v>Clamp Prim Size' is een optie om geen prim kan de ingestelde grootte overschrijdt zorgen</v>
      </c>
      <c r="N132" s="12" t="str">
        <f ca="1">IFERROR(__xludf.DUMMYFUNCTION("GOOGLETRANSLATE($B132,""en"",N$3)"),"Σφιγκτήρα Prim Μέγεθος»είναι μια επιλογή για να διασφαλιστεί ότι δεν prim μπορεί να υπερβαίνει το σύνολο του μεγέθους")</f>
        <v>Σφιγκτήρα Prim Μέγεθος»είναι μια επιλογή για να διασφαλιστεί ότι δεν prim μπορεί να υπερβαίνει το σύνολο του μεγέθους</v>
      </c>
      <c r="O132" s="12" t="str">
        <f ca="1">IFERROR(__xludf.DUMMYFUNCTION("GOOGLETRANSLATE($B132,""en"",O$3)"),"Clamp Prim Size' on vaihtoehto varmistaa mitään Prim voi ylittää asetetun koon")</f>
        <v>Clamp Prim Size' on vaihtoehto varmistaa mitään Prim voi ylittää asetetun koon</v>
      </c>
      <c r="P132" s="12" t="str">
        <f ca="1">IFERROR(__xludf.DUMMYFUNCTION("GOOGLETRANSLATE($B132,""en"",P$3)"),"Is Clamp Prim Size 'rogha chun a chinntiú nach prim bheith níos mó ná an méid atá leagtha")</f>
        <v>Is Clamp Prim Size 'rogha chun a chinntiú nach prim bheith níos mó ná an méid atá leagtha</v>
      </c>
      <c r="Q132" s="12" t="str">
        <f ca="1">IFERROR(__xludf.DUMMYFUNCTION("GOOGLETRANSLATE($B132,""en"",Q$3)"),"گیره پریم حجم: گزینه ای برای اطمینان از هیچ رسمی و خشک می تواند به اندازه مجموعه ای بیش از است")</f>
        <v>گیره پریم حجم: گزینه ای برای اطمینان از هیچ رسمی و خشک می تواند به اندازه مجموعه ای بیش از است</v>
      </c>
      <c r="R132" s="12" t="str">
        <f ca="1">IFERROR(__xludf.DUMMYFUNCTION("GOOGLETRANSLATE($B132,""en"",R$3)"),"צמד פרי גודל"" הוא אופציה כדי להבטיח שאין פרים יכול לחרוג את גודל הקבוצה")</f>
        <v>צמד פרי גודל" הוא אופציה כדי להבטיח שאין פרים יכול לחרוג את גודל הקבוצה</v>
      </c>
      <c r="S132" s="12" t="str">
        <f ca="1">IFERROR(__xludf.DUMMYFUNCTION("GOOGLETRANSLATE($B132,""en"",S$3)"),"Clamp Prim Size 'er valkostur til að tryggja engin Prim geta farið yfir sett stærð")</f>
        <v>Clamp Prim Size 'er valkostur til að tryggja engin Prim geta farið yfir sett stærð</v>
      </c>
      <c r="T132" s="12" t="str">
        <f ca="1">IFERROR(__xludf.DUMMYFUNCTION("GOOGLETRANSLATE($B132,""en"",T$3)"),"Clamp Prim Size' er et alternativ for å sikre at ingen prim kan overskride det angitte størrelse")</f>
        <v>Clamp Prim Size' er et alternativ for å sikre at ingen prim kan overskride det angitte størrelse</v>
      </c>
      <c r="U132" s="12" t="str">
        <f ca="1">IFERROR(__xludf.DUMMYFUNCTION("GOOGLETRANSLATE($B132,""en"",U$3)"),"المشبك متزمت الحجم ""هو خيار لضمان عدم وجود متزمت يمكن أن يتجاوز حجم مجموعة")</f>
        <v>المشبك متزمت الحجم "هو خيار لضمان عدم وجود متزمت يمكن أن يتجاوز حجم مجموعة</v>
      </c>
      <c r="V132" s="12" t="str">
        <f ca="1">IFERROR(__xludf.DUMMYFUNCTION("GOOGLETRANSLATE($B132,""en"",V$3)"),"Zacisk Prim Rozmiar”jest opcją, aby zapewnić nie Prim może przekroczyć wielkości zadanej")</f>
        <v>Zacisk Prim Rozmiar”jest opcją, aby zapewnić nie Prim może przekroczyć wielkości zadanej</v>
      </c>
      <c r="W132" s="12" t="str">
        <f ca="1">IFERROR(__xludf.DUMMYFUNCTION("GOOGLETRANSLATE($B132,""en"",W$3)"),"Зажим Prim Размер»вариант чтобы убедиться в отсутствии Prim может превышать установленный размер")</f>
        <v>Зажим Prim Размер»вариант чтобы убедиться в отсутствии Prim может превышать установленный размер</v>
      </c>
      <c r="X132" s="12" t="str">
        <f ca="1">IFERROR(__xludf.DUMMYFUNCTION("GOOGLETRANSLATE($B132,""en"",X$3)"),"Tamaño pinza Prim' es una opción para asegurar que no prim puede exceder el tamaño del conjunto")</f>
        <v>Tamaño pinza Prim' es una opción para asegurar que no prim puede exceder el tamaño del conjunto</v>
      </c>
      <c r="Y132" s="12"/>
      <c r="Z132" s="12"/>
    </row>
    <row r="133" spans="1:26" ht="32.25" customHeight="1" x14ac:dyDescent="0.2">
      <c r="A133" s="17" t="s">
        <v>361</v>
      </c>
      <c r="B133" s="17" t="s">
        <v>362</v>
      </c>
      <c r="C133" s="18" t="s">
        <v>1789</v>
      </c>
      <c r="D133" s="12" t="str">
        <f ca="1">IFERROR(__xludf.DUMMYFUNCTION("GOOGLETRANSLATE($B133,""en"",D$3)"),"Tydlig och Load")</f>
        <v>Tydlig och Load</v>
      </c>
      <c r="E133" s="12" t="str">
        <f ca="1">IFERROR(__xludf.DUMMYFUNCTION("GOOGLETRANSLATE($B133,""en"",E$3)"),"Limpar e Carga")</f>
        <v>Limpar e Carga</v>
      </c>
      <c r="F133" s="12" t="str">
        <f ca="1">IFERROR(__xludf.DUMMYFUNCTION("GOOGLETRANSLATE($B133,""en"",F$3)"),"Limpar e Carga")</f>
        <v>Limpar e Carga</v>
      </c>
      <c r="G133" s="12" t="str">
        <f ca="1">IFERROR(__xludf.DUMMYFUNCTION("GOOGLETRANSLATE($B133,""en"",G$3)"),"Effacer et charge")</f>
        <v>Effacer et charge</v>
      </c>
      <c r="H133" s="12" t="str">
        <f ca="1">IFERROR(__xludf.DUMMYFUNCTION("GOOGLETRANSLATE($B133,""en"",H$3)"),"Garbitu eta kargatu")</f>
        <v>Garbitu eta kargatu</v>
      </c>
      <c r="I133" s="12" t="str">
        <f ca="1">IFERROR(__xludf.DUMMYFUNCTION("GOOGLETRANSLATE($B133,""en"",I$3)"),"Clara i de càrrega")</f>
        <v>Clara i de càrrega</v>
      </c>
      <c r="J133" s="12" t="str">
        <f ca="1">IFERROR(__xludf.DUMMYFUNCTION("GOOGLETRANSLATE($B133,""en"",J$3)"),"Jasná a Load")</f>
        <v>Jasná a Load</v>
      </c>
      <c r="K133" s="12" t="str">
        <f ca="1">IFERROR(__xludf.DUMMYFUNCTION("GOOGLETRANSLATE($B133,""en"",K$3)"),"清除和加载")</f>
        <v>清除和加载</v>
      </c>
      <c r="L133" s="12" t="str">
        <f ca="1">IFERROR(__xludf.DUMMYFUNCTION("GOOGLETRANSLATE($B133,""en"",L$3)"),"清除和加載")</f>
        <v>清除和加載</v>
      </c>
      <c r="M133" s="12" t="str">
        <f ca="1">IFERROR(__xludf.DUMMYFUNCTION("GOOGLETRANSLATE($B133,""en"",M$3)"),"Duidelijke en Load")</f>
        <v>Duidelijke en Load</v>
      </c>
      <c r="N133" s="12" t="str">
        <f ca="1">IFERROR(__xludf.DUMMYFUNCTION("GOOGLETRANSLATE($B133,""en"",N$3)"),"Σαφείς και φορτίου")</f>
        <v>Σαφείς και φορτίου</v>
      </c>
      <c r="O133" s="12" t="str">
        <f ca="1">IFERROR(__xludf.DUMMYFUNCTION("GOOGLETRANSLATE($B133,""en"",O$3)"),"Selkeät ja Load")</f>
        <v>Selkeät ja Load</v>
      </c>
      <c r="P133" s="12" t="str">
        <f ca="1">IFERROR(__xludf.DUMMYFUNCTION("GOOGLETRANSLATE($B133,""en"",P$3)"),"Soiléir agus Luchtaigh")</f>
        <v>Soiléir agus Luchtaigh</v>
      </c>
      <c r="Q133" s="12" t="str">
        <f ca="1">IFERROR(__xludf.DUMMYFUNCTION("GOOGLETRANSLATE($B133,""en"",Q$3)"),"روشن و بار")</f>
        <v>روشن و بار</v>
      </c>
      <c r="R133" s="12" t="str">
        <f ca="1">IFERROR(__xludf.DUMMYFUNCTION("GOOGLETRANSLATE($B133,""en"",R$3)"),"נקה טען")</f>
        <v>נקה טען</v>
      </c>
      <c r="S133" s="12" t="str">
        <f ca="1">IFERROR(__xludf.DUMMYFUNCTION("GOOGLETRANSLATE($B133,""en"",S$3)"),"Hreinsa og Load")</f>
        <v>Hreinsa og Load</v>
      </c>
      <c r="T133" s="12" t="str">
        <f ca="1">IFERROR(__xludf.DUMMYFUNCTION("GOOGLETRANSLATE($B133,""en"",T$3)"),"Klar og Load")</f>
        <v>Klar og Load</v>
      </c>
      <c r="U133" s="12" t="str">
        <f ca="1">IFERROR(__xludf.DUMMYFUNCTION("GOOGLETRANSLATE($B133,""en"",U$3)"),"واضحة وتحميل")</f>
        <v>واضحة وتحميل</v>
      </c>
      <c r="V133" s="12" t="str">
        <f ca="1">IFERROR(__xludf.DUMMYFUNCTION("GOOGLETRANSLATE($B133,""en"",V$3)"),"Jasne i obciążenia")</f>
        <v>Jasne i obciążenia</v>
      </c>
      <c r="W133" s="12" t="str">
        <f ca="1">IFERROR(__xludf.DUMMYFUNCTION("GOOGLETRANSLATE($B133,""en"",W$3)"),"Очистить и загрузка")</f>
        <v>Очистить и загрузка</v>
      </c>
      <c r="X133" s="12" t="str">
        <f ca="1">IFERROR(__xludf.DUMMYFUNCTION("GOOGLETRANSLATE($B133,""en"",X$3)"),"Clara y de carga")</f>
        <v>Clara y de carga</v>
      </c>
      <c r="Y133" s="12"/>
      <c r="Z133" s="12"/>
    </row>
    <row r="134" spans="1:26" ht="32.25" customHeight="1" x14ac:dyDescent="0.2">
      <c r="A134" s="17" t="s">
        <v>363</v>
      </c>
      <c r="B134" s="17" t="s">
        <v>364</v>
      </c>
      <c r="C134" s="11" t="str">
        <f ca="1">IFERROR(__xludf.DUMMYFUNCTION("GOOGLETRANSLATE($B134,""en"",C$3)"),"Cache leeren")</f>
        <v>Cache leeren</v>
      </c>
      <c r="D134" s="12" t="str">
        <f ca="1">IFERROR(__xludf.DUMMYFUNCTION("GOOGLETRANSLATE($B134,""en"",D$3)"),"Clear Cache")</f>
        <v>Clear Cache</v>
      </c>
      <c r="E134" s="12" t="str">
        <f ca="1">IFERROR(__xludf.DUMMYFUNCTION("GOOGLETRANSLATE($B134,""en"",E$3)"),"Limpar cache")</f>
        <v>Limpar cache</v>
      </c>
      <c r="F134" s="12" t="str">
        <f ca="1">IFERROR(__xludf.DUMMYFUNCTION("GOOGLETRANSLATE($B134,""en"",F$3)"),"Limpar cache")</f>
        <v>Limpar cache</v>
      </c>
      <c r="G134" s="12" t="str">
        <f ca="1">IFERROR(__xludf.DUMMYFUNCTION("GOOGLETRANSLATE($B134,""en"",G$3)"),"Vider le cache")</f>
        <v>Vider le cache</v>
      </c>
      <c r="H134" s="12" t="str">
        <f ca="1">IFERROR(__xludf.DUMMYFUNCTION("GOOGLETRANSLATE($B134,""en"",H$3)"),"Garbitu cachea")</f>
        <v>Garbitu cachea</v>
      </c>
      <c r="I134" s="12" t="str">
        <f ca="1">IFERROR(__xludf.DUMMYFUNCTION("GOOGLETRANSLATE($B134,""en"",I$3)"),"Netejar memòria cau")</f>
        <v>Netejar memòria cau</v>
      </c>
      <c r="J134" s="12" t="str">
        <f ca="1">IFERROR(__xludf.DUMMYFUNCTION("GOOGLETRANSLATE($B134,""en"",J$3)"),"Vyčistit mezipaměť")</f>
        <v>Vyčistit mezipaměť</v>
      </c>
      <c r="K134" s="12" t="str">
        <f ca="1">IFERROR(__xludf.DUMMYFUNCTION("GOOGLETRANSLATE($B134,""en"",K$3)"),"清除缓存")</f>
        <v>清除缓存</v>
      </c>
      <c r="L134" s="12" t="str">
        <f ca="1">IFERROR(__xludf.DUMMYFUNCTION("GOOGLETRANSLATE($B134,""en"",L$3)"),"清除緩存")</f>
        <v>清除緩存</v>
      </c>
      <c r="M134" s="12" t="str">
        <f ca="1">IFERROR(__xludf.DUMMYFUNCTION("GOOGLETRANSLATE($B134,""en"",M$3)"),"Cache wissen")</f>
        <v>Cache wissen</v>
      </c>
      <c r="N134" s="12" t="str">
        <f ca="1">IFERROR(__xludf.DUMMYFUNCTION("GOOGLETRANSLATE($B134,""en"",N$3)"),"Εκκαθάριση προσωρινής μνήμης")</f>
        <v>Εκκαθάριση προσωρινής μνήμης</v>
      </c>
      <c r="O134" s="12" t="str">
        <f ca="1">IFERROR(__xludf.DUMMYFUNCTION("GOOGLETRANSLATE($B134,""en"",O$3)"),"Tyhjennä välimuisti")</f>
        <v>Tyhjennä välimuisti</v>
      </c>
      <c r="P134" s="12" t="str">
        <f ca="1">IFERROR(__xludf.DUMMYFUNCTION("GOOGLETRANSLATE($B134,""en"",P$3)"),"Clear Cache")</f>
        <v>Clear Cache</v>
      </c>
      <c r="Q134" s="12" t="str">
        <f ca="1">IFERROR(__xludf.DUMMYFUNCTION("GOOGLETRANSLATE($B134,""en"",Q$3)"),"پاک کردن حافظه پنهان")</f>
        <v>پاک کردن حافظه پنهان</v>
      </c>
      <c r="R134" s="12" t="str">
        <f ca="1">IFERROR(__xludf.DUMMYFUNCTION("GOOGLETRANSLATE($B134,""en"",R$3)"),"נקה מטמון")</f>
        <v>נקה מטמון</v>
      </c>
      <c r="S134" s="12" t="str">
        <f ca="1">IFERROR(__xludf.DUMMYFUNCTION("GOOGLETRANSLATE($B134,""en"",S$3)"),"Clear Cache")</f>
        <v>Clear Cache</v>
      </c>
      <c r="T134" s="12" t="str">
        <f ca="1">IFERROR(__xludf.DUMMYFUNCTION("GOOGLETRANSLATE($B134,""en"",T$3)"),"Tøm cache")</f>
        <v>Tøm cache</v>
      </c>
      <c r="U134" s="12" t="str">
        <f ca="1">IFERROR(__xludf.DUMMYFUNCTION("GOOGLETRANSLATE($B134,""en"",U$3)"),"مسح ذاكرة التخزين المؤقت")</f>
        <v>مسح ذاكرة التخزين المؤقت</v>
      </c>
      <c r="V134" s="12" t="str">
        <f ca="1">IFERROR(__xludf.DUMMYFUNCTION("GOOGLETRANSLATE($B134,""en"",V$3)"),"Wyczyść pamięć podręczną")</f>
        <v>Wyczyść pamięć podręczną</v>
      </c>
      <c r="W134" s="12" t="str">
        <f ca="1">IFERROR(__xludf.DUMMYFUNCTION("GOOGLETRANSLATE($B134,""en"",W$3)"),"Очистить кэш")</f>
        <v>Очистить кэш</v>
      </c>
      <c r="X134" s="12" t="str">
        <f ca="1">IFERROR(__xludf.DUMMYFUNCTION("GOOGLETRANSLATE($B134,""en"",X$3)"),"Limpiar cache")</f>
        <v>Limpiar cache</v>
      </c>
      <c r="Y134" s="12"/>
      <c r="Z134" s="12"/>
    </row>
    <row r="135" spans="1:26" ht="32.25" customHeight="1" x14ac:dyDescent="0.2">
      <c r="A135" s="17" t="s">
        <v>365</v>
      </c>
      <c r="B135" s="17" t="s">
        <v>366</v>
      </c>
      <c r="C135" s="18" t="s">
        <v>1790</v>
      </c>
      <c r="D135" s="12" t="str">
        <f ca="1">IFERROR(__xludf.DUMMYFUNCTION("GOOGLETRANSLATE($B135,""en"",D$3)"),"Clear Selected cachar")</f>
        <v>Clear Selected cachar</v>
      </c>
      <c r="E135" s="13" t="s">
        <v>367</v>
      </c>
      <c r="F135" s="13" t="s">
        <v>367</v>
      </c>
      <c r="G135" s="12" t="str">
        <f ca="1">IFERROR(__xludf.DUMMYFUNCTION("GOOGLETRANSLATE($B135,""en"",G$3)"),"Effacer sélectionnés Caches")</f>
        <v>Effacer sélectionnés Caches</v>
      </c>
      <c r="H135" s="12" t="str">
        <f ca="1">IFERROR(__xludf.DUMMYFUNCTION("GOOGLETRANSLATE($B135,""en"",H$3)"),"Garbitu Hautatutako cacheak")</f>
        <v>Garbitu Hautatutako cacheak</v>
      </c>
      <c r="I135" s="12" t="str">
        <f ca="1">IFERROR(__xludf.DUMMYFUNCTION("GOOGLETRANSLATE($B135,""en"",I$3)"),"Memòries cau clara seleccionats")</f>
        <v>Memòries cau clara seleccionats</v>
      </c>
      <c r="J135" s="12" t="str">
        <f ca="1">IFERROR(__xludf.DUMMYFUNCTION("GOOGLETRANSLATE($B135,""en"",J$3)"),"Clear Vybrané Cache")</f>
        <v>Clear Vybrané Cache</v>
      </c>
      <c r="K135" s="12" t="str">
        <f ca="1">IFERROR(__xludf.DUMMYFUNCTION("GOOGLETRANSLATE($B135,""en"",K$3)"),"清除缓存选择")</f>
        <v>清除缓存选择</v>
      </c>
      <c r="L135" s="12" t="str">
        <f ca="1">IFERROR(__xludf.DUMMYFUNCTION("GOOGLETRANSLATE($B135,""en"",L$3)"),"清除緩存選擇")</f>
        <v>清除緩存選擇</v>
      </c>
      <c r="M135" s="12" t="str">
        <f ca="1">IFERROR(__xludf.DUMMYFUNCTION("GOOGLETRANSLATE($B135,""en"",M$3)"),"Clear Selected Caches")</f>
        <v>Clear Selected Caches</v>
      </c>
      <c r="N135" s="12" t="str">
        <f ca="1">IFERROR(__xludf.DUMMYFUNCTION("GOOGLETRANSLATE($B135,""en"",N$3)"),"Clear Selected προσωρινής μνήμης")</f>
        <v>Clear Selected προσωρινής μνήμης</v>
      </c>
      <c r="O135" s="12" t="str">
        <f ca="1">IFERROR(__xludf.DUMMYFUNCTION("GOOGLETRANSLATE($B135,""en"",O$3)"),"Tyhjennä valitut välimuistit")</f>
        <v>Tyhjennä valitut välimuistit</v>
      </c>
      <c r="P135" s="12" t="str">
        <f ca="1">IFERROR(__xludf.DUMMYFUNCTION("GOOGLETRANSLATE($B135,""en"",P$3)"),"Caches Clear Roghnaithe")</f>
        <v>Caches Clear Roghnaithe</v>
      </c>
      <c r="Q135" s="12" t="str">
        <f ca="1">IFERROR(__xludf.DUMMYFUNCTION("GOOGLETRANSLATE($B135,""en"",Q$3)"),"انبارهای روشن انتخاب")</f>
        <v>انبارهای روشن انتخاب</v>
      </c>
      <c r="R135" s="12" t="str">
        <f ca="1">IFERROR(__xludf.DUMMYFUNCTION("GOOGLETRANSLATE($B135,""en"",R$3)"),"מטמונים נבחרים נקה")</f>
        <v>מטמונים נבחרים נקה</v>
      </c>
      <c r="S135" s="12" t="str">
        <f ca="1">IFERROR(__xludf.DUMMYFUNCTION("GOOGLETRANSLATE($B135,""en"",S$3)"),"Hreinsa Valdar Skyndiminni")</f>
        <v>Hreinsa Valdar Skyndiminni</v>
      </c>
      <c r="T135" s="12" t="str">
        <f ca="1">IFERROR(__xludf.DUMMYFUNCTION("GOOGLETRANSLATE($B135,""en"",T$3)"),"Clear Valgte Caches")</f>
        <v>Clear Valgte Caches</v>
      </c>
      <c r="U135" s="12" t="str">
        <f ca="1">IFERROR(__xludf.DUMMYFUNCTION("GOOGLETRANSLATE($B135,""en"",U$3)"),"المخابئ واضحة مختارة")</f>
        <v>المخابئ واضحة مختارة</v>
      </c>
      <c r="V135" s="12" t="str">
        <f ca="1">IFERROR(__xludf.DUMMYFUNCTION("GOOGLETRANSLATE($B135,""en"",V$3)"),"Jasne Wybrane Skrytki")</f>
        <v>Jasne Wybrane Skrytki</v>
      </c>
      <c r="W135" s="12" t="str">
        <f ca="1">IFERROR(__xludf.DUMMYFUNCTION("GOOGLETRANSLATE($B135,""en"",W$3)"),"Очистить Избранные кэша")</f>
        <v>Очистить Избранные кэша</v>
      </c>
      <c r="X135" s="12" t="str">
        <f ca="1">IFERROR(__xludf.DUMMYFUNCTION("GOOGLETRANSLATE($B135,""en"",X$3)"),"Cachés clara seleccionados")</f>
        <v>Cachés clara seleccionados</v>
      </c>
      <c r="Y135" s="12"/>
      <c r="Z135" s="12"/>
    </row>
    <row r="136" spans="1:26" ht="32.25" customHeight="1" x14ac:dyDescent="0.2">
      <c r="A136" s="17" t="s">
        <v>368</v>
      </c>
      <c r="B136" s="17" t="s">
        <v>369</v>
      </c>
      <c r="C136" s="18" t="s">
        <v>1791</v>
      </c>
      <c r="D136" s="12" t="str">
        <f ca="1">IFERROR(__xludf.DUMMYFUNCTION("GOOGLETRANSLATE($B136,""en"",D$3)"),"Clearing Asset Cache. Det kan ta lång tid.")</f>
        <v>Clearing Asset Cache. Det kan ta lång tid.</v>
      </c>
      <c r="E136" s="12" t="str">
        <f ca="1">IFERROR(__xludf.DUMMYFUNCTION("GOOGLETRANSLATE($B136,""en"",E$3)"),"Clearing de Ativos Cache. Isso pode levar um longo tempo.")</f>
        <v>Clearing de Ativos Cache. Isso pode levar um longo tempo.</v>
      </c>
      <c r="F136" s="12" t="str">
        <f ca="1">IFERROR(__xludf.DUMMYFUNCTION("GOOGLETRANSLATE($B136,""en"",F$3)"),"Clearing de Ativos Cache. Isso pode levar um longo tempo.")</f>
        <v>Clearing de Ativos Cache. Isso pode levar um longo tempo.</v>
      </c>
      <c r="G136" s="12" t="str">
        <f ca="1">IFERROR(__xludf.DUMMYFUNCTION("GOOGLETRANSLATE($B136,""en"",G$3)"),"Compensation des actifs Cache. Cela peut prendre beaucoup de temps.")</f>
        <v>Compensation des actifs Cache. Cela peut prendre beaucoup de temps.</v>
      </c>
      <c r="H136" s="12" t="str">
        <f ca="1">IFERROR(__xludf.DUMMYFUNCTION("GOOGLETRANSLATE($B136,""en"",H$3)"),"Konpentsazio Asset Cache. Hau luze jo dezake.")</f>
        <v>Konpentsazio Asset Cache. Hau luze jo dezake.</v>
      </c>
      <c r="I136" s="12" t="str">
        <f ca="1">IFERROR(__xludf.DUMMYFUNCTION("GOOGLETRANSLATE($B136,""en"",I$3)"),"Neteja de la memòria cau d'actius. Això pot portar molt de temps.")</f>
        <v>Neteja de la memòria cau d'actius. Això pot portar molt de temps.</v>
      </c>
      <c r="J136" s="12" t="str">
        <f ca="1">IFERROR(__xludf.DUMMYFUNCTION("GOOGLETRANSLATE($B136,""en"",J$3)"),"Clearing Asset Cache. To může trvat dlouhou dobu.")</f>
        <v>Clearing Asset Cache. To může trvat dlouhou dobu.</v>
      </c>
      <c r="K136" s="12" t="str">
        <f ca="1">IFERROR(__xludf.DUMMYFUNCTION("GOOGLETRANSLATE($B136,""en"",K$3)"),"清算资产缓存。这可能需要很长的时间。")</f>
        <v>清算资产缓存。这可能需要很长的时间。</v>
      </c>
      <c r="L136" s="12" t="str">
        <f ca="1">IFERROR(__xludf.DUMMYFUNCTION("GOOGLETRANSLATE($B136,""en"",L$3)"),"清算資產緩存。這可能需要很長的時間。")</f>
        <v>清算資產緩存。這可能需要很長的時間。</v>
      </c>
      <c r="M136" s="12" t="str">
        <f ca="1">IFERROR(__xludf.DUMMYFUNCTION("GOOGLETRANSLATE($B136,""en"",M$3)"),"Clearing Asset Cache. Dit kan een lange tijd in beslag nemen.")</f>
        <v>Clearing Asset Cache. Dit kan een lange tijd in beslag nemen.</v>
      </c>
      <c r="N136" s="12" t="str">
        <f ca="1">IFERROR(__xludf.DUMMYFUNCTION("GOOGLETRANSLATE($B136,""en"",N$3)"),"Εκκαθάριση Asset Cache. Αυτό μπορεί να διαρκέσει για μεγάλο χρονικό διάστημα.")</f>
        <v>Εκκαθάριση Asset Cache. Αυτό μπορεί να διαρκέσει για μεγάλο χρονικό διάστημα.</v>
      </c>
      <c r="O136" s="12" t="str">
        <f ca="1">IFERROR(__xludf.DUMMYFUNCTION("GOOGLETRANSLATE($B136,""en"",O$3)"),"Clearing Asset Cache. Tämä saattaa kestää kauan.")</f>
        <v>Clearing Asset Cache. Tämä saattaa kestää kauan.</v>
      </c>
      <c r="P136" s="12" t="str">
        <f ca="1">IFERROR(__xludf.DUMMYFUNCTION("GOOGLETRANSLATE($B136,""en"",P$3)"),"Imréitigh Cache Sócmhainní. D'fhéadfadh sé seo a ghlacadh le fada.")</f>
        <v>Imréitigh Cache Sócmhainní. D'fhéadfadh sé seo a ghlacadh le fada.</v>
      </c>
      <c r="Q136" s="12" t="str">
        <f ca="1">IFERROR(__xludf.DUMMYFUNCTION("GOOGLETRANSLATE($B136,""en"",Q$3)"),"پاکسازی دارایی کش. این ممکن است زمان زیادی ببرد.")</f>
        <v>پاکسازی دارایی کش. این ممکن است زمان زیادی ببرد.</v>
      </c>
      <c r="R136" s="12" t="str">
        <f ca="1">IFERROR(__xludf.DUMMYFUNCTION("GOOGLETRANSLATE($B136,""en"",R$3)"),"מטמון Asset סליקה. פעולה זו עשויה להימשך זמן רב.")</f>
        <v>מטמון Asset סליקה. פעולה זו עשויה להימשך זמן רב.</v>
      </c>
      <c r="S136" s="12" t="str">
        <f ca="1">IFERROR(__xludf.DUMMYFUNCTION("GOOGLETRANSLATE($B136,""en"",S$3)"),"Hreinsun Asset Cache. Þetta getur tekið langan tíma.")</f>
        <v>Hreinsun Asset Cache. Þetta getur tekið langan tíma.</v>
      </c>
      <c r="T136" s="12" t="str">
        <f ca="1">IFERROR(__xludf.DUMMYFUNCTION("GOOGLETRANSLATE($B136,""en"",T$3)"),"Clearing Asset Cache. Dette kan ta lang tid.")</f>
        <v>Clearing Asset Cache. Dette kan ta lang tid.</v>
      </c>
      <c r="U136" s="12" t="str">
        <f ca="1">IFERROR(__xludf.DUMMYFUNCTION("GOOGLETRANSLATE($B136,""en"",U$3)"),"مسح ذاكرة التخزين المؤقت الأصول. وهذا قد يستغرق وقتا طويلا.")</f>
        <v>مسح ذاكرة التخزين المؤقت الأصول. وهذا قد يستغرق وقتا طويلا.</v>
      </c>
      <c r="V136" s="12" t="str">
        <f ca="1">IFERROR(__xludf.DUMMYFUNCTION("GOOGLETRANSLATE($B136,""en"",V$3)"),"Aktywa Clearing Cache. Może to zająć dużo czasu.")</f>
        <v>Aktywa Clearing Cache. Może to zająć dużo czasu.</v>
      </c>
      <c r="W136" s="12" t="str">
        <f ca="1">IFERROR(__xludf.DUMMYFUNCTION("GOOGLETRANSLATE($B136,""en"",W$3)"),"Выемка Asset Cache. Это может занять много времени.")</f>
        <v>Выемка Asset Cache. Это может занять много времени.</v>
      </c>
      <c r="X136" s="12" t="str">
        <f ca="1">IFERROR(__xludf.DUMMYFUNCTION("GOOGLETRANSLATE($B136,""en"",X$3)"),"Limpieza de la caché de activos. Esto puede llevar mucho tiempo.")</f>
        <v>Limpieza de la caché de activos. Esto puede llevar mucho tiempo.</v>
      </c>
      <c r="Y136" s="12"/>
      <c r="Z136" s="12"/>
    </row>
    <row r="137" spans="1:26" ht="32.25" customHeight="1" x14ac:dyDescent="0.2">
      <c r="A137" s="17" t="s">
        <v>370</v>
      </c>
      <c r="B137" s="17" t="s">
        <v>371</v>
      </c>
      <c r="C137" s="18" t="s">
        <v>372</v>
      </c>
      <c r="D137" s="12" t="str">
        <f ca="1">IFERROR(__xludf.DUMMYFUNCTION("GOOGLETRANSLATE($B137,""en"",D$3)"),"Clearing Bake Cache")</f>
        <v>Clearing Bake Cache</v>
      </c>
      <c r="E137" s="12" t="str">
        <f ca="1">IFERROR(__xludf.DUMMYFUNCTION("GOOGLETRANSLATE($B137,""en"",E$3)"),"Clearing Asse Cache")</f>
        <v>Clearing Asse Cache</v>
      </c>
      <c r="F137" s="12" t="str">
        <f ca="1">IFERROR(__xludf.DUMMYFUNCTION("GOOGLETRANSLATE($B137,""en"",F$3)"),"Clearing Asse Cache")</f>
        <v>Clearing Asse Cache</v>
      </c>
      <c r="G137" s="12" t="str">
        <f ca="1">IFERROR(__xludf.DUMMYFUNCTION("GOOGLETRANSLATE($B137,""en"",G$3)"),"Faire cuire Clearing Cache")</f>
        <v>Faire cuire Clearing Cache</v>
      </c>
      <c r="H137" s="12" t="str">
        <f ca="1">IFERROR(__xludf.DUMMYFUNCTION("GOOGLETRANSLATE($B137,""en"",H$3)"),"Konpentsazio Bake Cache")</f>
        <v>Konpentsazio Bake Cache</v>
      </c>
      <c r="I137" s="12" t="str">
        <f ca="1">IFERROR(__xludf.DUMMYFUNCTION("GOOGLETRANSLATE($B137,""en"",I$3)"),"Compensació Enfornar memòria cau")</f>
        <v>Compensació Enfornar memòria cau</v>
      </c>
      <c r="J137" s="12" t="str">
        <f ca="1">IFERROR(__xludf.DUMMYFUNCTION("GOOGLETRANSLATE($B137,""en"",J$3)"),"Clearing Bake Cache")</f>
        <v>Clearing Bake Cache</v>
      </c>
      <c r="K137" s="12" t="str">
        <f ca="1">IFERROR(__xludf.DUMMYFUNCTION("GOOGLETRANSLATE($B137,""en"",K$3)"),"清除缓存烘烤")</f>
        <v>清除缓存烘烤</v>
      </c>
      <c r="L137" s="12" t="str">
        <f ca="1">IFERROR(__xludf.DUMMYFUNCTION("GOOGLETRANSLATE($B137,""en"",L$3)"),"清除緩存烘烤")</f>
        <v>清除緩存烘烤</v>
      </c>
      <c r="M137" s="12" t="str">
        <f ca="1">IFERROR(__xludf.DUMMYFUNCTION("GOOGLETRANSLATE($B137,""en"",M$3)"),"Clearing Bake Cache")</f>
        <v>Clearing Bake Cache</v>
      </c>
      <c r="N137" s="12" t="str">
        <f ca="1">IFERROR(__xludf.DUMMYFUNCTION("GOOGLETRANSLATE($B137,""en"",N$3)"),"Εκκαθάριση Ψήστε Cache")</f>
        <v>Εκκαθάριση Ψήστε Cache</v>
      </c>
      <c r="O137" s="12" t="str">
        <f ca="1">IFERROR(__xludf.DUMMYFUNCTION("GOOGLETRANSLATE($B137,""en"",O$3)"),"Clearing Paista Cache")</f>
        <v>Clearing Paista Cache</v>
      </c>
      <c r="P137" s="12" t="str">
        <f ca="1">IFERROR(__xludf.DUMMYFUNCTION("GOOGLETRANSLATE($B137,""en"",P$3)"),"Clearing Bake Cache")</f>
        <v>Clearing Bake Cache</v>
      </c>
      <c r="Q137" s="12" t="str">
        <f ca="1">IFERROR(__xludf.DUMMYFUNCTION("GOOGLETRANSLATE($B137,""en"",Q$3)"),"پاکسازی پخت کش")</f>
        <v>پاکسازی پخت کش</v>
      </c>
      <c r="R137" s="12" t="str">
        <f ca="1">IFERROR(__xludf.DUMMYFUNCTION("GOOGLETRANSLATE($B137,""en"",R$3)"),"סליקה אופה מטמון")</f>
        <v>סליקה אופה מטמון</v>
      </c>
      <c r="S137" s="12" t="str">
        <f ca="1">IFERROR(__xludf.DUMMYFUNCTION("GOOGLETRANSLATE($B137,""en"",S$3)"),"Hreinsun Bakið Cache")</f>
        <v>Hreinsun Bakið Cache</v>
      </c>
      <c r="T137" s="12" t="str">
        <f ca="1">IFERROR(__xludf.DUMMYFUNCTION("GOOGLETRANSLATE($B137,""en"",T$3)"),"Clearing Bake Cache")</f>
        <v>Clearing Bake Cache</v>
      </c>
      <c r="U137" s="12" t="str">
        <f ca="1">IFERROR(__xludf.DUMMYFUNCTION("GOOGLETRANSLATE($B137,""en"",U$3)"),"المقاصة خبز الكاش")</f>
        <v>المقاصة خبز الكاش</v>
      </c>
      <c r="V137" s="12" t="str">
        <f ca="1">IFERROR(__xludf.DUMMYFUNCTION("GOOGLETRANSLATE($B137,""en"",V$3)"),"Clearing Cache Bake")</f>
        <v>Clearing Cache Bake</v>
      </c>
      <c r="W137" s="12" t="str">
        <f ca="1">IFERROR(__xludf.DUMMYFUNCTION("GOOGLETRANSLATE($B137,""en"",W$3)"),"Выемка Выпекать Cache")</f>
        <v>Выемка Выпекать Cache</v>
      </c>
      <c r="X137" s="12" t="str">
        <f ca="1">IFERROR(__xludf.DUMMYFUNCTION("GOOGLETRANSLATE($B137,""en"",X$3)"),"Compensación Hornear caché")</f>
        <v>Compensación Hornear caché</v>
      </c>
      <c r="Y137" s="12"/>
      <c r="Z137" s="12"/>
    </row>
    <row r="138" spans="1:26" ht="32.25" customHeight="1" x14ac:dyDescent="0.2">
      <c r="A138" s="17" t="s">
        <v>373</v>
      </c>
      <c r="B138" s="17" t="s">
        <v>374</v>
      </c>
      <c r="C138" s="18" t="s">
        <v>375</v>
      </c>
      <c r="D138" s="12" t="str">
        <f ca="1">IFERROR(__xludf.DUMMYFUNCTION("GOOGLETRANSLATE($B138,""en"",D$3)"),"Clearing Bild Cache")</f>
        <v>Clearing Bild Cache</v>
      </c>
      <c r="E138" s="13" t="s">
        <v>376</v>
      </c>
      <c r="F138" s="13" t="s">
        <v>376</v>
      </c>
      <c r="G138" s="12" t="str">
        <f ca="1">IFERROR(__xludf.DUMMYFUNCTION("GOOGLETRANSLATE($B138,""en"",G$3)"),"Image Effacer le cache")</f>
        <v>Image Effacer le cache</v>
      </c>
      <c r="H138" s="12" t="str">
        <f ca="1">IFERROR(__xludf.DUMMYFUNCTION("GOOGLETRANSLATE($B138,""en"",H$3)"),"Konpentsazio Image Cache")</f>
        <v>Konpentsazio Image Cache</v>
      </c>
      <c r="I138" s="12" t="str">
        <f ca="1">IFERROR(__xludf.DUMMYFUNCTION("GOOGLETRANSLATE($B138,""en"",I$3)"),"Neteja de la memòria cau Imatge")</f>
        <v>Neteja de la memòria cau Imatge</v>
      </c>
      <c r="J138" s="12" t="str">
        <f ca="1">IFERROR(__xludf.DUMMYFUNCTION("GOOGLETRANSLATE($B138,""en"",J$3)"),"Clearing Cache Image")</f>
        <v>Clearing Cache Image</v>
      </c>
      <c r="K138" s="12" t="str">
        <f ca="1">IFERROR(__xludf.DUMMYFUNCTION("GOOGLETRANSLATE($B138,""en"",K$3)"),"清除图像缓存")</f>
        <v>清除图像缓存</v>
      </c>
      <c r="L138" s="12" t="str">
        <f ca="1">IFERROR(__xludf.DUMMYFUNCTION("GOOGLETRANSLATE($B138,""en"",L$3)"),"清除圖像緩存")</f>
        <v>清除圖像緩存</v>
      </c>
      <c r="M138" s="12" t="str">
        <f ca="1">IFERROR(__xludf.DUMMYFUNCTION("GOOGLETRANSLATE($B138,""en"",M$3)"),"Clearing Afbeelding Cache")</f>
        <v>Clearing Afbeelding Cache</v>
      </c>
      <c r="N138" s="12" t="str">
        <f ca="1">IFERROR(__xludf.DUMMYFUNCTION("GOOGLETRANSLATE($B138,""en"",N$3)"),"Εκκαθάριση προσωρινής μνήμης Εικόνα")</f>
        <v>Εκκαθάριση προσωρινής μνήμης Εικόνα</v>
      </c>
      <c r="O138" s="12" t="str">
        <f ca="1">IFERROR(__xludf.DUMMYFUNCTION("GOOGLETRANSLATE($B138,""en"",O$3)"),"Clearing Kuvavälimuisti")</f>
        <v>Clearing Kuvavälimuisti</v>
      </c>
      <c r="P138" s="12" t="str">
        <f ca="1">IFERROR(__xludf.DUMMYFUNCTION("GOOGLETRANSLATE($B138,""en"",P$3)"),"Imréitigh Cache Íomhá")</f>
        <v>Imréitigh Cache Íomhá</v>
      </c>
      <c r="Q138" s="12" t="str">
        <f ca="1">IFERROR(__xludf.DUMMYFUNCTION("GOOGLETRANSLATE($B138,""en"",Q$3)"),"پاک کردن حافظه پنهان تصویر")</f>
        <v>پاک کردن حافظه پنهان تصویر</v>
      </c>
      <c r="R138" s="12" t="str">
        <f ca="1">IFERROR(__xludf.DUMMYFUNCTION("GOOGLETRANSLATE($B138,""en"",R$3)"),"מטמון תמונת סליקה")</f>
        <v>מטמון תמונת סליקה</v>
      </c>
      <c r="S138" s="12" t="str">
        <f ca="1">IFERROR(__xludf.DUMMYFUNCTION("GOOGLETRANSLATE($B138,""en"",S$3)"),"Hreinsun Image Cache")</f>
        <v>Hreinsun Image Cache</v>
      </c>
      <c r="T138" s="12" t="str">
        <f ca="1">IFERROR(__xludf.DUMMYFUNCTION("GOOGLETRANSLATE($B138,""en"",T$3)"),"Clearing Bilde Cache")</f>
        <v>Clearing Bilde Cache</v>
      </c>
      <c r="U138" s="12" t="str">
        <f ca="1">IFERROR(__xludf.DUMMYFUNCTION("GOOGLETRANSLATE($B138,""en"",U$3)"),"المقاصة صورة الكاش")</f>
        <v>المقاصة صورة الكاش</v>
      </c>
      <c r="V138" s="12" t="str">
        <f ca="1">IFERROR(__xludf.DUMMYFUNCTION("GOOGLETRANSLATE($B138,""en"",V$3)"),"Wyczyszczenie pamięci obrazu")</f>
        <v>Wyczyszczenie pamięci obrazu</v>
      </c>
      <c r="W138" s="12" t="str">
        <f ca="1">IFERROR(__xludf.DUMMYFUNCTION("GOOGLETRANSLATE($B138,""en"",W$3)"),"Выемка кэш изображения")</f>
        <v>Выемка кэш изображения</v>
      </c>
      <c r="X138" s="12" t="str">
        <f ca="1">IFERROR(__xludf.DUMMYFUNCTION("GOOGLETRANSLATE($B138,""en"",X$3)"),"Limpieza de la caché Imagen")</f>
        <v>Limpieza de la caché Imagen</v>
      </c>
      <c r="Y138" s="12"/>
      <c r="Z138" s="12"/>
    </row>
    <row r="139" spans="1:26" ht="32.25" customHeight="1" x14ac:dyDescent="0.2">
      <c r="A139" s="17" t="s">
        <v>377</v>
      </c>
      <c r="B139" s="17" t="s">
        <v>378</v>
      </c>
      <c r="C139" s="18" t="s">
        <v>379</v>
      </c>
      <c r="D139" s="12" t="str">
        <f ca="1">IFERROR(__xludf.DUMMYFUNCTION("GOOGLETRANSLATE($B139,""en"",D$3)"),"Clearing Karta Tiles")</f>
        <v>Clearing Karta Tiles</v>
      </c>
      <c r="E139" s="12" t="str">
        <f ca="1">IFERROR(__xludf.DUMMYFUNCTION("GOOGLETRANSLATE($B139,""en"",E$3)"),"Clearing Mapa Tiles")</f>
        <v>Clearing Mapa Tiles</v>
      </c>
      <c r="F139" s="12" t="str">
        <f ca="1">IFERROR(__xludf.DUMMYFUNCTION("GOOGLETRANSLATE($B139,""en"",F$3)"),"Clearing Mapa Tiles")</f>
        <v>Clearing Mapa Tiles</v>
      </c>
      <c r="G139" s="12" t="str">
        <f ca="1">IFERROR(__xludf.DUMMYFUNCTION("GOOGLETRANSLATE($B139,""en"",G$3)"),"Clearing Carte Tiles")</f>
        <v>Clearing Carte Tiles</v>
      </c>
      <c r="H139" s="12" t="str">
        <f ca="1">IFERROR(__xludf.DUMMYFUNCTION("GOOGLETRANSLATE($B139,""en"",H$3)"),"Konpentsazio Map fitxak")</f>
        <v>Konpentsazio Map fitxak</v>
      </c>
      <c r="I139" s="12" t="str">
        <f ca="1">IFERROR(__xludf.DUMMYFUNCTION("GOOGLETRANSLATE($B139,""en"",I$3)"),"Compensació Mapa Rajoles")</f>
        <v>Compensació Mapa Rajoles</v>
      </c>
      <c r="J139" s="12" t="str">
        <f ca="1">IFERROR(__xludf.DUMMYFUNCTION("GOOGLETRANSLATE($B139,""en"",J$3)"),"Clearing Map Dlaždice")</f>
        <v>Clearing Map Dlaždice</v>
      </c>
      <c r="K139" s="12" t="str">
        <f ca="1">IFERROR(__xludf.DUMMYFUNCTION("GOOGLETRANSLATE($B139,""en"",K$3)"),"清除地图图块")</f>
        <v>清除地图图块</v>
      </c>
      <c r="L139" s="12" t="str">
        <f ca="1">IFERROR(__xludf.DUMMYFUNCTION("GOOGLETRANSLATE($B139,""en"",L$3)"),"清除地圖圖塊")</f>
        <v>清除地圖圖塊</v>
      </c>
      <c r="M139" s="12" t="str">
        <f ca="1">IFERROR(__xludf.DUMMYFUNCTION("GOOGLETRANSLATE($B139,""en"",M$3)"),"Clearing Kaart Tiles")</f>
        <v>Clearing Kaart Tiles</v>
      </c>
      <c r="N139" s="12" t="str">
        <f ca="1">IFERROR(__xludf.DUMMYFUNCTION("GOOGLETRANSLATE($B139,""en"",N$3)"),"Εκκαθάριση χάρτη Πλακάκια")</f>
        <v>Εκκαθάριση χάρτη Πλακάκια</v>
      </c>
      <c r="O139" s="12" t="str">
        <f ca="1">IFERROR(__xludf.DUMMYFUNCTION("GOOGLETRANSLATE($B139,""en"",O$3)"),"Clearing Kartta Laatat")</f>
        <v>Clearing Kartta Laatat</v>
      </c>
      <c r="P139" s="12" t="str">
        <f ca="1">IFERROR(__xludf.DUMMYFUNCTION("GOOGLETRANSLATE($B139,""en"",P$3)"),"Clearing Léarscáil Tíleanna")</f>
        <v>Clearing Léarscáil Tíleanna</v>
      </c>
      <c r="Q139" s="12" t="str">
        <f ca="1">IFERROR(__xludf.DUMMYFUNCTION("GOOGLETRANSLATE($B139,""en"",Q$3)"),"پاکسازی نقشه کاشی")</f>
        <v>پاکسازی نقشه کاشی</v>
      </c>
      <c r="R139" s="12" t="str">
        <f ca="1">IFERROR(__xludf.DUMMYFUNCTION("GOOGLETRANSLATE($B139,""en"",R$3)"),"אריחי סליקת מפה")</f>
        <v>אריחי סליקת מפה</v>
      </c>
      <c r="S139" s="12" t="str">
        <f ca="1">IFERROR(__xludf.DUMMYFUNCTION("GOOGLETRANSLATE($B139,""en"",S$3)"),"Hreinsun Kort Flísar")</f>
        <v>Hreinsun Kort Flísar</v>
      </c>
      <c r="T139" s="12" t="str">
        <f ca="1">IFERROR(__xludf.DUMMYFUNCTION("GOOGLETRANSLATE($B139,""en"",T$3)"),"Clearing Kart Fliser")</f>
        <v>Clearing Kart Fliser</v>
      </c>
      <c r="U139" s="12" t="str">
        <f ca="1">IFERROR(__xludf.DUMMYFUNCTION("GOOGLETRANSLATE($B139,""en"",U$3)"),"المقاصة خريطة البلاط")</f>
        <v>المقاصة خريطة البلاط</v>
      </c>
      <c r="V139" s="12" t="str">
        <f ca="1">IFERROR(__xludf.DUMMYFUNCTION("GOOGLETRANSLATE($B139,""en"",V$3)"),"Clearing Mapa Płytki")</f>
        <v>Clearing Mapa Płytki</v>
      </c>
      <c r="W139" s="12" t="str">
        <f ca="1">IFERROR(__xludf.DUMMYFUNCTION("GOOGLETRANSLATE($B139,""en"",W$3)"),"Выемка Карта плитки")</f>
        <v>Выемка Карта плитки</v>
      </c>
      <c r="X139" s="12" t="str">
        <f ca="1">IFERROR(__xludf.DUMMYFUNCTION("GOOGLETRANSLATE($B139,""en"",X$3)"),"Compensación Mapa Azulejos")</f>
        <v>Compensación Mapa Azulejos</v>
      </c>
      <c r="Y139" s="12"/>
      <c r="Z139" s="12"/>
    </row>
    <row r="140" spans="1:26" ht="32.25" customHeight="1" x14ac:dyDescent="0.2">
      <c r="A140" s="17" t="s">
        <v>380</v>
      </c>
      <c r="B140" s="17" t="s">
        <v>381</v>
      </c>
      <c r="C140" s="18" t="s">
        <v>382</v>
      </c>
      <c r="D140" s="12" t="str">
        <f ca="1">IFERROR(__xludf.DUMMYFUNCTION("GOOGLETRANSLATE($B140,""en"",D$3)"),"Clearing Mesh Cache")</f>
        <v>Clearing Mesh Cache</v>
      </c>
      <c r="E140" s="13" t="s">
        <v>383</v>
      </c>
      <c r="F140" s="13" t="s">
        <v>383</v>
      </c>
      <c r="G140" s="12" t="str">
        <f ca="1">IFERROR(__xludf.DUMMYFUNCTION("GOOGLETRANSLATE($B140,""en"",G$3)"),"Compensation Mesh Cache")</f>
        <v>Compensation Mesh Cache</v>
      </c>
      <c r="H140" s="12" t="str">
        <f ca="1">IFERROR(__xludf.DUMMYFUNCTION("GOOGLETRANSLATE($B140,""en"",H$3)"),"Konpentsazio Malla Cache")</f>
        <v>Konpentsazio Malla Cache</v>
      </c>
      <c r="I140" s="12" t="str">
        <f ca="1">IFERROR(__xludf.DUMMYFUNCTION("GOOGLETRANSLATE($B140,""en"",I$3)"),"Compensació de malla de memòria cau")</f>
        <v>Compensació de malla de memòria cau</v>
      </c>
      <c r="J140" s="12" t="str">
        <f ca="1">IFERROR(__xludf.DUMMYFUNCTION("GOOGLETRANSLATE($B140,""en"",J$3)"),"Clearing Mesh Cache")</f>
        <v>Clearing Mesh Cache</v>
      </c>
      <c r="K140" s="12" t="str">
        <f ca="1">IFERROR(__xludf.DUMMYFUNCTION("GOOGLETRANSLATE($B140,""en"",K$3)"),"清除高速缓存网格")</f>
        <v>清除高速缓存网格</v>
      </c>
      <c r="L140" s="12" t="str">
        <f ca="1">IFERROR(__xludf.DUMMYFUNCTION("GOOGLETRANSLATE($B140,""en"",L$3)"),"清除高速緩存網格")</f>
        <v>清除高速緩存網格</v>
      </c>
      <c r="M140" s="12" t="str">
        <f ca="1">IFERROR(__xludf.DUMMYFUNCTION("GOOGLETRANSLATE($B140,""en"",M$3)"),"Clearing Mesh Cache")</f>
        <v>Clearing Mesh Cache</v>
      </c>
      <c r="N140" s="12" t="str">
        <f ca="1">IFERROR(__xludf.DUMMYFUNCTION("GOOGLETRANSLATE($B140,""en"",N$3)"),"Εκκαθάριση ματιών Cache")</f>
        <v>Εκκαθάριση ματιών Cache</v>
      </c>
      <c r="O140" s="12" t="str">
        <f ca="1">IFERROR(__xludf.DUMMYFUNCTION("GOOGLETRANSLATE($B140,""en"",O$3)"),"Clearing Mesh Cache")</f>
        <v>Clearing Mesh Cache</v>
      </c>
      <c r="P140" s="12" t="str">
        <f ca="1">IFERROR(__xludf.DUMMYFUNCTION("GOOGLETRANSLATE($B140,""en"",P$3)"),"Cache mogalra Imréitigh")</f>
        <v>Cache mogalra Imréitigh</v>
      </c>
      <c r="Q140" s="12" t="str">
        <f ca="1">IFERROR(__xludf.DUMMYFUNCTION("GOOGLETRANSLATE($B140,""en"",Q$3)"),"پاکسازی مش کش")</f>
        <v>پاکسازی مش کش</v>
      </c>
      <c r="R140" s="12" t="str">
        <f ca="1">IFERROR(__xludf.DUMMYFUNCTION("GOOGLETRANSLATE($B140,""en"",R$3)"),"מטמון Mesh סליקה")</f>
        <v>מטמון Mesh סליקה</v>
      </c>
      <c r="S140" s="12" t="str">
        <f ca="1">IFERROR(__xludf.DUMMYFUNCTION("GOOGLETRANSLATE($B140,""en"",S$3)"),"Hreinsun Mesh Cache")</f>
        <v>Hreinsun Mesh Cache</v>
      </c>
      <c r="T140" s="12" t="str">
        <f ca="1">IFERROR(__xludf.DUMMYFUNCTION("GOOGLETRANSLATE($B140,""en"",T$3)"),"Clearing Mesh Cache")</f>
        <v>Clearing Mesh Cache</v>
      </c>
      <c r="U140" s="12" t="str">
        <f ca="1">IFERROR(__xludf.DUMMYFUNCTION("GOOGLETRANSLATE($B140,""en"",U$3)"),"المقاصة شبكة الكاش")</f>
        <v>المقاصة شبكة الكاش</v>
      </c>
      <c r="V140" s="12" t="str">
        <f ca="1">IFERROR(__xludf.DUMMYFUNCTION("GOOGLETRANSLATE($B140,""en"",V$3)"),"Clearing Cache Mesh")</f>
        <v>Clearing Cache Mesh</v>
      </c>
      <c r="W140" s="12" t="str">
        <f ca="1">IFERROR(__xludf.DUMMYFUNCTION("GOOGLETRANSLATE($B140,""en"",W$3)"),"Выемка Mesh Cache")</f>
        <v>Выемка Mesh Cache</v>
      </c>
      <c r="X140" s="12" t="str">
        <f ca="1">IFERROR(__xludf.DUMMYFUNCTION("GOOGLETRANSLATE($B140,""en"",X$3)"),"Compensación de malla de caché")</f>
        <v>Compensación de malla de caché</v>
      </c>
      <c r="Y140" s="12"/>
      <c r="Z140" s="12"/>
    </row>
    <row r="141" spans="1:26" ht="32.25" customHeight="1" x14ac:dyDescent="0.2">
      <c r="A141" s="17" t="s">
        <v>384</v>
      </c>
      <c r="B141" s="17" t="s">
        <v>385</v>
      </c>
      <c r="C141" s="18" t="s">
        <v>1792</v>
      </c>
      <c r="D141" s="12" t="str">
        <f ca="1">IFERROR(__xludf.DUMMYFUNCTION("GOOGLETRANSLATE($B141,""en"",D$3)"),"Clearing Script Cache. Det kan ta lång tid.")</f>
        <v>Clearing Script Cache. Det kan ta lång tid.</v>
      </c>
      <c r="E141" s="12" t="str">
        <f ca="1">IFERROR(__xludf.DUMMYFUNCTION("GOOGLETRANSLATE($B141,""en"",E$3)"),"Clearing Script Cache. Isso pode levar um longo tempo.")</f>
        <v>Clearing Script Cache. Isso pode levar um longo tempo.</v>
      </c>
      <c r="F141" s="12" t="str">
        <f ca="1">IFERROR(__xludf.DUMMYFUNCTION("GOOGLETRANSLATE($B141,""en"",F$3)"),"Clearing Script Cache. Isso pode levar um longo tempo.")</f>
        <v>Clearing Script Cache. Isso pode levar um longo tempo.</v>
      </c>
      <c r="G141" s="12" t="str">
        <f ca="1">IFERROR(__xludf.DUMMYFUNCTION("GOOGLETRANSLATE($B141,""en"",G$3)"),"Clearing Script Cache. Cela peut prendre beaucoup de temps.")</f>
        <v>Clearing Script Cache. Cela peut prendre beaucoup de temps.</v>
      </c>
      <c r="H141" s="12" t="str">
        <f ca="1">IFERROR(__xludf.DUMMYFUNCTION("GOOGLETRANSLATE($B141,""en"",H$3)"),"Konpentsazio Script Cache. Hau luze jo dezake.")</f>
        <v>Konpentsazio Script Cache. Hau luze jo dezake.</v>
      </c>
      <c r="I141" s="12" t="str">
        <f ca="1">IFERROR(__xludf.DUMMYFUNCTION("GOOGLETRANSLATE($B141,""en"",I$3)"),"Neteja de la memòria cau de seqüència. Això pot portar molt de temps.")</f>
        <v>Neteja de la memòria cau de seqüència. Això pot portar molt de temps.</v>
      </c>
      <c r="J141" s="12" t="str">
        <f ca="1">IFERROR(__xludf.DUMMYFUNCTION("GOOGLETRANSLATE($B141,""en"",J$3)"),"Clearing Script Cache. To může trvat dlouhou dobu.")</f>
        <v>Clearing Script Cache. To může trvat dlouhou dobu.</v>
      </c>
      <c r="K141" s="12" t="str">
        <f ca="1">IFERROR(__xludf.DUMMYFUNCTION("GOOGLETRANSLATE($B141,""en"",K$3)"),"清除脚本缓存。这可能需要很长的时间。")</f>
        <v>清除脚本缓存。这可能需要很长的时间。</v>
      </c>
      <c r="L141" s="12" t="str">
        <f ca="1">IFERROR(__xludf.DUMMYFUNCTION("GOOGLETRANSLATE($B141,""en"",L$3)"),"清除腳本緩存。這可能需要很長的時間。")</f>
        <v>清除腳本緩存。這可能需要很長的時間。</v>
      </c>
      <c r="M141" s="12" t="str">
        <f ca="1">IFERROR(__xludf.DUMMYFUNCTION("GOOGLETRANSLATE($B141,""en"",M$3)"),"Clearing Script Cache. Dit kan een lange tijd in beslag nemen.")</f>
        <v>Clearing Script Cache. Dit kan een lange tijd in beslag nemen.</v>
      </c>
      <c r="N141" s="12" t="str">
        <f ca="1">IFERROR(__xludf.DUMMYFUNCTION("GOOGLETRANSLATE($B141,""en"",N$3)"),"Εκκαθάριση Σενάριο Cache. Αυτό μπορεί να διαρκέσει για μεγάλο χρονικό διάστημα.")</f>
        <v>Εκκαθάριση Σενάριο Cache. Αυτό μπορεί να διαρκέσει για μεγάλο χρονικό διάστημα.</v>
      </c>
      <c r="O141" s="12" t="str">
        <f ca="1">IFERROR(__xludf.DUMMYFUNCTION("GOOGLETRANSLATE($B141,""en"",O$3)"),"Clearing Ohjelmavälimuisti. Tämä saattaa kestää kauan.")</f>
        <v>Clearing Ohjelmavälimuisti. Tämä saattaa kestää kauan.</v>
      </c>
      <c r="P141" s="12" t="str">
        <f ca="1">IFERROR(__xludf.DUMMYFUNCTION("GOOGLETRANSLATE($B141,""en"",P$3)"),"Imréitigh Script Cache. D'fhéadfadh sé seo a ghlacadh le fada.")</f>
        <v>Imréitigh Script Cache. D'fhéadfadh sé seo a ghlacadh le fada.</v>
      </c>
      <c r="Q141" s="12" t="str">
        <f ca="1">IFERROR(__xludf.DUMMYFUNCTION("GOOGLETRANSLATE($B141,""en"",Q$3)"),"پاکسازی حافظه پنهان اسکریپت. این ممکن است زمان زیادی ببرد.")</f>
        <v>پاکسازی حافظه پنهان اسکریپت. این ممکن است زمان زیادی ببرد.</v>
      </c>
      <c r="R141" s="12" t="str">
        <f ca="1">IFERROR(__xludf.DUMMYFUNCTION("GOOGLETRANSLATE($B141,""en"",R$3)"),"מטמון סקריפט סליקה. פעולה זו עשויה להימשך זמן רב.")</f>
        <v>מטמון סקריפט סליקה. פעולה זו עשויה להימשך זמן רב.</v>
      </c>
      <c r="S141" s="12" t="str">
        <f ca="1">IFERROR(__xludf.DUMMYFUNCTION("GOOGLETRANSLATE($B141,""en"",S$3)"),"Hreinsun Script Cache. Þetta getur tekið langan tíma.")</f>
        <v>Hreinsun Script Cache. Þetta getur tekið langan tíma.</v>
      </c>
      <c r="T141" s="12" t="str">
        <f ca="1">IFERROR(__xludf.DUMMYFUNCTION("GOOGLETRANSLATE($B141,""en"",T$3)"),"Clearing Script Cache. Dette kan ta lang tid.")</f>
        <v>Clearing Script Cache. Dette kan ta lang tid.</v>
      </c>
      <c r="U141" s="12" t="str">
        <f ca="1">IFERROR(__xludf.DUMMYFUNCTION("GOOGLETRANSLATE($B141,""en"",U$3)"),"المقاصة سيناريو ذاكرة التخزين المؤقت. وهذا قد يستغرق وقتا طويلا.")</f>
        <v>المقاصة سيناريو ذاكرة التخزين المؤقت. وهذا قد يستغرق وقتا طويلا.</v>
      </c>
      <c r="V141" s="12" t="str">
        <f ca="1">IFERROR(__xludf.DUMMYFUNCTION("GOOGLETRANSLATE($B141,""en"",V$3)"),"Clearing Script Cache. Może to zająć dużo czasu.")</f>
        <v>Clearing Script Cache. Może to zająć dużo czasu.</v>
      </c>
      <c r="W141" s="12" t="str">
        <f ca="1">IFERROR(__xludf.DUMMYFUNCTION("GOOGLETRANSLATE($B141,""en"",W$3)"),"Выемка кэш сценария. Это может занять много времени.")</f>
        <v>Выемка кэш сценария. Это может занять много времени.</v>
      </c>
      <c r="X141" s="12" t="str">
        <f ca="1">IFERROR(__xludf.DUMMYFUNCTION("GOOGLETRANSLATE($B141,""en"",X$3)"),"Limpieza de la caché de secuencias de comandos. Esto puede llevar mucho tiempo.")</f>
        <v>Limpieza de la caché de secuencias de comandos. Esto puede llevar mucho tiempo.</v>
      </c>
      <c r="Y141" s="12"/>
      <c r="Z141" s="12"/>
    </row>
    <row r="142" spans="1:26" ht="32.25" customHeight="1" x14ac:dyDescent="0.2">
      <c r="A142" s="17" t="s">
        <v>386</v>
      </c>
      <c r="B142" s="17" t="s">
        <v>387</v>
      </c>
      <c r="C142" s="18" t="s">
        <v>388</v>
      </c>
      <c r="D142" s="12" t="str">
        <f ca="1">IFERROR(__xludf.DUMMYFUNCTION("GOOGLETRANSLATE($B142,""en"",D$3)"),"Ta bort alla registreringar")</f>
        <v>Ta bort alla registreringar</v>
      </c>
      <c r="E142" s="12" t="str">
        <f ca="1">IFERROR(__xludf.DUMMYFUNCTION("GOOGLETRANSLATE($B142,""en"",E$3)"),"Limpar Todas as inscrições")</f>
        <v>Limpar Todas as inscrições</v>
      </c>
      <c r="F142" s="12" t="str">
        <f ca="1">IFERROR(__xludf.DUMMYFUNCTION("GOOGLETRANSLATE($B142,""en"",F$3)"),"Limpar Todas as inscrições")</f>
        <v>Limpar Todas as inscrições</v>
      </c>
      <c r="G142" s="12" t="str">
        <f ca="1">IFERROR(__xludf.DUMMYFUNCTION("GOOGLETRANSLATE($B142,""en"",G$3)"),"Effacer tous les enregistrements")</f>
        <v>Effacer tous les enregistrements</v>
      </c>
      <c r="H142" s="12" t="str">
        <f ca="1">IFERROR(__xludf.DUMMYFUNCTION("GOOGLETRANSLATE($B142,""en"",H$3)"),"Garbitu matrikulazioa Guztiak")</f>
        <v>Garbitu matrikulazioa Guztiak</v>
      </c>
      <c r="I142" s="12" t="str">
        <f ca="1">IFERROR(__xludf.DUMMYFUNCTION("GOOGLETRANSLATE($B142,""en"",I$3)"),"Esborrar tots els registres")</f>
        <v>Esborrar tots els registres</v>
      </c>
      <c r="J142" s="12" t="str">
        <f ca="1">IFERROR(__xludf.DUMMYFUNCTION("GOOGLETRANSLATE($B142,""en"",J$3)"),"Jasné Všechny přihlášky")</f>
        <v>Jasné Všechny přihlášky</v>
      </c>
      <c r="K142" s="12" t="str">
        <f ca="1">IFERROR(__xludf.DUMMYFUNCTION("GOOGLETRANSLATE($B142,""en"",K$3)"),"清除所有登记")</f>
        <v>清除所有登记</v>
      </c>
      <c r="L142" s="12" t="str">
        <f ca="1">IFERROR(__xludf.DUMMYFUNCTION("GOOGLETRANSLATE($B142,""en"",L$3)"),"清除所有登記")</f>
        <v>清除所有登記</v>
      </c>
      <c r="M142" s="12" t="str">
        <f ca="1">IFERROR(__xludf.DUMMYFUNCTION("GOOGLETRANSLATE($B142,""en"",M$3)"),"Wissen Registraties")</f>
        <v>Wissen Registraties</v>
      </c>
      <c r="N142" s="12" t="str">
        <f ca="1">IFERROR(__xludf.DUMMYFUNCTION("GOOGLETRANSLATE($B142,""en"",N$3)"),"Διαγραφή όλων Εγγραφές")</f>
        <v>Διαγραφή όλων Εγγραφές</v>
      </c>
      <c r="O142" s="12" t="str">
        <f ca="1">IFERROR(__xludf.DUMMYFUNCTION("GOOGLETRANSLATE($B142,""en"",O$3)"),"Clear kaikki rekisteröinnit")</f>
        <v>Clear kaikki rekisteröinnit</v>
      </c>
      <c r="P142" s="12" t="str">
        <f ca="1">IFERROR(__xludf.DUMMYFUNCTION("GOOGLETRANSLATE($B142,""en"",P$3)"),"Clear All Clárúcháin")</f>
        <v>Clear All Clárúcháin</v>
      </c>
      <c r="Q142" s="12" t="str">
        <f ca="1">IFERROR(__xludf.DUMMYFUNCTION("GOOGLETRANSLATE($B142,""en"",Q$3)"),"پاک کردن همه ثبت نام")</f>
        <v>پاک کردن همه ثبت نام</v>
      </c>
      <c r="R142" s="12" t="str">
        <f ca="1">IFERROR(__xludf.DUMMYFUNCTION("GOOGLETRANSLATE($B142,""en"",R$3)"),"רישומים נקה הכל")</f>
        <v>רישומים נקה הכל</v>
      </c>
      <c r="S142" s="12" t="str">
        <f ca="1">IFERROR(__xludf.DUMMYFUNCTION("GOOGLETRANSLATE($B142,""en"",S$3)"),"Hreinsa allt Skráningar")</f>
        <v>Hreinsa allt Skráningar</v>
      </c>
      <c r="T142" s="12" t="str">
        <f ca="1">IFERROR(__xludf.DUMMYFUNCTION("GOOGLETRANSLATE($B142,""en"",T$3)"),"Fjern alle registreringer")</f>
        <v>Fjern alle registreringer</v>
      </c>
      <c r="U142" s="12" t="str">
        <f ca="1">IFERROR(__xludf.DUMMYFUNCTION("GOOGLETRANSLATE($B142,""en"",U$3)"),"مسح جميع التسجيلات")</f>
        <v>مسح جميع التسجيلات</v>
      </c>
      <c r="V142" s="12" t="str">
        <f ca="1">IFERROR(__xludf.DUMMYFUNCTION("GOOGLETRANSLATE($B142,""en"",V$3)"),"Wyczyść wszystko Zgłoszenia")</f>
        <v>Wyczyść wszystko Zgłoszenia</v>
      </c>
      <c r="W142" s="12" t="str">
        <f ca="1">IFERROR(__xludf.DUMMYFUNCTION("GOOGLETRANSLATE($B142,""en"",W$3)"),"Очистить все зарегистрирование")</f>
        <v>Очистить все зарегистрирование</v>
      </c>
      <c r="X142" s="12" t="str">
        <f ca="1">IFERROR(__xludf.DUMMYFUNCTION("GOOGLETRANSLATE($B142,""en"",X$3)"),"Borrar todos los registros")</f>
        <v>Borrar todos los registros</v>
      </c>
      <c r="Y142" s="12"/>
      <c r="Z142" s="12"/>
    </row>
    <row r="143" spans="1:26" ht="32.25" customHeight="1" x14ac:dyDescent="0.2">
      <c r="A143" s="17" t="s">
        <v>389</v>
      </c>
      <c r="B143" s="17" t="s">
        <v>390</v>
      </c>
      <c r="C143" s="11" t="str">
        <f ca="1">IFERROR(__xludf.DUMMYFUNCTION("GOOGLETRANSLATE($B143,""en"",C$3)"),"Löschen Region Liste")</f>
        <v>Löschen Region Liste</v>
      </c>
      <c r="D143" s="12" t="str">
        <f ca="1">IFERROR(__xludf.DUMMYFUNCTION("GOOGLETRANSLATE($B143,""en"",D$3)"),"Rensa Region List")</f>
        <v>Rensa Region List</v>
      </c>
      <c r="E143" s="12" t="str">
        <f ca="1">IFERROR(__xludf.DUMMYFUNCTION("GOOGLETRANSLATE($B143,""en"",E$3)"),"Limpar lista Região")</f>
        <v>Limpar lista Região</v>
      </c>
      <c r="F143" s="12" t="str">
        <f ca="1">IFERROR(__xludf.DUMMYFUNCTION("GOOGLETRANSLATE($B143,""en"",F$3)"),"Limpar lista Região")</f>
        <v>Limpar lista Região</v>
      </c>
      <c r="G143" s="12" t="str">
        <f ca="1">IFERROR(__xludf.DUMMYFUNCTION("GOOGLETRANSLATE($B143,""en"",G$3)"),"Supprimer la liste Région")</f>
        <v>Supprimer la liste Région</v>
      </c>
      <c r="H143" s="12" t="str">
        <f ca="1">IFERROR(__xludf.DUMMYFUNCTION("GOOGLETRANSLATE($B143,""en"",H$3)"),"Garbitu eskualdea zerrenda")</f>
        <v>Garbitu eskualdea zerrenda</v>
      </c>
      <c r="I143" s="12" t="str">
        <f ca="1">IFERROR(__xludf.DUMMYFUNCTION("GOOGLETRANSLATE($B143,""en"",I$3)"),"Llista Regió Esborrar")</f>
        <v>Llista Regió Esborrar</v>
      </c>
      <c r="J143" s="12" t="str">
        <f ca="1">IFERROR(__xludf.DUMMYFUNCTION("GOOGLETRANSLATE($B143,""en"",J$3)"),"Vymazat seznam Kraj")</f>
        <v>Vymazat seznam Kraj</v>
      </c>
      <c r="K143" s="12" t="str">
        <f ca="1">IFERROR(__xludf.DUMMYFUNCTION("GOOGLETRANSLATE($B143,""en"",K$3)"),"清空地区名单")</f>
        <v>清空地区名单</v>
      </c>
      <c r="L143" s="12" t="str">
        <f ca="1">IFERROR(__xludf.DUMMYFUNCTION("GOOGLETRANSLATE($B143,""en"",L$3)"),"清空地區名單")</f>
        <v>清空地區名單</v>
      </c>
      <c r="M143" s="12" t="str">
        <f ca="1">IFERROR(__xludf.DUMMYFUNCTION("GOOGLETRANSLATE($B143,""en"",M$3)"),"Verwijderen Regio List")</f>
        <v>Verwijderen Regio List</v>
      </c>
      <c r="N143" s="12" t="str">
        <f ca="1">IFERROR(__xludf.DUMMYFUNCTION("GOOGLETRANSLATE($B143,""en"",N$3)"),"Clear Περιφέρεια Λίστα")</f>
        <v>Clear Περιφέρεια Λίστα</v>
      </c>
      <c r="O143" s="12" t="str">
        <f ca="1">IFERROR(__xludf.DUMMYFUNCTION("GOOGLETRANSLATE($B143,""en"",O$3)"),"Tyhjennysalueelle List")</f>
        <v>Tyhjennysalueelle List</v>
      </c>
      <c r="P143" s="12" t="str">
        <f ca="1">IFERROR(__xludf.DUMMYFUNCTION("GOOGLETRANSLATE($B143,""en"",P$3)"),"Glan Liosta Réigiún")</f>
        <v>Glan Liosta Réigiún</v>
      </c>
      <c r="Q143" s="12" t="str">
        <f ca="1">IFERROR(__xludf.DUMMYFUNCTION("GOOGLETRANSLATE($B143,""en"",Q$3)"),"پاک کردن لیست منطقه")</f>
        <v>پاک کردن لیست منطقه</v>
      </c>
      <c r="R143" s="12" t="str">
        <f ca="1">IFERROR(__xludf.DUMMYFUNCTION("GOOGLETRANSLATE($B143,""en"",R$3)"),"רשימת אזור נקה")</f>
        <v>רשימת אזור נקה</v>
      </c>
      <c r="S143" s="12" t="str">
        <f ca="1">IFERROR(__xludf.DUMMYFUNCTION("GOOGLETRANSLATE($B143,""en"",S$3)"),"Hreinsa Region List")</f>
        <v>Hreinsa Region List</v>
      </c>
      <c r="T143" s="12" t="str">
        <f ca="1">IFERROR(__xludf.DUMMYFUNCTION("GOOGLETRANSLATE($B143,""en"",T$3)"),"Clear Region Liste")</f>
        <v>Clear Region Liste</v>
      </c>
      <c r="U143" s="12" t="str">
        <f ca="1">IFERROR(__xludf.DUMMYFUNCTION("GOOGLETRANSLATE($B143,""en"",U$3)"),"مسح قائمة المنطقة")</f>
        <v>مسح قائمة المنطقة</v>
      </c>
      <c r="V143" s="12" t="str">
        <f ca="1">IFERROR(__xludf.DUMMYFUNCTION("GOOGLETRANSLATE($B143,""en"",V$3)"),"Usuń Region Lista")</f>
        <v>Usuń Region Lista</v>
      </c>
      <c r="W143" s="12" t="str">
        <f ca="1">IFERROR(__xludf.DUMMYFUNCTION("GOOGLETRANSLATE($B143,""en"",W$3)"),"Очистить список Регион")</f>
        <v>Очистить список Регион</v>
      </c>
      <c r="X143" s="12" t="str">
        <f ca="1">IFERROR(__xludf.DUMMYFUNCTION("GOOGLETRANSLATE($B143,""en"",X$3)"),"Lista Región Borrar")</f>
        <v>Lista Región Borrar</v>
      </c>
      <c r="Y143" s="12"/>
      <c r="Z143" s="12"/>
    </row>
    <row r="144" spans="1:26" ht="32.25" customHeight="1" x14ac:dyDescent="0.2">
      <c r="A144" s="17" t="s">
        <v>391</v>
      </c>
      <c r="B144" s="17" t="s">
        <v>392</v>
      </c>
      <c r="C144" s="18" t="s">
        <v>1793</v>
      </c>
      <c r="D144" s="12" t="str">
        <f ca="1">IFERROR(__xludf.DUMMYFUNCTION("GOOGLETRANSLATE($B144,""en"",D$3)"),"Klicka för att välja en grupp")</f>
        <v>Klicka för att välja en grupp</v>
      </c>
      <c r="E144" s="12" t="str">
        <f ca="1">IFERROR(__xludf.DUMMYFUNCTION("GOOGLETRANSLATE($B144,""en"",E$3)"),"Clique para escolher um grupo")</f>
        <v>Clique para escolher um grupo</v>
      </c>
      <c r="F144" s="12" t="str">
        <f ca="1">IFERROR(__xludf.DUMMYFUNCTION("GOOGLETRANSLATE($B144,""en"",F$3)"),"Clique para escolher um grupo")</f>
        <v>Clique para escolher um grupo</v>
      </c>
      <c r="G144" s="12" t="str">
        <f ca="1">IFERROR(__xludf.DUMMYFUNCTION("GOOGLETRANSLATE($B144,""en"",G$3)"),"Cliquez pour choisir un groupe")</f>
        <v>Cliquez pour choisir un groupe</v>
      </c>
      <c r="H144" s="12" t="str">
        <f ca="1">IFERROR(__xludf.DUMMYFUNCTION("GOOGLETRANSLATE($B144,""en"",H$3)"),"Klik talde bat aukeratu")</f>
        <v>Klik talde bat aukeratu</v>
      </c>
      <c r="I144" s="12" t="str">
        <f ca="1">IFERROR(__xludf.DUMMYFUNCTION("GOOGLETRANSLATE($B144,""en"",I$3)"),"Feu clic per seleccionar un grup")</f>
        <v>Feu clic per seleccionar un grup</v>
      </c>
      <c r="J144" s="12" t="str">
        <f ca="1">IFERROR(__xludf.DUMMYFUNCTION("GOOGLETRANSLATE($B144,""en"",J$3)"),"Kliknutím na zvolte skupinu")</f>
        <v>Kliknutím na zvolte skupinu</v>
      </c>
      <c r="K144" s="12" t="str">
        <f ca="1">IFERROR(__xludf.DUMMYFUNCTION("GOOGLETRANSLATE($B144,""en"",K$3)"),"点击选择一组")</f>
        <v>点击选择一组</v>
      </c>
      <c r="L144" s="12" t="str">
        <f ca="1">IFERROR(__xludf.DUMMYFUNCTION("GOOGLETRANSLATE($B144,""en"",L$3)"),"點擊選擇一組")</f>
        <v>點擊選擇一組</v>
      </c>
      <c r="M144" s="12" t="str">
        <f ca="1">IFERROR(__xludf.DUMMYFUNCTION("GOOGLETRANSLATE($B144,""en"",M$3)"),"Klik hier om een ​​groep te kiezen")</f>
        <v>Klik hier om een ​​groep te kiezen</v>
      </c>
      <c r="N144" s="12" t="str">
        <f ca="1">IFERROR(__xludf.DUMMYFUNCTION("GOOGLETRANSLATE($B144,""en"",N$3)"),"Κάντε κλικ για να επιλέξετε μια ομάδα")</f>
        <v>Κάντε κλικ για να επιλέξετε μια ομάδα</v>
      </c>
      <c r="O144" s="12" t="str">
        <f ca="1">IFERROR(__xludf.DUMMYFUNCTION("GOOGLETRANSLATE($B144,""en"",O$3)"),"Valitse klikkaamalla ryhmään")</f>
        <v>Valitse klikkaamalla ryhmään</v>
      </c>
      <c r="P144" s="12" t="str">
        <f ca="1">IFERROR(__xludf.DUMMYFUNCTION("GOOGLETRANSLATE($B144,""en"",P$3)"),"Cliceáil chun roghnú ar ghrúpa")</f>
        <v>Cliceáil chun roghnú ar ghrúpa</v>
      </c>
      <c r="Q144" s="12" t="str">
        <f ca="1">IFERROR(__xludf.DUMMYFUNCTION("GOOGLETRANSLATE($B144,""en"",Q$3)"),"برای انتخاب یک گروه کلیک کنید")</f>
        <v>برای انتخاب یک گروه کلیک کنید</v>
      </c>
      <c r="R144" s="12" t="str">
        <f ca="1">IFERROR(__xludf.DUMMYFUNCTION("GOOGLETRANSLATE($B144,""en"",R$3)"),"לחץ כדי לבחור קבוצה")</f>
        <v>לחץ כדי לבחור קבוצה</v>
      </c>
      <c r="S144" s="12" t="str">
        <f ca="1">IFERROR(__xludf.DUMMYFUNCTION("GOOGLETRANSLATE($B144,""en"",S$3)"),"Smelltu til að velja hóp")</f>
        <v>Smelltu til að velja hóp</v>
      </c>
      <c r="T144" s="12" t="str">
        <f ca="1">IFERROR(__xludf.DUMMYFUNCTION("GOOGLETRANSLATE($B144,""en"",T$3)"),"Klikk for å velge en gruppe")</f>
        <v>Klikk for å velge en gruppe</v>
      </c>
      <c r="U144" s="12" t="str">
        <f ca="1">IFERROR(__xludf.DUMMYFUNCTION("GOOGLETRANSLATE($B144,""en"",U$3)"),"انقر لاختيار مجموعة")</f>
        <v>انقر لاختيار مجموعة</v>
      </c>
      <c r="V144" s="12" t="str">
        <f ca="1">IFERROR(__xludf.DUMMYFUNCTION("GOOGLETRANSLATE($B144,""en"",V$3)"),"Kliknij, aby wybrać grupę")</f>
        <v>Kliknij, aby wybrać grupę</v>
      </c>
      <c r="W144" s="12" t="str">
        <f ca="1">IFERROR(__xludf.DUMMYFUNCTION("GOOGLETRANSLATE($B144,""en"",W$3)"),"Нажмите, чтобы выбрать группу")</f>
        <v>Нажмите, чтобы выбрать группу</v>
      </c>
      <c r="X144" s="12" t="str">
        <f ca="1">IFERROR(__xludf.DUMMYFUNCTION("GOOGLETRANSLATE($B144,""en"",X$3)"),"Haga clic para seleccionar un grupo")</f>
        <v>Haga clic para seleccionar un grupo</v>
      </c>
      <c r="Y144" s="12"/>
      <c r="Z144" s="12"/>
    </row>
    <row r="145" spans="1:26" ht="32.25" customHeight="1" x14ac:dyDescent="0.2">
      <c r="A145" s="17" t="s">
        <v>393</v>
      </c>
      <c r="B145" s="17" t="s">
        <v>394</v>
      </c>
      <c r="C145" s="18" t="s">
        <v>395</v>
      </c>
      <c r="D145" s="12" t="str">
        <f ca="1">IFERROR(__xludf.DUMMYFUNCTION("GOOGLETRANSLATE($B145,""en"",D$3)"),"Klicka här för att ställa in Birds modulen")</f>
        <v>Klicka här för att ställa in Birds modulen</v>
      </c>
      <c r="E145" s="13" t="s">
        <v>396</v>
      </c>
      <c r="F145" s="13" t="s">
        <v>396</v>
      </c>
      <c r="G145" s="12" t="str">
        <f ca="1">IFERROR(__xludf.DUMMYFUNCTION("GOOGLETRANSLATE($B145,""en"",G$3)"),"Cliquez pour mettre en place le module Oiseaux")</f>
        <v>Cliquez pour mettre en place le module Oiseaux</v>
      </c>
      <c r="H145" s="12" t="str">
        <f ca="1">IFERROR(__xludf.DUMMYFUNCTION("GOOGLETRANSLATE($B145,""en"",H$3)"),"Klikatu Birds modulu konfiguratzeko")</f>
        <v>Klikatu Birds modulu konfiguratzeko</v>
      </c>
      <c r="I145" s="12" t="str">
        <f ca="1">IFERROR(__xludf.DUMMYFUNCTION("GOOGLETRANSLATE($B145,""en"",I$3)"),"Feu clic per configurar el mòdul d'Aus")</f>
        <v>Feu clic per configurar el mòdul d'Aus</v>
      </c>
      <c r="J145" s="12" t="str">
        <f ca="1">IFERROR(__xludf.DUMMYFUNCTION("GOOGLETRANSLATE($B145,""en"",J$3)"),"Klepněte na tlačítko nastavit Birds modul")</f>
        <v>Klepněte na tlačítko nastavit Birds modul</v>
      </c>
      <c r="K145" s="12" t="str">
        <f ca="1">IFERROR(__xludf.DUMMYFUNCTION("GOOGLETRANSLATE($B145,""en"",K$3)"),"点击设置鸟类模块")</f>
        <v>点击设置鸟类模块</v>
      </c>
      <c r="L145" s="12" t="str">
        <f ca="1">IFERROR(__xludf.DUMMYFUNCTION("GOOGLETRANSLATE($B145,""en"",L$3)"),"點擊設置鳥類模塊")</f>
        <v>點擊設置鳥類模塊</v>
      </c>
      <c r="M145" s="12" t="str">
        <f ca="1">IFERROR(__xludf.DUMMYFUNCTION("GOOGLETRANSLATE($B145,""en"",M$3)"),"Klik om het opzetten van de Vogels module")</f>
        <v>Klik om het opzetten van de Vogels module</v>
      </c>
      <c r="N145" s="12" t="str">
        <f ca="1">IFERROR(__xludf.DUMMYFUNCTION("GOOGLETRANSLATE($B145,""en"",N$3)"),"Κάντε κλικ για να ρυθμίσετε τα πτηνά μονάδα")</f>
        <v>Κάντε κλικ για να ρυθμίσετε τα πτηνά μονάδα</v>
      </c>
      <c r="O145" s="12" t="str">
        <f ca="1">IFERROR(__xludf.DUMMYFUNCTION("GOOGLETRANSLATE($B145,""en"",O$3)"),"Klikkaa perustaa Linnut moduuli")</f>
        <v>Klikkaa perustaa Linnut moduuli</v>
      </c>
      <c r="P145" s="12" t="str">
        <f ca="1">IFERROR(__xludf.DUMMYFUNCTION("GOOGLETRANSLATE($B145,""en"",P$3)"),"Cliceáil a chur ar bun leis an modúl maidir le hÉin")</f>
        <v>Cliceáil a chur ar bun leis an modúl maidir le hÉin</v>
      </c>
      <c r="Q145" s="12" t="str">
        <f ca="1">IFERROR(__xludf.DUMMYFUNCTION("GOOGLETRANSLATE($B145,""en"",Q$3)"),"برای راه اندازی ماژول پرندگان را کلیک کنید")</f>
        <v>برای راه اندازی ماژول پرندگان را کلیک کنید</v>
      </c>
      <c r="R145" s="12" t="str">
        <f ca="1">IFERROR(__xludf.DUMMYFUNCTION("GOOGLETRANSLATE($B145,""en"",R$3)"),"לחץ כדי להגדיר את המודול ציפורים")</f>
        <v>לחץ כדי להגדיר את המודול ציפורים</v>
      </c>
      <c r="S145" s="12" t="str">
        <f ca="1">IFERROR(__xludf.DUMMYFUNCTION("GOOGLETRANSLATE($B145,""en"",S$3)"),"Smelltu til að setja upp Birds mát")</f>
        <v>Smelltu til að setja upp Birds mát</v>
      </c>
      <c r="T145" s="12" t="str">
        <f ca="1">IFERROR(__xludf.DUMMYFUNCTION("GOOGLETRANSLATE($B145,""en"",T$3)"),"Klikk for å sette opp Birds modulen")</f>
        <v>Klikk for å sette opp Birds modulen</v>
      </c>
      <c r="U145" s="12" t="str">
        <f ca="1">IFERROR(__xludf.DUMMYFUNCTION("GOOGLETRANSLATE($B145,""en"",U$3)"),"انقر لانشاء وحدة الطيور")</f>
        <v>انقر لانشاء وحدة الطيور</v>
      </c>
      <c r="V145" s="12" t="str">
        <f ca="1">IFERROR(__xludf.DUMMYFUNCTION("GOOGLETRANSLATE($B145,""en"",V$3)"),"Kliknij, aby skonfigurować moduł Birds")</f>
        <v>Kliknij, aby skonfigurować moduł Birds</v>
      </c>
      <c r="W145" s="12" t="str">
        <f ca="1">IFERROR(__xludf.DUMMYFUNCTION("GOOGLETRANSLATE($B145,""en"",W$3)"),"Нажмите, чтобы настроить модуль Birds")</f>
        <v>Нажмите, чтобы настроить модуль Birds</v>
      </c>
      <c r="X145" s="12" t="str">
        <f ca="1">IFERROR(__xludf.DUMMYFUNCTION("GOOGLETRANSLATE($B145,""en"",X$3)"),"Haga clic para configurar el módulo de Aves")</f>
        <v>Haga clic para configurar el módulo de Aves</v>
      </c>
      <c r="Y145" s="12"/>
      <c r="Z145" s="12"/>
    </row>
    <row r="146" spans="1:26" ht="32.25" customHeight="1" x14ac:dyDescent="0.2">
      <c r="A146" s="17" t="s">
        <v>397</v>
      </c>
      <c r="B146" s="17" t="s">
        <v>398</v>
      </c>
      <c r="C146" s="18" t="s">
        <v>1794</v>
      </c>
      <c r="D146" s="12" t="str">
        <f ca="1">IFERROR(__xludf.DUMMYFUNCTION("GOOGLETRANSLATE($B146,""en"",D$3)"),"Klicka för att ställa in cachar för skript, tillgångar och bilder")</f>
        <v>Klicka för att ställa in cachar för skript, tillgångar och bilder</v>
      </c>
      <c r="E146" s="12" t="str">
        <f ca="1">IFERROR(__xludf.DUMMYFUNCTION("GOOGLETRANSLATE($B146,""en"",E$3)"),"Clique para configurar caches para scripts, ativos e imagens")</f>
        <v>Clique para configurar caches para scripts, ativos e imagens</v>
      </c>
      <c r="F146" s="12" t="str">
        <f ca="1">IFERROR(__xludf.DUMMYFUNCTION("GOOGLETRANSLATE($B146,""en"",F$3)"),"Clique para configurar caches para scripts, ativos e imagens")</f>
        <v>Clique para configurar caches para scripts, ativos e imagens</v>
      </c>
      <c r="G146" s="12" t="str">
        <f ca="1">IFERROR(__xludf.DUMMYFUNCTION("GOOGLETRANSLATE($B146,""en"",G$3)"),"Cliquez pour mettre en place Caches pour les scripts, les actifs et les images")</f>
        <v>Cliquez pour mettre en place Caches pour les scripts, les actifs et les images</v>
      </c>
      <c r="H146" s="12" t="str">
        <f ca="1">IFERROR(__xludf.DUMMYFUNCTION("GOOGLETRANSLATE($B146,""en"",H$3)"),"Klik gidoiak, aktibo, eta irudien cacheak konfiguratzeko")</f>
        <v>Klik gidoiak, aktibo, eta irudien cacheak konfiguratzeko</v>
      </c>
      <c r="I146" s="12" t="str">
        <f ca="1">IFERROR(__xludf.DUMMYFUNCTION("GOOGLETRANSLATE($B146,""en"",I$3)"),"Feu clic per configurar caixets per guions, actius i imatges")</f>
        <v>Feu clic per configurar caixets per guions, actius i imatges</v>
      </c>
      <c r="J146" s="12" t="str">
        <f ca="1">IFERROR(__xludf.DUMMYFUNCTION("GOOGLETRANSLATE($B146,""en"",J$3)"),"Kliknutím na nastavení cache pro skripty, majetku a obrazy")</f>
        <v>Kliknutím na nastavení cache pro skripty, majetku a obrazy</v>
      </c>
      <c r="K146" s="12" t="str">
        <f ca="1">IFERROR(__xludf.DUMMYFUNCTION("GOOGLETRANSLATE($B146,""en"",K$3)"),"点击设置为脚本，资产和图像缓存")</f>
        <v>点击设置为脚本，资产和图像缓存</v>
      </c>
      <c r="L146" s="12" t="str">
        <f ca="1">IFERROR(__xludf.DUMMYFUNCTION("GOOGLETRANSLATE($B146,""en"",L$3)"),"點擊設置為腳本，資產和圖像緩存")</f>
        <v>點擊設置為腳本，資產和圖像緩存</v>
      </c>
      <c r="M146" s="12" t="str">
        <f ca="1">IFERROR(__xludf.DUMMYFUNCTION("GOOGLETRANSLATE($B146,""en"",M$3)"),"Klik op te zetten Caches voor scripts, activa, en afbeeldingen")</f>
        <v>Klik op te zetten Caches voor scripts, activa, en afbeeldingen</v>
      </c>
      <c r="N146" s="12" t="str">
        <f ca="1">IFERROR(__xludf.DUMMYFUNCTION("GOOGLETRANSLATE($B146,""en"",N$3)"),"Κάντε κλικ για να δημιουργήσει κρυφή μνήμη για σενάρια, τα περιουσιακά στοιχεία και εικόνες")</f>
        <v>Κάντε κλικ για να δημιουργήσει κρυφή μνήμη για σενάρια, τα περιουσιακά στοιχεία και εικόνες</v>
      </c>
      <c r="O146" s="12" t="str">
        <f ca="1">IFERROR(__xludf.DUMMYFUNCTION("GOOGLETRANSLATE($B146,""en"",O$3)"),"Klikkaa perustaa välimuistit skriptejä, omaisuuden, ja kuvia")</f>
        <v>Klikkaa perustaa välimuistit skriptejä, omaisuuden, ja kuvia</v>
      </c>
      <c r="P146" s="12" t="str">
        <f ca="1">IFERROR(__xludf.DUMMYFUNCTION("GOOGLETRANSLATE($B146,""en"",P$3)"),"Cliceáil a chur ar bun Caches le haghaidh scripteanna, sócmhainní, agus íomhánna")</f>
        <v>Cliceáil a chur ar bun Caches le haghaidh scripteanna, sócmhainní, agus íomhánna</v>
      </c>
      <c r="Q146" s="12" t="str">
        <f ca="1">IFERROR(__xludf.DUMMYFUNCTION("GOOGLETRANSLATE($B146,""en"",Q$3)"),"به راه اندازی حافظه های پنهان برای اسکریپت ها، دارایی ها، و تصاویر کلیک کنید")</f>
        <v>به راه اندازی حافظه های پنهان برای اسکریپت ها، دارایی ها، و تصاویر کلیک کنید</v>
      </c>
      <c r="R146" s="12" t="str">
        <f ca="1">IFERROR(__xludf.DUMMYFUNCTION("GOOGLETRANSLATE($B146,""en"",R$3)"),"לחץ כדי להגדיר מטמונים עבור סקריפטים, נכסים, ותמונות")</f>
        <v>לחץ כדי להגדיר מטמונים עבור סקריפטים, נכסים, ותמונות</v>
      </c>
      <c r="S146" s="12" t="str">
        <f ca="1">IFERROR(__xludf.DUMMYFUNCTION("GOOGLETRANSLATE($B146,""en"",S$3)"),"Smelltu til að setja upp Felustaður fyrir forskriftir, eignir og myndum")</f>
        <v>Smelltu til að setja upp Felustaður fyrir forskriftir, eignir og myndum</v>
      </c>
      <c r="T146" s="12" t="str">
        <f ca="1">IFERROR(__xludf.DUMMYFUNCTION("GOOGLETRANSLATE($B146,""en"",T$3)"),"Klikk for å sette opp Caches for skript, eiendeler og bilder")</f>
        <v>Klikk for å sette opp Caches for skript, eiendeler og bilder</v>
      </c>
      <c r="U146" s="12" t="str">
        <f ca="1">IFERROR(__xludf.DUMMYFUNCTION("GOOGLETRANSLATE($B146,""en"",U$3)"),"انقر لإنشاء المخابئ للمخطوطات، والأصول، والصور")</f>
        <v>انقر لإنشاء المخابئ للمخطوطات، والأصول، والصور</v>
      </c>
      <c r="V146" s="12" t="str">
        <f ca="1">IFERROR(__xludf.DUMMYFUNCTION("GOOGLETRANSLATE($B146,""en"",V$3)"),"Kliknij, aby skonfigurować pamięć podręczną dla skryptów, aktywów i obrazów")</f>
        <v>Kliknij, aby skonfigurować pamięć podręczną dla skryptów, aktywów i obrazów</v>
      </c>
      <c r="W146" s="12" t="str">
        <f ca="1">IFERROR(__xludf.DUMMYFUNCTION("GOOGLETRANSLATE($B146,""en"",W$3)"),"Нажмите, чтобы настроить кэша для сценариев, активов и изображений")</f>
        <v>Нажмите, чтобы настроить кэша для сценариев, активов и изображений</v>
      </c>
      <c r="X146" s="12" t="str">
        <f ca="1">IFERROR(__xludf.DUMMYFUNCTION("GOOGLETRANSLATE($B146,""en"",X$3)"),"Haga clic para configurar cachés para scripts, activos e imágenes")</f>
        <v>Haga clic para configurar cachés para scripts, activos e imágenes</v>
      </c>
      <c r="Y146" s="12"/>
      <c r="Z146" s="12"/>
    </row>
    <row r="147" spans="1:26" ht="32.25" customHeight="1" x14ac:dyDescent="0.2">
      <c r="A147" s="17" t="s">
        <v>399</v>
      </c>
      <c r="B147" s="17" t="s">
        <v>400</v>
      </c>
      <c r="C147" s="18" t="s">
        <v>1795</v>
      </c>
      <c r="D147" s="12" t="str">
        <f ca="1">IFERROR(__xludf.DUMMYFUNCTION("GOOGLETRANSLATE($B147,""en"",D$3)"),"Klicka för att ställa in Currency")</f>
        <v>Klicka för att ställa in Currency</v>
      </c>
      <c r="E147" s="12" t="str">
        <f ca="1">IFERROR(__xludf.DUMMYFUNCTION("GOOGLETRANSLATE($B147,""en"",E$3)"),"Clique para configurar Moeda")</f>
        <v>Clique para configurar Moeda</v>
      </c>
      <c r="F147" s="12" t="str">
        <f ca="1">IFERROR(__xludf.DUMMYFUNCTION("GOOGLETRANSLATE($B147,""en"",F$3)"),"Clique para configurar Moeda")</f>
        <v>Clique para configurar Moeda</v>
      </c>
      <c r="G147" s="12" t="str">
        <f ca="1">IFERROR(__xludf.DUMMYFUNCTION("GOOGLETRANSLATE($B147,""en"",G$3)"),"Cliquez pour mettre en place Monnaie")</f>
        <v>Cliquez pour mettre en place Monnaie</v>
      </c>
      <c r="H147" s="12" t="str">
        <f ca="1">IFERROR(__xludf.DUMMYFUNCTION("GOOGLETRANSLATE($B147,""en"",H$3)"),"Klik Moneta konfiguratzeko")</f>
        <v>Klik Moneta konfiguratzeko</v>
      </c>
      <c r="I147" s="12" t="str">
        <f ca="1">IFERROR(__xludf.DUMMYFUNCTION("GOOGLETRANSLATE($B147,""en"",I$3)"),"Feu clic per establir Moneda")</f>
        <v>Feu clic per establir Moneda</v>
      </c>
      <c r="J147" s="12" t="str">
        <f ca="1">IFERROR(__xludf.DUMMYFUNCTION("GOOGLETRANSLATE($B147,""en"",J$3)"),"Klepněte na tlačítko nastavit měnu")</f>
        <v>Klepněte na tlačítko nastavit měnu</v>
      </c>
      <c r="K147" s="12" t="str">
        <f ca="1">IFERROR(__xludf.DUMMYFUNCTION("GOOGLETRANSLATE($B147,""en"",K$3)"),"点击设置货币")</f>
        <v>点击设置货币</v>
      </c>
      <c r="L147" s="12" t="str">
        <f ca="1">IFERROR(__xludf.DUMMYFUNCTION("GOOGLETRANSLATE($B147,""en"",L$3)"),"點擊設置貨幣")</f>
        <v>點擊設置貨幣</v>
      </c>
      <c r="M147" s="12" t="str">
        <f ca="1">IFERROR(__xludf.DUMMYFUNCTION("GOOGLETRANSLATE($B147,""en"",M$3)"),"Klik op te zetten Currency")</f>
        <v>Klik op te zetten Currency</v>
      </c>
      <c r="N147" s="12" t="str">
        <f ca="1">IFERROR(__xludf.DUMMYFUNCTION("GOOGLETRANSLATE($B147,""en"",N$3)"),"Κάντε κλικ για να δημιουργήσει νομίσματος")</f>
        <v>Κάντε κλικ για να δημιουργήσει νομίσματος</v>
      </c>
      <c r="O147" s="12" t="str">
        <f ca="1">IFERROR(__xludf.DUMMYFUNCTION("GOOGLETRANSLATE($B147,""en"",O$3)"),"Klikkaa perustaa Valuutta")</f>
        <v>Klikkaa perustaa Valuutta</v>
      </c>
      <c r="P147" s="12" t="str">
        <f ca="1">IFERROR(__xludf.DUMMYFUNCTION("GOOGLETRANSLATE($B147,""en"",P$3)"),"Cliceáil a chur ar bun Airgeadra")</f>
        <v>Cliceáil a chur ar bun Airgeadra</v>
      </c>
      <c r="Q147" s="12" t="str">
        <f ca="1">IFERROR(__xludf.DUMMYFUNCTION("GOOGLETRANSLATE($B147,""en"",Q$3)"),"به راه اندازی نرخ ارز را کلیک کنید")</f>
        <v>به راه اندازی نرخ ارز را کلیک کنید</v>
      </c>
      <c r="R147" s="12" t="str">
        <f ca="1">IFERROR(__xludf.DUMMYFUNCTION("GOOGLETRANSLATE($B147,""en"",R$3)"),"לחץ כדי להגדיר מטבע")</f>
        <v>לחץ כדי להגדיר מטבע</v>
      </c>
      <c r="S147" s="12" t="str">
        <f ca="1">IFERROR(__xludf.DUMMYFUNCTION("GOOGLETRANSLATE($B147,""en"",S$3)"),"Smelltu til að setja upp Gjaldmiðill")</f>
        <v>Smelltu til að setja upp Gjaldmiðill</v>
      </c>
      <c r="T147" s="12" t="str">
        <f ca="1">IFERROR(__xludf.DUMMYFUNCTION("GOOGLETRANSLATE($B147,""en"",T$3)"),"Klikk for å sette opp Valuta")</f>
        <v>Klikk for å sette opp Valuta</v>
      </c>
      <c r="U147" s="12" t="str">
        <f ca="1">IFERROR(__xludf.DUMMYFUNCTION("GOOGLETRANSLATE($B147,""en"",U$3)"),"انقر لانشاء العملات")</f>
        <v>انقر لانشاء العملات</v>
      </c>
      <c r="V147" s="12" t="str">
        <f ca="1">IFERROR(__xludf.DUMMYFUNCTION("GOOGLETRANSLATE($B147,""en"",V$3)"),"Kliknij, aby ustawić walutę")</f>
        <v>Kliknij, aby ustawić walutę</v>
      </c>
      <c r="W147" s="12" t="str">
        <f ca="1">IFERROR(__xludf.DUMMYFUNCTION("GOOGLETRANSLATE($B147,""en"",W$3)"),"Нажмите, чтобы настроить валюту")</f>
        <v>Нажмите, чтобы настроить валюту</v>
      </c>
      <c r="X147" s="12" t="str">
        <f ca="1">IFERROR(__xludf.DUMMYFUNCTION("GOOGLETRANSLATE($B147,""en"",X$3)"),"Haga clic para establecer Moneda")</f>
        <v>Haga clic para establecer Moneda</v>
      </c>
      <c r="Y147" s="12"/>
      <c r="Z147" s="12"/>
    </row>
    <row r="148" spans="1:26" ht="32.25" customHeight="1" x14ac:dyDescent="0.2">
      <c r="A148" s="17" t="s">
        <v>401</v>
      </c>
      <c r="B148" s="17" t="s">
        <v>402</v>
      </c>
      <c r="C148" s="11" t="str">
        <f ca="1">IFERROR(__xludf.DUMMYFUNCTION("GOOGLETRANSLATE($B148,""en"",C$3)"),"Klicken Sie auf die Datenbank einrichten")</f>
        <v>Klicken Sie auf die Datenbank einrichten</v>
      </c>
      <c r="D148" s="12" t="str">
        <f ca="1">IFERROR(__xludf.DUMMYFUNCTION("GOOGLETRANSLATE($B148,""en"",D$3)"),"Klicka här för att ställa in databasen")</f>
        <v>Klicka här för att ställa in databasen</v>
      </c>
      <c r="E148" s="13" t="s">
        <v>403</v>
      </c>
      <c r="F148" s="13" t="s">
        <v>403</v>
      </c>
      <c r="G148" s="12" t="str">
        <f ca="1">IFERROR(__xludf.DUMMYFUNCTION("GOOGLETRANSLATE($B148,""en"",G$3)"),"Cliquez pour mettre en place la base de données")</f>
        <v>Cliquez pour mettre en place la base de données</v>
      </c>
      <c r="H148" s="12" t="str">
        <f ca="1">IFERROR(__xludf.DUMMYFUNCTION("GOOGLETRANSLATE($B148,""en"",H$3)"),"Klik datu-konfiguratzeko")</f>
        <v>Klik datu-konfiguratzeko</v>
      </c>
      <c r="I148" s="12" t="str">
        <f ca="1">IFERROR(__xludf.DUMMYFUNCTION("GOOGLETRANSLATE($B148,""en"",I$3)"),"Feu clic per configurar la base de dades")</f>
        <v>Feu clic per configurar la base de dades</v>
      </c>
      <c r="J148" s="12" t="str">
        <f ca="1">IFERROR(__xludf.DUMMYFUNCTION("GOOGLETRANSLATE($B148,""en"",J$3)"),"Kliknutím na nastavení databáze")</f>
        <v>Kliknutím na nastavení databáze</v>
      </c>
      <c r="K148" s="12" t="str">
        <f ca="1">IFERROR(__xludf.DUMMYFUNCTION("GOOGLETRANSLATE($B148,""en"",K$3)"),"点击设置数据库")</f>
        <v>点击设置数据库</v>
      </c>
      <c r="L148" s="12" t="str">
        <f ca="1">IFERROR(__xludf.DUMMYFUNCTION("GOOGLETRANSLATE($B148,""en"",L$3)"),"點擊設置數據庫")</f>
        <v>點擊設置數據庫</v>
      </c>
      <c r="M148" s="12" t="str">
        <f ca="1">IFERROR(__xludf.DUMMYFUNCTION("GOOGLETRANSLATE($B148,""en"",M$3)"),"Klik om het opzetten van de Database")</f>
        <v>Klik om het opzetten van de Database</v>
      </c>
      <c r="N148" s="12" t="str">
        <f ca="1">IFERROR(__xludf.DUMMYFUNCTION("GOOGLETRANSLATE($B148,""en"",N$3)"),"Κάντε κλικ για να δημιουργήσει τη βάση δεδομένων")</f>
        <v>Κάντε κλικ για να δημιουργήσει τη βάση δεδομένων</v>
      </c>
      <c r="O148" s="12" t="str">
        <f ca="1">IFERROR(__xludf.DUMMYFUNCTION("GOOGLETRANSLATE($B148,""en"",O$3)"),"Klikkaa perustaa tietokanta")</f>
        <v>Klikkaa perustaa tietokanta</v>
      </c>
      <c r="P148" s="12" t="str">
        <f ca="1">IFERROR(__xludf.DUMMYFUNCTION("GOOGLETRANSLATE($B148,""en"",P$3)"),"Cliceáil a chur ar bun leis an Bunachar Sonraí")</f>
        <v>Cliceáil a chur ar bun leis an Bunachar Sonraí</v>
      </c>
      <c r="Q148" s="12" t="str">
        <f ca="1">IFERROR(__xludf.DUMMYFUNCTION("GOOGLETRANSLATE($B148,""en"",Q$3)"),"به راه اندازی پایگاه کلیک کنید")</f>
        <v>به راه اندازی پایگاه کلیک کنید</v>
      </c>
      <c r="R148" s="12" t="str">
        <f ca="1">IFERROR(__xludf.DUMMYFUNCTION("GOOGLETRANSLATE($B148,""en"",R$3)"),"לחץ כדי להגדיר את המסד")</f>
        <v>לחץ כדי להגדיר את המסד</v>
      </c>
      <c r="S148" s="12" t="str">
        <f ca="1">IFERROR(__xludf.DUMMYFUNCTION("GOOGLETRANSLATE($B148,""en"",S$3)"),"Smelltu til að setja upp gagnagrunninn")</f>
        <v>Smelltu til að setja upp gagnagrunninn</v>
      </c>
      <c r="T148" s="12" t="str">
        <f ca="1">IFERROR(__xludf.DUMMYFUNCTION("GOOGLETRANSLATE($B148,""en"",T$3)"),"Klikk for å sette opp Database")</f>
        <v>Klikk for å sette opp Database</v>
      </c>
      <c r="U148" s="12" t="str">
        <f ca="1">IFERROR(__xludf.DUMMYFUNCTION("GOOGLETRANSLATE($B148,""en"",U$3)"),"انقر لإعداد قاعدة بيانات")</f>
        <v>انقر لإعداد قاعدة بيانات</v>
      </c>
      <c r="V148" s="12" t="str">
        <f ca="1">IFERROR(__xludf.DUMMYFUNCTION("GOOGLETRANSLATE($B148,""en"",V$3)"),"Kliknij, aby utworzyć bazę danych")</f>
        <v>Kliknij, aby utworzyć bazę danych</v>
      </c>
      <c r="W148" s="12" t="str">
        <f ca="1">IFERROR(__xludf.DUMMYFUNCTION("GOOGLETRANSLATE($B148,""en"",W$3)"),"Нажмите для настройки базы данных")</f>
        <v>Нажмите для настройки базы данных</v>
      </c>
      <c r="X148" s="12" t="str">
        <f ca="1">IFERROR(__xludf.DUMMYFUNCTION("GOOGLETRANSLATE($B148,""en"",X$3)"),"Haga clic para configurar la base de datos")</f>
        <v>Haga clic para configurar la base de datos</v>
      </c>
      <c r="Y148" s="12"/>
      <c r="Z148" s="12"/>
    </row>
    <row r="149" spans="1:26" ht="32.25" customHeight="1" x14ac:dyDescent="0.2">
      <c r="A149" s="10" t="s">
        <v>404</v>
      </c>
      <c r="B149" s="10" t="s">
        <v>405</v>
      </c>
      <c r="C149" s="11" t="str">
        <f ca="1">IFERROR(__xludf.DUMMYFUNCTION("GOOGLETRANSLATE($B149,""en"",C$3)"),"Klicken Sie zum Einrichten Gott-Modus und andere Berechtigungen")</f>
        <v>Klicken Sie zum Einrichten Gott-Modus und andere Berechtigungen</v>
      </c>
      <c r="D149" s="11" t="str">
        <f ca="1">IFERROR(__xludf.DUMMYFUNCTION("GOOGLETRANSLATE($B149,""en"",D$3)"),"Klicka för att ställa in Gud läge och andra behörigheter")</f>
        <v>Klicka för att ställa in Gud läge och andra behörigheter</v>
      </c>
      <c r="E149" s="11" t="str">
        <f ca="1">IFERROR(__xludf.DUMMYFUNCTION("GOOGLETRANSLATE($B149,""en"",E$3)"),"Clique para configurar o modo de Deus e outras permissões")</f>
        <v>Clique para configurar o modo de Deus e outras permissões</v>
      </c>
      <c r="F149" s="11" t="str">
        <f ca="1">IFERROR(__xludf.DUMMYFUNCTION("GOOGLETRANSLATE($B149,""en"",F$3)"),"Clique para configurar o modo de Deus e outras permissões")</f>
        <v>Clique para configurar o modo de Deus e outras permissões</v>
      </c>
      <c r="G149" s="11" t="str">
        <f ca="1">IFERROR(__xludf.DUMMYFUNCTION("GOOGLETRANSLATE($B149,""en"",G$3)"),"Cliquez pour mettre en place le mode de Dieu et d'autres autorisations")</f>
        <v>Cliquez pour mettre en place le mode de Dieu et d'autres autorisations</v>
      </c>
      <c r="H149" s="11" t="str">
        <f ca="1">IFERROR(__xludf.DUMMYFUNCTION("GOOGLETRANSLATE($B149,""en"",H$3)"),"Klik God modua eta beste baimen konfiguratzeko")</f>
        <v>Klik God modua eta beste baimen konfiguratzeko</v>
      </c>
      <c r="I149" s="11" t="str">
        <f ca="1">IFERROR(__xludf.DUMMYFUNCTION("GOOGLETRANSLATE($B149,""en"",I$3)"),"Feu clic per establir la manera de Déu i altres permisos")</f>
        <v>Feu clic per establir la manera de Déu i altres permisos</v>
      </c>
      <c r="J149" s="11" t="str">
        <f ca="1">IFERROR(__xludf.DUMMYFUNCTION("GOOGLETRANSLATE($B149,""en"",J$3)"),"Klepněte na tlačítko nastavit nesmrtelnost a další oprávnění")</f>
        <v>Klepněte na tlačítko nastavit nesmrtelnost a další oprávnění</v>
      </c>
      <c r="K149" s="11" t="str">
        <f ca="1">IFERROR(__xludf.DUMMYFUNCTION("GOOGLETRANSLATE($B149,""en"",K$3)"),"点击设置上帝模式等权限")</f>
        <v>点击设置上帝模式等权限</v>
      </c>
      <c r="L149" s="11" t="str">
        <f ca="1">IFERROR(__xludf.DUMMYFUNCTION("GOOGLETRANSLATE($B149,""en"",L$3)"),"點擊設置上帝模式等權限")</f>
        <v>點擊設置上帝模式等權限</v>
      </c>
      <c r="M149" s="11" t="str">
        <f ca="1">IFERROR(__xludf.DUMMYFUNCTION("GOOGLETRANSLATE($B149,""en"",M$3)"),"Klik op te zetten God mode en andere toestemmingen")</f>
        <v>Klik op te zetten God mode en andere toestemmingen</v>
      </c>
      <c r="N149" s="11" t="str">
        <f ca="1">IFERROR(__xludf.DUMMYFUNCTION("GOOGLETRANSLATE($B149,""en"",N$3)"),"Κάντε κλικ για να ρυθμίσετε τη λειτουργία του Θεού και άλλα δικαιώματα")</f>
        <v>Κάντε κλικ για να ρυθμίσετε τη λειτουργία του Θεού και άλλα δικαιώματα</v>
      </c>
      <c r="O149" s="11" t="str">
        <f ca="1">IFERROR(__xludf.DUMMYFUNCTION("GOOGLETRANSLATE($B149,""en"",O$3)"),"Klikkaa perustaa God Mode ja muut luvat")</f>
        <v>Klikkaa perustaa God Mode ja muut luvat</v>
      </c>
      <c r="P149" s="11" t="str">
        <f ca="1">IFERROR(__xludf.DUMMYFUNCTION("GOOGLETRANSLATE($B149,""en"",P$3)"),"Cliceáil a chur ar bun Dia mód agus ceadanna eile")</f>
        <v>Cliceáil a chur ar bun Dia mód agus ceadanna eile</v>
      </c>
      <c r="Q149" s="11" t="str">
        <f ca="1">IFERROR(__xludf.DUMMYFUNCTION("GOOGLETRANSLATE($B149,""en"",Q$3)"),"به راه اندازی حالت خدا و مجوز دیگر کلیک کنید")</f>
        <v>به راه اندازی حالت خدا و مجوز دیگر کلیک کنید</v>
      </c>
      <c r="R149" s="11" t="str">
        <f ca="1">IFERROR(__xludf.DUMMYFUNCTION("GOOGLETRANSLATE($B149,""en"",R$3)"),"לחץ כדי להגדיר מצב של אלוהים והרשאות אחרות")</f>
        <v>לחץ כדי להגדיר מצב של אלוהים והרשאות אחרות</v>
      </c>
      <c r="S149" s="11" t="str">
        <f ca="1">IFERROR(__xludf.DUMMYFUNCTION("GOOGLETRANSLATE($B149,""en"",S$3)"),"Smelltu til að setja upp Guð ham og öðrum heimildum")</f>
        <v>Smelltu til að setja upp Guð ham og öðrum heimildum</v>
      </c>
      <c r="T149" s="11" t="str">
        <f ca="1">IFERROR(__xludf.DUMMYFUNCTION("GOOGLETRANSLATE($B149,""en"",T$3)"),"Klikk for å sette opp Gud modus og andre tillatelser")</f>
        <v>Klikk for å sette opp Gud modus og andre tillatelser</v>
      </c>
      <c r="U149" s="11" t="str">
        <f ca="1">IFERROR(__xludf.DUMMYFUNCTION("GOOGLETRANSLATE($B149,""en"",U$3)"),"انقر لإنشاء وضع الله وأذونات أخرى")</f>
        <v>انقر لإنشاء وضع الله وأذونات أخرى</v>
      </c>
      <c r="V149" s="11" t="str">
        <f ca="1">IFERROR(__xludf.DUMMYFUNCTION("GOOGLETRANSLATE($B149,""en"",V$3)"),"Kliknij, aby ustawić tryb Boga i inne uprawnienia")</f>
        <v>Kliknij, aby ustawić tryb Boga i inne uprawnienia</v>
      </c>
      <c r="W149" s="11" t="str">
        <f ca="1">IFERROR(__xludf.DUMMYFUNCTION("GOOGLETRANSLATE($B149,""en"",W$3)"),"Нажмите, чтобы установить режим Бога и другие разрешения")</f>
        <v>Нажмите, чтобы установить режим Бога и другие разрешения</v>
      </c>
      <c r="X149" s="11" t="str">
        <f ca="1">IFERROR(__xludf.DUMMYFUNCTION("GOOGLETRANSLATE($B149,""en"",X$3)"),"Haga clic para establecer el modo de Dios y otros permisos")</f>
        <v>Haga clic para establecer el modo de Dios y otros permisos</v>
      </c>
    </row>
    <row r="150" spans="1:26" ht="32.25" customHeight="1" x14ac:dyDescent="0.2">
      <c r="A150" s="17" t="s">
        <v>406</v>
      </c>
      <c r="B150" s="17" t="s">
        <v>407</v>
      </c>
      <c r="C150" s="11" t="str">
        <f ca="1">IFERROR(__xludf.DUMMYFUNCTION("GOOGLETRANSLATE($B150,""en"",C$3)"),"Klicken Sie für Hilfe")</f>
        <v>Klicken Sie für Hilfe</v>
      </c>
      <c r="D150" s="12" t="str">
        <f ca="1">IFERROR(__xludf.DUMMYFUNCTION("GOOGLETRANSLATE($B150,""en"",D$3)"),"Hjälptext")</f>
        <v>Hjälptext</v>
      </c>
      <c r="E150" s="13" t="s">
        <v>408</v>
      </c>
      <c r="F150" s="13" t="s">
        <v>408</v>
      </c>
      <c r="G150" s="12" t="str">
        <f ca="1">IFERROR(__xludf.DUMMYFUNCTION("GOOGLETRANSLATE($B150,""en"",G$3)"),"Cliquez pour Aide")</f>
        <v>Cliquez pour Aide</v>
      </c>
      <c r="H150" s="12" t="str">
        <f ca="1">IFERROR(__xludf.DUMMYFUNCTION("GOOGLETRANSLATE($B150,""en"",H$3)"),"Klik For Laguntza")</f>
        <v>Klik For Laguntza</v>
      </c>
      <c r="I150" s="12" t="str">
        <f ca="1">IFERROR(__xludf.DUMMYFUNCTION("GOOGLETRANSLATE($B150,""en"",I$3)"),"Feu clic per assistència")</f>
        <v>Feu clic per assistència</v>
      </c>
      <c r="J150" s="12" t="str">
        <f ca="1">IFERROR(__xludf.DUMMYFUNCTION("GOOGLETRANSLATE($B150,""en"",J$3)"),"Klikněte pro nápovědu")</f>
        <v>Klikněte pro nápovědu</v>
      </c>
      <c r="K150" s="12" t="str">
        <f ca="1">IFERROR(__xludf.DUMMYFUNCTION("GOOGLETRANSLATE($B150,""en"",K$3)"),"单击获取帮助")</f>
        <v>单击获取帮助</v>
      </c>
      <c r="L150" s="12" t="str">
        <f ca="1">IFERROR(__xludf.DUMMYFUNCTION("GOOGLETRANSLATE($B150,""en"",L$3)"),"單擊獲取幫助")</f>
        <v>單擊獲取幫助</v>
      </c>
      <c r="M150" s="12" t="str">
        <f ca="1">IFERROR(__xludf.DUMMYFUNCTION("GOOGLETRANSLATE($B150,""en"",M$3)"),"Klik voor Help")</f>
        <v>Klik voor Help</v>
      </c>
      <c r="N150" s="12" t="str">
        <f ca="1">IFERROR(__xludf.DUMMYFUNCTION("GOOGLETRANSLATE($B150,""en"",N$3)"),"Πατήστε για βοήθεια")</f>
        <v>Πατήστε για βοήθεια</v>
      </c>
      <c r="O150" s="12" t="str">
        <f ca="1">IFERROR(__xludf.DUMMYFUNCTION("GOOGLETRANSLATE($B150,""en"",O$3)"),"Klikkaa Ohje")</f>
        <v>Klikkaa Ohje</v>
      </c>
      <c r="P150" s="12" t="str">
        <f ca="1">IFERROR(__xludf.DUMMYFUNCTION("GOOGLETRANSLATE($B150,""en"",P$3)"),"Cliceáil Do Cabhair")</f>
        <v>Cliceáil Do Cabhair</v>
      </c>
      <c r="Q150" s="12" t="str">
        <f ca="1">IFERROR(__xludf.DUMMYFUNCTION("GOOGLETRANSLATE($B150,""en"",Q$3)"),"کلیک کنید برای راهنما")</f>
        <v>کلیک کنید برای راهنما</v>
      </c>
      <c r="R150" s="12" t="str">
        <f ca="1">IFERROR(__xludf.DUMMYFUNCTION("GOOGLETRANSLATE($B150,""en"",R$3)"),"לחץ לקבלת עזרה")</f>
        <v>לחץ לקבלת עזרה</v>
      </c>
      <c r="S150" s="12" t="str">
        <f ca="1">IFERROR(__xludf.DUMMYFUNCTION("GOOGLETRANSLATE($B150,""en"",S$3)"),"Smelltu til Hjálp")</f>
        <v>Smelltu til Hjálp</v>
      </c>
      <c r="T150" s="12" t="str">
        <f ca="1">IFERROR(__xludf.DUMMYFUNCTION("GOOGLETRANSLATE($B150,""en"",T$3)"),"Klikk her for hjelp")</f>
        <v>Klikk her for hjelp</v>
      </c>
      <c r="U150" s="12" t="str">
        <f ca="1">IFERROR(__xludf.DUMMYFUNCTION("GOOGLETRANSLATE($B150,""en"",U$3)"),"انقر على مساعدة")</f>
        <v>انقر على مساعدة</v>
      </c>
      <c r="V150" s="12" t="str">
        <f ca="1">IFERROR(__xludf.DUMMYFUNCTION("GOOGLETRANSLATE($B150,""en"",V$3)"),"Kliknij w celu uzyskania pomocy")</f>
        <v>Kliknij w celu uzyskania pomocy</v>
      </c>
      <c r="W150" s="12" t="str">
        <f ca="1">IFERROR(__xludf.DUMMYFUNCTION("GOOGLETRANSLATE($B150,""en"",W$3)"),"Щелкните для получения справки")</f>
        <v>Щелкните для получения справки</v>
      </c>
      <c r="X150" s="12" t="str">
        <f ca="1">IFERROR(__xludf.DUMMYFUNCTION("GOOGLETRANSLATE($B150,""en"",X$3)"),"Haga clic para asistencia")</f>
        <v>Haga clic para asistencia</v>
      </c>
      <c r="Y150" s="12"/>
      <c r="Z150" s="12"/>
    </row>
    <row r="151" spans="1:26" ht="32.25" customHeight="1" x14ac:dyDescent="0.2">
      <c r="A151" s="17" t="s">
        <v>409</v>
      </c>
      <c r="B151" s="17" t="s">
        <v>410</v>
      </c>
      <c r="C151" s="11" t="str">
        <f ca="1">IFERROR(__xludf.DUMMYFUNCTION("GOOGLETRANSLATE($B151,""en"",C$3)"),"Klicken Sie auf Hypergrid aktivieren oder ändern DNS-Namen")</f>
        <v>Klicken Sie auf Hypergrid aktivieren oder ändern DNS-Namen</v>
      </c>
      <c r="D151" s="12" t="str">
        <f ca="1">IFERROR(__xludf.DUMMYFUNCTION("GOOGLETRANSLATE($B151,""en"",D$3)"),"Klicka för att aktivera Hypergrid eller ändra DNS-namn")</f>
        <v>Klicka för att aktivera Hypergrid eller ändra DNS-namn</v>
      </c>
      <c r="E151" s="12" t="str">
        <f ca="1">IFERROR(__xludf.DUMMYFUNCTION("GOOGLETRANSLATE($B151,""en"",E$3)"),"Clique para ativar Hypergrid ou alterar o nome DNS")</f>
        <v>Clique para ativar Hypergrid ou alterar o nome DNS</v>
      </c>
      <c r="F151" s="12" t="str">
        <f ca="1">IFERROR(__xludf.DUMMYFUNCTION("GOOGLETRANSLATE($B151,""en"",F$3)"),"Clique para ativar Hypergrid ou alterar o nome DNS")</f>
        <v>Clique para ativar Hypergrid ou alterar o nome DNS</v>
      </c>
      <c r="G151" s="12" t="str">
        <f ca="1">IFERROR(__xludf.DUMMYFUNCTION("GOOGLETRANSLATE($B151,""en"",G$3)"),"Cliquez pour activer Hypergrid ou modifier le nom DNS")</f>
        <v>Cliquez pour activer Hypergrid ou modifier le nom DNS</v>
      </c>
      <c r="H151" s="12" t="str">
        <f ca="1">IFERROR(__xludf.DUMMYFUNCTION("GOOGLETRANSLATE($B151,""en"",H$3)"),"Klik Hypergrid gaitu edo aldatu DNS izena")</f>
        <v>Klik Hypergrid gaitu edo aldatu DNS izena</v>
      </c>
      <c r="I151" s="12" t="str">
        <f ca="1">IFERROR(__xludf.DUMMYFUNCTION("GOOGLETRANSLATE($B151,""en"",I$3)"),"Feu clic per activar Hypergrid o canviar el nom DNS")</f>
        <v>Feu clic per activar Hypergrid o canviar el nom DNS</v>
      </c>
      <c r="J151" s="12" t="str">
        <f ca="1">IFERROR(__xludf.DUMMYFUNCTION("GOOGLETRANSLATE($B151,""en"",J$3)"),"Kliknutím na Povolit Hypergrid nebo změnit název DNS")</f>
        <v>Kliknutím na Povolit Hypergrid nebo změnit název DNS</v>
      </c>
      <c r="K151" s="12" t="str">
        <f ca="1">IFERROR(__xludf.DUMMYFUNCTION("GOOGLETRANSLATE($B151,""en"",K$3)"),"点击启用Hypergrid或更改DNS名称")</f>
        <v>点击启用Hypergrid或更改DNS名称</v>
      </c>
      <c r="L151" s="12" t="str">
        <f ca="1">IFERROR(__xludf.DUMMYFUNCTION("GOOGLETRANSLATE($B151,""en"",L$3)"),"點擊啟用Hypergrid或更改DNS名稱")</f>
        <v>點擊啟用Hypergrid或更改DNS名稱</v>
      </c>
      <c r="M151" s="12" t="str">
        <f ca="1">IFERROR(__xludf.DUMMYFUNCTION("GOOGLETRANSLATE($B151,""en"",M$3)"),"Klik hier om HyperGrid inschakelen of te wijzigen DNS-naam")</f>
        <v>Klik hier om HyperGrid inschakelen of te wijzigen DNS-naam</v>
      </c>
      <c r="N151" s="12" t="str">
        <f ca="1">IFERROR(__xludf.DUMMYFUNCTION("GOOGLETRANSLATE($B151,""en"",N$3)"),"Κάντε κλικ στην επιλογή Ενεργοποίηση Hypergrid ή να αλλάξετε DNS Name")</f>
        <v>Κάντε κλικ στην επιλογή Ενεργοποίηση Hypergrid ή να αλλάξετε DNS Name</v>
      </c>
      <c r="O151" s="12" t="str">
        <f ca="1">IFERROR(__xludf.DUMMYFUNCTION("GOOGLETRANSLATE($B151,""en"",O$3)"),"Klikkaa Ota Hypergrid tai muuttaa DNS-nimi")</f>
        <v>Klikkaa Ota Hypergrid tai muuttaa DNS-nimi</v>
      </c>
      <c r="P151" s="12" t="str">
        <f ca="1">IFERROR(__xludf.DUMMYFUNCTION("GOOGLETRANSLATE($B151,""en"",P$3)"),"Cliceáil chun Cumasaigh Hypergrid nó a athrú DNS Ainm")</f>
        <v>Cliceáil chun Cumasaigh Hypergrid nó a athrú DNS Ainm</v>
      </c>
      <c r="Q151" s="12" t="str">
        <f ca="1">IFERROR(__xludf.DUMMYFUNCTION("GOOGLETRANSLATE($B151,""en"",Q$3)"),"برای فعال کردن و یا تغییر Hypergrid نام DNS کلیک کنید")</f>
        <v>برای فعال کردن و یا تغییر Hypergrid نام DNS کلیک کنید</v>
      </c>
      <c r="R151" s="12" t="str">
        <f ca="1">IFERROR(__xludf.DUMMYFUNCTION("GOOGLETRANSLATE($B151,""en"",R$3)"),"לחץ כדי לאפשר Hypergrid או לשנות DNS שם")</f>
        <v>לחץ כדי לאפשר Hypergrid או לשנות DNS שם</v>
      </c>
      <c r="S151" s="12" t="str">
        <f ca="1">IFERROR(__xludf.DUMMYFUNCTION("GOOGLETRANSLATE($B151,""en"",S$3)"),"Smelltu til að virkja Hypergrid eða breyta DNS nafn")</f>
        <v>Smelltu til að virkja Hypergrid eða breyta DNS nafn</v>
      </c>
      <c r="T151" s="12" t="str">
        <f ca="1">IFERROR(__xludf.DUMMYFUNCTION("GOOGLETRANSLATE($B151,""en"",T$3)"),"Klikk for å aktivere Hypergrid eller endre DNS-navn")</f>
        <v>Klikk for å aktivere Hypergrid eller endre DNS-navn</v>
      </c>
      <c r="U151" s="12" t="str">
        <f ca="1">IFERROR(__xludf.DUMMYFUNCTION("GOOGLETRANSLATE($B151,""en"",U$3)"),"انقر لتمكين Hypergrid أو تغيير اسم DNS")</f>
        <v>انقر لتمكين Hypergrid أو تغيير اسم DNS</v>
      </c>
      <c r="V151" s="12" t="str">
        <f ca="1">IFERROR(__xludf.DUMMYFUNCTION("GOOGLETRANSLATE($B151,""en"",V$3)"),"Kliknij, aby włączyć Hypergrid lub zmiany nazwy DNS")</f>
        <v>Kliknij, aby włączyć Hypergrid lub zmiany nazwy DNS</v>
      </c>
      <c r="W151" s="12" t="str">
        <f ca="1">IFERROR(__xludf.DUMMYFUNCTION("GOOGLETRANSLATE($B151,""en"",W$3)"),"Нажмите, чтобы включить Hypergrid или изменить имя DNS")</f>
        <v>Нажмите, чтобы включить Hypergrid или изменить имя DNS</v>
      </c>
      <c r="X151" s="12" t="str">
        <f ca="1">IFERROR(__xludf.DUMMYFUNCTION("GOOGLETRANSLATE($B151,""en"",X$3)"),"Haga clic para activar Hypergrid o cambiar el nombre DNS")</f>
        <v>Haga clic para activar Hypergrid o cambiar el nombre DNS</v>
      </c>
      <c r="Y151" s="12"/>
      <c r="Z151" s="12"/>
    </row>
    <row r="152" spans="1:26" ht="32.25" customHeight="1" x14ac:dyDescent="0.2">
      <c r="A152" s="17" t="s">
        <v>411</v>
      </c>
      <c r="B152" s="17" t="s">
        <v>412</v>
      </c>
      <c r="C152" s="11" t="str">
        <f ca="1">IFERROR(__xludf.DUMMYFUNCTION("GOOGLETRANSLATE($B152,""en"",C$3)"),"Klicken Sie auf Setup Shoutcast- / Icecast")</f>
        <v>Klicken Sie auf Setup Shoutcast- / Icecast</v>
      </c>
      <c r="D152" s="12" t="str">
        <f ca="1">IFERROR(__xludf.DUMMYFUNCTION("GOOGLETRANSLATE($B152,""en"",D$3)"),"Klicka för att Setup Shoutcast / Icecast")</f>
        <v>Klicka för att Setup Shoutcast / Icecast</v>
      </c>
      <c r="E152" s="12" t="str">
        <f ca="1">IFERROR(__xludf.DUMMYFUNCTION("GOOGLETRANSLATE($B152,""en"",E$3)"),"Clique para Setup Shoutcast / Icecast")</f>
        <v>Clique para Setup Shoutcast / Icecast</v>
      </c>
      <c r="F152" s="12" t="str">
        <f ca="1">IFERROR(__xludf.DUMMYFUNCTION("GOOGLETRANSLATE($B152,""en"",F$3)"),"Clique para Setup Shoutcast / Icecast")</f>
        <v>Clique para Setup Shoutcast / Icecast</v>
      </c>
      <c r="G152" s="12" t="str">
        <f ca="1">IFERROR(__xludf.DUMMYFUNCTION("GOOGLETRANSLATE($B152,""en"",G$3)"),"Cliquez pour Configuration Shoutcast / Icecast")</f>
        <v>Cliquez pour Configuration Shoutcast / Icecast</v>
      </c>
      <c r="H152" s="12" t="str">
        <f ca="1">IFERROR(__xludf.DUMMYFUNCTION("GOOGLETRANSLATE($B152,""en"",H$3)"),"Klikatu konfigurazioa Shoutcast / Icecast to")</f>
        <v>Klikatu konfigurazioa Shoutcast / Icecast to</v>
      </c>
      <c r="I152" s="12" t="str">
        <f ca="1">IFERROR(__xludf.DUMMYFUNCTION("GOOGLETRANSLATE($B152,""en"",I$3)"),"Feu clic a Configuració de Shoutcast / Icecast")</f>
        <v>Feu clic a Configuració de Shoutcast / Icecast</v>
      </c>
      <c r="J152" s="12" t="str">
        <f ca="1">IFERROR(__xludf.DUMMYFUNCTION("GOOGLETRANSLATE($B152,""en"",J$3)"),"Kliknutím na Nastavení Shoutcast / Icecast")</f>
        <v>Kliknutím na Nastavení Shoutcast / Icecast</v>
      </c>
      <c r="K152" s="12" t="str">
        <f ca="1">IFERROR(__xludf.DUMMYFUNCTION("GOOGLETRANSLATE($B152,""en"",K$3)"),"点击设置Shoutcast的/的Icecast")</f>
        <v>点击设置Shoutcast的/的Icecast</v>
      </c>
      <c r="L152" s="12" t="str">
        <f ca="1">IFERROR(__xludf.DUMMYFUNCTION("GOOGLETRANSLATE($B152,""en"",L$3)"),"點擊設置Shoutcast的/的Icecast")</f>
        <v>點擊設置Shoutcast的/的Icecast</v>
      </c>
      <c r="M152" s="12" t="str">
        <f ca="1">IFERROR(__xludf.DUMMYFUNCTION("GOOGLETRANSLATE($B152,""en"",M$3)"),"Klik hier om de installatie te Shoutcast / Icecast")</f>
        <v>Klik hier om de installatie te Shoutcast / Icecast</v>
      </c>
      <c r="N152" s="12" t="str">
        <f ca="1">IFERROR(__xludf.DUMMYFUNCTION("GOOGLETRANSLATE($B152,""en"",N$3)"),"Κάντε κλικ στην επιλογή Ρύθμιση Shoutcast / Icecast")</f>
        <v>Κάντε κλικ στην επιλογή Ρύθμιση Shoutcast / Icecast</v>
      </c>
      <c r="O152" s="12" t="str">
        <f ca="1">IFERROR(__xludf.DUMMYFUNCTION("GOOGLETRANSLATE($B152,""en"",O$3)"),"Klikkaa Asetukset Shoutcast / Icecast")</f>
        <v>Klikkaa Asetukset Shoutcast / Icecast</v>
      </c>
      <c r="P152" s="12" t="str">
        <f ca="1">IFERROR(__xludf.DUMMYFUNCTION("GOOGLETRANSLATE($B152,""en"",P$3)"),"Cliceáil chun Socrú Shoutcast / Icecast")</f>
        <v>Cliceáil chun Socrú Shoutcast / Icecast</v>
      </c>
      <c r="Q152" s="12" t="str">
        <f ca="1">IFERROR(__xludf.DUMMYFUNCTION("GOOGLETRANSLATE($B152,""en"",Q$3)"),"به راه اندازی تلویزیون / Icecast را کلیک کنید")</f>
        <v>به راه اندازی تلویزیون / Icecast را کلیک کنید</v>
      </c>
      <c r="R152" s="12" t="str">
        <f ca="1">IFERROR(__xludf.DUMMYFUNCTION("GOOGLETRANSLATE($B152,""en"",R$3)"),"לחץ Setup Shoutcast / Icecast")</f>
        <v>לחץ Setup Shoutcast / Icecast</v>
      </c>
      <c r="S152" s="12" t="str">
        <f ca="1">IFERROR(__xludf.DUMMYFUNCTION("GOOGLETRANSLATE($B152,""en"",S$3)"),"Smelltu til að uppsetning Shoutcast / Icecast")</f>
        <v>Smelltu til að uppsetning Shoutcast / Icecast</v>
      </c>
      <c r="T152" s="12" t="str">
        <f ca="1">IFERROR(__xludf.DUMMYFUNCTION("GOOGLETRANSLATE($B152,""en"",T$3)"),"Klikk for å Oppsett Shoutcast / Icecast")</f>
        <v>Klikk for å Oppsett Shoutcast / Icecast</v>
      </c>
      <c r="U152" s="12" t="str">
        <f ca="1">IFERROR(__xludf.DUMMYFUNCTION("GOOGLETRANSLATE($B152,""en"",U$3)"),"انقر لإعداد شوتكاست / يسكاست")</f>
        <v>انقر لإعداد شوتكاست / يسكاست</v>
      </c>
      <c r="V152" s="12" t="str">
        <f ca="1">IFERROR(__xludf.DUMMYFUNCTION("GOOGLETRANSLATE($B152,""en"",V$3)"),"Kliknij Ustawienia Shoutcast / Icecast")</f>
        <v>Kliknij Ustawienia Shoutcast / Icecast</v>
      </c>
      <c r="W152" s="12" t="str">
        <f ca="1">IFERROR(__xludf.DUMMYFUNCTION("GOOGLETRANSLATE($B152,""en"",W$3)"),"Нажмите для настройки Shoutcast / Icecast")</f>
        <v>Нажмите для настройки Shoutcast / Icecast</v>
      </c>
      <c r="X152" s="12" t="str">
        <f ca="1">IFERROR(__xludf.DUMMYFUNCTION("GOOGLETRANSLATE($B152,""en"",X$3)"),"Haga clic en Configuración de Shoutcast / Icecast")</f>
        <v>Haga clic en Configuración de Shoutcast / Icecast</v>
      </c>
      <c r="Y152" s="12"/>
      <c r="Z152" s="12"/>
    </row>
    <row r="153" spans="1:26" ht="32.25" customHeight="1" x14ac:dyDescent="0.2">
      <c r="A153" s="17" t="s">
        <v>413</v>
      </c>
      <c r="B153" s="17" t="s">
        <v>414</v>
      </c>
      <c r="C153" s="11" t="str">
        <f ca="1">IFERROR(__xludf.DUMMYFUNCTION("GOOGLETRANSLATE($B153,""en"",C$3)"),"Klicken Sie auf Karten einrichten")</f>
        <v>Klicken Sie auf Karten einrichten</v>
      </c>
      <c r="D153" s="12" t="str">
        <f ca="1">IFERROR(__xludf.DUMMYFUNCTION("GOOGLETRANSLATE($B153,""en"",D$3)"),"Klicka för att ställa in Maps")</f>
        <v>Klicka för att ställa in Maps</v>
      </c>
      <c r="E153" s="12" t="str">
        <f ca="1">IFERROR(__xludf.DUMMYFUNCTION("GOOGLETRANSLATE($B153,""en"",E$3)"),"Clique para configurar o Maps")</f>
        <v>Clique para configurar o Maps</v>
      </c>
      <c r="F153" s="12" t="str">
        <f ca="1">IFERROR(__xludf.DUMMYFUNCTION("GOOGLETRANSLATE($B153,""en"",F$3)"),"Clique para configurar o Maps")</f>
        <v>Clique para configurar o Maps</v>
      </c>
      <c r="G153" s="12" t="str">
        <f ca="1">IFERROR(__xludf.DUMMYFUNCTION("GOOGLETRANSLATE($B153,""en"",G$3)"),"Cliquez pour définir des cartes")</f>
        <v>Cliquez pour définir des cartes</v>
      </c>
      <c r="H153" s="12" t="str">
        <f ca="1">IFERROR(__xludf.DUMMYFUNCTION("GOOGLETRANSLATE($B153,""en"",H$3)"),"Klik Maps konfiguratzeko")</f>
        <v>Klik Maps konfiguratzeko</v>
      </c>
      <c r="I153" s="12" t="str">
        <f ca="1">IFERROR(__xludf.DUMMYFUNCTION("GOOGLETRANSLATE($B153,""en"",I$3)"),"Feu clic per establir mapes")</f>
        <v>Feu clic per establir mapes</v>
      </c>
      <c r="J153" s="12" t="str">
        <f ca="1">IFERROR(__xludf.DUMMYFUNCTION("GOOGLETRANSLATE($B153,""en"",J$3)"),"Klepněte na tlačítko nastavit Maps")</f>
        <v>Klepněte na tlačítko nastavit Maps</v>
      </c>
      <c r="K153" s="12" t="str">
        <f ca="1">IFERROR(__xludf.DUMMYFUNCTION("GOOGLETRANSLATE($B153,""en"",K$3)"),"点击设置地图")</f>
        <v>点击设置地图</v>
      </c>
      <c r="L153" s="12" t="str">
        <f ca="1">IFERROR(__xludf.DUMMYFUNCTION("GOOGLETRANSLATE($B153,""en"",L$3)"),"點擊設置地圖")</f>
        <v>點擊設置地圖</v>
      </c>
      <c r="M153" s="12" t="str">
        <f ca="1">IFERROR(__xludf.DUMMYFUNCTION("GOOGLETRANSLATE($B153,""en"",M$3)"),"Klik op te zetten Maps")</f>
        <v>Klik op te zetten Maps</v>
      </c>
      <c r="N153" s="12" t="str">
        <f ca="1">IFERROR(__xludf.DUMMYFUNCTION("GOOGLETRANSLATE($B153,""en"",N$3)"),"Κάντε κλικ για να δημιουργήσει Χάρτες")</f>
        <v>Κάντε κλικ για να δημιουργήσει Χάρτες</v>
      </c>
      <c r="O153" s="12" t="str">
        <f ca="1">IFERROR(__xludf.DUMMYFUNCTION("GOOGLETRANSLATE($B153,""en"",O$3)"),"Klikkaa perustaa Mapsiin")</f>
        <v>Klikkaa perustaa Mapsiin</v>
      </c>
      <c r="P153" s="12" t="str">
        <f ca="1">IFERROR(__xludf.DUMMYFUNCTION("GOOGLETRANSLATE($B153,""en"",P$3)"),"Cliceáil a chur ar bun Léarscáileanna")</f>
        <v>Cliceáil a chur ar bun Léarscáileanna</v>
      </c>
      <c r="Q153" s="12" t="str">
        <f ca="1">IFERROR(__xludf.DUMMYFUNCTION("GOOGLETRANSLATE($B153,""en"",Q$3)"),"به راه اندازی نقشه کلیک کنید")</f>
        <v>به راه اندازی نقشه کلیک کنید</v>
      </c>
      <c r="R153" s="12" t="str">
        <f ca="1">IFERROR(__xludf.DUMMYFUNCTION("GOOGLETRANSLATE($B153,""en"",R$3)"),"לחץ כדי להגדיר את Maps")</f>
        <v>לחץ כדי להגדיר את Maps</v>
      </c>
      <c r="S153" s="12" t="str">
        <f ca="1">IFERROR(__xludf.DUMMYFUNCTION("GOOGLETRANSLATE($B153,""en"",S$3)"),"Smelltu til að setja upp kort")</f>
        <v>Smelltu til að setja upp kort</v>
      </c>
      <c r="T153" s="12" t="str">
        <f ca="1">IFERROR(__xludf.DUMMYFUNCTION("GOOGLETRANSLATE($B153,""en"",T$3)"),"Klikk for å sette opp Maps")</f>
        <v>Klikk for å sette opp Maps</v>
      </c>
      <c r="U153" s="12" t="str">
        <f ca="1">IFERROR(__xludf.DUMMYFUNCTION("GOOGLETRANSLATE($B153,""en"",U$3)"),"انقر لانشاء خرائط")</f>
        <v>انقر لانشاء خرائط</v>
      </c>
      <c r="V153" s="12" t="str">
        <f ca="1">IFERROR(__xludf.DUMMYFUNCTION("GOOGLETRANSLATE($B153,""en"",V$3)"),"Kliknij, aby skonfigurować Maps")</f>
        <v>Kliknij, aby skonfigurować Maps</v>
      </c>
      <c r="W153" s="12" t="str">
        <f ca="1">IFERROR(__xludf.DUMMYFUNCTION("GOOGLETRANSLATE($B153,""en"",W$3)"),"Нажмите, чтобы настроить карты")</f>
        <v>Нажмите, чтобы настроить карты</v>
      </c>
      <c r="X153" s="12" t="str">
        <f ca="1">IFERROR(__xludf.DUMMYFUNCTION("GOOGLETRANSLATE($B153,""en"",X$3)"),"Haga clic para establecer mapas")</f>
        <v>Haga clic para establecer mapas</v>
      </c>
      <c r="Y153" s="12"/>
      <c r="Z153" s="12"/>
    </row>
    <row r="154" spans="1:26" ht="32.25" customHeight="1" x14ac:dyDescent="0.2">
      <c r="A154" s="17" t="s">
        <v>415</v>
      </c>
      <c r="B154" s="17" t="s">
        <v>416</v>
      </c>
      <c r="C154" s="11" t="str">
        <f ca="1">IFERROR(__xludf.DUMMYFUNCTION("GOOGLETRANSLATE($B154,""en"",C$3)"),"Klicken Sie zum Einrichten Standardphysik")</f>
        <v>Klicken Sie zum Einrichten Standardphysik</v>
      </c>
      <c r="D154" s="12" t="str">
        <f ca="1">IFERROR(__xludf.DUMMYFUNCTION("GOOGLETRANSLATE($B154,""en"",D$3)"),"Klicka för att ställa in default Physics")</f>
        <v>Klicka för att ställa in default Physics</v>
      </c>
      <c r="E154" s="12" t="str">
        <f ca="1">IFERROR(__xludf.DUMMYFUNCTION("GOOGLETRANSLATE($B154,""en"",E$3)"),"Clique para configurar padrão Física")</f>
        <v>Clique para configurar padrão Física</v>
      </c>
      <c r="F154" s="12" t="str">
        <f ca="1">IFERROR(__xludf.DUMMYFUNCTION("GOOGLETRANSLATE($B154,""en"",F$3)"),"Clique para configurar padrão Física")</f>
        <v>Clique para configurar padrão Física</v>
      </c>
      <c r="G154" s="12" t="str">
        <f ca="1">IFERROR(__xludf.DUMMYFUNCTION("GOOGLETRANSLATE($B154,""en"",G$3)"),"Cliquez pour mettre en place par défaut physique")</f>
        <v>Cliquez pour mettre en place par défaut physique</v>
      </c>
      <c r="H154" s="12" t="str">
        <f ca="1">IFERROR(__xludf.DUMMYFUNCTION("GOOGLETRANSLATE($B154,""en"",H$3)"),"Klik Fisika lehenetsia konfiguratzeko")</f>
        <v>Klik Fisika lehenetsia konfiguratzeko</v>
      </c>
      <c r="I154" s="12" t="str">
        <f ca="1">IFERROR(__xludf.DUMMYFUNCTION("GOOGLETRANSLATE($B154,""en"",I$3)"),"Feu clic per configurar per defecte Física")</f>
        <v>Feu clic per configurar per defecte Física</v>
      </c>
      <c r="J154" s="12" t="str">
        <f ca="1">IFERROR(__xludf.DUMMYFUNCTION("GOOGLETRANSLATE($B154,""en"",J$3)"),"Klepněte na tlačítko nastavit výchozí Physics")</f>
        <v>Klepněte na tlačítko nastavit výchozí Physics</v>
      </c>
      <c r="K154" s="12" t="str">
        <f ca="1">IFERROR(__xludf.DUMMYFUNCTION("GOOGLETRANSLATE($B154,""en"",K$3)"),"点击设置默认物理")</f>
        <v>点击设置默认物理</v>
      </c>
      <c r="L154" s="12" t="str">
        <f ca="1">IFERROR(__xludf.DUMMYFUNCTION("GOOGLETRANSLATE($B154,""en"",L$3)"),"點擊設置默認物理")</f>
        <v>點擊設置默認物理</v>
      </c>
      <c r="M154" s="12" t="str">
        <f ca="1">IFERROR(__xludf.DUMMYFUNCTION("GOOGLETRANSLATE($B154,""en"",M$3)"),"Klik op te zetten standaard Physics")</f>
        <v>Klik op te zetten standaard Physics</v>
      </c>
      <c r="N154" s="12" t="str">
        <f ca="1">IFERROR(__xludf.DUMMYFUNCTION("GOOGLETRANSLATE($B154,""en"",N$3)"),"Κάντε κλικ για να ορίσετε τον προεπιλεγμένο Φυσικής")</f>
        <v>Κάντε κλικ για να ορίσετε τον προεπιλεγμένο Φυσικής</v>
      </c>
      <c r="O154" s="12" t="str">
        <f ca="1">IFERROR(__xludf.DUMMYFUNCTION("GOOGLETRANSLATE($B154,""en"",O$3)"),"Klikkaa perustaa oletus Physics")</f>
        <v>Klikkaa perustaa oletus Physics</v>
      </c>
      <c r="P154" s="12" t="str">
        <f ca="1">IFERROR(__xludf.DUMMYFUNCTION("GOOGLETRANSLATE($B154,""en"",P$3)"),"Cliceáil a chur ar bun Fisic réamhshocraithe")</f>
        <v>Cliceáil a chur ar bun Fisic réamhshocraithe</v>
      </c>
      <c r="Q154" s="12" t="str">
        <f ca="1">IFERROR(__xludf.DUMMYFUNCTION("GOOGLETRANSLATE($B154,""en"",Q$3)"),"برای راه اندازی به طور پیش فرض فیزیک را کلیک کنید")</f>
        <v>برای راه اندازی به طور پیش فرض فیزیک را کلیک کنید</v>
      </c>
      <c r="R154" s="12" t="str">
        <f ca="1">IFERROR(__xludf.DUMMYFUNCTION("GOOGLETRANSLATE($B154,""en"",R$3)"),"לחץ כדי להגדיר ברירת מחדל פיזיקה")</f>
        <v>לחץ כדי להגדיר ברירת מחדל פיזיקה</v>
      </c>
      <c r="S154" s="12" t="str">
        <f ca="1">IFERROR(__xludf.DUMMYFUNCTION("GOOGLETRANSLATE($B154,""en"",S$3)"),"Smelltu til að setja upp sjálfgefið Eðlisfræði")</f>
        <v>Smelltu til að setja upp sjálfgefið Eðlisfræði</v>
      </c>
      <c r="T154" s="12" t="str">
        <f ca="1">IFERROR(__xludf.DUMMYFUNCTION("GOOGLETRANSLATE($B154,""en"",T$3)"),"Klikk for å sette opp standard fysikk")</f>
        <v>Klikk for å sette opp standard fysikk</v>
      </c>
      <c r="U154" s="12" t="str">
        <f ca="1">IFERROR(__xludf.DUMMYFUNCTION("GOOGLETRANSLATE($B154,""en"",U$3)"),"انقر لانشاء الفيزياء الافتراضية")</f>
        <v>انقر لانشاء الفيزياء الافتراضية</v>
      </c>
      <c r="V154" s="12" t="str">
        <f ca="1">IFERROR(__xludf.DUMMYFUNCTION("GOOGLETRANSLATE($B154,""en"",V$3)"),"Kliknij, aby ustawić domyślny Physics")</f>
        <v>Kliknij, aby ustawić domyślny Physics</v>
      </c>
      <c r="W154" s="12" t="str">
        <f ca="1">IFERROR(__xludf.DUMMYFUNCTION("GOOGLETRANSLATE($B154,""en"",W$3)"),"Нажмите для настройки по умолчанию Physics")</f>
        <v>Нажмите для настройки по умолчанию Physics</v>
      </c>
      <c r="X154" s="12" t="str">
        <f ca="1">IFERROR(__xludf.DUMMYFUNCTION("GOOGLETRANSLATE($B154,""en"",X$3)"),"Haga clic para configurar por defecto Física")</f>
        <v>Haga clic para configurar por defecto Física</v>
      </c>
      <c r="Y154" s="12"/>
      <c r="Z154" s="12"/>
    </row>
    <row r="155" spans="1:26" ht="32.25" customHeight="1" x14ac:dyDescent="0.2">
      <c r="A155" s="17" t="s">
        <v>417</v>
      </c>
      <c r="B155" s="17" t="s">
        <v>418</v>
      </c>
      <c r="C155" s="11" t="str">
        <f ca="1">IFERROR(__xludf.DUMMYFUNCTION("GOOGLETRANSLATE($B155,""en"",C$3)"),"Klicken Sie auf Ihre Ports einrichten")</f>
        <v>Klicken Sie auf Ihre Ports einrichten</v>
      </c>
      <c r="D155" s="12" t="str">
        <f ca="1">IFERROR(__xludf.DUMMYFUNCTION("GOOGLETRANSLATE($B155,""en"",D$3)"),"Klicka för att ställa in Ports")</f>
        <v>Klicka för att ställa in Ports</v>
      </c>
      <c r="E155" s="12" t="str">
        <f ca="1">IFERROR(__xludf.DUMMYFUNCTION("GOOGLETRANSLATE($B155,""en"",E$3)"),"Clique para configurar suas portas")</f>
        <v>Clique para configurar suas portas</v>
      </c>
      <c r="F155" s="12" t="str">
        <f ca="1">IFERROR(__xludf.DUMMYFUNCTION("GOOGLETRANSLATE($B155,""en"",F$3)"),"Clique para configurar suas portas")</f>
        <v>Clique para configurar suas portas</v>
      </c>
      <c r="G155" s="12" t="str">
        <f ca="1">IFERROR(__xludf.DUMMYFUNCTION("GOOGLETRANSLATE($B155,""en"",G$3)"),"Cliquez pour configurer vos ports")</f>
        <v>Cliquez pour configurer vos ports</v>
      </c>
      <c r="H155" s="12" t="str">
        <f ca="1">IFERROR(__xludf.DUMMYFUNCTION("GOOGLETRANSLATE($B155,""en"",H$3)"),"Egin klik zure Portuen konfiguratzeko")</f>
        <v>Egin klik zure Portuen konfiguratzeko</v>
      </c>
      <c r="I155" s="12" t="str">
        <f ca="1">IFERROR(__xludf.DUMMYFUNCTION("GOOGLETRANSLATE($B155,""en"",I$3)"),"Feu clic aquí per configurar els vostres ports")</f>
        <v>Feu clic aquí per configurar els vostres ports</v>
      </c>
      <c r="J155" s="12" t="str">
        <f ca="1">IFERROR(__xludf.DUMMYFUNCTION("GOOGLETRANSLATE($B155,""en"",J$3)"),"Klepněte na tlačítko nastavit své přístavy")</f>
        <v>Klepněte na tlačítko nastavit své přístavy</v>
      </c>
      <c r="K155" s="12" t="str">
        <f ca="1">IFERROR(__xludf.DUMMYFUNCTION("GOOGLETRANSLATE($B155,""en"",K$3)"),"点击设置你的端口")</f>
        <v>点击设置你的端口</v>
      </c>
      <c r="L155" s="12" t="str">
        <f ca="1">IFERROR(__xludf.DUMMYFUNCTION("GOOGLETRANSLATE($B155,""en"",L$3)"),"點擊設置你的端口")</f>
        <v>點擊設置你的端口</v>
      </c>
      <c r="M155" s="12" t="str">
        <f ca="1">IFERROR(__xludf.DUMMYFUNCTION("GOOGLETRANSLATE($B155,""en"",M$3)"),"Klik hier om uw Ports")</f>
        <v>Klik hier om uw Ports</v>
      </c>
      <c r="N155" s="12" t="str">
        <f ca="1">IFERROR(__xludf.DUMMYFUNCTION("GOOGLETRANSLATE($B155,""en"",N$3)"),"Κάντε κλικ για να δημιουργήσει Ports σας")</f>
        <v>Κάντε κλικ για να δημιουργήσει Ports σας</v>
      </c>
      <c r="O155" s="12" t="str">
        <f ca="1">IFERROR(__xludf.DUMMYFUNCTION("GOOGLETRANSLATE($B155,""en"",O$3)"),"Klikkaa perustaa oman Portit")</f>
        <v>Klikkaa perustaa oman Portit</v>
      </c>
      <c r="P155" s="12" t="str">
        <f ca="1">IFERROR(__xludf.DUMMYFUNCTION("GOOGLETRANSLATE($B155,""en"",P$3)"),"Cliceáil a chur ar bun do Calafoirt")</f>
        <v>Cliceáil a chur ar bun do Calafoirt</v>
      </c>
      <c r="Q155" s="12" t="str">
        <f ca="1">IFERROR(__xludf.DUMMYFUNCTION("GOOGLETRANSLATE($B155,""en"",Q$3)"),"به راه اندازی بنادر خود را کلیک کنید")</f>
        <v>به راه اندازی بنادر خود را کلیک کنید</v>
      </c>
      <c r="R155" s="12" t="str">
        <f ca="1">IFERROR(__xludf.DUMMYFUNCTION("GOOGLETRANSLATE($B155,""en"",R$3)"),"לחץ כדי להגדיר היציאות שלך")</f>
        <v>לחץ כדי להגדיר היציאות שלך</v>
      </c>
      <c r="S155" s="12" t="str">
        <f ca="1">IFERROR(__xludf.DUMMYFUNCTION("GOOGLETRANSLATE($B155,""en"",S$3)"),"Smelltu til að setja upp port þína")</f>
        <v>Smelltu til að setja upp port þína</v>
      </c>
      <c r="T155" s="12" t="str">
        <f ca="1">IFERROR(__xludf.DUMMYFUNCTION("GOOGLETRANSLATE($B155,""en"",T$3)"),"Klikk for å sette opp porter")</f>
        <v>Klikk for å sette opp porter</v>
      </c>
      <c r="U155" s="12" t="str">
        <f ca="1">IFERROR(__xludf.DUMMYFUNCTION("GOOGLETRANSLATE($B155,""en"",U$3)"),"انقر لانشاء موانئ الخاص بك")</f>
        <v>انقر لانشاء موانئ الخاص بك</v>
      </c>
      <c r="V155" s="12" t="str">
        <f ca="1">IFERROR(__xludf.DUMMYFUNCTION("GOOGLETRANSLATE($B155,""en"",V$3)"),"Kliknij, aby skonfigurować porty")</f>
        <v>Kliknij, aby skonfigurować porty</v>
      </c>
      <c r="W155" s="12" t="str">
        <f ca="1">IFERROR(__xludf.DUMMYFUNCTION("GOOGLETRANSLATE($B155,""en"",W$3)"),"Нажмите, чтобы настроить порты")</f>
        <v>Нажмите, чтобы настроить порты</v>
      </c>
      <c r="X155" s="12" t="str">
        <f ca="1">IFERROR(__xludf.DUMMYFUNCTION("GOOGLETRANSLATE($B155,""en"",X$3)"),"Haga clic aquí para configurar sus puertos")</f>
        <v>Haga clic aquí para configurar sus puertos</v>
      </c>
      <c r="Y155" s="12"/>
      <c r="Z155" s="12"/>
    </row>
    <row r="156" spans="1:26" ht="32.25" customHeight="1" x14ac:dyDescent="0.2">
      <c r="A156" s="17" t="s">
        <v>419</v>
      </c>
      <c r="B156" s="17" t="s">
        <v>420</v>
      </c>
      <c r="C156" s="11" t="str">
        <f ca="1">IFERROR(__xludf.DUMMYFUNCTION("GOOGLETRANSLATE($B156,""en"",C$3)"),"Klicken Sie auf Set up Werbung auf Hyperica.com")</f>
        <v>Klicken Sie auf Set up Werbung auf Hyperica.com</v>
      </c>
      <c r="D156" s="12" t="str">
        <f ca="1">IFERROR(__xludf.DUMMYFUNCTION("GOOGLETRANSLATE($B156,""en"",D$3)"),"Klicka för att ställa upp publicitet på Hyperica.com")</f>
        <v>Klicka för att ställa upp publicitet på Hyperica.com</v>
      </c>
      <c r="E156" s="12" t="str">
        <f ca="1">IFERROR(__xludf.DUMMYFUNCTION("GOOGLETRANSLATE($B156,""en"",E$3)"),"Clique para configurar Publicidade no Hyperica.com")</f>
        <v>Clique para configurar Publicidade no Hyperica.com</v>
      </c>
      <c r="F156" s="12" t="str">
        <f ca="1">IFERROR(__xludf.DUMMYFUNCTION("GOOGLETRANSLATE($B156,""en"",F$3)"),"Clique para configurar Publicidade no Hyperica.com")</f>
        <v>Clique para configurar Publicidade no Hyperica.com</v>
      </c>
      <c r="G156" s="12" t="str">
        <f ca="1">IFERROR(__xludf.DUMMYFUNCTION("GOOGLETRANSLATE($B156,""en"",G$3)"),"Cliquez pour mettre en place Publicité à Hyperica.com")</f>
        <v>Cliquez pour mettre en place Publicité à Hyperica.com</v>
      </c>
      <c r="H156" s="12" t="str">
        <f ca="1">IFERROR(__xludf.DUMMYFUNCTION("GOOGLETRANSLATE($B156,""en"",H$3)"),"Klik multzo Publizitatea arte Hyperica.com tan")</f>
        <v>Klik multzo Publizitatea arte Hyperica.com tan</v>
      </c>
      <c r="I156" s="12" t="str">
        <f ca="1">IFERROR(__xludf.DUMMYFUNCTION("GOOGLETRANSLATE($B156,""en"",I$3)"),"Feu clic per configurar Publicitat en Hyperica.com")</f>
        <v>Feu clic per configurar Publicitat en Hyperica.com</v>
      </c>
      <c r="J156" s="12" t="str">
        <f ca="1">IFERROR(__xludf.DUMMYFUNCTION("GOOGLETRANSLATE($B156,""en"",J$3)"),"Klepněte na tlačítko nastavit propagací Hyperica.com")</f>
        <v>Klepněte na tlačítko nastavit propagací Hyperica.com</v>
      </c>
      <c r="K156" s="12" t="str">
        <f ca="1">IFERROR(__xludf.DUMMYFUNCTION("GOOGLETRANSLATE($B156,""en"",K$3)"),"点击设立宣传在Hyperica.com")</f>
        <v>点击设立宣传在Hyperica.com</v>
      </c>
      <c r="L156" s="12" t="str">
        <f ca="1">IFERROR(__xludf.DUMMYFUNCTION("GOOGLETRANSLATE($B156,""en"",L$3)"),"點擊設立宣傳在Hyperica.com")</f>
        <v>點擊設立宣傳在Hyperica.com</v>
      </c>
      <c r="M156" s="12" t="str">
        <f ca="1">IFERROR(__xludf.DUMMYFUNCTION("GOOGLETRANSLATE($B156,""en"",M$3)"),"Klik op te zetten publiciteit op Hyperica.com")</f>
        <v>Klik op te zetten publiciteit op Hyperica.com</v>
      </c>
      <c r="N156" s="12" t="str">
        <f ca="1">IFERROR(__xludf.DUMMYFUNCTION("GOOGLETRANSLATE($B156,""en"",N$3)"),"Κάντε κλικ για να συσταθεί Δημοσιότητα σε Hyperica.com")</f>
        <v>Κάντε κλικ για να συσταθεί Δημοσιότητα σε Hyperica.com</v>
      </c>
      <c r="O156" s="12" t="str">
        <f ca="1">IFERROR(__xludf.DUMMYFUNCTION("GOOGLETRANSLATE($B156,""en"",O$3)"),"Napsauta asentaaksesi julkisuutta Hyperica.com")</f>
        <v>Napsauta asentaaksesi julkisuutta Hyperica.com</v>
      </c>
      <c r="P156" s="12" t="str">
        <f ca="1">IFERROR(__xludf.DUMMYFUNCTION("GOOGLETRANSLATE($B156,""en"",P$3)"),"Cliceáil chun arna chur ar bun Poiblíocht ag Hyperica.com")</f>
        <v>Cliceáil chun arna chur ar bun Poiblíocht ag Hyperica.com</v>
      </c>
      <c r="Q156" s="12" t="str">
        <f ca="1">IFERROR(__xludf.DUMMYFUNCTION("GOOGLETRANSLATE($B156,""en"",Q$3)"),"به راه اندازی تبلیغات کلیک کنید Hyperica.com")</f>
        <v>به راه اندازی تبلیغات کلیک کنید Hyperica.com</v>
      </c>
      <c r="R156" s="12" t="str">
        <f ca="1">IFERROR(__xludf.DUMMYFUNCTION("GOOGLETRANSLATE($B156,""en"",R$3)"),"לחץ כדי להגדיר פרסום באותו Hyperica.com")</f>
        <v>לחץ כדי להגדיר פרסום באותו Hyperica.com</v>
      </c>
      <c r="S156" s="12" t="str">
        <f ca="1">IFERROR(__xludf.DUMMYFUNCTION("GOOGLETRANSLATE($B156,""en"",S$3)"),"Smelltu til að setja upp kynningar á Hyperica.com")</f>
        <v>Smelltu til að setja upp kynningar á Hyperica.com</v>
      </c>
      <c r="T156" s="12" t="str">
        <f ca="1">IFERROR(__xludf.DUMMYFUNCTION("GOOGLETRANSLATE($B156,""en"",T$3)"),"Klikk for å sette opp reklame på Hyperica.com")</f>
        <v>Klikk for å sette opp reklame på Hyperica.com</v>
      </c>
      <c r="U156" s="12" t="str">
        <f ca="1">IFERROR(__xludf.DUMMYFUNCTION("GOOGLETRANSLATE($B156,""en"",U$3)"),"انقر لمجموعة تصل الدعاية في Hyperica.com")</f>
        <v>انقر لمجموعة تصل الدعاية في Hyperica.com</v>
      </c>
      <c r="V156" s="12" t="str">
        <f ca="1">IFERROR(__xludf.DUMMYFUNCTION("GOOGLETRANSLATE($B156,""en"",V$3)"),"Kliknij, aby skonfigurować Publicity w Hyperica.com")</f>
        <v>Kliknij, aby skonfigurować Publicity w Hyperica.com</v>
      </c>
      <c r="W156" s="12" t="str">
        <f ca="1">IFERROR(__xludf.DUMMYFUNCTION("GOOGLETRANSLATE($B156,""en"",W$3)"),"Нажмите для настройки публичности в Hyperica.com")</f>
        <v>Нажмите для настройки публичности в Hyperica.com</v>
      </c>
      <c r="X156" s="12" t="str">
        <f ca="1">IFERROR(__xludf.DUMMYFUNCTION("GOOGLETRANSLATE($B156,""en"",X$3)"),"Haga clic para configurar Publicidad en Hyperica.com")</f>
        <v>Haga clic para configurar Publicidad en Hyperica.com</v>
      </c>
      <c r="Y156" s="12"/>
      <c r="Z156" s="12"/>
    </row>
    <row r="157" spans="1:26" ht="32.25" customHeight="1" x14ac:dyDescent="0.2">
      <c r="A157" s="17" t="s">
        <v>421</v>
      </c>
      <c r="B157" s="17" t="s">
        <v>422</v>
      </c>
      <c r="C157" s="11" t="str">
        <f ca="1">IFERROR(__xludf.DUMMYFUNCTION("GOOGLETRANSLATE($B157,""en"",C$3)"),"Klicken Sie auf Regionen einzurichten")</f>
        <v>Klicken Sie auf Regionen einzurichten</v>
      </c>
      <c r="D157" s="12" t="str">
        <f ca="1">IFERROR(__xludf.DUMMYFUNCTION("GOOGLETRANSLATE($B157,""en"",D$3)"),"Klicka för att ställa in Regioner")</f>
        <v>Klicka för att ställa in Regioner</v>
      </c>
      <c r="E157" s="12" t="str">
        <f ca="1">IFERROR(__xludf.DUMMYFUNCTION("GOOGLETRANSLATE($B157,""en"",E$3)"),"Clique para configurar Regiões")</f>
        <v>Clique para configurar Regiões</v>
      </c>
      <c r="F157" s="12" t="str">
        <f ca="1">IFERROR(__xludf.DUMMYFUNCTION("GOOGLETRANSLATE($B157,""en"",F$3)"),"Clique para configurar Regiões")</f>
        <v>Clique para configurar Regiões</v>
      </c>
      <c r="G157" s="12" t="str">
        <f ca="1">IFERROR(__xludf.DUMMYFUNCTION("GOOGLETRANSLATE($B157,""en"",G$3)"),"Cliquez pour mettre en place des régions")</f>
        <v>Cliquez pour mettre en place des régions</v>
      </c>
      <c r="H157" s="12" t="str">
        <f ca="1">IFERROR(__xludf.DUMMYFUNCTION("GOOGLETRANSLATE($B157,""en"",H$3)"),"Klik Eskualde konfiguratzeko")</f>
        <v>Klik Eskualde konfiguratzeko</v>
      </c>
      <c r="I157" s="12" t="str">
        <f ca="1">IFERROR(__xludf.DUMMYFUNCTION("GOOGLETRANSLATE($B157,""en"",I$3)"),"Feu clic per establir Regions")</f>
        <v>Feu clic per establir Regions</v>
      </c>
      <c r="J157" s="12" t="str">
        <f ca="1">IFERROR(__xludf.DUMMYFUNCTION("GOOGLETRANSLATE($B157,""en"",J$3)"),"Klepněte na tlačítko nastavit Regiony")</f>
        <v>Klepněte na tlačítko nastavit Regiony</v>
      </c>
      <c r="K157" s="12" t="str">
        <f ca="1">IFERROR(__xludf.DUMMYFUNCTION("GOOGLETRANSLATE($B157,""en"",K$3)"),"点击设置地区")</f>
        <v>点击设置地区</v>
      </c>
      <c r="L157" s="12" t="str">
        <f ca="1">IFERROR(__xludf.DUMMYFUNCTION("GOOGLETRANSLATE($B157,""en"",L$3)"),"點擊設置地區")</f>
        <v>點擊設置地區</v>
      </c>
      <c r="M157" s="12" t="str">
        <f ca="1">IFERROR(__xludf.DUMMYFUNCTION("GOOGLETRANSLATE($B157,""en"",M$3)"),"Klik op te zetten Regio")</f>
        <v>Klik op te zetten Regio</v>
      </c>
      <c r="N157" s="12" t="str">
        <f ca="1">IFERROR(__xludf.DUMMYFUNCTION("GOOGLETRANSLATE($B157,""en"",N$3)"),"Κάντε κλικ για να δημιουργήσει Περιφερειών")</f>
        <v>Κάντε κλικ για να δημιουργήσει Περιφερειών</v>
      </c>
      <c r="O157" s="12" t="str">
        <f ca="1">IFERROR(__xludf.DUMMYFUNCTION("GOOGLETRANSLATE($B157,""en"",O$3)"),"Klikkaa perustaa alueiden")</f>
        <v>Klikkaa perustaa alueiden</v>
      </c>
      <c r="P157" s="12" t="str">
        <f ca="1">IFERROR(__xludf.DUMMYFUNCTION("GOOGLETRANSLATE($B157,""en"",P$3)"),"Cliceáil a chur ar bun Réigiúin")</f>
        <v>Cliceáil a chur ar bun Réigiúin</v>
      </c>
      <c r="Q157" s="12" t="str">
        <f ca="1">IFERROR(__xludf.DUMMYFUNCTION("GOOGLETRANSLATE($B157,""en"",Q$3)"),"به راه اندازی مناطق را کلیک کنید")</f>
        <v>به راه اندازی مناطق را کلیک کنید</v>
      </c>
      <c r="R157" s="12" t="str">
        <f ca="1">IFERROR(__xludf.DUMMYFUNCTION("GOOGLETRANSLATE($B157,""en"",R$3)"),"לחץ כדי להגדיר אזורים")</f>
        <v>לחץ כדי להגדיר אזורים</v>
      </c>
      <c r="S157" s="12" t="str">
        <f ca="1">IFERROR(__xludf.DUMMYFUNCTION("GOOGLETRANSLATE($B157,""en"",S$3)"),"Smelltu til að setja upp Svæði")</f>
        <v>Smelltu til að setja upp Svæði</v>
      </c>
      <c r="T157" s="12" t="str">
        <f ca="1">IFERROR(__xludf.DUMMYFUNCTION("GOOGLETRANSLATE($B157,""en"",T$3)"),"Klikk for å sette opp Regioner")</f>
        <v>Klikk for å sette opp Regioner</v>
      </c>
      <c r="U157" s="12" t="str">
        <f ca="1">IFERROR(__xludf.DUMMYFUNCTION("GOOGLETRANSLATE($B157,""en"",U$3)"),"انقر لانشاء المناطق")</f>
        <v>انقر لانشاء المناطق</v>
      </c>
      <c r="V157" s="12" t="str">
        <f ca="1">IFERROR(__xludf.DUMMYFUNCTION("GOOGLETRANSLATE($B157,""en"",V$3)"),"Kliknij, aby skonfigurować Regions")</f>
        <v>Kliknij, aby skonfigurować Regions</v>
      </c>
      <c r="W157" s="12" t="str">
        <f ca="1">IFERROR(__xludf.DUMMYFUNCTION("GOOGLETRANSLATE($B157,""en"",W$3)"),"Нажмите, чтобы настроить регионы")</f>
        <v>Нажмите, чтобы настроить регионы</v>
      </c>
      <c r="X157" s="12" t="str">
        <f ca="1">IFERROR(__xludf.DUMMYFUNCTION("GOOGLETRANSLATE($B157,""en"",X$3)"),"Haga clic para establecer Regiones")</f>
        <v>Haga clic para establecer Regiones</v>
      </c>
      <c r="Y157" s="12"/>
      <c r="Z157" s="12"/>
    </row>
    <row r="158" spans="1:26" ht="32.25" customHeight="1" x14ac:dyDescent="0.2">
      <c r="A158" s="17" t="s">
        <v>423</v>
      </c>
      <c r="B158" s="17" t="s">
        <v>424</v>
      </c>
      <c r="C158" s="11" t="str">
        <f ca="1">IFERROR(__xludf.DUMMYFUNCTION("GOOGLETRANSLATE($B158,""en"",C$3)"),"Klicken Sie auf Einrichten Start / Stop")</f>
        <v>Klicken Sie auf Einrichten Start / Stop</v>
      </c>
      <c r="D158" s="12" t="str">
        <f ca="1">IFERROR(__xludf.DUMMYFUNCTION("GOOGLETRANSLATE($B158,""en"",D$3)"),"Klicka för att ställa upp Start / Stop")</f>
        <v>Klicka för att ställa upp Start / Stop</v>
      </c>
      <c r="E158" s="12" t="str">
        <f ca="1">IFERROR(__xludf.DUMMYFUNCTION("GOOGLETRANSLATE($B158,""en"",E$3)"),"Clique para configurar Start / Stop")</f>
        <v>Clique para configurar Start / Stop</v>
      </c>
      <c r="F158" s="12" t="str">
        <f ca="1">IFERROR(__xludf.DUMMYFUNCTION("GOOGLETRANSLATE($B158,""en"",F$3)"),"Clique para configurar Start / Stop")</f>
        <v>Clique para configurar Start / Stop</v>
      </c>
      <c r="G158" s="12" t="str">
        <f ca="1">IFERROR(__xludf.DUMMYFUNCTION("GOOGLETRANSLATE($B158,""en"",G$3)"),"Cliquer pour configurer Start / Stop")</f>
        <v>Cliquer pour configurer Start / Stop</v>
      </c>
      <c r="H158" s="12" t="str">
        <f ca="1">IFERROR(__xludf.DUMMYFUNCTION("GOOGLETRANSLATE($B158,""en"",H$3)"),"Klik eratu Start / Stop")</f>
        <v>Klik eratu Start / Stop</v>
      </c>
      <c r="I158" s="12" t="str">
        <f ca="1">IFERROR(__xludf.DUMMYFUNCTION("GOOGLETRANSLATE($B158,""en"",I$3)"),"Feu clic a Configuració de les Start / Stop")</f>
        <v>Feu clic a Configuració de les Start / Stop</v>
      </c>
      <c r="J158" s="12" t="str">
        <f ca="1">IFERROR(__xludf.DUMMYFUNCTION("GOOGLETRANSLATE($B158,""en"",J$3)"),"Kliknutím na Nastavení Start / Stop")</f>
        <v>Kliknutím na Nastavení Start / Stop</v>
      </c>
      <c r="K158" s="12" t="str">
        <f ca="1">IFERROR(__xludf.DUMMYFUNCTION("GOOGLETRANSLATE($B158,""en"",K$3)"),"点击设置开始/停止")</f>
        <v>点击设置开始/停止</v>
      </c>
      <c r="L158" s="12" t="str">
        <f ca="1">IFERROR(__xludf.DUMMYFUNCTION("GOOGLETRANSLATE($B158,""en"",L$3)"),"點擊設置開始/停止")</f>
        <v>點擊設置開始/停止</v>
      </c>
      <c r="M158" s="12" t="str">
        <f ca="1">IFERROR(__xludf.DUMMYFUNCTION("GOOGLETRANSLATE($B158,""en"",M$3)"),"Klik op te zetten Start / Stop")</f>
        <v>Klik op te zetten Start / Stop</v>
      </c>
      <c r="N158" s="12" t="str">
        <f ca="1">IFERROR(__xludf.DUMMYFUNCTION("GOOGLETRANSLATE($B158,""en"",N$3)"),"Κάντε κλικ για να Ρύθμιση Start / Stop")</f>
        <v>Κάντε κλικ για να Ρύθμιση Start / Stop</v>
      </c>
      <c r="O158" s="12" t="str">
        <f ca="1">IFERROR(__xludf.DUMMYFUNCTION("GOOGLETRANSLATE($B158,""en"",O$3)"),"Klikkaa Määritä Start / Stop-")</f>
        <v>Klikkaa Määritä Start / Stop-</v>
      </c>
      <c r="P158" s="12" t="str">
        <f ca="1">IFERROR(__xludf.DUMMYFUNCTION("GOOGLETRANSLATE($B158,""en"",P$3)"),"Cliceáil chun Socraigh suas Start / Stop")</f>
        <v>Cliceáil chun Socraigh suas Start / Stop</v>
      </c>
      <c r="Q158" s="12" t="str">
        <f ca="1">IFERROR(__xludf.DUMMYFUNCTION("GOOGLETRANSLATE($B158,""en"",Q$3)"),"به تنظیم شروع / توقف را کلیک کنید")</f>
        <v>به تنظیم شروع / توقف را کلیک کنید</v>
      </c>
      <c r="R158" s="12" t="str">
        <f ca="1">IFERROR(__xludf.DUMMYFUNCTION("GOOGLETRANSLATE($B158,""en"",R$3)"),"לחץ על הגדר התחל / עצור")</f>
        <v>לחץ על הגדר התחל / עצור</v>
      </c>
      <c r="S158" s="12" t="str">
        <f ca="1">IFERROR(__xludf.DUMMYFUNCTION("GOOGLETRANSLATE($B158,""en"",S$3)"),"Smelltu til að setja upp Start / Stop")</f>
        <v>Smelltu til að setja upp Start / Stop</v>
      </c>
      <c r="T158" s="12" t="str">
        <f ca="1">IFERROR(__xludf.DUMMYFUNCTION("GOOGLETRANSLATE($B158,""en"",T$3)"),"Klikk for å sette opp Start / Stop")</f>
        <v>Klikk for å sette opp Start / Stop</v>
      </c>
      <c r="U158" s="12" t="str">
        <f ca="1">IFERROR(__xludf.DUMMYFUNCTION("GOOGLETRANSLATE($B158,""en"",U$3)"),"انقر لإعداد بدء / إيقاف")</f>
        <v>انقر لإعداد بدء / إيقاف</v>
      </c>
      <c r="V158" s="12" t="str">
        <f ca="1">IFERROR(__xludf.DUMMYFUNCTION("GOOGLETRANSLATE($B158,""en"",V$3)"),"Kliknij, aby skonfigurować Start / Stop")</f>
        <v>Kliknij, aby skonfigurować Start / Stop</v>
      </c>
      <c r="W158" s="12" t="str">
        <f ca="1">IFERROR(__xludf.DUMMYFUNCTION("GOOGLETRANSLATE($B158,""en"",W$3)"),"Нажмите Настроить Start / Stop")</f>
        <v>Нажмите Настроить Start / Stop</v>
      </c>
      <c r="X158" s="12" t="str">
        <f ca="1">IFERROR(__xludf.DUMMYFUNCTION("GOOGLETRANSLATE($B158,""en"",X$3)"),"Haga clic en Configuración de las Start / Stop")</f>
        <v>Haga clic en Configuración de las Start / Stop</v>
      </c>
      <c r="Y158" s="12"/>
      <c r="Z158" s="12"/>
    </row>
    <row r="159" spans="1:26" ht="32.25" customHeight="1" x14ac:dyDescent="0.2">
      <c r="A159" s="17" t="s">
        <v>425</v>
      </c>
      <c r="B159" s="17" t="s">
        <v>426</v>
      </c>
      <c r="C159" s="11" t="str">
        <f ca="1">IFERROR(__xludf.DUMMYFUNCTION("GOOGLETRANSLATE($B159,""en"",C$3)"),"Klicken Sie auf einen Servertyp zu wählen. Standard = Grid, aber Sie können eine Verbindung als Region-Server, OSGrid oder U-Bahn-Region-Server")</f>
        <v>Klicken Sie auf einen Servertyp zu wählen. Standard = Grid, aber Sie können eine Verbindung als Region-Server, OSGrid oder U-Bahn-Region-Server</v>
      </c>
      <c r="D159" s="12" t="str">
        <f ca="1">IFERROR(__xludf.DUMMYFUNCTION("GOOGLETRANSLATE($B159,""en"",D$3)"),"Klicka för att välja en typ server. Default = Grid, men du kan ansluta som Region server, OsGrid eller Metro Region servrar")</f>
        <v>Klicka för att välja en typ server. Default = Grid, men du kan ansluta som Region server, OsGrid eller Metro Region servrar</v>
      </c>
      <c r="E159" s="12" t="str">
        <f ca="1">IFERROR(__xludf.DUMMYFUNCTION("GOOGLETRANSLATE($B159,""en"",E$3)"),"Clique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F159" s="12" t="str">
        <f ca="1">IFERROR(__xludf.DUMMYFUNCTION("GOOGLETRANSLATE($B159,""en"",F$3)"),"Clique para escolher um tipo de servidor. Padrão = Grade, mas você pode conectar como servidor Região, OsGrid ou servidores Metro Região")</f>
        <v>Clique para escolher um tipo de servidor. Padrão = Grade, mas você pode conectar como servidor Região, OsGrid ou servidores Metro Região</v>
      </c>
      <c r="G159" s="12" t="str">
        <f ca="1">IFERROR(__xludf.DUMMYFUNCTION("GOOGLETRANSLATE($B159,""en"",G$3)"),"Cliquez pour choisir un type de serveur. Valeur par défaut = Grille, mais vous pouvez connecter en tant que serveur Région, OSGrid ou serveurs Metro Region")</f>
        <v>Cliquez pour choisir un type de serveur. Valeur par défaut = Grille, mais vous pouvez connecter en tant que serveur Région, OSGrid ou serveurs Metro Region</v>
      </c>
      <c r="H159" s="12" t="str">
        <f ca="1">IFERROR(__xludf.DUMMYFUNCTION("GOOGLETRANSLATE($B159,""en"",H$3)"),"Klik Server mota bat aukeratzeko. Lehenetsia = Sareta, baina eskualdea zerbitzaria, OsGrid edo Metro eskualdea zerbitzariak konektatu ahal izango duzu")</f>
        <v>Klik Server mota bat aukeratzeko. Lehenetsia = Sareta, baina eskualdea zerbitzaria, OsGrid edo Metro eskualdea zerbitzariak konektatu ahal izango duzu</v>
      </c>
      <c r="I159" s="12" t="str">
        <f ca="1">IFERROR(__xludf.DUMMYFUNCTION("GOOGLETRANSLATE($B159,""en"",I$3)"),"Feu clic per seleccionar un tipus de servidor. Per defecte = quadrícula, però es pot connectar com a servidor de la regió, OsGrid o servidors Metro Region")</f>
        <v>Feu clic per seleccionar un tipus de servidor. Per defecte = quadrícula, però es pot connectar com a servidor de la regió, OsGrid o servidors Metro Region</v>
      </c>
      <c r="J159" s="12" t="str">
        <f ca="1">IFERROR(__xludf.DUMMYFUNCTION("GOOGLETRANSLATE($B159,""en"",J$3)"),"Klepnutím zvolit typ serveru. Default = Grid, ale můžete připojit jako Region serveru, OsGrid nebo serverů Metro kraje")</f>
        <v>Klepnutím zvolit typ serveru. Default = Grid, ale můžete připojit jako Region serveru, OsGrid nebo serverů Metro kraje</v>
      </c>
      <c r="K159" s="12" t="str">
        <f ca="1">IFERROR(__xludf.DUMMYFUNCTION("GOOGLETRANSLATE($B159,""en"",K$3)"),"点击选择一个服务器类型。默认值=电网，但您可以连接如域服务器，OsGrid或地铁区服务器")</f>
        <v>点击选择一个服务器类型。默认值=电网，但您可以连接如域服务器，OsGrid或地铁区服务器</v>
      </c>
      <c r="L159" s="12" t="str">
        <f ca="1">IFERROR(__xludf.DUMMYFUNCTION("GOOGLETRANSLATE($B159,""en"",L$3)"),"點擊選擇一個服務器類型。默認值=電網，但您可以連接如域服務器，OsGrid或地鐵區服務器")</f>
        <v>點擊選擇一個服務器類型。默認值=電網，但您可以連接如域服務器，OsGrid或地鐵區服務器</v>
      </c>
      <c r="M159" s="12" t="str">
        <f ca="1">IFERROR(__xludf.DUMMYFUNCTION("GOOGLETRANSLATE($B159,""en"",M$3)"),"Klik om een ​​server te kiezen. Standaard = Grid, maar u kunt aansluiten als Regio server, OSgrid of Metro Region servers")</f>
        <v>Klik om een ​​server te kiezen. Standaard = Grid, maar u kunt aansluiten als Regio server, OSgrid of Metro Region servers</v>
      </c>
      <c r="N159" s="12" t="str">
        <f ca="1">IFERROR(__xludf.DUMMYFUNCTION("GOOGLETRANSLATE($B159,""en"",N$3)"),"Κάντε κλικ για να επιλέξετε έναν τύπο διακομιστή. Προεπιλογή = Grid, αλλά μπορείτε να συνδεθείτε ως Περιφέρεια server, OsGrid ή το μετρό Περιφέρεια servers")</f>
        <v>Κάντε κλικ για να επιλέξετε έναν τύπο διακομιστή. Προεπιλογή = Grid, αλλά μπορείτε να συνδεθείτε ως Περιφέρεια server, OsGrid ή το μετρό Περιφέρεια servers</v>
      </c>
      <c r="O159" s="12" t="str">
        <f ca="1">IFERROR(__xludf.DUMMYFUNCTION("GOOGLETRANSLATE($B159,""en"",O$3)"),"Valitse klikkaamalla Palvelintyyppi. Oletus = Grid, mutta voit liittää niin alue palvelimeen, OsGrid tai Metro alue palvelimia")</f>
        <v>Valitse klikkaamalla Palvelintyyppi. Oletus = Grid, mutta voit liittää niin alue palvelimeen, OsGrid tai Metro alue palvelimia</v>
      </c>
      <c r="P159" s="12" t="str">
        <f ca="1">IFERROR(__xludf.DUMMYFUNCTION("GOOGLETRANSLATE($B159,""en"",P$3)"),"Cliceáil chun roghnú le cineál Server. Réamhshocrú = Greille, ach is féidir leat a nascadh mar Réigiún fhreastalaí, OsGrid nó freastalaithe Metro Réigiún")</f>
        <v>Cliceáil chun roghnú le cineál Server. Réamhshocrú = Greille, ach is féidir leat a nascadh mar Réigiún fhreastalaí, OsGrid nó freastalaithe Metro Réigiún</v>
      </c>
      <c r="Q159" s="12" t="str">
        <f ca="1">IFERROR(__xludf.DUMMYFUNCTION("GOOGLETRANSLATE($B159,""en"",Q$3)"),"برای انتخاب یک نوع سرور کلیک کنید. پیش فرض = شبکه است، اما شما می توانید به عنوان منطقه سرور، OsGrid یا سرور مترو منطقه اتصال")</f>
        <v>برای انتخاب یک نوع سرور کلیک کنید. پیش فرض = شبکه است، اما شما می توانید به عنوان منطقه سرور، OsGrid یا سرور مترو منطقه اتصال</v>
      </c>
      <c r="R159" s="12" t="str">
        <f ca="1">IFERROR(__xludf.DUMMYFUNCTION("GOOGLETRANSLATE($B159,""en"",R$3)"),"לחץ כדי לבחור סוג שרת. Default = גריד, אבל אתה יכול להתחבר כשר האזור, OsGrid או שירת אזור מטרו")</f>
        <v>לחץ כדי לבחור סוג שרת. Default = גריד, אבל אתה יכול להתחבר כשר האזור, OsGrid או שירת אזור מטרו</v>
      </c>
      <c r="S159" s="12" t="str">
        <f ca="1">IFERROR(__xludf.DUMMYFUNCTION("GOOGLETRANSLATE($B159,""en"",S$3)"),"Smelltu til að velja tegund miðlara. Default = Grid, en hægt er að tengja eins Region miðlara, OsGrid eða Metro svæðum netþjóna")</f>
        <v>Smelltu til að velja tegund miðlara. Default = Grid, en hægt er að tengja eins Region miðlara, OsGrid eða Metro svæðum netþjóna</v>
      </c>
      <c r="T159" s="12" t="str">
        <f ca="1">IFERROR(__xludf.DUMMYFUNCTION("GOOGLETRANSLATE($B159,""en"",T$3)"),"Klikk for å velge en server type. Standard = Grid, men du kan koble til som Region server, OsGrid eller Metro Region servere")</f>
        <v>Klikk for å velge en server type. Standard = Grid, men du kan koble til som Region server, OsGrid eller Metro Region servere</v>
      </c>
      <c r="U159" s="12" t="str">
        <f ca="1">IFERROR(__xludf.DUMMYFUNCTION("GOOGLETRANSLATE($B159,""en"",U$3)"),"انقر لاختيار نوع الملقم. افتراضي = الشبكة، ولكن يمكنك الاتصال كخادم منطقة، OsGrid أو مركز خدمة مترو منطقة")</f>
        <v>انقر لاختيار نوع الملقم. افتراضي = الشبكة، ولكن يمكنك الاتصال كخادم منطقة، OsGrid أو مركز خدمة مترو منطقة</v>
      </c>
      <c r="V159" s="12" t="str">
        <f ca="1">IFERROR(__xludf.DUMMYFUNCTION("GOOGLETRANSLATE($B159,""en"",V$3)"),"Kliknij, aby wybrać typ serwera. Domyślnie = siatki, ale można połączyć jako serwer regionie OsGrid lub serwerów Metro Region")</f>
        <v>Kliknij, aby wybrać typ serwera. Domyślnie = siatki, ale można połączyć jako serwer regionie OsGrid lub serwerów Metro Region</v>
      </c>
      <c r="W159" s="12" t="str">
        <f ca="1">IFERROR(__xludf.DUMMYFUNCTION("GOOGLETRANSLATE($B159,""en"",W$3)"),"Нажмите, чтобы выбрать тип сервера. По умолчанию = Grid, но вы можете подключиться как сервер региона, OsGrid или сервера Metro региона")</f>
        <v>Нажмите, чтобы выбрать тип сервера. По умолчанию = Grid, но вы можете подключиться как сервер региона, OsGrid или сервера Metro региона</v>
      </c>
      <c r="X159" s="12" t="str">
        <f ca="1">IFERROR(__xludf.DUMMYFUNCTION("GOOGLETRANSLATE($B159,""en"",X$3)"),"Haga clic para seleccionar un tipo de servidor. Por defecto = cuadrícula, pero se puede conectar como servidor de la región, OsGrid o servidores Metro Region")</f>
        <v>Haga clic para seleccionar un tipo de servidor. Por defecto = cuadrícula, pero se puede conectar como servidor de la región, OsGrid o servidores Metro Region</v>
      </c>
      <c r="Y159" s="12"/>
      <c r="Z159" s="12"/>
    </row>
    <row r="160" spans="1:26" ht="32.25" customHeight="1" x14ac:dyDescent="0.2">
      <c r="A160" s="17" t="s">
        <v>427</v>
      </c>
      <c r="B160" s="17" t="s">
        <v>428</v>
      </c>
      <c r="C160" s="11" t="str">
        <f ca="1">IFERROR(__xludf.DUMMYFUNCTION("GOOGLETRANSLATE($B160,""en"",C$3)"),"Kann nicht Diagnose durchführen, es sei denn, das System läuft. Klicken Sie auf ‚Start‘ und versuchen Sie es erneut.")</f>
        <v>Kann nicht Diagnose durchführen, es sei denn, das System läuft. Klicken Sie auf ‚Start‘ und versuchen Sie es erneut.</v>
      </c>
      <c r="D160" s="12" t="str">
        <f ca="1">IFERROR(__xludf.DUMMYFUNCTION("GOOGLETRANSLATE($B160,""en"",D$3)"),"Det går inte att köra diagnostik om inte systemet är igång. Klicka på 'Start' och försök igen.")</f>
        <v>Det går inte att köra diagnostik om inte systemet är igång. Klicka på 'Start' och försök igen.</v>
      </c>
      <c r="E160" s="12" t="str">
        <f ca="1">IFERROR(__xludf.DUMMYFUNCTION("GOOGLETRANSLATE($B160,""en"",E$3)"),"Não é possível executar diagnósticos a menos que o sistema está funcionando. Clique em 'Iniciar' e tente novamente.")</f>
        <v>Não é possível executar diagnósticos a menos que o sistema está funcionando. Clique em 'Iniciar' e tente novamente.</v>
      </c>
      <c r="F160" s="12" t="str">
        <f ca="1">IFERROR(__xludf.DUMMYFUNCTION("GOOGLETRANSLATE($B160,""en"",F$3)"),"Não é possível executar diagnósticos a menos que o sistema está funcionando. Clique em 'Iniciar' e tente novamente.")</f>
        <v>Não é possível executar diagnósticos a menos que o sistema está funcionando. Clique em 'Iniciar' e tente novamente.</v>
      </c>
      <c r="G160" s="12" t="str">
        <f ca="1">IFERROR(__xludf.DUMMYFUNCTION("GOOGLETRANSLATE($B160,""en"",G$3)"),"Impossible d'exécuter des diagnostics à moins que le système est en cours d'exécution. Cliquez sur « Démarrer » et essayez à nouveau.")</f>
        <v>Impossible d'exécuter des diagnostics à moins que le système est en cours d'exécution. Cliquez sur « Démarrer » et essayez à nouveau.</v>
      </c>
      <c r="H160" s="12" t="str">
        <f ca="1">IFERROR(__xludf.DUMMYFUNCTION("GOOGLETRANSLATE($B160,""en"",H$3)"),"Ezin da diagnostiko exekutatu sistema abian da ezean. Klikatu 'Start' eta saiatu berriro.")</f>
        <v>Ezin da diagnostiko exekutatu sistema abian da ezean. Klikatu 'Start' eta saiatu berriro.</v>
      </c>
      <c r="I160" s="12" t="str">
        <f ca="1">IFERROR(__xludf.DUMMYFUNCTION("GOOGLETRANSLATE($B160,""en"",I$3)"),"No es pot executar el diagnòstic llevat que el sistema està funcionant. Feu clic a 'Inici' i torna a intentar-ho.")</f>
        <v>No es pot executar el diagnòstic llevat que el sistema està funcionant. Feu clic a 'Inici' i torna a intentar-ho.</v>
      </c>
      <c r="J160" s="12" t="str">
        <f ca="1">IFERROR(__xludf.DUMMYFUNCTION("GOOGLETRANSLATE($B160,""en"",J$3)"),"Nelze spustit diagnostiku, pokud je spuštěn systém. Klepněte na tlačítko ‚Start‘ a zkuste to znovu.")</f>
        <v>Nelze spustit diagnostiku, pokud je spuštěn systém. Klepněte na tlačítko ‚Start‘ a zkuste to znovu.</v>
      </c>
      <c r="K160" s="12" t="str">
        <f ca="1">IFERROR(__xludf.DUMMYFUNCTION("GOOGLETRANSLATE($B160,""en"",K$3)"),"除非在系统运行无法运行诊断。点击“开始”，然后重试。")</f>
        <v>除非在系统运行无法运行诊断。点击“开始”，然后重试。</v>
      </c>
      <c r="L160" s="12" t="str">
        <f ca="1">IFERROR(__xludf.DUMMYFUNCTION("GOOGLETRANSLATE($B160,""en"",L$3)"),"除非在系統運行無法運行診斷。點擊“開始”，然後重試。")</f>
        <v>除非在系統運行無法運行診斷。點擊“開始”，然後重試。</v>
      </c>
      <c r="M160" s="12" t="str">
        <f ca="1">IFERROR(__xludf.DUMMYFUNCTION("GOOGLETRANSLATE($B160,""en"",M$3)"),"Kan niet diagnostiek uitgevoerd, tenzij het systeem actief is. Klik op 'Start' en probeer het opnieuw.")</f>
        <v>Kan niet diagnostiek uitgevoerd, tenzij het systeem actief is. Klik op 'Start' en probeer het opnieuw.</v>
      </c>
      <c r="N160" s="12" t="str">
        <f ca="1">IFERROR(__xludf.DUMMYFUNCTION("GOOGLETRANSLATE($B160,""en"",N$3)"),"Δεν είναι δυνατή η εκτέλεση διαγνωστικών, εκτός αν το σύστημα βρίσκεται σε λειτουργία. Κάντε κλικ στο κουμπί «Έναρξη» και προσπαθήστε ξανά.")</f>
        <v>Δεν είναι δυνατή η εκτέλεση διαγνωστικών, εκτός αν το σύστημα βρίσκεται σε λειτουργία. Κάντε κλικ στο κουμπί «Έναρξη» και προσπαθήστε ξανά.</v>
      </c>
      <c r="O160" s="12" t="str">
        <f ca="1">IFERROR(__xludf.DUMMYFUNCTION("GOOGLETRANSLATE($B160,""en"",O$3)"),"Ei voi suorittaa diagnostiikka ellei järjestelmä on käynnissä. Napsauta Käynnistä ja yritä uudelleen.")</f>
        <v>Ei voi suorittaa diagnostiikka ellei järjestelmä on käynnissä. Napsauta Käynnistä ja yritä uudelleen.</v>
      </c>
      <c r="P160" s="12" t="str">
        <f ca="1">IFERROR(__xludf.DUMMYFUNCTION("GOOGLETRANSLATE($B160,""en"",P$3)"),"Ní féidir a reáchtáil diagnóisic amháin má tá an córas ag rith. Cliceáil 'Tosaigh' agus bain triail eile as.")</f>
        <v>Ní féidir a reáchtáil diagnóisic amháin má tá an córas ag rith. Cliceáil 'Tosaigh' agus bain triail eile as.</v>
      </c>
      <c r="Q160" s="12" t="str">
        <f ca="1">IFERROR(__xludf.DUMMYFUNCTION("GOOGLETRANSLATE($B160,""en"",Q$3)"),"می توانید تشخیص اجرا کنید مگر اینکه سیستم در حال اجرا است. کلیک کنید ""شروع"" و دوباره امتحان کنید.")</f>
        <v>می توانید تشخیص اجرا کنید مگر اینکه سیستم در حال اجرا است. کلیک کنید "شروع" و دوباره امتحان کنید.</v>
      </c>
      <c r="R160" s="12" t="str">
        <f ca="1">IFERROR(__xludf.DUMMYFUNCTION("GOOGLETRANSLATE($B160,""en"",R$3)"),"אין אפשרות להפעיל אבחון אלא אם המערכת פועלת. לחץ על ""התחל"" ונסה שוב.")</f>
        <v>אין אפשרות להפעיל אבחון אלא אם המערכת פועלת. לחץ על "התחל" ונסה שוב.</v>
      </c>
      <c r="S160" s="12" t="str">
        <f ca="1">IFERROR(__xludf.DUMMYFUNCTION("GOOGLETRANSLATE($B160,""en"",S$3)"),"Getur ekki keyrt greiningu nema kerfið er í gangi. Smelltu á 'Start' og reyndu aftur.")</f>
        <v>Getur ekki keyrt greiningu nema kerfið er í gangi. Smelltu á 'Start' og reyndu aftur.</v>
      </c>
      <c r="T160" s="12" t="str">
        <f ca="1">IFERROR(__xludf.DUMMYFUNCTION("GOOGLETRANSLATE($B160,""en"",T$3)"),"Kan ikke kjøre feilsøking hvis systemet er i gang. Klikk 'Start' og prøv igjen.")</f>
        <v>Kan ikke kjøre feilsøking hvis systemet er i gang. Klikk 'Start' og prøv igjen.</v>
      </c>
      <c r="U160" s="12" t="str">
        <f ca="1">IFERROR(__xludf.DUMMYFUNCTION("GOOGLETRANSLATE($B160,""en"",U$3)"),"لا يمكن تشغيل التشخيص ما لم يتم تشغيل النظام. انقر على ""ابدأ"" وحاول مرة أخرى.")</f>
        <v>لا يمكن تشغيل التشخيص ما لم يتم تشغيل النظام. انقر على "ابدأ" وحاول مرة أخرى.</v>
      </c>
      <c r="V160" s="12" t="str">
        <f ca="1">IFERROR(__xludf.DUMMYFUNCTION("GOOGLETRANSLATE($B160,""en"",V$3)"),"Nie można uruchomić diagnostykę chyba że system jest uruchomiony. Kliknij „Start” i spróbuj ponownie.")</f>
        <v>Nie można uruchomić diagnostykę chyba że system jest uruchomiony. Kliknij „Start” i spróbuj ponownie.</v>
      </c>
      <c r="W160" s="12" t="str">
        <f ca="1">IFERROR(__xludf.DUMMYFUNCTION("GOOGLETRANSLATE($B160,""en"",W$3)"),"Не удается запустить диагностику, если система не работает. Нажмите кнопку «Пуск» и повторите попытку.")</f>
        <v>Не удается запустить диагностику, если система не работает. Нажмите кнопку «Пуск» и повторите попытку.</v>
      </c>
      <c r="X160" s="12" t="str">
        <f ca="1">IFERROR(__xludf.DUMMYFUNCTION("GOOGLETRANSLATE($B160,""en"",X$3)"),"No se puede ejecutar el diagnóstico a menos que el sistema está funcionando. Haga clic en 'Inicio' y vuelve a intentarlo.")</f>
        <v>No se puede ejecutar el diagnóstico a menos que el sistema está funcionando. Haga clic en 'Inicio' y vuelve a intentarlo.</v>
      </c>
      <c r="Y160" s="12"/>
      <c r="Z160" s="12"/>
    </row>
    <row r="161" spans="1:26" ht="32.25" customHeight="1" x14ac:dyDescent="0.2">
      <c r="A161" s="17" t="s">
        <v>429</v>
      </c>
      <c r="B161" s="17" t="s">
        <v>430</v>
      </c>
      <c r="C161" s="11" t="str">
        <f ca="1">IFERROR(__xludf.DUMMYFUNCTION("GOOGLETRANSLATE($B161,""en"",C$3)"),"Klicken Sie auf ‚Start‘ zu beginnen.")</f>
        <v>Klicken Sie auf ‚Start‘ zu beginnen.</v>
      </c>
      <c r="D161" s="12" t="str">
        <f ca="1">IFERROR(__xludf.DUMMYFUNCTION("GOOGLETRANSLATE($B161,""en"",D$3)"),"Klicka på 'Start' för att börja.")</f>
        <v>Klicka på 'Start' för att börja.</v>
      </c>
      <c r="E161" s="12" t="str">
        <f ca="1">IFERROR(__xludf.DUMMYFUNCTION("GOOGLETRANSLATE($B161,""en"",E$3)"),"Clique em 'Start' para começar.")</f>
        <v>Clique em 'Start' para começar.</v>
      </c>
      <c r="F161" s="12" t="str">
        <f ca="1">IFERROR(__xludf.DUMMYFUNCTION("GOOGLETRANSLATE($B161,""en"",F$3)"),"Clique em 'Start' para começar.")</f>
        <v>Clique em 'Start' para começar.</v>
      </c>
      <c r="G161" s="12" t="str">
        <f ca="1">IFERROR(__xludf.DUMMYFUNCTION("GOOGLETRANSLATE($B161,""en"",G$3)"),"Cliquez sur « Démarrer » pour commencer.")</f>
        <v>Cliquez sur « Démarrer » pour commencer.</v>
      </c>
      <c r="H161" s="12" t="str">
        <f ca="1">IFERROR(__xludf.DUMMYFUNCTION("GOOGLETRANSLATE($B161,""en"",H$3)"),"Klikatu 'Start' hasteko.")</f>
        <v>Klikatu 'Start' hasteko.</v>
      </c>
      <c r="I161" s="12" t="str">
        <f ca="1">IFERROR(__xludf.DUMMYFUNCTION("GOOGLETRANSLATE($B161,""en"",I$3)"),"Feu clic a 'Inici' per començar.")</f>
        <v>Feu clic a 'Inici' per començar.</v>
      </c>
      <c r="J161" s="12" t="str">
        <f ca="1">IFERROR(__xludf.DUMMYFUNCTION("GOOGLETRANSLATE($B161,""en"",J$3)"),"Klepněte na tlačítko ‚Start‘ pro zahájení.")</f>
        <v>Klepněte na tlačítko ‚Start‘ pro zahájení.</v>
      </c>
      <c r="K161" s="12" t="str">
        <f ca="1">IFERROR(__xludf.DUMMYFUNCTION("GOOGLETRANSLATE($B161,""en"",K$3)"),"点击“开始”开始。")</f>
        <v>点击“开始”开始。</v>
      </c>
      <c r="L161" s="12" t="str">
        <f ca="1">IFERROR(__xludf.DUMMYFUNCTION("GOOGLETRANSLATE($B161,""en"",L$3)"),"點擊“開始”開始。")</f>
        <v>點擊“開始”開始。</v>
      </c>
      <c r="M161" s="12" t="str">
        <f ca="1">IFERROR(__xludf.DUMMYFUNCTION("GOOGLETRANSLATE($B161,""en"",M$3)"),"Klik op 'Start' om te beginnen.")</f>
        <v>Klik op 'Start' om te beginnen.</v>
      </c>
      <c r="N161" s="12" t="str">
        <f ca="1">IFERROR(__xludf.DUMMYFUNCTION("GOOGLETRANSLATE($B161,""en"",N$3)"),"Κάντε κλικ στο κουμπί «Έναρξη» για να ξεκινήσει.")</f>
        <v>Κάντε κλικ στο κουμπί «Έναρξη» για να ξεκινήσει.</v>
      </c>
      <c r="O161" s="12" t="str">
        <f ca="1">IFERROR(__xludf.DUMMYFUNCTION("GOOGLETRANSLATE($B161,""en"",O$3)"),"Napsauta Käynnistä aloittaa.")</f>
        <v>Napsauta Käynnistä aloittaa.</v>
      </c>
      <c r="P161" s="12" t="str">
        <f ca="1">IFERROR(__xludf.DUMMYFUNCTION("GOOGLETRANSLATE($B161,""en"",P$3)"),"Cliceáil 'Tosaigh' chun tús a chur.")</f>
        <v>Cliceáil 'Tosaigh' chun tús a chur.</v>
      </c>
      <c r="Q161" s="12" t="str">
        <f ca="1">IFERROR(__xludf.DUMMYFUNCTION("GOOGLETRANSLATE($B161,""en"",Q$3)"),"برای شروع کلیک کنید ""شروع"".")</f>
        <v>برای شروع کلیک کنید "شروع".</v>
      </c>
      <c r="R161" s="12" t="str">
        <f ca="1">IFERROR(__xludf.DUMMYFUNCTION("GOOGLETRANSLATE($B161,""en"",R$3)"),"לחץ על ""התחל"" כדי להתחיל.")</f>
        <v>לחץ על "התחל" כדי להתחיל.</v>
      </c>
      <c r="S161" s="12" t="str">
        <f ca="1">IFERROR(__xludf.DUMMYFUNCTION("GOOGLETRANSLATE($B161,""en"",S$3)"),"Smelltu á 'Start' til að byrja.")</f>
        <v>Smelltu á 'Start' til að byrja.</v>
      </c>
      <c r="T161" s="12" t="str">
        <f ca="1">IFERROR(__xludf.DUMMYFUNCTION("GOOGLETRANSLATE($B161,""en"",T$3)"),"Klikk 'Start' for å begynne.")</f>
        <v>Klikk 'Start' for å begynne.</v>
      </c>
      <c r="U161" s="12" t="str">
        <f ca="1">IFERROR(__xludf.DUMMYFUNCTION("GOOGLETRANSLATE($B161,""en"",U$3)"),"انقر على ""ابدأ"" لبدء.")</f>
        <v>انقر على "ابدأ" لبدء.</v>
      </c>
      <c r="V161" s="12" t="str">
        <f ca="1">IFERROR(__xludf.DUMMYFUNCTION("GOOGLETRANSLATE($B161,""en"",V$3)"),"Kliknij „Start”, aby rozpocząć.")</f>
        <v>Kliknij „Start”, aby rozpocząć.</v>
      </c>
      <c r="W161" s="12" t="str">
        <f ca="1">IFERROR(__xludf.DUMMYFUNCTION("GOOGLETRANSLATE($B161,""en"",W$3)"),"Нажмите кнопку «Пуск», чтобы начать.")</f>
        <v>Нажмите кнопку «Пуск», чтобы начать.</v>
      </c>
      <c r="X161" s="12" t="str">
        <f ca="1">IFERROR(__xludf.DUMMYFUNCTION("GOOGLETRANSLATE($B161,""en"",X$3)"),"Haga clic en 'Inicio' para comenzar.")</f>
        <v>Haga clic en 'Inicio' para comenzar.</v>
      </c>
      <c r="Y161" s="12"/>
      <c r="Z161" s="12"/>
    </row>
    <row r="162" spans="1:26" ht="32.25" customHeight="1" x14ac:dyDescent="0.2">
      <c r="A162" s="17" t="s">
        <v>431</v>
      </c>
      <c r="B162" s="17" t="s">
        <v>432</v>
      </c>
      <c r="C162" s="18" t="s">
        <v>1796</v>
      </c>
      <c r="D162" s="12" t="str">
        <f ca="1">IFERROR(__xludf.DUMMYFUNCTION("GOOGLETRANSLATE($B162,""en"",D$3)"),"Klicka för att ställa in Tides")</f>
        <v>Klicka för att ställa in Tides</v>
      </c>
      <c r="E162" s="12" t="str">
        <f ca="1">IFERROR(__xludf.DUMMYFUNCTION("GOOGLETRANSLATE($B162,""en"",E$3)"),"Clique para configurar Marés")</f>
        <v>Clique para configurar Marés</v>
      </c>
      <c r="F162" s="12" t="str">
        <f ca="1">IFERROR(__xludf.DUMMYFUNCTION("GOOGLETRANSLATE($B162,""en"",F$3)"),"Clique para configurar Marés")</f>
        <v>Clique para configurar Marés</v>
      </c>
      <c r="G162" s="12" t="str">
        <f ca="1">IFERROR(__xludf.DUMMYFUNCTION("GOOGLETRANSLATE($B162,""en"",G$3)"),"Cliquez pour mettre en place Tides")</f>
        <v>Cliquez pour mettre en place Tides</v>
      </c>
      <c r="H162" s="12" t="str">
        <f ca="1">IFERROR(__xludf.DUMMYFUNCTION("GOOGLETRANSLATE($B162,""en"",H$3)"),"Klik Mareak konfiguratzeko")</f>
        <v>Klik Mareak konfiguratzeko</v>
      </c>
      <c r="I162" s="12" t="str">
        <f ca="1">IFERROR(__xludf.DUMMYFUNCTION("GOOGLETRANSLATE($B162,""en"",I$3)"),"Feu clic per establir les marees")</f>
        <v>Feu clic per establir les marees</v>
      </c>
      <c r="J162" s="12" t="str">
        <f ca="1">IFERROR(__xludf.DUMMYFUNCTION("GOOGLETRANSLATE($B162,""en"",J$3)"),"Klepněte na tlačítko nastavit Tides")</f>
        <v>Klepněte na tlačítko nastavit Tides</v>
      </c>
      <c r="K162" s="12" t="str">
        <f ca="1">IFERROR(__xludf.DUMMYFUNCTION("GOOGLETRANSLATE($B162,""en"",K$3)"),"点击设置潮汐")</f>
        <v>点击设置潮汐</v>
      </c>
      <c r="L162" s="12" t="str">
        <f ca="1">IFERROR(__xludf.DUMMYFUNCTION("GOOGLETRANSLATE($B162,""en"",L$3)"),"點擊設置潮汐")</f>
        <v>點擊設置潮汐</v>
      </c>
      <c r="M162" s="12" t="str">
        <f ca="1">IFERROR(__xludf.DUMMYFUNCTION("GOOGLETRANSLATE($B162,""en"",M$3)"),"Klik op te zetten Tides")</f>
        <v>Klik op te zetten Tides</v>
      </c>
      <c r="N162" s="12" t="str">
        <f ca="1">IFERROR(__xludf.DUMMYFUNCTION("GOOGLETRANSLATE($B162,""en"",N$3)"),"Κάντε κλικ για να δημιουργήσει Tides")</f>
        <v>Κάντε κλικ για να δημιουργήσει Tides</v>
      </c>
      <c r="O162" s="12" t="str">
        <f ca="1">IFERROR(__xludf.DUMMYFUNCTION("GOOGLETRANSLATE($B162,""en"",O$3)"),"Klikkaa perustaa Tides")</f>
        <v>Klikkaa perustaa Tides</v>
      </c>
      <c r="P162" s="12" t="str">
        <f ca="1">IFERROR(__xludf.DUMMYFUNCTION("GOOGLETRANSLATE($B162,""en"",P$3)"),"Cliceáil a chur ar bun Taoidí")</f>
        <v>Cliceáil a chur ar bun Taoidí</v>
      </c>
      <c r="Q162" s="12" t="str">
        <f ca="1">IFERROR(__xludf.DUMMYFUNCTION("GOOGLETRANSLATE($B162,""en"",Q$3)"),"به راه اندازی جزر و مد را کلیک کنید")</f>
        <v>به راه اندازی جزر و مد را کلیک کنید</v>
      </c>
      <c r="R162" s="12" t="str">
        <f ca="1">IFERROR(__xludf.DUMMYFUNCTION("GOOGLETRANSLATE($B162,""en"",R$3)"),"לחץ כדי להגדיר Tides")</f>
        <v>לחץ כדי להגדיר Tides</v>
      </c>
      <c r="S162" s="12" t="str">
        <f ca="1">IFERROR(__xludf.DUMMYFUNCTION("GOOGLETRANSLATE($B162,""en"",S$3)"),"Smelltu til að setja upp Tides")</f>
        <v>Smelltu til að setja upp Tides</v>
      </c>
      <c r="T162" s="12" t="str">
        <f ca="1">IFERROR(__xludf.DUMMYFUNCTION("GOOGLETRANSLATE($B162,""en"",T$3)"),"Klikk for å sette opp Tides")</f>
        <v>Klikk for å sette opp Tides</v>
      </c>
      <c r="U162" s="12" t="str">
        <f ca="1">IFERROR(__xludf.DUMMYFUNCTION("GOOGLETRANSLATE($B162,""en"",U$3)"),"انقر لانشاء المد والجزر")</f>
        <v>انقر لانشاء المد والجزر</v>
      </c>
      <c r="V162" s="12" t="str">
        <f ca="1">IFERROR(__xludf.DUMMYFUNCTION("GOOGLETRANSLATE($B162,""en"",V$3)"),"Kliknij, aby skonfigurować Tides")</f>
        <v>Kliknij, aby skonfigurować Tides</v>
      </c>
      <c r="W162" s="12" t="str">
        <f ca="1">IFERROR(__xludf.DUMMYFUNCTION("GOOGLETRANSLATE($B162,""en"",W$3)"),"Нажмите, чтобы настроить Tides")</f>
        <v>Нажмите, чтобы настроить Tides</v>
      </c>
      <c r="X162" s="12" t="str">
        <f ca="1">IFERROR(__xludf.DUMMYFUNCTION("GOOGLETRANSLATE($B162,""en"",X$3)"),"Haga clic para establecer las mareas")</f>
        <v>Haga clic para establecer las mareas</v>
      </c>
      <c r="Y162" s="12"/>
      <c r="Z162" s="12"/>
    </row>
    <row r="163" spans="1:26" ht="32.25" customHeight="1" x14ac:dyDescent="0.2">
      <c r="A163" s="17" t="s">
        <v>433</v>
      </c>
      <c r="B163" s="17" t="s">
        <v>434</v>
      </c>
      <c r="C163" s="11" t="str">
        <f ca="1">IFERROR(__xludf.DUMMYFUNCTION("GOOGLETRANSLATE($B163,""en"",C$3)"),"Klicken Sie auf den Ordner ändern")</f>
        <v>Klicken Sie auf den Ordner ändern</v>
      </c>
      <c r="D163" s="12" t="str">
        <f ca="1">IFERROR(__xludf.DUMMYFUNCTION("GOOGLETRANSLATE($B163,""en"",D$3)"),"Klicka för att ändra mappen")</f>
        <v>Klicka för att ändra mappen</v>
      </c>
      <c r="E163" s="12" t="str">
        <f ca="1">IFERROR(__xludf.DUMMYFUNCTION("GOOGLETRANSLATE($B163,""en"",E$3)"),"Clique para alterar a pasta")</f>
        <v>Clique para alterar a pasta</v>
      </c>
      <c r="F163" s="12" t="str">
        <f ca="1">IFERROR(__xludf.DUMMYFUNCTION("GOOGLETRANSLATE($B163,""en"",F$3)"),"Clique para alterar a pasta")</f>
        <v>Clique para alterar a pasta</v>
      </c>
      <c r="G163" s="12" t="str">
        <f ca="1">IFERROR(__xludf.DUMMYFUNCTION("GOOGLETRANSLATE($B163,""en"",G$3)"),"Cliquez pour modifier le dossier")</f>
        <v>Cliquez pour modifier le dossier</v>
      </c>
      <c r="H163" s="12" t="str">
        <f ca="1">IFERROR(__xludf.DUMMYFUNCTION("GOOGLETRANSLATE($B163,""en"",H$3)"),"Klik karpeta aldatzeko")</f>
        <v>Klik karpeta aldatzeko</v>
      </c>
      <c r="I163" s="12" t="str">
        <f ca="1">IFERROR(__xludf.DUMMYFUNCTION("GOOGLETRANSLATE($B163,""en"",I$3)"),"Feu clic per canviar la carpeta")</f>
        <v>Feu clic per canviar la carpeta</v>
      </c>
      <c r="J163" s="12" t="str">
        <f ca="1">IFERROR(__xludf.DUMMYFUNCTION("GOOGLETRANSLATE($B163,""en"",J$3)"),"Kliknutím změníte složku")</f>
        <v>Kliknutím změníte složku</v>
      </c>
      <c r="K163" s="12" t="str">
        <f ca="1">IFERROR(__xludf.DUMMYFUNCTION("GOOGLETRANSLATE($B163,""en"",K$3)"),"点击更改文件夹")</f>
        <v>点击更改文件夹</v>
      </c>
      <c r="L163" s="12" t="str">
        <f ca="1">IFERROR(__xludf.DUMMYFUNCTION("GOOGLETRANSLATE($B163,""en"",L$3)"),"點擊更改文件夾")</f>
        <v>點擊更改文件夾</v>
      </c>
      <c r="M163" s="12" t="str">
        <f ca="1">IFERROR(__xludf.DUMMYFUNCTION("GOOGLETRANSLATE($B163,""en"",M$3)"),"Klik op de map te veranderen")</f>
        <v>Klik op de map te veranderen</v>
      </c>
      <c r="N163" s="12" t="str">
        <f ca="1">IFERROR(__xludf.DUMMYFUNCTION("GOOGLETRANSLATE($B163,""en"",N$3)"),"Κάντε κλικ για να αλλάξετε το φάκελο")</f>
        <v>Κάντε κλικ για να αλλάξετε το φάκελο</v>
      </c>
      <c r="O163" s="12" t="str">
        <f ca="1">IFERROR(__xludf.DUMMYFUNCTION("GOOGLETRANSLATE($B163,""en"",O$3)"),"Klikkaa vaihtaa kansion")</f>
        <v>Klikkaa vaihtaa kansion</v>
      </c>
      <c r="P163" s="12" t="str">
        <f ca="1">IFERROR(__xludf.DUMMYFUNCTION("GOOGLETRANSLATE($B163,""en"",P$3)"),"Cliceáil chun athrú ar an fillteán")</f>
        <v>Cliceáil chun athrú ar an fillteán</v>
      </c>
      <c r="Q163" s="12" t="str">
        <f ca="1">IFERROR(__xludf.DUMMYFUNCTION("GOOGLETRANSLATE($B163,""en"",Q$3)"),"برای تغییر پوشه کلیک کنید")</f>
        <v>برای تغییر پوشه کلیک کنید</v>
      </c>
      <c r="R163" s="12" t="str">
        <f ca="1">IFERROR(__xludf.DUMMYFUNCTION("GOOGLETRANSLATE($B163,""en"",R$3)"),"לחץ כדי לשנות את התיקייה")</f>
        <v>לחץ כדי לשנות את התיקייה</v>
      </c>
      <c r="S163" s="12" t="str">
        <f ca="1">IFERROR(__xludf.DUMMYFUNCTION("GOOGLETRANSLATE($B163,""en"",S$3)"),"Smelltu til að breyta möppu")</f>
        <v>Smelltu til að breyta möppu</v>
      </c>
      <c r="T163" s="12" t="str">
        <f ca="1">IFERROR(__xludf.DUMMYFUNCTION("GOOGLETRANSLATE($B163,""en"",T$3)"),"Klikk for å endre mappen")</f>
        <v>Klikk for å endre mappen</v>
      </c>
      <c r="U163" s="12" t="str">
        <f ca="1">IFERROR(__xludf.DUMMYFUNCTION("GOOGLETRANSLATE($B163,""en"",U$3)"),"انقر لتغيير المجلد")</f>
        <v>انقر لتغيير المجلد</v>
      </c>
      <c r="V163" s="12" t="str">
        <f ca="1">IFERROR(__xludf.DUMMYFUNCTION("GOOGLETRANSLATE($B163,""en"",V$3)"),"Kliknij, aby zmienić folder")</f>
        <v>Kliknij, aby zmienić folder</v>
      </c>
      <c r="W163" s="12" t="str">
        <f ca="1">IFERROR(__xludf.DUMMYFUNCTION("GOOGLETRANSLATE($B163,""en"",W$3)"),"Нажмите, чтобы изменить папку")</f>
        <v>Нажмите, чтобы изменить папку</v>
      </c>
      <c r="X163" s="12" t="str">
        <f ca="1">IFERROR(__xludf.DUMMYFUNCTION("GOOGLETRANSLATE($B163,""en"",X$3)"),"Haga clic para cambiar la carpeta")</f>
        <v>Haga clic para cambiar la carpeta</v>
      </c>
      <c r="Y163" s="12"/>
      <c r="Z163" s="12"/>
    </row>
    <row r="164" spans="1:26" ht="32.25" customHeight="1" x14ac:dyDescent="0.2">
      <c r="A164" s="17" t="s">
        <v>435</v>
      </c>
      <c r="B164" s="17" t="s">
        <v>436</v>
      </c>
      <c r="C164" s="11" t="str">
        <f ca="1">IFERROR(__xludf.DUMMYFUNCTION("GOOGLETRANSLATE($B164,""en"",C$3)"),"Klicken Sie auf diesen Inhalt laden")</f>
        <v>Klicken Sie auf diesen Inhalt laden</v>
      </c>
      <c r="D164" s="12" t="str">
        <f ca="1">IFERROR(__xludf.DUMMYFUNCTION("GOOGLETRANSLATE($B164,""en"",D$3)"),"Klicka för att ladda innehållet")</f>
        <v>Klicka för att ladda innehållet</v>
      </c>
      <c r="E164" s="12" t="str">
        <f ca="1">IFERROR(__xludf.DUMMYFUNCTION("GOOGLETRANSLATE($B164,""en"",E$3)"),"Clique para carregar este conteúdo")</f>
        <v>Clique para carregar este conteúdo</v>
      </c>
      <c r="F164" s="12" t="str">
        <f ca="1">IFERROR(__xludf.DUMMYFUNCTION("GOOGLETRANSLATE($B164,""en"",F$3)"),"Clique para carregar este conteúdo")</f>
        <v>Clique para carregar este conteúdo</v>
      </c>
      <c r="G164" s="12" t="str">
        <f ca="1">IFERROR(__xludf.DUMMYFUNCTION("GOOGLETRANSLATE($B164,""en"",G$3)"),"Cliquez pour charger ce contenu")</f>
        <v>Cliquez pour charger ce contenu</v>
      </c>
      <c r="H164" s="12" t="str">
        <f ca="1">IFERROR(__xludf.DUMMYFUNCTION("GOOGLETRANSLATE($B164,""en"",H$3)"),"Klik eduki hau kargatu")</f>
        <v>Klik eduki hau kargatu</v>
      </c>
      <c r="I164" s="12" t="str">
        <f ca="1">IFERROR(__xludf.DUMMYFUNCTION("GOOGLETRANSLATE($B164,""en"",I$3)"),"Feu clic per carregar aquest contingut")</f>
        <v>Feu clic per carregar aquest contingut</v>
      </c>
      <c r="J164" s="12" t="str">
        <f ca="1">IFERROR(__xludf.DUMMYFUNCTION("GOOGLETRANSLATE($B164,""en"",J$3)"),"Kliknutím na načtení tohoto obsahu")</f>
        <v>Kliknutím na načtení tohoto obsahu</v>
      </c>
      <c r="K164" s="12" t="str">
        <f ca="1">IFERROR(__xludf.DUMMYFUNCTION("GOOGLETRANSLATE($B164,""en"",K$3)"),"点击加载此内容")</f>
        <v>点击加载此内容</v>
      </c>
      <c r="L164" s="12" t="str">
        <f ca="1">IFERROR(__xludf.DUMMYFUNCTION("GOOGLETRANSLATE($B164,""en"",L$3)"),"點擊加載此內容")</f>
        <v>點擊加載此內容</v>
      </c>
      <c r="M164" s="12" t="str">
        <f ca="1">IFERROR(__xludf.DUMMYFUNCTION("GOOGLETRANSLATE($B164,""en"",M$3)"),"Klik hier om deze content te laden")</f>
        <v>Klik hier om deze content te laden</v>
      </c>
      <c r="N164" s="12" t="str">
        <f ca="1">IFERROR(__xludf.DUMMYFUNCTION("GOOGLETRANSLATE($B164,""en"",N$3)"),"Κάντε κλικ για να φορτώσετε αυτό το περιεχόμενο")</f>
        <v>Κάντε κλικ για να φορτώσετε αυτό το περιεχόμενο</v>
      </c>
      <c r="O164" s="12" t="str">
        <f ca="1">IFERROR(__xludf.DUMMYFUNCTION("GOOGLETRANSLATE($B164,""en"",O$3)"),"Klikkaa ladata tämän sisällön")</f>
        <v>Klikkaa ladata tämän sisällön</v>
      </c>
      <c r="P164" s="12" t="str">
        <f ca="1">IFERROR(__xludf.DUMMYFUNCTION("GOOGLETRANSLATE($B164,""en"",P$3)"),"Cliceáil chun luchtú an t-ábhar")</f>
        <v>Cliceáil chun luchtú an t-ábhar</v>
      </c>
      <c r="Q164" s="12" t="str">
        <f ca="1">IFERROR(__xludf.DUMMYFUNCTION("GOOGLETRANSLATE($B164,""en"",Q$3)"),"برای بارگذاری این مطلب به این کلیک کنید")</f>
        <v>برای بارگذاری این مطلب به این کلیک کنید</v>
      </c>
      <c r="R164" s="12" t="str">
        <f ca="1">IFERROR(__xludf.DUMMYFUNCTION("GOOGLETRANSLATE($B164,""en"",R$3)"),"לחץ לטעינת תוכן זה")</f>
        <v>לחץ לטעינת תוכן זה</v>
      </c>
      <c r="S164" s="12" t="str">
        <f ca="1">IFERROR(__xludf.DUMMYFUNCTION("GOOGLETRANSLATE($B164,""en"",S$3)"),"Smelltu til að hlaða þetta efni")</f>
        <v>Smelltu til að hlaða þetta efni</v>
      </c>
      <c r="T164" s="12" t="str">
        <f ca="1">IFERROR(__xludf.DUMMYFUNCTION("GOOGLETRANSLATE($B164,""en"",T$3)"),"Klikk for å laste dette innholdet")</f>
        <v>Klikk for å laste dette innholdet</v>
      </c>
      <c r="U164" s="12" t="str">
        <f ca="1">IFERROR(__xludf.DUMMYFUNCTION("GOOGLETRANSLATE($B164,""en"",U$3)"),"انقر لتحميل هذا المحتوى")</f>
        <v>انقر لتحميل هذا المحتوى</v>
      </c>
      <c r="V164" s="12" t="str">
        <f ca="1">IFERROR(__xludf.DUMMYFUNCTION("GOOGLETRANSLATE($B164,""en"",V$3)"),"Kliknij, aby załadować zawartość")</f>
        <v>Kliknij, aby załadować zawartość</v>
      </c>
      <c r="W164" s="12" t="str">
        <f ca="1">IFERROR(__xludf.DUMMYFUNCTION("GOOGLETRANSLATE($B164,""en"",W$3)"),"Нажмите, чтобы загрузить этот контент")</f>
        <v>Нажмите, чтобы загрузить этот контент</v>
      </c>
      <c r="X164" s="12" t="str">
        <f ca="1">IFERROR(__xludf.DUMMYFUNCTION("GOOGLETRANSLATE($B164,""en"",X$3)"),"Haga clic para cargar este contenido")</f>
        <v>Haga clic para cargar este contenido</v>
      </c>
      <c r="Y164" s="12"/>
      <c r="Z164" s="12"/>
    </row>
    <row r="165" spans="1:26" ht="32.25" customHeight="1" x14ac:dyDescent="0.2">
      <c r="A165" s="17" t="s">
        <v>437</v>
      </c>
      <c r="B165" s="17" t="s">
        <v>438</v>
      </c>
      <c r="C165" s="11" t="str">
        <f ca="1">IFERROR(__xludf.DUMMYFUNCTION("GOOGLETRANSLATE($B165,""en"",C$3)"),"Klicken Sie auf die untere linke Ecke der Datei in diesem Ort zu laden.")</f>
        <v>Klicken Sie auf die untere linke Ecke der Datei in diesem Ort zu laden.</v>
      </c>
      <c r="D165" s="12" t="str">
        <f ca="1">IFERROR(__xludf.DUMMYFUNCTION("GOOGLETRANSLATE($B165,""en"",D$3)"),"Klicka för att ladda det nedre vänstra hörnet av filen till den här platsen.")</f>
        <v>Klicka för att ladda det nedre vänstra hörnet av filen till den här platsen.</v>
      </c>
      <c r="E165" s="12" t="str">
        <f ca="1">IFERROR(__xludf.DUMMYFUNCTION("GOOGLETRANSLATE($B165,""en"",E$3)"),"Clique para carregar o canto inferior esquerdo do arquivo para este local.")</f>
        <v>Clique para carregar o canto inferior esquerdo do arquivo para este local.</v>
      </c>
      <c r="F165" s="12" t="str">
        <f ca="1">IFERROR(__xludf.DUMMYFUNCTION("GOOGLETRANSLATE($B165,""en"",F$3)"),"Clique para carregar o canto inferior esquerdo do arquivo para este local.")</f>
        <v>Clique para carregar o canto inferior esquerdo do arquivo para este local.</v>
      </c>
      <c r="G165" s="12" t="str">
        <f ca="1">IFERROR(__xludf.DUMMYFUNCTION("GOOGLETRANSLATE($B165,""en"",G$3)"),"Cliquez pour charger le coin inférieur gauche du fichier dans cet emplacement.")</f>
        <v>Cliquez pour charger le coin inférieur gauche du fichier dans cet emplacement.</v>
      </c>
      <c r="H165" s="12" t="str">
        <f ca="1">IFERROR(__xludf.DUMMYFUNCTION("GOOGLETRANSLATE($B165,""en"",H$3)"),"Egin klik fitxategi-beheko ezkerreko izkinan kargatu kokapen horretan.")</f>
        <v>Egin klik fitxategi-beheko ezkerreko izkinan kargatu kokapen horretan.</v>
      </c>
      <c r="I165" s="12" t="str">
        <f ca="1">IFERROR(__xludf.DUMMYFUNCTION("GOOGLETRANSLATE($B165,""en"",I$3)"),"Feu clic per carregar la cantonada inferior esquerra de l'arxiu en aquesta ubicació.")</f>
        <v>Feu clic per carregar la cantonada inferior esquerra de l'arxiu en aquesta ubicació.</v>
      </c>
      <c r="J165" s="12" t="str">
        <f ca="1">IFERROR(__xludf.DUMMYFUNCTION("GOOGLETRANSLATE($B165,""en"",J$3)"),"Kliknutím na načíst levý dolní roh souboru do tohoto místa.")</f>
        <v>Kliknutím na načíst levý dolní roh souboru do tohoto místa.</v>
      </c>
      <c r="K165" s="12" t="str">
        <f ca="1">IFERROR(__xludf.DUMMYFUNCTION("GOOGLETRANSLATE($B165,""en"",K$3)"),"点击该文件的左下角加载到这个位置。")</f>
        <v>点击该文件的左下角加载到这个位置。</v>
      </c>
      <c r="L165" s="12" t="str">
        <f ca="1">IFERROR(__xludf.DUMMYFUNCTION("GOOGLETRANSLATE($B165,""en"",L$3)"),"點擊該文件的左下角加載到這個位置。")</f>
        <v>點擊該文件的左下角加載到這個位置。</v>
      </c>
      <c r="M165" s="12" t="str">
        <f ca="1">IFERROR(__xludf.DUMMYFUNCTION("GOOGLETRANSLATE($B165,""en"",M$3)"),"Klik op de linker benedenhoek van het bestand in deze locatie te laden.")</f>
        <v>Klik op de linker benedenhoek van het bestand in deze locatie te laden.</v>
      </c>
      <c r="N165" s="12" t="str">
        <f ca="1">IFERROR(__xludf.DUMMYFUNCTION("GOOGLETRANSLATE($B165,""en"",N$3)"),"Κάντε κλικ για να φορτώσετε την κάτω αριστερή γωνία του φακέλου σε αυτήν τη θέση.")</f>
        <v>Κάντε κλικ για να φορτώσετε την κάτω αριστερή γωνία του φακέλου σε αυτήν τη θέση.</v>
      </c>
      <c r="O165" s="12" t="str">
        <f ca="1">IFERROR(__xludf.DUMMYFUNCTION("GOOGLETRANSLATE($B165,""en"",O$3)"),"Klikkaa ladata vasempaan alakulmaan tiedoston tähän paikkaan.")</f>
        <v>Klikkaa ladata vasempaan alakulmaan tiedoston tähän paikkaan.</v>
      </c>
      <c r="P165" s="12" t="str">
        <f ca="1">IFERROR(__xludf.DUMMYFUNCTION("GOOGLETRANSLATE($B165,""en"",P$3)"),"Cliceáil chun luchtú an chúinne íochtarach ar chlé ar an gcomhad isteach sa suíomh.")</f>
        <v>Cliceáil chun luchtú an chúinne íochtarach ar chlé ar an gcomhad isteach sa suíomh.</v>
      </c>
      <c r="Q165" s="12" t="str">
        <f ca="1">IFERROR(__xludf.DUMMYFUNCTION("GOOGLETRANSLATE($B165,""en"",Q$3)"),"برای بارگذاری در گوشه سمت چپ پایین تر از فایل را به این مکان کلیک کنید.")</f>
        <v>برای بارگذاری در گوشه سمت چپ پایین تر از فایل را به این مکان کلیک کنید.</v>
      </c>
      <c r="R165" s="12" t="str">
        <f ca="1">IFERROR(__xludf.DUMMYFUNCTION("GOOGLETRANSLATE($B165,""en"",R$3)"),"לחץ כדי לטעון בפינה השמאלית התחתונה של הקובץ במיקום זה.")</f>
        <v>לחץ כדי לטעון בפינה השמאלית התחתונה של הקובץ במיקום זה.</v>
      </c>
      <c r="S165" s="12" t="str">
        <f ca="1">IFERROR(__xludf.DUMMYFUNCTION("GOOGLETRANSLATE($B165,""en"",S$3)"),"Smelltu til að hlaða neðri vinstra horninu á skrá í þessum stað.")</f>
        <v>Smelltu til að hlaða neðri vinstra horninu á skrá í þessum stað.</v>
      </c>
      <c r="T165" s="12" t="str">
        <f ca="1">IFERROR(__xludf.DUMMYFUNCTION("GOOGLETRANSLATE($B165,""en"",T$3)"),"Klikk for å laste nedre venstre hjørne av filen til denne plasseringen.")</f>
        <v>Klikk for å laste nedre venstre hjørne av filen til denne plasseringen.</v>
      </c>
      <c r="U165" s="12" t="str">
        <f ca="1">IFERROR(__xludf.DUMMYFUNCTION("GOOGLETRANSLATE($B165,""en"",U$3)"),"انقر لتحميل الزاوية اليسرى السفلى من الملف إلى هذا الموقع.")</f>
        <v>انقر لتحميل الزاوية اليسرى السفلى من الملف إلى هذا الموقع.</v>
      </c>
      <c r="V165" s="12" t="str">
        <f ca="1">IFERROR(__xludf.DUMMYFUNCTION("GOOGLETRANSLATE($B165,""en"",V$3)"),"Kliknij, aby załadować dolny lewy róg pliku w tej lokalizacji.")</f>
        <v>Kliknij, aby załadować dolny lewy róg pliku w tej lokalizacji.</v>
      </c>
      <c r="W165" s="12" t="str">
        <f ca="1">IFERROR(__xludf.DUMMYFUNCTION("GOOGLETRANSLATE($B165,""en"",W$3)"),"Нажмите, чтобы загрузить левый нижний угол файла, в этом месте.")</f>
        <v>Нажмите, чтобы загрузить левый нижний угол файла, в этом месте.</v>
      </c>
      <c r="X165" s="12" t="str">
        <f ca="1">IFERROR(__xludf.DUMMYFUNCTION("GOOGLETRANSLATE($B165,""en"",X$3)"),"Haga clic para cargar la esquina inferior izquierda del archivo en esta ubicación.")</f>
        <v>Haga clic para cargar la esquina inferior izquierda del archivo en esta ubicación.</v>
      </c>
      <c r="Y165" s="12"/>
      <c r="Z165" s="12"/>
    </row>
    <row r="166" spans="1:26" ht="32.25" customHeight="1" x14ac:dyDescent="0.2">
      <c r="A166" s="17" t="s">
        <v>439</v>
      </c>
      <c r="B166" s="17" t="s">
        <v>440</v>
      </c>
      <c r="C166" s="11" t="str">
        <f ca="1">IFERROR(__xludf.DUMMYFUNCTION("GOOGLETRANSLATE($B166,""en"",C$3)"),"Klicken Sie auf Sprachdienst anfordern")</f>
        <v>Klicken Sie auf Sprachdienst anfordern</v>
      </c>
      <c r="D166" s="12" t="str">
        <f ca="1">IFERROR(__xludf.DUMMYFUNCTION("GOOGLETRANSLATE($B166,""en"",D$3)"),"Klicka för att begära Voice service")</f>
        <v>Klicka för att begära Voice service</v>
      </c>
      <c r="E166" s="12" t="str">
        <f ca="1">IFERROR(__xludf.DUMMYFUNCTION("GOOGLETRANSLATE($B166,""en"",E$3)"),"Clique para solicitação de serviço de voz")</f>
        <v>Clique para solicitação de serviço de voz</v>
      </c>
      <c r="F166" s="12" t="str">
        <f ca="1">IFERROR(__xludf.DUMMYFUNCTION("GOOGLETRANSLATE($B166,""en"",F$3)"),"Clique para solicitação de serviço de voz")</f>
        <v>Clique para solicitação de serviço de voz</v>
      </c>
      <c r="G166" s="12" t="str">
        <f ca="1">IFERROR(__xludf.DUMMYFUNCTION("GOOGLETRANSLATE($B166,""en"",G$3)"),"Cliquez ici pour demander le service vocal")</f>
        <v>Cliquez ici pour demander le service vocal</v>
      </c>
      <c r="H166" s="12" t="str">
        <f ca="1">IFERROR(__xludf.DUMMYFUNCTION("GOOGLETRANSLATE($B166,""en"",H$3)"),"Klik Ahots Zerbitzua eskatzeko")</f>
        <v>Klik Ahots Zerbitzua eskatzeko</v>
      </c>
      <c r="I166" s="12" t="str">
        <f ca="1">IFERROR(__xludf.DUMMYFUNCTION("GOOGLETRANSLATE($B166,""en"",I$3)"),"Clic per sol·licitar el servei de veu")</f>
        <v>Clic per sol·licitar el servei de veu</v>
      </c>
      <c r="J166" s="12" t="str">
        <f ca="1">IFERROR(__xludf.DUMMYFUNCTION("GOOGLETRANSLATE($B166,""en"",J$3)"),"Kliknutím na vyžádání hlasové služby")</f>
        <v>Kliknutím na vyžádání hlasové služby</v>
      </c>
      <c r="K166" s="12" t="str">
        <f ca="1">IFERROR(__xludf.DUMMYFUNCTION("GOOGLETRANSLATE($B166,""en"",K$3)"),"点击申请语音服务")</f>
        <v>点击申请语音服务</v>
      </c>
      <c r="L166" s="12" t="str">
        <f ca="1">IFERROR(__xludf.DUMMYFUNCTION("GOOGLETRANSLATE($B166,""en"",L$3)"),"點擊申請語音服務")</f>
        <v>點擊申請語音服務</v>
      </c>
      <c r="M166" s="12" t="str">
        <f ca="1">IFERROR(__xludf.DUMMYFUNCTION("GOOGLETRANSLATE($B166,""en"",M$3)"),"Klik hier om Voice Service Request")</f>
        <v>Klik hier om Voice Service Request</v>
      </c>
      <c r="N166" s="12" t="str">
        <f ca="1">IFERROR(__xludf.DUMMYFUNCTION("GOOGLETRANSLATE($B166,""en"",N$3)"),"Κάντε κλικ για να ζητήσουν Υπηρεσία Voice")</f>
        <v>Κάντε κλικ για να ζητήσουν Υπηρεσία Voice</v>
      </c>
      <c r="O166" s="12" t="str">
        <f ca="1">IFERROR(__xludf.DUMMYFUNCTION("GOOGLETRANSLATE($B166,""en"",O$3)"),"Klikkaa pyytää Voice -palveluun")</f>
        <v>Klikkaa pyytää Voice -palveluun</v>
      </c>
      <c r="P166" s="12" t="str">
        <f ca="1">IFERROR(__xludf.DUMMYFUNCTION("GOOGLETRANSLATE($B166,""en"",P$3)"),"Cliceáil chun iarraidh ar Seirbhís Voice")</f>
        <v>Cliceáil chun iarraidh ar Seirbhís Voice</v>
      </c>
      <c r="Q166" s="12" t="str">
        <f ca="1">IFERROR(__xludf.DUMMYFUNCTION("GOOGLETRANSLATE($B166,""en"",Q$3)"),"به درخواست خدمات صوتی را کلیک کنید")</f>
        <v>به درخواست خدمات صوتی را کلیک کنید</v>
      </c>
      <c r="R166" s="12" t="str">
        <f ca="1">IFERROR(__xludf.DUMMYFUNCTION("GOOGLETRANSLATE($B166,""en"",R$3)"),"לחץ כדי לבקש שירות Voice")</f>
        <v>לחץ כדי לבקש שירות Voice</v>
      </c>
      <c r="S166" s="12" t="str">
        <f ca="1">IFERROR(__xludf.DUMMYFUNCTION("GOOGLETRANSLATE($B166,""en"",S$3)"),"Smelltu til að óska ​​Voice Þjónusta")</f>
        <v>Smelltu til að óska ​​Voice Þjónusta</v>
      </c>
      <c r="T166" s="12" t="str">
        <f ca="1">IFERROR(__xludf.DUMMYFUNCTION("GOOGLETRANSLATE($B166,""en"",T$3)"),"Klikk for å be om Voice-tjenesten")</f>
        <v>Klikk for å be om Voice-tjenesten</v>
      </c>
      <c r="U166" s="12" t="str">
        <f ca="1">IFERROR(__xludf.DUMMYFUNCTION("GOOGLETRANSLATE($B166,""en"",U$3)"),"انقر هنا لطلب الخدمة الصوتية")</f>
        <v>انقر هنا لطلب الخدمة الصوتية</v>
      </c>
      <c r="V166" s="12" t="str">
        <f ca="1">IFERROR(__xludf.DUMMYFUNCTION("GOOGLETRANSLATE($B166,""en"",V$3)"),"Kliknij, aby żądania usługi głosowej")</f>
        <v>Kliknij, aby żądania usługi głosowej</v>
      </c>
      <c r="W166" s="12" t="str">
        <f ca="1">IFERROR(__xludf.DUMMYFUNCTION("GOOGLETRANSLATE($B166,""en"",W$3)"),"Нажмите, чтобы запросить голосовой сервис")</f>
        <v>Нажмите, чтобы запросить голосовой сервис</v>
      </c>
      <c r="X166" s="12" t="str">
        <f ca="1">IFERROR(__xludf.DUMMYFUNCTION("GOOGLETRANSLATE($B166,""en"",X$3)"),"Clic para solicitar el servicio de voz")</f>
        <v>Clic para solicitar el servicio de voz</v>
      </c>
      <c r="Y166" s="12"/>
      <c r="Z166" s="12"/>
    </row>
    <row r="167" spans="1:26" ht="32.25" customHeight="1" x14ac:dyDescent="0.2">
      <c r="A167" s="17" t="s">
        <v>441</v>
      </c>
      <c r="B167" s="17" t="s">
        <v>442</v>
      </c>
      <c r="C167" s="11" t="str">
        <f ca="1">IFERROR(__xludf.DUMMYFUNCTION("GOOGLETRANSLATE($B167,""en"",C$3)"),"Klicken Sie auf diese anzuzeigen")</f>
        <v>Klicken Sie auf diese anzuzeigen</v>
      </c>
      <c r="D167" s="12" t="str">
        <f ca="1">IFERROR(__xludf.DUMMYFUNCTION("GOOGLETRANSLATE($B167,""en"",D$3)"),"Klicka för att visa")</f>
        <v>Klicka för att visa</v>
      </c>
      <c r="E167" s="13" t="s">
        <v>443</v>
      </c>
      <c r="F167" s="13" t="s">
        <v>443</v>
      </c>
      <c r="G167" s="12" t="str">
        <f ca="1">IFERROR(__xludf.DUMMYFUNCTION("GOOGLETRANSLATE($B167,""en"",G$3)"),"Cliquez ici pour voir ce")</f>
        <v>Cliquez ici pour voir ce</v>
      </c>
      <c r="H167" s="12" t="str">
        <f ca="1">IFERROR(__xludf.DUMMYFUNCTION("GOOGLETRANSLATE($B167,""en"",H$3)"),"Klikatu hau ikusteko")</f>
        <v>Klikatu hau ikusteko</v>
      </c>
      <c r="I167" s="12" t="str">
        <f ca="1">IFERROR(__xludf.DUMMYFUNCTION("GOOGLETRANSLATE($B167,""en"",I$3)"),"Feu clic per veure aquest")</f>
        <v>Feu clic per veure aquest</v>
      </c>
      <c r="J167" s="12" t="str">
        <f ca="1">IFERROR(__xludf.DUMMYFUNCTION("GOOGLETRANSLATE($B167,""en"",J$3)"),"Klikněte pro zobrazení této")</f>
        <v>Klikněte pro zobrazení této</v>
      </c>
      <c r="K167" s="12" t="str">
        <f ca="1">IFERROR(__xludf.DUMMYFUNCTION("GOOGLETRANSLATE($B167,""en"",K$3)"),"点击查看本")</f>
        <v>点击查看本</v>
      </c>
      <c r="L167" s="12" t="str">
        <f ca="1">IFERROR(__xludf.DUMMYFUNCTION("GOOGLETRANSLATE($B167,""en"",L$3)"),"點擊查看本")</f>
        <v>點擊查看本</v>
      </c>
      <c r="M167" s="12" t="str">
        <f ca="1">IFERROR(__xludf.DUMMYFUNCTION("GOOGLETRANSLATE($B167,""en"",M$3)"),"Klik hier om deze te bekijken")</f>
        <v>Klik hier om deze te bekijken</v>
      </c>
      <c r="N167" s="12" t="str">
        <f ca="1">IFERROR(__xludf.DUMMYFUNCTION("GOOGLETRANSLATE($B167,""en"",N$3)"),"Κάντε κλικ για να δείτε αυτό το")</f>
        <v>Κάντε κλικ για να δείτε αυτό το</v>
      </c>
      <c r="O167" s="12" t="str">
        <f ca="1">IFERROR(__xludf.DUMMYFUNCTION("GOOGLETRANSLATE($B167,""en"",O$3)"),"Klikkaa nähdäksesi")</f>
        <v>Klikkaa nähdäksesi</v>
      </c>
      <c r="P167" s="12" t="str">
        <f ca="1">IFERROR(__xludf.DUMMYFUNCTION("GOOGLETRANSLATE($B167,""en"",P$3)"),"Cliceáil chun amharc ar an")</f>
        <v>Cliceáil chun amharc ar an</v>
      </c>
      <c r="Q167" s="12" t="str">
        <f ca="1">IFERROR(__xludf.DUMMYFUNCTION("GOOGLETRANSLATE($B167,""en"",Q$3)"),"به این کلیک کنید")</f>
        <v>به این کلیک کنید</v>
      </c>
      <c r="R167" s="12" t="str">
        <f ca="1">IFERROR(__xludf.DUMMYFUNCTION("GOOGLETRANSLATE($B167,""en"",R$3)"),"לחץ כדי להציג את זה")</f>
        <v>לחץ כדי להציג את זה</v>
      </c>
      <c r="S167" s="12" t="str">
        <f ca="1">IFERROR(__xludf.DUMMYFUNCTION("GOOGLETRANSLATE($B167,""en"",S$3)"),"Smelltu til að skoða þessa")</f>
        <v>Smelltu til að skoða þessa</v>
      </c>
      <c r="T167" s="12" t="str">
        <f ca="1">IFERROR(__xludf.DUMMYFUNCTION("GOOGLETRANSLATE($B167,""en"",T$3)"),"Klikk for å se dette")</f>
        <v>Klikk for å se dette</v>
      </c>
      <c r="U167" s="12" t="str">
        <f ca="1">IFERROR(__xludf.DUMMYFUNCTION("GOOGLETRANSLATE($B167,""en"",U$3)"),"انقر فوق لعرض هذه")</f>
        <v>انقر فوق لعرض هذه</v>
      </c>
      <c r="V167" s="12" t="str">
        <f ca="1">IFERROR(__xludf.DUMMYFUNCTION("GOOGLETRANSLATE($B167,""en"",V$3)"),"Kliknij aby zobaczyć ten")</f>
        <v>Kliknij aby zobaczyć ten</v>
      </c>
      <c r="W167" s="12" t="str">
        <f ca="1">IFERROR(__xludf.DUMMYFUNCTION("GOOGLETRANSLATE($B167,""en"",W$3)"),"Нажмите для просмотра этого")</f>
        <v>Нажмите для просмотра этого</v>
      </c>
      <c r="X167" s="12" t="str">
        <f ca="1">IFERROR(__xludf.DUMMYFUNCTION("GOOGLETRANSLATE($B167,""en"",X$3)"),"Haga clic para ver este")</f>
        <v>Haga clic para ver este</v>
      </c>
      <c r="Y167" s="12"/>
      <c r="Z167" s="12"/>
    </row>
    <row r="168" spans="1:26" ht="32.25" customHeight="1" x14ac:dyDescent="0.2">
      <c r="A168" s="17" t="s">
        <v>444</v>
      </c>
      <c r="B168" s="17" t="s">
        <v>445</v>
      </c>
      <c r="C168" s="18" t="s">
        <v>1797</v>
      </c>
      <c r="D168" s="12" t="str">
        <f ca="1">IFERROR(__xludf.DUMMYFUNCTION("GOOGLETRANSLATE($B168,""en"",D$3)"),"Klicka för att ställa in Vivox Voice")</f>
        <v>Klicka för att ställa in Vivox Voice</v>
      </c>
      <c r="E168" s="12" t="str">
        <f ca="1">IFERROR(__xludf.DUMMYFUNCTION("GOOGLETRANSLATE($B168,""en"",E$3)"),"Clique para configurar Vivox Voz")</f>
        <v>Clique para configurar Vivox Voz</v>
      </c>
      <c r="F168" s="12" t="str">
        <f ca="1">IFERROR(__xludf.DUMMYFUNCTION("GOOGLETRANSLATE($B168,""en"",F$3)"),"Clique para configurar Vivox Voz")</f>
        <v>Clique para configurar Vivox Voz</v>
      </c>
      <c r="G168" s="12" t="str">
        <f ca="1">IFERROR(__xludf.DUMMYFUNCTION("GOOGLETRANSLATE($B168,""en"",G$3)"),"Cliquez pour mettre en place Vivox voix")</f>
        <v>Cliquez pour mettre en place Vivox voix</v>
      </c>
      <c r="H168" s="12" t="str">
        <f ca="1">IFERROR(__xludf.DUMMYFUNCTION("GOOGLETRANSLATE($B168,""en"",H$3)"),"Klik Vivox Ahots konfiguratzeko")</f>
        <v>Klik Vivox Ahots konfiguratzeko</v>
      </c>
      <c r="I168" s="12" t="str">
        <f ca="1">IFERROR(__xludf.DUMMYFUNCTION("GOOGLETRANSLATE($B168,""en"",I$3)"),"Feu clic per establir Vivox Veu")</f>
        <v>Feu clic per establir Vivox Veu</v>
      </c>
      <c r="J168" s="12" t="str">
        <f ca="1">IFERROR(__xludf.DUMMYFUNCTION("GOOGLETRANSLATE($B168,""en"",J$3)"),"Klepněte na tlačítko nastavit Vivox Voice")</f>
        <v>Klepněte na tlačítko nastavit Vivox Voice</v>
      </c>
      <c r="K168" s="12" t="str">
        <f ca="1">IFERROR(__xludf.DUMMYFUNCTION("GOOGLETRANSLATE($B168,""en"",K$3)"),"点击设置Vivox公司的语音")</f>
        <v>点击设置Vivox公司的语音</v>
      </c>
      <c r="L168" s="12" t="str">
        <f ca="1">IFERROR(__xludf.DUMMYFUNCTION("GOOGLETRANSLATE($B168,""en"",L$3)"),"點擊設置Vivox公司的語音")</f>
        <v>點擊設置Vivox公司的語音</v>
      </c>
      <c r="M168" s="12" t="str">
        <f ca="1">IFERROR(__xludf.DUMMYFUNCTION("GOOGLETRANSLATE($B168,""en"",M$3)"),"Klik op te zetten Vivox Voice")</f>
        <v>Klik op te zetten Vivox Voice</v>
      </c>
      <c r="N168" s="12" t="str">
        <f ca="1">IFERROR(__xludf.DUMMYFUNCTION("GOOGLETRANSLATE($B168,""en"",N$3)"),"Κάντε κλικ για να δημιουργήσει Vivox Voice")</f>
        <v>Κάντε κλικ για να δημιουργήσει Vivox Voice</v>
      </c>
      <c r="O168" s="12" t="str">
        <f ca="1">IFERROR(__xludf.DUMMYFUNCTION("GOOGLETRANSLATE($B168,""en"",O$3)"),"Klikkaa perustaa Vivox Voice")</f>
        <v>Klikkaa perustaa Vivox Voice</v>
      </c>
      <c r="P168" s="12" t="str">
        <f ca="1">IFERROR(__xludf.DUMMYFUNCTION("GOOGLETRANSLATE($B168,""en"",P$3)"),"Cliceáil a chur ar bun Vivox Voice")</f>
        <v>Cliceáil a chur ar bun Vivox Voice</v>
      </c>
      <c r="Q168" s="12" t="str">
        <f ca="1">IFERROR(__xludf.DUMMYFUNCTION("GOOGLETRANSLATE($B168,""en"",Q$3)"),"به راه اندازی Vivox صدای کلیک کنید")</f>
        <v>به راه اندازی Vivox صدای کلیک کنید</v>
      </c>
      <c r="R168" s="12" t="str">
        <f ca="1">IFERROR(__xludf.DUMMYFUNCTION("GOOGLETRANSLATE($B168,""en"",R$3)"),"לחץ כדי להגדיר Vivox קול")</f>
        <v>לחץ כדי להגדיר Vivox קול</v>
      </c>
      <c r="S168" s="12" t="str">
        <f ca="1">IFERROR(__xludf.DUMMYFUNCTION("GOOGLETRANSLATE($B168,""en"",S$3)"),"Smelltu til að setja upp Vivox Voice")</f>
        <v>Smelltu til að setja upp Vivox Voice</v>
      </c>
      <c r="T168" s="12" t="str">
        <f ca="1">IFERROR(__xludf.DUMMYFUNCTION("GOOGLETRANSLATE($B168,""en"",T$3)"),"Klikk for å sette opp Vivox Voice")</f>
        <v>Klikk for å sette opp Vivox Voice</v>
      </c>
      <c r="U168" s="12" t="str">
        <f ca="1">IFERROR(__xludf.DUMMYFUNCTION("GOOGLETRANSLATE($B168,""en"",U$3)"),"انقر لانشاء Vivox صوت")</f>
        <v>انقر لانشاء Vivox صوت</v>
      </c>
      <c r="V168" s="12" t="str">
        <f ca="1">IFERROR(__xludf.DUMMYFUNCTION("GOOGLETRANSLATE($B168,""en"",V$3)"),"Kliknij, aby skonfigurować Vivox Voice")</f>
        <v>Kliknij, aby skonfigurować Vivox Voice</v>
      </c>
      <c r="W168" s="12" t="str">
        <f ca="1">IFERROR(__xludf.DUMMYFUNCTION("GOOGLETRANSLATE($B168,""en"",W$3)"),"Нажмите, чтобы настроить Vivox Voice")</f>
        <v>Нажмите, чтобы настроить Vivox Voice</v>
      </c>
      <c r="X168" s="12" t="str">
        <f ca="1">IFERROR(__xludf.DUMMYFUNCTION("GOOGLETRANSLATE($B168,""en"",X$3)"),"Haga clic para establecer Vivox Voz")</f>
        <v>Haga clic para establecer Vivox Voz</v>
      </c>
      <c r="Y168" s="12"/>
      <c r="Z168" s="12"/>
    </row>
    <row r="169" spans="1:26" ht="32.25" customHeight="1" x14ac:dyDescent="0.2">
      <c r="A169" s="17" t="s">
        <v>446</v>
      </c>
      <c r="B169" s="17" t="s">
        <v>447</v>
      </c>
      <c r="C169" s="11" t="str">
        <f ca="1">IFERROR(__xludf.DUMMYFUNCTION("GOOGLETRANSLATE($B169,""en"",C$3)"),"Klicken Sie auf Ihre Web Control Panel einzurichten")</f>
        <v>Klicken Sie auf Ihre Web Control Panel einzurichten</v>
      </c>
      <c r="D169" s="12" t="str">
        <f ca="1">IFERROR(__xludf.DUMMYFUNCTION("GOOGLETRANSLATE($B169,""en"",D$3)"),"Klicka för att ställa in din webbKontrollPanelen")</f>
        <v>Klicka för att ställa in din webbKontrollPanelen</v>
      </c>
      <c r="E169" s="12" t="str">
        <f ca="1">IFERROR(__xludf.DUMMYFUNCTION("GOOGLETRANSLATE($B169,""en"",E$3)"),"Clique para configurar o Painel de Controle Web")</f>
        <v>Clique para configurar o Painel de Controle Web</v>
      </c>
      <c r="F169" s="12" t="str">
        <f ca="1">IFERROR(__xludf.DUMMYFUNCTION("GOOGLETRANSLATE($B169,""en"",F$3)"),"Clique para configurar o Painel de Controle Web")</f>
        <v>Clique para configurar o Painel de Controle Web</v>
      </c>
      <c r="G169" s="12" t="str">
        <f ca="1">IFERROR(__xludf.DUMMYFUNCTION("GOOGLETRANSLATE($B169,""en"",G$3)"),"Cliquez pour configurer votre Panneau de configuration Web")</f>
        <v>Cliquez pour configurer votre Panneau de configuration Web</v>
      </c>
      <c r="H169" s="12" t="str">
        <f ca="1">IFERROR(__xludf.DUMMYFUNCTION("GOOGLETRANSLATE($B169,""en"",H$3)"),"Egin klik zure web Control Panel konfiguratzeko")</f>
        <v>Egin klik zure web Control Panel konfiguratzeko</v>
      </c>
      <c r="I169" s="12" t="str">
        <f ca="1">IFERROR(__xludf.DUMMYFUNCTION("GOOGLETRANSLATE($B169,""en"",I$3)"),"Feu clic per configurar el tauler de control web")</f>
        <v>Feu clic per configurar el tauler de control web</v>
      </c>
      <c r="J169" s="12" t="str">
        <f ca="1">IFERROR(__xludf.DUMMYFUNCTION("GOOGLETRANSLATE($B169,""en"",J$3)"),"Klepněte na tlačítko nastavit Ovládací panely WWW")</f>
        <v>Klepněte na tlačítko nastavit Ovládací panely WWW</v>
      </c>
      <c r="K169" s="12" t="str">
        <f ca="1">IFERROR(__xludf.DUMMYFUNCTION("GOOGLETRANSLATE($B169,""en"",K$3)"),"点击设置您的Web控制面板")</f>
        <v>点击设置您的Web控制面板</v>
      </c>
      <c r="L169" s="12" t="str">
        <f ca="1">IFERROR(__xludf.DUMMYFUNCTION("GOOGLETRANSLATE($B169,""en"",L$3)"),"點擊設置您的Web控制面板")</f>
        <v>點擊設置您的Web控制面板</v>
      </c>
      <c r="M169" s="12" t="str">
        <f ca="1">IFERROR(__xludf.DUMMYFUNCTION("GOOGLETRANSLATE($B169,""en"",M$3)"),"Klik hier om de Web Control Panel")</f>
        <v>Klik hier om de Web Control Panel</v>
      </c>
      <c r="N169" s="12" t="str">
        <f ca="1">IFERROR(__xludf.DUMMYFUNCTION("GOOGLETRANSLATE($B169,""en"",N$3)"),"Κάντε κλικ για να δημιουργήσει Πίνακα Ελέγχου σας στο Web")</f>
        <v>Κάντε κλικ για να δημιουργήσει Πίνακα Ελέγχου σας στο Web</v>
      </c>
      <c r="O169" s="12" t="str">
        <f ca="1">IFERROR(__xludf.DUMMYFUNCTION("GOOGLETRANSLATE($B169,""en"",O$3)"),"Klikkaa perustaa Web Ohjauspaneeli")</f>
        <v>Klikkaa perustaa Web Ohjauspaneeli</v>
      </c>
      <c r="P169" s="12" t="str">
        <f ca="1">IFERROR(__xludf.DUMMYFUNCTION("GOOGLETRANSLATE($B169,""en"",P$3)"),"Cliceáil a chur ar bun do Painéal Rialúcháin Gréasáin")</f>
        <v>Cliceáil a chur ar bun do Painéal Rialúcháin Gréasáin</v>
      </c>
      <c r="Q169" s="12" t="str">
        <f ca="1">IFERROR(__xludf.DUMMYFUNCTION("GOOGLETRANSLATE($B169,""en"",Q$3)"),"به راه اندازی کنترل پنل وب سایت خود را کلیک کنید")</f>
        <v>به راه اندازی کنترل پنل وب سایت خود را کلیک کنید</v>
      </c>
      <c r="R169" s="12" t="str">
        <f ca="1">IFERROR(__xludf.DUMMYFUNCTION("GOOGLETRANSLATE($B169,""en"",R$3)"),"לחץ כדי להגדיר לוח בקרת האינטרנט שלך")</f>
        <v>לחץ כדי להגדיר לוח בקרת האינטרנט שלך</v>
      </c>
      <c r="S169" s="12" t="str">
        <f ca="1">IFERROR(__xludf.DUMMYFUNCTION("GOOGLETRANSLATE($B169,""en"",S$3)"),"Smelltu til að setja upp vefsíðu stjórnborðinu þínu")</f>
        <v>Smelltu til að setja upp vefsíðu stjórnborðinu þínu</v>
      </c>
      <c r="T169" s="12" t="str">
        <f ca="1">IFERROR(__xludf.DUMMYFUNCTION("GOOGLETRANSLATE($B169,""en"",T$3)"),"Klikk for å sette opp web-kontrollpanelet")</f>
        <v>Klikk for å sette opp web-kontrollpanelet</v>
      </c>
      <c r="U169" s="12" t="str">
        <f ca="1">IFERROR(__xludf.DUMMYFUNCTION("GOOGLETRANSLATE($B169,""en"",U$3)"),"انقر لإنشاء لوحة تحكم ويب")</f>
        <v>انقر لإنشاء لوحة تحكم ويب</v>
      </c>
      <c r="V169" s="12" t="str">
        <f ca="1">IFERROR(__xludf.DUMMYFUNCTION("GOOGLETRANSLATE($B169,""en"",V$3)"),"Kliknij, aby skonfigurować Panel sterowania Web")</f>
        <v>Kliknij, aby skonfigurować Panel sterowania Web</v>
      </c>
      <c r="W169" s="12" t="str">
        <f ca="1">IFERROR(__xludf.DUMMYFUNCTION("GOOGLETRANSLATE($B169,""en"",W$3)"),"Нажмите, чтобы настроить панель управления веб")</f>
        <v>Нажмите, чтобы настроить панель управления веб</v>
      </c>
      <c r="X169" s="12" t="str">
        <f ca="1">IFERROR(__xludf.DUMMYFUNCTION("GOOGLETRANSLATE($B169,""en"",X$3)"),"Haga clic para configurar el panel de control Web")</f>
        <v>Haga clic para configurar el panel de control Web</v>
      </c>
      <c r="Y169" s="12"/>
      <c r="Z169" s="12"/>
    </row>
    <row r="170" spans="1:26" ht="32.25" customHeight="1" x14ac:dyDescent="0.2">
      <c r="A170" s="17" t="s">
        <v>448</v>
      </c>
      <c r="B170" s="17" t="s">
        <v>449</v>
      </c>
      <c r="C170" s="11" t="str">
        <f ca="1">IFERROR(__xludf.DUMMYFUNCTION("GOOGLETRANSLATE($B170,""en"",C$3)"),"Klicken Sie zum Starten oder Stoppen Robust")</f>
        <v>Klicken Sie zum Starten oder Stoppen Robust</v>
      </c>
      <c r="D170" s="12" t="str">
        <f ca="1">IFERROR(__xludf.DUMMYFUNCTION("GOOGLETRANSLATE($B170,""en"",D$3)"),"Klicka för att starta eller stoppa Robust")</f>
        <v>Klicka för att starta eller stoppa Robust</v>
      </c>
      <c r="E170" s="12" t="str">
        <f ca="1">IFERROR(__xludf.DUMMYFUNCTION("GOOGLETRANSLATE($B170,""en"",E$3)"),"Clique para iniciar ou parar Robust")</f>
        <v>Clique para iniciar ou parar Robust</v>
      </c>
      <c r="F170" s="12" t="str">
        <f ca="1">IFERROR(__xludf.DUMMYFUNCTION("GOOGLETRANSLATE($B170,""en"",F$3)"),"Clique para iniciar ou parar Robust")</f>
        <v>Clique para iniciar ou parar Robust</v>
      </c>
      <c r="G170" s="12" t="str">
        <f ca="1">IFERROR(__xludf.DUMMYFUNCTION("GOOGLETRANSLATE($B170,""en"",G$3)"),"Cliquez pour démarrer ou arrêter robuste")</f>
        <v>Cliquez pour démarrer ou arrêter robuste</v>
      </c>
      <c r="H170" s="12" t="str">
        <f ca="1">IFERROR(__xludf.DUMMYFUNCTION("GOOGLETRANSLATE($B170,""en"",H$3)"),"Egin klik Hasi edo Gelditu Sendoa to")</f>
        <v>Egin klik Hasi edo Gelditu Sendoa to</v>
      </c>
      <c r="I170" s="12" t="str">
        <f ca="1">IFERROR(__xludf.DUMMYFUNCTION("GOOGLETRANSLATE($B170,""en"",I$3)"),"Feu clic per iniciar o aturar robusta")</f>
        <v>Feu clic per iniciar o aturar robusta</v>
      </c>
      <c r="J170" s="12" t="str">
        <f ca="1">IFERROR(__xludf.DUMMYFUNCTION("GOOGLETRANSLATE($B170,""en"",J$3)"),"Klepněte na tlačítko pro spuštění nebo zastavení Robust")</f>
        <v>Klepněte na tlačítko pro spuštění nebo zastavení Robust</v>
      </c>
      <c r="K170" s="12" t="str">
        <f ca="1">IFERROR(__xludf.DUMMYFUNCTION("GOOGLETRANSLATE($B170,""en"",K$3)"),"点击启动或停止稳健")</f>
        <v>点击启动或停止稳健</v>
      </c>
      <c r="L170" s="12" t="str">
        <f ca="1">IFERROR(__xludf.DUMMYFUNCTION("GOOGLETRANSLATE($B170,""en"",L$3)"),"點擊啟動或停止穩健")</f>
        <v>點擊啟動或停止穩健</v>
      </c>
      <c r="M170" s="12" t="str">
        <f ca="1">IFERROR(__xludf.DUMMYFUNCTION("GOOGLETRANSLATE($B170,""en"",M$3)"),"Klik om te starten of stoppen Robuust")</f>
        <v>Klik om te starten of stoppen Robuust</v>
      </c>
      <c r="N170" s="12" t="str">
        <f ca="1">IFERROR(__xludf.DUMMYFUNCTION("GOOGLETRANSLATE($B170,""en"",N$3)"),"Κάντε κλικ για έναρξη ή διακοπή Στιβαρό")</f>
        <v>Κάντε κλικ για έναρξη ή διακοπή Στιβαρό</v>
      </c>
      <c r="O170" s="12" t="str">
        <f ca="1">IFERROR(__xludf.DUMMYFUNCTION("GOOGLETRANSLATE($B170,""en"",O$3)"),"Klikkaa aloittaa tai lopettaa Kestävä")</f>
        <v>Klikkaa aloittaa tai lopettaa Kestävä</v>
      </c>
      <c r="P170" s="12" t="str">
        <f ca="1">IFERROR(__xludf.DUMMYFUNCTION("GOOGLETRANSLATE($B170,""en"",P$3)"),"Cliceáil chun Tosaigh nó Stop Láidir")</f>
        <v>Cliceáil chun Tosaigh nó Stop Láidir</v>
      </c>
      <c r="Q170" s="12" t="str">
        <f ca="1">IFERROR(__xludf.DUMMYFUNCTION("GOOGLETRANSLATE($B170,""en"",Q$3)"),"برای شروع یا توقف مقاوم کلیک کنید")</f>
        <v>برای شروع یا توقف مقاوم کلیک کنید</v>
      </c>
      <c r="R170" s="12" t="str">
        <f ca="1">IFERROR(__xludf.DUMMYFUNCTION("GOOGLETRANSLATE($B170,""en"",R$3)"),"לחץ כדי להפעיל או להפסיק חזק")</f>
        <v>לחץ כדי להפעיל או להפסיק חזק</v>
      </c>
      <c r="S170" s="12" t="str">
        <f ca="1">IFERROR(__xludf.DUMMYFUNCTION("GOOGLETRANSLATE($B170,""en"",S$3)"),"Smelltu til að hefja eða hætta Sterkur")</f>
        <v>Smelltu til að hefja eða hætta Sterkur</v>
      </c>
      <c r="T170" s="12" t="str">
        <f ca="1">IFERROR(__xludf.DUMMYFUNCTION("GOOGLETRANSLATE($B170,""en"",T$3)"),"Klikk for å starte eller stoppe Robust")</f>
        <v>Klikk for å starte eller stoppe Robust</v>
      </c>
      <c r="U170" s="12" t="str">
        <f ca="1">IFERROR(__xludf.DUMMYFUNCTION("GOOGLETRANSLATE($B170,""en"",U$3)"),"انقر لتشغيل أو إيقاف قوية")</f>
        <v>انقر لتشغيل أو إيقاف قوية</v>
      </c>
      <c r="V170" s="12" t="str">
        <f ca="1">IFERROR(__xludf.DUMMYFUNCTION("GOOGLETRANSLATE($B170,""en"",V$3)"),"Kliknij, aby rozpocząć lub zatrzymać Robust")</f>
        <v>Kliknij, aby rozpocząć lub zatrzymać Robust</v>
      </c>
      <c r="W170" s="12" t="str">
        <f ca="1">IFERROR(__xludf.DUMMYFUNCTION("GOOGLETRANSLATE($B170,""en"",W$3)"),"Нажмите для запуска или остановки Robust")</f>
        <v>Нажмите для запуска или остановки Robust</v>
      </c>
      <c r="X170" s="12" t="str">
        <f ca="1">IFERROR(__xludf.DUMMYFUNCTION("GOOGLETRANSLATE($B170,""en"",X$3)"),"Haga clic para iniciar o detener robusta")</f>
        <v>Haga clic para iniciar o detener robusta</v>
      </c>
      <c r="Y170" s="12"/>
      <c r="Z170" s="12"/>
    </row>
    <row r="171" spans="1:26" ht="32.25" customHeight="1" x14ac:dyDescent="0.2">
      <c r="A171" s="17" t="s">
        <v>450</v>
      </c>
      <c r="B171" s="17" t="s">
        <v>451</v>
      </c>
      <c r="C171" s="11" t="str">
        <f ca="1">IFERROR(__xludf.DUMMYFUNCTION("GOOGLETRANSLATE($B171,""en"",C$3)"),"Die Regionen können in Gruppen starten oder zu stoppen, je nachdem, wie Sie Ihre Regionen Ordner organisiert.")</f>
        <v>Die Regionen können in Gruppen starten oder zu stoppen, je nachdem, wie Sie Ihre Regionen Ordner organisiert.</v>
      </c>
      <c r="D171" s="12" t="str">
        <f ca="1">IFERROR(__xludf.DUMMYFUNCTION("GOOGLETRANSLATE($B171,""en"",D$3)"),"Regioner kan starta eller stoppa i grupper, beroende på hur din regioner mappen är organiserad.")</f>
        <v>Regioner kan starta eller stoppa i grupper, beroende på hur din regioner mappen är organiserad.</v>
      </c>
      <c r="E171" s="12" t="str">
        <f ca="1">IFERROR(__xludf.DUMMYFUNCTION("GOOGLETRANSLATE($B171,""en"",E$3)"),"Regiões podem iniciar ou parar em grupos, dependendo de como suas regiões pasta está organizado.")</f>
        <v>Regiões podem iniciar ou parar em grupos, dependendo de como suas regiões pasta está organizado.</v>
      </c>
      <c r="F171" s="12" t="str">
        <f ca="1">IFERROR(__xludf.DUMMYFUNCTION("GOOGLETRANSLATE($B171,""en"",F$3)"),"Regiões podem iniciar ou parar em grupos, dependendo de como suas regiões pasta está organizado.")</f>
        <v>Regiões podem iniciar ou parar em grupos, dependendo de como suas regiões pasta está organizado.</v>
      </c>
      <c r="G171" s="12" t="str">
        <f ca="1">IFERROR(__xludf.DUMMYFUNCTION("GOOGLETRANSLATE($B171,""en"",G$3)"),"Les régions peuvent démarrer ou arrêter en groupes, en fonction de la façon dont le dossier est l'organisation de vos régions.")</f>
        <v>Les régions peuvent démarrer ou arrêter en groupes, en fonction de la façon dont le dossier est l'organisation de vos régions.</v>
      </c>
      <c r="H171" s="12" t="str">
        <f ca="1">IFERROR(__xludf.DUMMYFUNCTION("GOOGLETRANSLATE($B171,""en"",H$3)"),"Eskualde has daitezke edo stop taldeetan, nola zure Eskualde karpetan dago antolatuta arabera.")</f>
        <v>Eskualde has daitezke edo stop taldeetan, nola zure Eskualde karpetan dago antolatuta arabera.</v>
      </c>
      <c r="I171" s="12" t="str">
        <f ca="1">IFERROR(__xludf.DUMMYFUNCTION("GOOGLETRANSLATE($B171,""en"",I$3)"),"Les regions poden iniciar o aturar en grups, depenent de com les seves regions carpeta s'organitzen.")</f>
        <v>Les regions poden iniciar o aturar en grups, depenent de com les seves regions carpeta s'organitzen.</v>
      </c>
      <c r="J171" s="12" t="str">
        <f ca="1">IFERROR(__xludf.DUMMYFUNCTION("GOOGLETRANSLATE($B171,""en"",J$3)"),"Regiony mohou spustit nebo zastavit ve skupinách, v závislosti na tom, jak se vaše regiony složka je organizována.")</f>
        <v>Regiony mohou spustit nebo zastavit ve skupinách, v závislosti na tom, jak se vaše regiony složka je organizována.</v>
      </c>
      <c r="K171" s="12" t="str">
        <f ca="1">IFERROR(__xludf.DUMMYFUNCTION("GOOGLETRANSLATE($B171,""en"",K$3)"),"区域可以在组启动或停止，这取决于你的文件夹的地区是如何组织的。")</f>
        <v>区域可以在组启动或停止，这取决于你的文件夹的地区是如何组织的。</v>
      </c>
      <c r="L171" s="12" t="str">
        <f ca="1">IFERROR(__xludf.DUMMYFUNCTION("GOOGLETRANSLATE($B171,""en"",L$3)"),"區域可以在組啟動或停止，這取決於你的文件夾的地區是如何組織的。")</f>
        <v>區域可以在組啟動或停止，這取決於你的文件夾的地區是如何組織的。</v>
      </c>
      <c r="M171" s="12" t="str">
        <f ca="1">IFERROR(__xludf.DUMMYFUNCTION("GOOGLETRANSLATE($B171,""en"",M$3)"),"Regio's kan starten of te stoppen in groepen, afhankelijk van hoe uw regio map wordt georganiseerd.")</f>
        <v>Regio's kan starten of te stoppen in groepen, afhankelijk van hoe uw regio map wordt georganiseerd.</v>
      </c>
      <c r="N171" s="12" t="str">
        <f ca="1">IFERROR(__xludf.DUMMYFUNCTION("GOOGLETRANSLATE($B171,""en"",N$3)"),"Περιφερειών μπορεί να αρχίσει ή να σταματήσει σε ομάδες, ανάλογα με το πόσο Περιφερειών σας φάκελος είναι οργανωμένη.")</f>
        <v>Περιφερειών μπορεί να αρχίσει ή να σταματήσει σε ομάδες, ανάλογα με το πόσο Περιφερειών σας φάκελος είναι οργανωμένη.</v>
      </c>
      <c r="O171" s="12" t="str">
        <f ca="1">IFERROR(__xludf.DUMMYFUNCTION("GOOGLETRANSLATE($B171,""en"",O$3)"),"Alueet voivat aloittaa tai lopettaa ryhmissä, riippuen miten alueet kansio on järjestetty.")</f>
        <v>Alueet voivat aloittaa tai lopettaa ryhmissä, riippuen miten alueet kansio on järjestetty.</v>
      </c>
      <c r="P171" s="12" t="str">
        <f ca="1">IFERROR(__xludf.DUMMYFUNCTION("GOOGLETRANSLATE($B171,""en"",P$3)"),"Is féidir Réigiúin thosú nó a stopadh i ngrúpaí, ag brath ar cé do Réigiúin fhillteán eagraithe.")</f>
        <v>Is féidir Réigiúin thosú nó a stopadh i ngrúpaí, ag brath ar cé do Réigiúin fhillteán eagraithe.</v>
      </c>
      <c r="Q171" s="12" t="str">
        <f ca="1">IFERROR(__xludf.DUMMYFUNCTION("GOOGLETRANSLATE($B171,""en"",Q$3)"),"مناطق ممکن است شروع و یا توقف در گروه، بسته به چه مناطق پوشه خود را سازمان یافته است.")</f>
        <v>مناطق ممکن است شروع و یا توقف در گروه، بسته به چه مناطق پوشه خود را سازمان یافته است.</v>
      </c>
      <c r="R171" s="12" t="str">
        <f ca="1">IFERROR(__xludf.DUMMYFUNCTION("GOOGLETRANSLATE($B171,""en"",R$3)"),"אזורים עשויים להתחיל או להפסיק בקבוצות, תלוי כמה האזורים שלך תיקייה מאורגן.")</f>
        <v>אזורים עשויים להתחיל או להפסיק בקבוצות, תלוי כמה האזורים שלך תיקייה מאורגן.</v>
      </c>
      <c r="S171" s="12" t="str">
        <f ca="1">IFERROR(__xludf.DUMMYFUNCTION("GOOGLETRANSLATE($B171,""en"",S$3)"),"Svæði getur byrjað eða hættir í hópum, allt eftir því hversu svæðum möppunni er skipulagt.")</f>
        <v>Svæði getur byrjað eða hættir í hópum, allt eftir því hversu svæðum möppunni er skipulagt.</v>
      </c>
      <c r="T171" s="12" t="str">
        <f ca="1">IFERROR(__xludf.DUMMYFUNCTION("GOOGLETRANSLATE($B171,""en"",T$3)"),"Regioner kan starte eller stoppe i grupper, avhengig av hvordan regioner mappen er organisert.")</f>
        <v>Regioner kan starte eller stoppe i grupper, avhengig av hvordan regioner mappen er organisert.</v>
      </c>
      <c r="U171" s="12" t="str">
        <f ca="1">IFERROR(__xludf.DUMMYFUNCTION("GOOGLETRANSLATE($B171,""en"",U$3)"),"قد يبدأ المناطق أو توقف في مجموعات، وهذا يتوقف على كيفية المناطق مجلد يتم تنظيم.")</f>
        <v>قد يبدأ المناطق أو توقف في مجموعات، وهذا يتوقف على كيفية المناطق مجلد يتم تنظيم.</v>
      </c>
      <c r="V171" s="12" t="str">
        <f ca="1">IFERROR(__xludf.DUMMYFUNCTION("GOOGLETRANSLATE($B171,""en"",V$3)"),"Regiony mogą rozpocząć lub zatrzymać się w grupach, w zależności od tego, jak twoi regiony folder jest zorganizowane.")</f>
        <v>Regiony mogą rozpocząć lub zatrzymać się w grupach, w zależności od tego, jak twoi regiony folder jest zorganizowane.</v>
      </c>
      <c r="W171" s="12" t="str">
        <f ca="1">IFERROR(__xludf.DUMMYFUNCTION("GOOGLETRANSLATE($B171,""en"",W$3)"),"Регионы могут начать или прекратить в группах, в зависимости от того, как ваши регионов папки организованы.")</f>
        <v>Регионы могут начать или прекратить в группах, в зависимости от того, как ваши регионов папки организованы.</v>
      </c>
      <c r="X171" s="12" t="str">
        <f ca="1">IFERROR(__xludf.DUMMYFUNCTION("GOOGLETRANSLATE($B171,""en"",X$3)"),"Las regiones pueden iniciar o parar en grupos, dependiendo de cómo sus regiones carpeta se organizan.")</f>
        <v>Las regiones pueden iniciar o parar en grupos, dependiendo de cómo sus regiones carpeta se organizan.</v>
      </c>
      <c r="Y171" s="12"/>
      <c r="Z171" s="12"/>
    </row>
    <row r="172" spans="1:26" ht="32.25" customHeight="1" x14ac:dyDescent="0.2">
      <c r="A172" s="17" t="s">
        <v>452</v>
      </c>
      <c r="B172" s="17" t="s">
        <v>453</v>
      </c>
      <c r="C172" s="11" t="str">
        <f ca="1">IFERROR(__xludf.DUMMYFUNCTION("GOOGLETRANSLATE($B172,""en"",C$3)"),"Wolken")</f>
        <v>Wolken</v>
      </c>
      <c r="D172" s="12" t="str">
        <f ca="1">IFERROR(__xludf.DUMMYFUNCTION("GOOGLETRANSLATE($B172,""en"",D$3)"),"Clouds")</f>
        <v>Clouds</v>
      </c>
      <c r="E172" s="12" t="str">
        <f ca="1">IFERROR(__xludf.DUMMYFUNCTION("GOOGLETRANSLATE($B172,""en"",E$3)"),"Nuvens")</f>
        <v>Nuvens</v>
      </c>
      <c r="F172" s="12" t="str">
        <f ca="1">IFERROR(__xludf.DUMMYFUNCTION("GOOGLETRANSLATE($B172,""en"",F$3)"),"Nuvens")</f>
        <v>Nuvens</v>
      </c>
      <c r="G172" s="12" t="str">
        <f ca="1">IFERROR(__xludf.DUMMYFUNCTION("GOOGLETRANSLATE($B172,""en"",G$3)"),"Des nuages")</f>
        <v>Des nuages</v>
      </c>
      <c r="H172" s="12" t="str">
        <f ca="1">IFERROR(__xludf.DUMMYFUNCTION("GOOGLETRANSLATE($B172,""en"",H$3)"),"Clouds")</f>
        <v>Clouds</v>
      </c>
      <c r="I172" s="12" t="str">
        <f ca="1">IFERROR(__xludf.DUMMYFUNCTION("GOOGLETRANSLATE($B172,""en"",I$3)"),"Núvols")</f>
        <v>Núvols</v>
      </c>
      <c r="J172" s="12" t="str">
        <f ca="1">IFERROR(__xludf.DUMMYFUNCTION("GOOGLETRANSLATE($B172,""en"",J$3)"),"mraky")</f>
        <v>mraky</v>
      </c>
      <c r="K172" s="12" t="str">
        <f ca="1">IFERROR(__xludf.DUMMYFUNCTION("GOOGLETRANSLATE($B172,""en"",K$3)"),"云")</f>
        <v>云</v>
      </c>
      <c r="L172" s="12" t="str">
        <f ca="1">IFERROR(__xludf.DUMMYFUNCTION("GOOGLETRANSLATE($B172,""en"",L$3)"),"雲")</f>
        <v>雲</v>
      </c>
      <c r="M172" s="12" t="str">
        <f ca="1">IFERROR(__xludf.DUMMYFUNCTION("GOOGLETRANSLATE($B172,""en"",M$3)"),"wolken")</f>
        <v>wolken</v>
      </c>
      <c r="N172" s="12" t="str">
        <f ca="1">IFERROR(__xludf.DUMMYFUNCTION("GOOGLETRANSLATE($B172,""en"",N$3)"),"σύννεφα")</f>
        <v>σύννεφα</v>
      </c>
      <c r="O172" s="12" t="str">
        <f ca="1">IFERROR(__xludf.DUMMYFUNCTION("GOOGLETRANSLATE($B172,""en"",O$3)"),"pilvet")</f>
        <v>pilvet</v>
      </c>
      <c r="P172" s="12" t="str">
        <f ca="1">IFERROR(__xludf.DUMMYFUNCTION("GOOGLETRANSLATE($B172,""en"",P$3)"),"scamaill")</f>
        <v>scamaill</v>
      </c>
      <c r="Q172" s="12" t="str">
        <f ca="1">IFERROR(__xludf.DUMMYFUNCTION("GOOGLETRANSLATE($B172,""en"",Q$3)"),"ابرهای")</f>
        <v>ابرهای</v>
      </c>
      <c r="R172" s="12" t="str">
        <f ca="1">IFERROR(__xludf.DUMMYFUNCTION("GOOGLETRANSLATE($B172,""en"",R$3)"),"עננים")</f>
        <v>עננים</v>
      </c>
      <c r="S172" s="12" t="str">
        <f ca="1">IFERROR(__xludf.DUMMYFUNCTION("GOOGLETRANSLATE($B172,""en"",S$3)"),"ský")</f>
        <v>ský</v>
      </c>
      <c r="T172" s="12" t="str">
        <f ca="1">IFERROR(__xludf.DUMMYFUNCTION("GOOGLETRANSLATE($B172,""en"",T$3)"),"skyer")</f>
        <v>skyer</v>
      </c>
      <c r="U172" s="12" t="str">
        <f ca="1">IFERROR(__xludf.DUMMYFUNCTION("GOOGLETRANSLATE($B172,""en"",U$3)"),"سحاب")</f>
        <v>سحاب</v>
      </c>
      <c r="V172" s="12" t="str">
        <f ca="1">IFERROR(__xludf.DUMMYFUNCTION("GOOGLETRANSLATE($B172,""en"",V$3)"),"chmury")</f>
        <v>chmury</v>
      </c>
      <c r="W172" s="12" t="str">
        <f ca="1">IFERROR(__xludf.DUMMYFUNCTION("GOOGLETRANSLATE($B172,""en"",W$3)"),"Облака")</f>
        <v>Облака</v>
      </c>
      <c r="X172" s="12" t="str">
        <f ca="1">IFERROR(__xludf.DUMMYFUNCTION("GOOGLETRANSLATE($B172,""en"",X$3)"),"nubes")</f>
        <v>nubes</v>
      </c>
      <c r="Y172" s="12"/>
      <c r="Z172" s="12"/>
    </row>
    <row r="173" spans="1:26" ht="32.25" customHeight="1" x14ac:dyDescent="0.2">
      <c r="A173" s="10" t="s">
        <v>454</v>
      </c>
      <c r="B173" s="10" t="s">
        <v>455</v>
      </c>
      <c r="C173" s="11" t="str">
        <f ca="1">IFERROR(__xludf.DUMMYFUNCTION("GOOGLETRANSLATE($B173,""en"",C$3)"),"Content Manager")</f>
        <v>Content Manager</v>
      </c>
      <c r="D173" s="11" t="str">
        <f ca="1">IFERROR(__xludf.DUMMYFUNCTION("GOOGLETRANSLATE($B173,""en"",D$3)"),"Content manager")</f>
        <v>Content manager</v>
      </c>
      <c r="E173" s="11" t="str">
        <f ca="1">IFERROR(__xludf.DUMMYFUNCTION("GOOGLETRANSLATE($B173,""en"",E$3)"),"Gestor de conteúdos")</f>
        <v>Gestor de conteúdos</v>
      </c>
      <c r="F173" s="11" t="str">
        <f ca="1">IFERROR(__xludf.DUMMYFUNCTION("GOOGLETRANSLATE($B173,""en"",F$3)"),"Gestor de conteúdos")</f>
        <v>Gestor de conteúdos</v>
      </c>
      <c r="G173" s="11" t="str">
        <f ca="1">IFERROR(__xludf.DUMMYFUNCTION("GOOGLETRANSLATE($B173,""en"",G$3)"),"Gestionnaire de contenu")</f>
        <v>Gestionnaire de contenu</v>
      </c>
      <c r="H173" s="11" t="str">
        <f ca="1">IFERROR(__xludf.DUMMYFUNCTION("GOOGLETRANSLATE($B173,""en"",H$3)"),"Eduki-kudeatzailea")</f>
        <v>Eduki-kudeatzailea</v>
      </c>
      <c r="I173" s="11" t="str">
        <f ca="1">IFERROR(__xludf.DUMMYFUNCTION("GOOGLETRANSLATE($B173,""en"",I$3)"),"Gestor de continguts")</f>
        <v>Gestor de continguts</v>
      </c>
      <c r="J173" s="11" t="str">
        <f ca="1">IFERROR(__xludf.DUMMYFUNCTION("GOOGLETRANSLATE($B173,""en"",J$3)"),"Manažer obsahu")</f>
        <v>Manažer obsahu</v>
      </c>
      <c r="K173" s="11" t="str">
        <f ca="1">IFERROR(__xludf.DUMMYFUNCTION("GOOGLETRANSLATE($B173,""en"",K$3)"),"内容管理者")</f>
        <v>内容管理者</v>
      </c>
      <c r="L173" s="11" t="str">
        <f ca="1">IFERROR(__xludf.DUMMYFUNCTION("GOOGLETRANSLATE($B173,""en"",L$3)"),"內容管理者")</f>
        <v>內容管理者</v>
      </c>
      <c r="M173" s="11" t="str">
        <f ca="1">IFERROR(__xludf.DUMMYFUNCTION("GOOGLETRANSLATE($B173,""en"",M$3)"),"Content Manager")</f>
        <v>Content Manager</v>
      </c>
      <c r="N173" s="11" t="str">
        <f ca="1">IFERROR(__xludf.DUMMYFUNCTION("GOOGLETRANSLATE($B173,""en"",N$3)"),"Διαχείριση Περιεχομένου")</f>
        <v>Διαχείριση Περιεχομένου</v>
      </c>
      <c r="O173" s="11" t="str">
        <f ca="1">IFERROR(__xludf.DUMMYFUNCTION("GOOGLETRANSLATE($B173,""en"",O$3)"),"Sisältöpäällikkö")</f>
        <v>Sisältöpäällikkö</v>
      </c>
      <c r="P173" s="11" t="str">
        <f ca="1">IFERROR(__xludf.DUMMYFUNCTION("GOOGLETRANSLATE($B173,""en"",P$3)"),"Bainisteoir content")</f>
        <v>Bainisteoir content</v>
      </c>
      <c r="Q173" s="11" t="str">
        <f ca="1">IFERROR(__xludf.DUMMYFUNCTION("GOOGLETRANSLATE($B173,""en"",Q$3)"),"مدیریت محتوا")</f>
        <v>مدیریت محتوا</v>
      </c>
      <c r="R173" s="11" t="str">
        <f ca="1">IFERROR(__xludf.DUMMYFUNCTION("GOOGLETRANSLATE($B173,""en"",R$3)"),"מנהל תוכן")</f>
        <v>מנהל תוכן</v>
      </c>
      <c r="S173" s="11" t="str">
        <f ca="1">IFERROR(__xludf.DUMMYFUNCTION("GOOGLETRANSLATE($B173,""en"",S$3)"),"content Manager")</f>
        <v>content Manager</v>
      </c>
      <c r="T173" s="11" t="str">
        <f ca="1">IFERROR(__xludf.DUMMYFUNCTION("GOOGLETRANSLATE($B173,""en"",T$3)"),"Content manager")</f>
        <v>Content manager</v>
      </c>
      <c r="U173" s="11" t="str">
        <f ca="1">IFERROR(__xludf.DUMMYFUNCTION("GOOGLETRANSLATE($B173,""en"",U$3)"),"مدير محتوى")</f>
        <v>مدير محتوى</v>
      </c>
      <c r="V173" s="11" t="str">
        <f ca="1">IFERROR(__xludf.DUMMYFUNCTION("GOOGLETRANSLATE($B173,""en"",V$3)"),"Content Manager")</f>
        <v>Content Manager</v>
      </c>
      <c r="W173" s="11" t="str">
        <f ca="1">IFERROR(__xludf.DUMMYFUNCTION("GOOGLETRANSLATE($B173,""en"",W$3)"),"Контент менеджер")</f>
        <v>Контент менеджер</v>
      </c>
      <c r="X173" s="11" t="str">
        <f ca="1">IFERROR(__xludf.DUMMYFUNCTION("GOOGLETRANSLATE($B173,""en"",X$3)"),"Gestor de contenidos")</f>
        <v>Gestor de contenidos</v>
      </c>
    </row>
    <row r="174" spans="1:26" ht="32.25" customHeight="1" x14ac:dyDescent="0.2">
      <c r="A174" s="10" t="s">
        <v>456</v>
      </c>
      <c r="B174" s="10" t="s">
        <v>457</v>
      </c>
      <c r="C174" s="11" t="str">
        <f ca="1">IFERROR(__xludf.DUMMYFUNCTION("GOOGLETRANSLATE($B174,""en"",C$3)"),"Kommentar oder Notizen")</f>
        <v>Kommentar oder Notizen</v>
      </c>
      <c r="D174" s="11" t="str">
        <f ca="1">IFERROR(__xludf.DUMMYFUNCTION("GOOGLETRANSLATE($B174,""en"",D$3)"),"Kommentar eller Notes")</f>
        <v>Kommentar eller Notes</v>
      </c>
      <c r="E174" s="11" t="str">
        <f ca="1">IFERROR(__xludf.DUMMYFUNCTION("GOOGLETRANSLATE($B174,""en"",E$3)"),"Comentário ou Notes")</f>
        <v>Comentário ou Notes</v>
      </c>
      <c r="F174" s="11" t="str">
        <f ca="1">IFERROR(__xludf.DUMMYFUNCTION("GOOGLETRANSLATE($B174,""en"",F$3)"),"Comentário ou Notes")</f>
        <v>Comentário ou Notes</v>
      </c>
      <c r="G174" s="11" t="str">
        <f ca="1">IFERROR(__xludf.DUMMYFUNCTION("GOOGLETRANSLATE($B174,""en"",G$3)"),"Commentaire ou Notes")</f>
        <v>Commentaire ou Notes</v>
      </c>
      <c r="H174" s="11" t="str">
        <f ca="1">IFERROR(__xludf.DUMMYFUNCTION("GOOGLETRANSLATE($B174,""en"",H$3)"),"Iruzkina edo Oharrak")</f>
        <v>Iruzkina edo Oharrak</v>
      </c>
      <c r="I174" s="11" t="str">
        <f ca="1">IFERROR(__xludf.DUMMYFUNCTION("GOOGLETRANSLATE($B174,""en"",I$3)"),"Comentari o notes")</f>
        <v>Comentari o notes</v>
      </c>
      <c r="J174" s="11" t="str">
        <f ca="1">IFERROR(__xludf.DUMMYFUNCTION("GOOGLETRANSLATE($B174,""en"",J$3)"),"Poznámka nebo Poznámky")</f>
        <v>Poznámka nebo Poznámky</v>
      </c>
      <c r="K174" s="11" t="str">
        <f ca="1">IFERROR(__xludf.DUMMYFUNCTION("GOOGLETRANSLATE($B174,""en"",K$3)"),"注释或注意事项")</f>
        <v>注释或注意事项</v>
      </c>
      <c r="L174" s="11" t="str">
        <f ca="1">IFERROR(__xludf.DUMMYFUNCTION("GOOGLETRANSLATE($B174,""en"",L$3)"),"註釋或注意事項")</f>
        <v>註釋或注意事項</v>
      </c>
      <c r="M174" s="11" t="str">
        <f ca="1">IFERROR(__xludf.DUMMYFUNCTION("GOOGLETRANSLATE($B174,""en"",M$3)"),"Opmerking of Notes")</f>
        <v>Opmerking of Notes</v>
      </c>
      <c r="N174" s="11" t="str">
        <f ca="1">IFERROR(__xludf.DUMMYFUNCTION("GOOGLETRANSLATE($B174,""en"",N$3)"),"Σχόλιο ή σημειώσεις")</f>
        <v>Σχόλιο ή σημειώσεις</v>
      </c>
      <c r="O174" s="11" t="str">
        <f ca="1">IFERROR(__xludf.DUMMYFUNCTION("GOOGLETRANSLATE($B174,""en"",O$3)"),"Kommentti tai Huomautuksia")</f>
        <v>Kommentti tai Huomautuksia</v>
      </c>
      <c r="P174" s="11" t="str">
        <f ca="1">IFERROR(__xludf.DUMMYFUNCTION("GOOGLETRANSLATE($B174,""en"",P$3)"),"Comment nó Nótaí")</f>
        <v>Comment nó Nótaí</v>
      </c>
      <c r="Q174" s="11" t="str">
        <f ca="1">IFERROR(__xludf.DUMMYFUNCTION("GOOGLETRANSLATE($B174,""en"",Q$3)"),"نظر و یا یادداشت")</f>
        <v>نظر و یا یادداشت</v>
      </c>
      <c r="R174" s="11" t="str">
        <f ca="1">IFERROR(__xludf.DUMMYFUNCTION("GOOGLETRANSLATE($B174,""en"",R$3)"),"הערה או הערות")</f>
        <v>הערה או הערות</v>
      </c>
      <c r="S174" s="11" t="str">
        <f ca="1">IFERROR(__xludf.DUMMYFUNCTION("GOOGLETRANSLATE($B174,""en"",S$3)"),"Athugasemd eða Notes")</f>
        <v>Athugasemd eða Notes</v>
      </c>
      <c r="T174" s="11" t="str">
        <f ca="1">IFERROR(__xludf.DUMMYFUNCTION("GOOGLETRANSLATE($B174,""en"",T$3)"),"Kommentar eller Notes")</f>
        <v>Kommentar eller Notes</v>
      </c>
      <c r="U174" s="11" t="str">
        <f ca="1">IFERROR(__xludf.DUMMYFUNCTION("GOOGLETRANSLATE($B174,""en"",U$3)"),"تعليق أو ملاحظات")</f>
        <v>تعليق أو ملاحظات</v>
      </c>
      <c r="V174" s="11" t="str">
        <f ca="1">IFERROR(__xludf.DUMMYFUNCTION("GOOGLETRANSLATE($B174,""en"",V$3)"),"Uwagi lub komentarz")</f>
        <v>Uwagi lub komentarz</v>
      </c>
      <c r="W174" s="11" t="str">
        <f ca="1">IFERROR(__xludf.DUMMYFUNCTION("GOOGLETRANSLATE($B174,""en"",W$3)"),"Комментарий или примечания")</f>
        <v>Комментарий или примечания</v>
      </c>
      <c r="X174" s="11" t="str">
        <f ca="1">IFERROR(__xludf.DUMMYFUNCTION("GOOGLETRANSLATE($B174,""en"",X$3)"),"Comentario o notas")</f>
        <v>Comentario o notas</v>
      </c>
    </row>
    <row r="175" spans="1:26" ht="32.25" customHeight="1" x14ac:dyDescent="0.2">
      <c r="A175" s="17" t="s">
        <v>458</v>
      </c>
      <c r="B175" s="17" t="s">
        <v>459</v>
      </c>
      <c r="C175" s="11" t="str">
        <f ca="1">IFERROR(__xludf.DUMMYFUNCTION("GOOGLETRANSLATE($B175,""en"",C$3)"),"Allgemeine Einstellungen")</f>
        <v>Allgemeine Einstellungen</v>
      </c>
      <c r="D175" s="12" t="str">
        <f ca="1">IFERROR(__xludf.DUMMYFUNCTION("GOOGLETRANSLATE($B175,""en"",D$3)"),"Vanliga inställningar")</f>
        <v>Vanliga inställningar</v>
      </c>
      <c r="E175" s="12" t="str">
        <f ca="1">IFERROR(__xludf.DUMMYFUNCTION("GOOGLETRANSLATE($B175,""en"",E$3)"),"Configurações padrão")</f>
        <v>Configurações padrão</v>
      </c>
      <c r="F175" s="12" t="str">
        <f ca="1">IFERROR(__xludf.DUMMYFUNCTION("GOOGLETRANSLATE($B175,""en"",F$3)"),"Configurações padrão")</f>
        <v>Configurações padrão</v>
      </c>
      <c r="G175" s="12" t="str">
        <f ca="1">IFERROR(__xludf.DUMMYFUNCTION("GOOGLETRANSLATE($B175,""en"",G$3)"),"Paramètres communs")</f>
        <v>Paramètres communs</v>
      </c>
      <c r="H175" s="12" t="str">
        <f ca="1">IFERROR(__xludf.DUMMYFUNCTION("GOOGLETRANSLATE($B175,""en"",H$3)"),"ezarpenak komunak")</f>
        <v>ezarpenak komunak</v>
      </c>
      <c r="I175" s="12" t="str">
        <f ca="1">IFERROR(__xludf.DUMMYFUNCTION("GOOGLETRANSLATE($B175,""en"",I$3)"),"ajustos comuns")</f>
        <v>ajustos comuns</v>
      </c>
      <c r="J175" s="12" t="str">
        <f ca="1">IFERROR(__xludf.DUMMYFUNCTION("GOOGLETRANSLATE($B175,""en"",J$3)"),"Obecná nastavení")</f>
        <v>Obecná nastavení</v>
      </c>
      <c r="K175" s="12" t="str">
        <f ca="1">IFERROR(__xludf.DUMMYFUNCTION("GOOGLETRANSLATE($B175,""en"",K$3)"),"通用设置")</f>
        <v>通用设置</v>
      </c>
      <c r="L175" s="12" t="str">
        <f ca="1">IFERROR(__xludf.DUMMYFUNCTION("GOOGLETRANSLATE($B175,""en"",L$3)"),"通用設置")</f>
        <v>通用設置</v>
      </c>
      <c r="M175" s="12" t="str">
        <f ca="1">IFERROR(__xludf.DUMMYFUNCTION("GOOGLETRANSLATE($B175,""en"",M$3)"),"Veelvoorkomende instellingen")</f>
        <v>Veelvoorkomende instellingen</v>
      </c>
      <c r="N175" s="12" t="str">
        <f ca="1">IFERROR(__xludf.DUMMYFUNCTION("GOOGLETRANSLATE($B175,""en"",N$3)"),"Κοινές ρυθμίσεις")</f>
        <v>Κοινές ρυθμίσεις</v>
      </c>
      <c r="O175" s="12" t="str">
        <f ca="1">IFERROR(__xludf.DUMMYFUNCTION("GOOGLETRANSLATE($B175,""en"",O$3)"),"Yleiset asetukset")</f>
        <v>Yleiset asetukset</v>
      </c>
      <c r="P175" s="12" t="str">
        <f ca="1">IFERROR(__xludf.DUMMYFUNCTION("GOOGLETRANSLATE($B175,""en"",P$3)"),"Socruithe Coiteann")</f>
        <v>Socruithe Coiteann</v>
      </c>
      <c r="Q175" s="12" t="str">
        <f ca="1">IFERROR(__xludf.DUMMYFUNCTION("GOOGLETRANSLATE($B175,""en"",Q$3)"),"تنظیمات مشترک")</f>
        <v>تنظیمات مشترک</v>
      </c>
      <c r="R175" s="12" t="str">
        <f ca="1">IFERROR(__xludf.DUMMYFUNCTION("GOOGLETRANSLATE($B175,""en"",R$3)"),"הגדרות נפוצות")</f>
        <v>הגדרות נפוצות</v>
      </c>
      <c r="S175" s="12" t="str">
        <f ca="1">IFERROR(__xludf.DUMMYFUNCTION("GOOGLETRANSLATE($B175,""en"",S$3)"),"Common stillingar")</f>
        <v>Common stillingar</v>
      </c>
      <c r="T175" s="12" t="str">
        <f ca="1">IFERROR(__xludf.DUMMYFUNCTION("GOOGLETRANSLATE($B175,""en"",T$3)"),"vanlige innstillinger")</f>
        <v>vanlige innstillinger</v>
      </c>
      <c r="U175" s="12" t="str">
        <f ca="1">IFERROR(__xludf.DUMMYFUNCTION("GOOGLETRANSLATE($B175,""en"",U$3)"),"الإعدادات العامة")</f>
        <v>الإعدادات العامة</v>
      </c>
      <c r="V175" s="12" t="str">
        <f ca="1">IFERROR(__xludf.DUMMYFUNCTION("GOOGLETRANSLATE($B175,""en"",V$3)"),"Common Settings")</f>
        <v>Common Settings</v>
      </c>
      <c r="W175" s="12" t="str">
        <f ca="1">IFERROR(__xludf.DUMMYFUNCTION("GOOGLETRANSLATE($B175,""en"",W$3)"),"Общие настройки")</f>
        <v>Общие настройки</v>
      </c>
      <c r="X175" s="12" t="str">
        <f ca="1">IFERROR(__xludf.DUMMYFUNCTION("GOOGLETRANSLATE($B175,""en"",X$3)"),"Ajustes comunes")</f>
        <v>Ajustes comunes</v>
      </c>
      <c r="Y175" s="12"/>
      <c r="Z175" s="12"/>
    </row>
    <row r="176" spans="1:26" ht="32.25" customHeight="1" x14ac:dyDescent="0.2">
      <c r="A176" s="17" t="s">
        <v>460</v>
      </c>
      <c r="B176" s="17" t="s">
        <v>461</v>
      </c>
      <c r="C176" s="11" t="str">
        <f ca="1">IFERROR(__xludf.DUMMYFUNCTION("GOOGLETRANSLATE($B176,""en"",C$3)"),"Konfigurieren Alle Regionen")</f>
        <v>Konfigurieren Alle Regionen</v>
      </c>
      <c r="D176" s="12" t="str">
        <f ca="1">IFERROR(__xludf.DUMMYFUNCTION("GOOGLETRANSLATE($B176,""en"",D$3)"),"Konfigurera alla regioner")</f>
        <v>Konfigurera alla regioner</v>
      </c>
      <c r="E176" s="12" t="str">
        <f ca="1">IFERROR(__xludf.DUMMYFUNCTION("GOOGLETRANSLATE($B176,""en"",E$3)"),"Configurar Todas as Regiões")</f>
        <v>Configurar Todas as Regiões</v>
      </c>
      <c r="F176" s="12" t="str">
        <f ca="1">IFERROR(__xludf.DUMMYFUNCTION("GOOGLETRANSLATE($B176,""en"",F$3)"),"Configurar Todas as Regiões")</f>
        <v>Configurar Todas as Regiões</v>
      </c>
      <c r="G176" s="12" t="str">
        <f ca="1">IFERROR(__xludf.DUMMYFUNCTION("GOOGLETRANSLATE($B176,""en"",G$3)"),"Configurer toutes les régions")</f>
        <v>Configurer toutes les régions</v>
      </c>
      <c r="H176" s="12" t="str">
        <f ca="1">IFERROR(__xludf.DUMMYFUNCTION("GOOGLETRANSLATE($B176,""en"",H$3)"),"Konfiguratu Eskualde Guztiak")</f>
        <v>Konfiguratu Eskualde Guztiak</v>
      </c>
      <c r="I176" s="12" t="str">
        <f ca="1">IFERROR(__xludf.DUMMYFUNCTION("GOOGLETRANSLATE($B176,""en"",I$3)"),"Configura Totes les Regions")</f>
        <v>Configura Totes les Regions</v>
      </c>
      <c r="J176" s="12" t="str">
        <f ca="1">IFERROR(__xludf.DUMMYFUNCTION("GOOGLETRANSLATE($B176,""en"",J$3)"),"Konfigurace Regiony Všechny")</f>
        <v>Konfigurace Regiony Všechny</v>
      </c>
      <c r="K176" s="12" t="str">
        <f ca="1">IFERROR(__xludf.DUMMYFUNCTION("GOOGLETRANSLATE($B176,""en"",K$3)"),"配置所有地区")</f>
        <v>配置所有地区</v>
      </c>
      <c r="L176" s="12" t="str">
        <f ca="1">IFERROR(__xludf.DUMMYFUNCTION("GOOGLETRANSLATE($B176,""en"",L$3)"),"配置所有地區")</f>
        <v>配置所有地區</v>
      </c>
      <c r="M176" s="12" t="str">
        <f ca="1">IFERROR(__xludf.DUMMYFUNCTION("GOOGLETRANSLATE($B176,""en"",M$3)"),"Configure Alle regio's")</f>
        <v>Configure Alle regio's</v>
      </c>
      <c r="N176" s="12" t="str">
        <f ca="1">IFERROR(__xludf.DUMMYFUNCTION("GOOGLETRANSLATE($B176,""en"",N$3)"),"Διαμόρφωση Όλα Περιφερειών")</f>
        <v>Διαμόρφωση Όλα Περιφερειών</v>
      </c>
      <c r="O176" s="12" t="str">
        <f ca="1">IFERROR(__xludf.DUMMYFUNCTION("GOOGLETRANSLATE($B176,""en"",O$3)"),"Määrittää kaikki alueet")</f>
        <v>Määrittää kaikki alueet</v>
      </c>
      <c r="P176" s="12" t="str">
        <f ca="1">IFERROR(__xludf.DUMMYFUNCTION("GOOGLETRANSLATE($B176,""en"",P$3)"),"Cumraigh All Réigiúin")</f>
        <v>Cumraigh All Réigiúin</v>
      </c>
      <c r="Q176" s="12" t="str">
        <f ca="1">IFERROR(__xludf.DUMMYFUNCTION("GOOGLETRANSLATE($B176,""en"",Q$3)"),"پیکربندی تمام مناطق")</f>
        <v>پیکربندی تمام مناطق</v>
      </c>
      <c r="R176" s="12" t="str">
        <f ca="1">IFERROR(__xludf.DUMMYFUNCTION("GOOGLETRANSLATE($B176,""en"",R$3)"),"כל האזורים Configure")</f>
        <v>כל האזורים Configure</v>
      </c>
      <c r="S176" s="12" t="str">
        <f ca="1">IFERROR(__xludf.DUMMYFUNCTION("GOOGLETRANSLATE($B176,""en"",S$3)"),"Stilla Allar Svæði")</f>
        <v>Stilla Allar Svæði</v>
      </c>
      <c r="T176" s="12" t="str">
        <f ca="1">IFERROR(__xludf.DUMMYFUNCTION("GOOGLETRANSLATE($B176,""en"",T$3)"),"Konfigurere alle regioner")</f>
        <v>Konfigurere alle regioner</v>
      </c>
      <c r="U176" s="12" t="str">
        <f ca="1">IFERROR(__xludf.DUMMYFUNCTION("GOOGLETRANSLATE($B176,""en"",U$3)"),"تكوين كل المناطق")</f>
        <v>تكوين كل المناطق</v>
      </c>
      <c r="V176" s="12" t="str">
        <f ca="1">IFERROR(__xludf.DUMMYFUNCTION("GOOGLETRANSLATE($B176,""en"",V$3)"),"Konfiguracja Wszystkie regiony")</f>
        <v>Konfiguracja Wszystkie regiony</v>
      </c>
      <c r="W176" s="12" t="str">
        <f ca="1">IFERROR(__xludf.DUMMYFUNCTION("GOOGLETRANSLATE($B176,""en"",W$3)"),"Настройка Все регионы")</f>
        <v>Настройка Все регионы</v>
      </c>
      <c r="X176" s="12" t="str">
        <f ca="1">IFERROR(__xludf.DUMMYFUNCTION("GOOGLETRANSLATE($B176,""en"",X$3)"),"Configurar Todas las Regiones")</f>
        <v>Configurar Todas las Regiones</v>
      </c>
      <c r="Y176" s="12"/>
      <c r="Z176" s="12"/>
    </row>
    <row r="177" spans="1:26" ht="32.25" customHeight="1" x14ac:dyDescent="0.2">
      <c r="A177" s="17" t="s">
        <v>462</v>
      </c>
      <c r="B177" s="17" t="s">
        <v>463</v>
      </c>
      <c r="C177" s="11" t="str">
        <f ca="1">IFERROR(__xludf.DUMMYFUNCTION("GOOGLETRANSLATE($B177,""en"",C$3)"),"Bestätigung erforderlich anmelden?")</f>
        <v>Bestätigung erforderlich anmelden?</v>
      </c>
      <c r="D177" s="12" t="str">
        <f ca="1">IFERROR(__xludf.DUMMYFUNCTION("GOOGLETRANSLATE($B177,""en"",D$3)"),"Bekräftelse krävs för att logga in?")</f>
        <v>Bekräftelse krävs för att logga in?</v>
      </c>
      <c r="E177" s="12" t="str">
        <f ca="1">IFERROR(__xludf.DUMMYFUNCTION("GOOGLETRANSLATE($B177,""en"",E$3)"),"Confirmação necessários para efetuar login?")</f>
        <v>Confirmação necessários para efetuar login?</v>
      </c>
      <c r="F177" s="12" t="str">
        <f ca="1">IFERROR(__xludf.DUMMYFUNCTION("GOOGLETRANSLATE($B177,""en"",F$3)"),"Confirmação necessários para efetuar login?")</f>
        <v>Confirmação necessários para efetuar login?</v>
      </c>
      <c r="G177" s="12" t="str">
        <f ca="1">IFERROR(__xludf.DUMMYFUNCTION("GOOGLETRANSLATE($B177,""en"",G$3)"),"Confirmation requise pour se connecter?")</f>
        <v>Confirmation requise pour se connecter?</v>
      </c>
      <c r="H177" s="12" t="str">
        <f ca="1">IFERROR(__xludf.DUMMYFUNCTION("GOOGLETRANSLATE($B177,""en"",H$3)"),"Baieztapen beharrezkoa saioa hasteko?")</f>
        <v>Baieztapen beharrezkoa saioa hasteko?</v>
      </c>
      <c r="I177" s="12" t="str">
        <f ca="1">IFERROR(__xludf.DUMMYFUNCTION("GOOGLETRANSLATE($B177,""en"",I$3)"),"Confirmació necessari per entrar?")</f>
        <v>Confirmació necessari per entrar?</v>
      </c>
      <c r="J177" s="12" t="str">
        <f ca="1">IFERROR(__xludf.DUMMYFUNCTION("GOOGLETRANSLATE($B177,""en"",J$3)"),"Potvrzení musí přihlásit?")</f>
        <v>Potvrzení musí přihlásit?</v>
      </c>
      <c r="K177" s="12" t="str">
        <f ca="1">IFERROR(__xludf.DUMMYFUNCTION("GOOGLETRANSLATE($B177,""en"",K$3)"),"需要确认登录？")</f>
        <v>需要确认登录？</v>
      </c>
      <c r="L177" s="12" t="str">
        <f ca="1">IFERROR(__xludf.DUMMYFUNCTION("GOOGLETRANSLATE($B177,""en"",L$3)"),"需要確認登錄？")</f>
        <v>需要確認登錄？</v>
      </c>
      <c r="M177" s="12" t="str">
        <f ca="1">IFERROR(__xludf.DUMMYFUNCTION("GOOGLETRANSLATE($B177,""en"",M$3)"),"Bevestiging vereist om in te loggen?")</f>
        <v>Bevestiging vereist om in te loggen?</v>
      </c>
      <c r="N177" s="12" t="str">
        <f ca="1">IFERROR(__xludf.DUMMYFUNCTION("GOOGLETRANSLATE($B177,""en"",N$3)"),"Επιβεβαίωση απαιτείται να συνδεθείτε;")</f>
        <v>Επιβεβαίωση απαιτείται να συνδεθείτε;</v>
      </c>
      <c r="O177" s="12" t="str">
        <f ca="1">IFERROR(__xludf.DUMMYFUNCTION("GOOGLETRANSLATE($B177,""en"",O$3)"),"Vahvistus täytyy kirjautua sisään?")</f>
        <v>Vahvistus täytyy kirjautua sisään?</v>
      </c>
      <c r="P177" s="12" t="str">
        <f ca="1">IFERROR(__xludf.DUMMYFUNCTION("GOOGLETRANSLATE($B177,""en"",P$3)"),"Deimhniú ag teastáil chun logáil isteach?")</f>
        <v>Deimhniú ag teastáil chun logáil isteach?</v>
      </c>
      <c r="Q177" s="12" t="str">
        <f ca="1">IFERROR(__xludf.DUMMYFUNCTION("GOOGLETRANSLATE($B177,""en"",Q$3)"),"تایید مورد نیاز برای ورود؟")</f>
        <v>تایید مورد نیاز برای ورود؟</v>
      </c>
      <c r="R177" s="12" t="str">
        <f ca="1">IFERROR(__xludf.DUMMYFUNCTION("GOOGLETRANSLATE($B177,""en"",R$3)"),"אישור נדרש להתחבר?")</f>
        <v>אישור נדרש להתחבר?</v>
      </c>
      <c r="S177" s="12" t="str">
        <f ca="1">IFERROR(__xludf.DUMMYFUNCTION("GOOGLETRANSLATE($B177,""en"",S$3)"),"Þarf að staðfesta til að skrá þig inn?")</f>
        <v>Þarf að staðfesta til að skrá þig inn?</v>
      </c>
      <c r="T177" s="12" t="str">
        <f ca="1">IFERROR(__xludf.DUMMYFUNCTION("GOOGLETRANSLATE($B177,""en"",T$3)"),"Bekreftelse kreves for å logge inn?")</f>
        <v>Bekreftelse kreves for å logge inn?</v>
      </c>
      <c r="U177" s="12" t="str">
        <f ca="1">IFERROR(__xludf.DUMMYFUNCTION("GOOGLETRANSLATE($B177,""en"",U$3)"),"تأكيد المطلوبة لتسجيل الدخول؟")</f>
        <v>تأكيد المطلوبة لتسجيل الدخول؟</v>
      </c>
      <c r="V177" s="12" t="str">
        <f ca="1">IFERROR(__xludf.DUMMYFUNCTION("GOOGLETRANSLATE($B177,""en"",V$3)"),"Potwierdzenie wymagane do logowania?")</f>
        <v>Potwierdzenie wymagane do logowania?</v>
      </c>
      <c r="W177" s="12" t="str">
        <f ca="1">IFERROR(__xludf.DUMMYFUNCTION("GOOGLETRANSLATE($B177,""en"",W$3)"),"Подтверждение необходимо войти?")</f>
        <v>Подтверждение необходимо войти?</v>
      </c>
      <c r="X177" s="12" t="str">
        <f ca="1">IFERROR(__xludf.DUMMYFUNCTION("GOOGLETRANSLATE($B177,""en"",X$3)"),"Confirmación necesario para entrar?")</f>
        <v>Confirmación necesario para entrar?</v>
      </c>
      <c r="Y177" s="12"/>
      <c r="Z177" s="12"/>
    </row>
    <row r="178" spans="1:26" ht="32.25" customHeight="1" x14ac:dyDescent="0.2">
      <c r="A178" s="17" t="s">
        <v>464</v>
      </c>
      <c r="B178" s="17" t="s">
        <v>465</v>
      </c>
      <c r="C178" s="11" t="str">
        <f ca="1">IFERROR(__xludf.DUMMYFUNCTION("GOOGLETRANSLATE($B178,""en"",C$3)"),"Konsolen")</f>
        <v>Konsolen</v>
      </c>
      <c r="D178" s="12" t="str">
        <f ca="1">IFERROR(__xludf.DUMMYFUNCTION("GOOGLETRANSLATE($B178,""en"",D$3)"),"konsoler")</f>
        <v>konsoler</v>
      </c>
      <c r="E178" s="12" t="str">
        <f ca="1">IFERROR(__xludf.DUMMYFUNCTION("GOOGLETRANSLATE($B178,""en"",E$3)"),"consolas")</f>
        <v>consolas</v>
      </c>
      <c r="F178" s="12" t="str">
        <f ca="1">IFERROR(__xludf.DUMMYFUNCTION("GOOGLETRANSLATE($B178,""en"",F$3)"),"consolas")</f>
        <v>consolas</v>
      </c>
      <c r="G178" s="12" t="str">
        <f ca="1">IFERROR(__xludf.DUMMYFUNCTION("GOOGLETRANSLATE($B178,""en"",G$3)"),"consoles")</f>
        <v>consoles</v>
      </c>
      <c r="H178" s="12" t="str">
        <f ca="1">IFERROR(__xludf.DUMMYFUNCTION("GOOGLETRANSLATE($B178,""en"",H$3)"),"kontsola")</f>
        <v>kontsola</v>
      </c>
      <c r="I178" s="12" t="str">
        <f ca="1">IFERROR(__xludf.DUMMYFUNCTION("GOOGLETRANSLATE($B178,""en"",I$3)"),"consoles")</f>
        <v>consoles</v>
      </c>
      <c r="J178" s="12" t="str">
        <f ca="1">IFERROR(__xludf.DUMMYFUNCTION("GOOGLETRANSLATE($B178,""en"",J$3)"),"konzole")</f>
        <v>konzole</v>
      </c>
      <c r="K178" s="12" t="str">
        <f ca="1">IFERROR(__xludf.DUMMYFUNCTION("GOOGLETRANSLATE($B178,""en"",K$3)"),"控制台")</f>
        <v>控制台</v>
      </c>
      <c r="L178" s="12" t="str">
        <f ca="1">IFERROR(__xludf.DUMMYFUNCTION("GOOGLETRANSLATE($B178,""en"",L$3)"),"控制台")</f>
        <v>控制台</v>
      </c>
      <c r="M178" s="12" t="str">
        <f ca="1">IFERROR(__xludf.DUMMYFUNCTION("GOOGLETRANSLATE($B178,""en"",M$3)"),"consoles")</f>
        <v>consoles</v>
      </c>
      <c r="N178" s="12" t="str">
        <f ca="1">IFERROR(__xludf.DUMMYFUNCTION("GOOGLETRANSLATE($B178,""en"",N$3)"),"Κονσόλες")</f>
        <v>Κονσόλες</v>
      </c>
      <c r="O178" s="12" t="str">
        <f ca="1">IFERROR(__xludf.DUMMYFUNCTION("GOOGLETRANSLATE($B178,""en"",O$3)"),"konsolit")</f>
        <v>konsolit</v>
      </c>
      <c r="P178" s="12" t="str">
        <f ca="1">IFERROR(__xludf.DUMMYFUNCTION("GOOGLETRANSLATE($B178,""en"",P$3)"),"consoles")</f>
        <v>consoles</v>
      </c>
      <c r="Q178" s="12" t="str">
        <f ca="1">IFERROR(__xludf.DUMMYFUNCTION("GOOGLETRANSLATE($B178,""en"",Q$3)"),"کنسول")</f>
        <v>کنسول</v>
      </c>
      <c r="R178" s="12" t="str">
        <f ca="1">IFERROR(__xludf.DUMMYFUNCTION("GOOGLETRANSLATE($B178,""en"",R$3)"),"קונסולות")</f>
        <v>קונסולות</v>
      </c>
      <c r="S178" s="12" t="str">
        <f ca="1">IFERROR(__xludf.DUMMYFUNCTION("GOOGLETRANSLATE($B178,""en"",S$3)"),"leikjatölvur")</f>
        <v>leikjatölvur</v>
      </c>
      <c r="T178" s="12" t="str">
        <f ca="1">IFERROR(__xludf.DUMMYFUNCTION("GOOGLETRANSLATE($B178,""en"",T$3)"),"konsoller")</f>
        <v>konsoller</v>
      </c>
      <c r="U178" s="12" t="str">
        <f ca="1">IFERROR(__xludf.DUMMYFUNCTION("GOOGLETRANSLATE($B178,""en"",U$3)"),"لوحات المفاتيح")</f>
        <v>لوحات المفاتيح</v>
      </c>
      <c r="V178" s="12" t="str">
        <f ca="1">IFERROR(__xludf.DUMMYFUNCTION("GOOGLETRANSLATE($B178,""en"",V$3)"),"konsole")</f>
        <v>konsole</v>
      </c>
      <c r="W178" s="12" t="str">
        <f ca="1">IFERROR(__xludf.DUMMYFUNCTION("GOOGLETRANSLATE($B178,""en"",W$3)"),"консоли")</f>
        <v>консоли</v>
      </c>
      <c r="X178" s="12" t="str">
        <f ca="1">IFERROR(__xludf.DUMMYFUNCTION("GOOGLETRANSLATE($B178,""en"",X$3)"),"consolas")</f>
        <v>consolas</v>
      </c>
      <c r="Y178" s="12"/>
      <c r="Z178" s="12"/>
    </row>
    <row r="179" spans="1:26" ht="32.25" customHeight="1" x14ac:dyDescent="0.2">
      <c r="A179" s="17" t="s">
        <v>466</v>
      </c>
      <c r="B179" s="17" t="s">
        <v>467</v>
      </c>
      <c r="C179" s="11" t="str">
        <f ca="1">IFERROR(__xludf.DUMMYFUNCTION("GOOGLETRANSLATE($B179,""en"",C$3)"),"Die Opensim Dos Box kann automatisch minimiert werden")</f>
        <v>Die Opensim Dos Box kann automatisch minimiert werden</v>
      </c>
      <c r="D179" s="12" t="str">
        <f ca="1">IFERROR(__xludf.DUMMYFUNCTION("GOOGLETRANSLATE($B179,""en"",D$3)"),"Den Opensim Dos Box kan minimeras automatiskt")</f>
        <v>Den Opensim Dos Box kan minimeras automatiskt</v>
      </c>
      <c r="E179" s="12" t="str">
        <f ca="1">IFERROR(__xludf.DUMMYFUNCTION("GOOGLETRANSLATE($B179,""en"",E$3)"),"O Dos Box Opensim pode ser minimizado automaticamente")</f>
        <v>O Dos Box Opensim pode ser minimizado automaticamente</v>
      </c>
      <c r="F179" s="12" t="str">
        <f ca="1">IFERROR(__xludf.DUMMYFUNCTION("GOOGLETRANSLATE($B179,""en"",F$3)"),"O Dos Box Opensim pode ser minimizado automaticamente")</f>
        <v>O Dos Box Opensim pode ser minimizado automaticamente</v>
      </c>
      <c r="G179" s="12" t="str">
        <f ca="1">IFERROR(__xludf.DUMMYFUNCTION("GOOGLETRANSLATE($B179,""en"",G$3)"),"Le Opensim Dos Box peut être automatiquement réduite")</f>
        <v>Le Opensim Dos Box peut être automatiquement réduite</v>
      </c>
      <c r="H179" s="12" t="str">
        <f ca="1">IFERROR(__xludf.DUMMYFUNCTION("GOOGLETRANSLATE($B179,""en"",H$3)"),"The Opensim Dos Box automatikoki minimizatu ahal izango dira")</f>
        <v>The Opensim Dos Box automatikoki minimizatu ahal izango dira</v>
      </c>
      <c r="I179" s="12" t="str">
        <f ca="1">IFERROR(__xludf.DUMMYFUNCTION("GOOGLETRANSLATE($B179,""en"",I$3)"),"El Opensim Dos Box pot ser minimitzat de forma automàtica")</f>
        <v>El Opensim Dos Box pot ser minimitzat de forma automàtica</v>
      </c>
      <c r="J179" s="12" t="str">
        <f ca="1">IFERROR(__xludf.DUMMYFUNCTION("GOOGLETRANSLATE($B179,""en"",J$3)"),"Opensim Dos Box lze minimalizovat automaticky")</f>
        <v>Opensim Dos Box lze minimalizovat automaticky</v>
      </c>
      <c r="K179" s="12" t="str">
        <f ca="1">IFERROR(__xludf.DUMMYFUNCTION("GOOGLETRANSLATE($B179,""en"",K$3)"),"该的OpenSim DOS框可以自动最小化")</f>
        <v>该的OpenSim DOS框可以自动最小化</v>
      </c>
      <c r="L179" s="12" t="str">
        <f ca="1">IFERROR(__xludf.DUMMYFUNCTION("GOOGLETRANSLATE($B179,""en"",L$3)"),"該的OpenSim DOS框可以自動最小化")</f>
        <v>該的OpenSim DOS框可以自動最小化</v>
      </c>
      <c r="M179" s="12" t="str">
        <f ca="1">IFERROR(__xludf.DUMMYFUNCTION("GOOGLETRANSLATE($B179,""en"",M$3)"),"De OpenSim Dos Box kan automatisch worden geminimaliseerd")</f>
        <v>De OpenSim Dos Box kan automatisch worden geminimaliseerd</v>
      </c>
      <c r="N179" s="12" t="str">
        <f ca="1">IFERROR(__xludf.DUMMYFUNCTION("GOOGLETRANSLATE($B179,""en"",N$3)"),"Η Opensim Dos ασφαλείας μπορεί να ελαχιστοποιηθεί αυτόματα")</f>
        <v>Η Opensim Dos ασφαλείας μπορεί να ελαχιστοποιηθεί αυτόματα</v>
      </c>
      <c r="O179" s="12" t="str">
        <f ca="1">IFERROR(__xludf.DUMMYFUNCTION("GOOGLETRANSLATE($B179,""en"",O$3)"),"Opensim Dos Box voidaan minimoida automaattisesti")</f>
        <v>Opensim Dos Box voidaan minimoida automaattisesti</v>
      </c>
      <c r="P179" s="12" t="str">
        <f ca="1">IFERROR(__xludf.DUMMYFUNCTION("GOOGLETRANSLATE($B179,""en"",P$3)"),"Is féidir leis an Dos Bosca Opensim a íoslaghdú go huathoibríoch")</f>
        <v>Is féidir leis an Dos Bosca Opensim a íoslaghdú go huathoibríoch</v>
      </c>
      <c r="Q179" s="12" t="str">
        <f ca="1">IFERROR(__xludf.DUMMYFUNCTION("GOOGLETRANSLATE($B179,""en"",Q$3)"),"Opensim دوس جعبه را می توان به طور خودکار به حداقل برسد")</f>
        <v>Opensim دوس جعبه را می توان به طور خودکار به حداقل برسد</v>
      </c>
      <c r="R179" s="12" t="str">
        <f ca="1">IFERROR(__xludf.DUMMYFUNCTION("GOOGLETRANSLATE($B179,""en"",R$3)"),"תיבת Opensim דוס ניתן למזער באופן אוטומטי")</f>
        <v>תיבת Opensim דוס ניתן למזער באופן אוטומטי</v>
      </c>
      <c r="S179" s="12" t="str">
        <f ca="1">IFERROR(__xludf.DUMMYFUNCTION("GOOGLETRANSLATE($B179,""en"",S$3)"),"The Opensim Dos Box er hægt að lágmarka sjálfkrafa")</f>
        <v>The Opensim Dos Box er hægt að lágmarka sjálfkrafa</v>
      </c>
      <c r="T179" s="12" t="str">
        <f ca="1">IFERROR(__xludf.DUMMYFUNCTION("GOOGLETRANSLATE($B179,""en"",T$3)"),"Den OpenSim Dos Box kan minimeres automatisk")</f>
        <v>Den OpenSim Dos Box kan minimeres automatisk</v>
      </c>
      <c r="U179" s="12" t="str">
        <f ca="1">IFERROR(__xludf.DUMMYFUNCTION("GOOGLETRANSLATE($B179,""en"",U$3)"),"دوس صندوق Opensim يمكن التقليل تلقائيا")</f>
        <v>دوس صندوق Opensim يمكن التقليل تلقائيا</v>
      </c>
      <c r="V179" s="12" t="str">
        <f ca="1">IFERROR(__xludf.DUMMYFUNCTION("GOOGLETRANSLATE($B179,""en"",V$3)"),"Opensim Dos Box może być automatycznie minimalizowane")</f>
        <v>Opensim Dos Box może być automatycznie minimalizowane</v>
      </c>
      <c r="W179" s="12" t="str">
        <f ca="1">IFERROR(__xludf.DUMMYFUNCTION("GOOGLETRANSLATE($B179,""en"",W$3)"),"OpenSim Dos Box может быть сведено к минимуму автоматически")</f>
        <v>OpenSim Dos Box может быть сведено к минимуму автоматически</v>
      </c>
      <c r="X179" s="12" t="str">
        <f ca="1">IFERROR(__xludf.DUMMYFUNCTION("GOOGLETRANSLATE($B179,""en"",X$3)"),"El Opensim Dos Box puede ser minimizado de forma automática")</f>
        <v>El Opensim Dos Box puede ser minimizado de forma automática</v>
      </c>
      <c r="Y179" s="12"/>
      <c r="Z179" s="12"/>
    </row>
    <row r="180" spans="1:26" ht="32.25" customHeight="1" x14ac:dyDescent="0.2">
      <c r="A180" s="17" t="s">
        <v>468</v>
      </c>
      <c r="B180" s="17" t="s">
        <v>469</v>
      </c>
      <c r="C180" s="11" t="str">
        <f ca="1">IFERROR(__xludf.DUMMYFUNCTION("GOOGLETRANSLATE($B180,""en"",C$3)"),"Kontakt E-mail")</f>
        <v>Kontakt E-mail</v>
      </c>
      <c r="D180" s="12" t="str">
        <f ca="1">IFERROR(__xludf.DUMMYFUNCTION("GOOGLETRANSLATE($B180,""en"",D$3)"),"Kontakta E-post")</f>
        <v>Kontakta E-post</v>
      </c>
      <c r="E180" s="12" t="str">
        <f ca="1">IFERROR(__xludf.DUMMYFUNCTION("GOOGLETRANSLATE($B180,""en"",E$3)"),"email de contato")</f>
        <v>email de contato</v>
      </c>
      <c r="F180" s="12" t="str">
        <f ca="1">IFERROR(__xludf.DUMMYFUNCTION("GOOGLETRANSLATE($B180,""en"",F$3)"),"email de contato")</f>
        <v>email de contato</v>
      </c>
      <c r="G180" s="12" t="str">
        <f ca="1">IFERROR(__xludf.DUMMYFUNCTION("GOOGLETRANSLATE($B180,""en"",G$3)"),"Email du contact")</f>
        <v>Email du contact</v>
      </c>
      <c r="H180" s="12" t="str">
        <f ca="1">IFERROR(__xludf.DUMMYFUNCTION("GOOGLETRANSLATE($B180,""en"",H$3)"),"Emaila Harremanetarako")</f>
        <v>Emaila Harremanetarako</v>
      </c>
      <c r="I180" s="12" t="str">
        <f ca="1">IFERROR(__xludf.DUMMYFUNCTION("GOOGLETRANSLATE($B180,""en"",I$3)"),"Correu electrònic de contacte")</f>
        <v>Correu electrònic de contacte</v>
      </c>
      <c r="J180" s="12" t="str">
        <f ca="1">IFERROR(__xludf.DUMMYFUNCTION("GOOGLETRANSLATE($B180,""en"",J$3)"),"Kontaktní e-mail")</f>
        <v>Kontaktní e-mail</v>
      </c>
      <c r="K180" s="12" t="str">
        <f ca="1">IFERROR(__xludf.DUMMYFUNCTION("GOOGLETRANSLATE($B180,""en"",K$3)"),"联系电子邮件")</f>
        <v>联系电子邮件</v>
      </c>
      <c r="L180" s="12" t="str">
        <f ca="1">IFERROR(__xludf.DUMMYFUNCTION("GOOGLETRANSLATE($B180,""en"",L$3)"),"聯繫電子郵件")</f>
        <v>聯繫電子郵件</v>
      </c>
      <c r="M180" s="12" t="str">
        <f ca="1">IFERROR(__xludf.DUMMYFUNCTION("GOOGLETRANSLATE($B180,""en"",M$3)"),"contact email")</f>
        <v>contact email</v>
      </c>
      <c r="N180" s="12" t="str">
        <f ca="1">IFERROR(__xludf.DUMMYFUNCTION("GOOGLETRANSLATE($B180,""en"",N$3)"),"Επικοινωνία Email")</f>
        <v>Επικοινωνία Email</v>
      </c>
      <c r="O180" s="12" t="str">
        <f ca="1">IFERROR(__xludf.DUMMYFUNCTION("GOOGLETRANSLATE($B180,""en"",O$3)"),"Yhteydenotto Sähköposti")</f>
        <v>Yhteydenotto Sähköposti</v>
      </c>
      <c r="P180" s="12" t="str">
        <f ca="1">IFERROR(__xludf.DUMMYFUNCTION("GOOGLETRANSLATE($B180,""en"",P$3)"),"Déan teagmháil le Ríomhphost")</f>
        <v>Déan teagmháil le Ríomhphost</v>
      </c>
      <c r="Q180" s="12" t="str">
        <f ca="1">IFERROR(__xludf.DUMMYFUNCTION("GOOGLETRANSLATE($B180,""en"",Q$3)"),"تماس با ایمیل")</f>
        <v>تماس با ایمیل</v>
      </c>
      <c r="R180" s="12" t="str">
        <f ca="1">IFERROR(__xludf.DUMMYFUNCTION("GOOGLETRANSLATE($B180,""en"",R$3)"),"צור קשר בדוא""ל")</f>
        <v>צור קשר בדוא"ל</v>
      </c>
      <c r="S180" s="12" t="str">
        <f ca="1">IFERROR(__xludf.DUMMYFUNCTION("GOOGLETRANSLATE($B180,""en"",S$3)"),"Netfang tengiliðar")</f>
        <v>Netfang tengiliðar</v>
      </c>
      <c r="T180" s="12" t="str">
        <f ca="1">IFERROR(__xludf.DUMMYFUNCTION("GOOGLETRANSLATE($B180,""en"",T$3)"),"Kontakt Epost")</f>
        <v>Kontakt Epost</v>
      </c>
      <c r="U180" s="12" t="str">
        <f ca="1">IFERROR(__xludf.DUMMYFUNCTION("GOOGLETRANSLATE($B180,""en"",U$3)"),"تواصل بالبريد الاكتروني")</f>
        <v>تواصل بالبريد الاكتروني</v>
      </c>
      <c r="V180" s="12" t="str">
        <f ca="1">IFERROR(__xludf.DUMMYFUNCTION("GOOGLETRANSLATE($B180,""en"",V$3)"),"Kontakt e-mail")</f>
        <v>Kontakt e-mail</v>
      </c>
      <c r="W180" s="12" t="str">
        <f ca="1">IFERROR(__xludf.DUMMYFUNCTION("GOOGLETRANSLATE($B180,""en"",W$3)"),"Почта для связи")</f>
        <v>Почта для связи</v>
      </c>
      <c r="X180" s="12" t="str">
        <f ca="1">IFERROR(__xludf.DUMMYFUNCTION("GOOGLETRANSLATE($B180,""en"",X$3)"),"Email de contacto")</f>
        <v>Email de contacto</v>
      </c>
      <c r="Y180" s="12"/>
      <c r="Z180" s="12"/>
    </row>
    <row r="181" spans="1:26" ht="32.25" customHeight="1" x14ac:dyDescent="0.2">
      <c r="A181" s="17" t="s">
        <v>470</v>
      </c>
      <c r="B181" s="17" t="s">
        <v>471</v>
      </c>
      <c r="C181" s="11" t="str">
        <f ca="1">IFERROR(__xludf.DUMMYFUNCTION("GOOGLETRANSLATE($B181,""en"",C$3)"),"Kontaktinformation")</f>
        <v>Kontaktinformation</v>
      </c>
      <c r="D181" s="12" t="str">
        <f ca="1">IFERROR(__xludf.DUMMYFUNCTION("GOOGLETRANSLATE($B181,""en"",D$3)"),"Kontaktinformation")</f>
        <v>Kontaktinformation</v>
      </c>
      <c r="E181" s="12" t="str">
        <f ca="1">IFERROR(__xludf.DUMMYFUNCTION("GOOGLETRANSLATE($B181,""en"",E$3)"),"Informações de contato")</f>
        <v>Informações de contato</v>
      </c>
      <c r="F181" s="12" t="str">
        <f ca="1">IFERROR(__xludf.DUMMYFUNCTION("GOOGLETRANSLATE($B181,""en"",F$3)"),"Informações de contato")</f>
        <v>Informações de contato</v>
      </c>
      <c r="G181" s="12" t="str">
        <f ca="1">IFERROR(__xludf.DUMMYFUNCTION("GOOGLETRANSLATE($B181,""en"",G$3)"),"Informations de contact")</f>
        <v>Informations de contact</v>
      </c>
      <c r="H181" s="12" t="str">
        <f ca="1">IFERROR(__xludf.DUMMYFUNCTION("GOOGLETRANSLATE($B181,""en"",H$3)"),"Harremanetarako Info")</f>
        <v>Harremanetarako Info</v>
      </c>
      <c r="I181" s="12" t="str">
        <f ca="1">IFERROR(__xludf.DUMMYFUNCTION("GOOGLETRANSLATE($B181,""en"",I$3)"),"Dades de contacte")</f>
        <v>Dades de contacte</v>
      </c>
      <c r="J181" s="12" t="str">
        <f ca="1">IFERROR(__xludf.DUMMYFUNCTION("GOOGLETRANSLATE($B181,""en"",J$3)"),"Kontaktní informace")</f>
        <v>Kontaktní informace</v>
      </c>
      <c r="K181" s="12" t="str">
        <f ca="1">IFERROR(__xludf.DUMMYFUNCTION("GOOGLETRANSLATE($B181,""en"",K$3)"),"联系方式")</f>
        <v>联系方式</v>
      </c>
      <c r="L181" s="12" t="str">
        <f ca="1">IFERROR(__xludf.DUMMYFUNCTION("GOOGLETRANSLATE($B181,""en"",L$3)"),"聯繫方式")</f>
        <v>聯繫方式</v>
      </c>
      <c r="M181" s="12" t="str">
        <f ca="1">IFERROR(__xludf.DUMMYFUNCTION("GOOGLETRANSLATE($B181,""en"",M$3)"),"Contact informatie")</f>
        <v>Contact informatie</v>
      </c>
      <c r="N181" s="12" t="str">
        <f ca="1">IFERROR(__xludf.DUMMYFUNCTION("GOOGLETRANSLATE($B181,""en"",N$3)"),"Πληροφορίες επαφής")</f>
        <v>Πληροφορίες επαφής</v>
      </c>
      <c r="O181" s="12" t="str">
        <f ca="1">IFERROR(__xludf.DUMMYFUNCTION("GOOGLETRANSLATE($B181,""en"",O$3)"),"Yhteystiedot")</f>
        <v>Yhteystiedot</v>
      </c>
      <c r="P181" s="12" t="str">
        <f ca="1">IFERROR(__xludf.DUMMYFUNCTION("GOOGLETRANSLATE($B181,""en"",P$3)"),"Eolas teagmhála")</f>
        <v>Eolas teagmhála</v>
      </c>
      <c r="Q181" s="12" t="str">
        <f ca="1">IFERROR(__xludf.DUMMYFUNCTION("GOOGLETRANSLATE($B181,""en"",Q$3)"),"اطلاعات تماس")</f>
        <v>اطلاعات تماس</v>
      </c>
      <c r="R181" s="12" t="str">
        <f ca="1">IFERROR(__xludf.DUMMYFUNCTION("GOOGLETRANSLATE($B181,""en"",R$3)"),"פרטים ליצירת קשר")</f>
        <v>פרטים ליצירת קשר</v>
      </c>
      <c r="S181" s="12" t="str">
        <f ca="1">IFERROR(__xludf.DUMMYFUNCTION("GOOGLETRANSLATE($B181,""en"",S$3)"),"Upplýsingar um tengilið")</f>
        <v>Upplýsingar um tengilið</v>
      </c>
      <c r="T181" s="12" t="str">
        <f ca="1">IFERROR(__xludf.DUMMYFUNCTION("GOOGLETRANSLATE($B181,""en"",T$3)"),"Kontaktinfo")</f>
        <v>Kontaktinfo</v>
      </c>
      <c r="U181" s="12" t="str">
        <f ca="1">IFERROR(__xludf.DUMMYFUNCTION("GOOGLETRANSLATE($B181,""en"",U$3)"),"معلومات الاتصال")</f>
        <v>معلومات الاتصال</v>
      </c>
      <c r="V181" s="12" t="str">
        <f ca="1">IFERROR(__xludf.DUMMYFUNCTION("GOOGLETRANSLATE($B181,""en"",V$3)"),"Informacje kontaktowe")</f>
        <v>Informacje kontaktowe</v>
      </c>
      <c r="W181" s="12" t="str">
        <f ca="1">IFERROR(__xludf.DUMMYFUNCTION("GOOGLETRANSLATE($B181,""en"",W$3)"),"Контактная информация")</f>
        <v>Контактная информация</v>
      </c>
      <c r="X181" s="12" t="str">
        <f ca="1">IFERROR(__xludf.DUMMYFUNCTION("GOOGLETRANSLATE($B181,""en"",X$3)"),"Datos de contacto")</f>
        <v>Datos de contacto</v>
      </c>
      <c r="Y181" s="12"/>
      <c r="Z181" s="12"/>
    </row>
    <row r="182" spans="1:26" ht="32.25" customHeight="1" x14ac:dyDescent="0.2">
      <c r="A182" s="17" t="s">
        <v>472</v>
      </c>
      <c r="B182" s="17" t="s">
        <v>473</v>
      </c>
      <c r="C182" s="11" t="str">
        <f ca="1">IFERROR(__xludf.DUMMYFUNCTION("GOOGLETRANSLATE($B182,""en"",C$3)"),"Kontaktname")</f>
        <v>Kontaktname</v>
      </c>
      <c r="D182" s="12" t="str">
        <f ca="1">IFERROR(__xludf.DUMMYFUNCTION("GOOGLETRANSLATE($B182,""en"",D$3)"),"Kontaktnamn")</f>
        <v>Kontaktnamn</v>
      </c>
      <c r="E182" s="12" t="str">
        <f ca="1">IFERROR(__xludf.DUMMYFUNCTION("GOOGLETRANSLATE($B182,""en"",E$3)"),"Nome de contato")</f>
        <v>Nome de contato</v>
      </c>
      <c r="F182" s="12" t="str">
        <f ca="1">IFERROR(__xludf.DUMMYFUNCTION("GOOGLETRANSLATE($B182,""en"",F$3)"),"Nome de contato")</f>
        <v>Nome de contato</v>
      </c>
      <c r="G182" s="12" t="str">
        <f ca="1">IFERROR(__xludf.DUMMYFUNCTION("GOOGLETRANSLATE($B182,""en"",G$3)"),"Nom du contact")</f>
        <v>Nom du contact</v>
      </c>
      <c r="H182" s="12" t="str">
        <f ca="1">IFERROR(__xludf.DUMMYFUNCTION("GOOGLETRANSLATE($B182,""en"",H$3)"),"Harremanetarako Izena")</f>
        <v>Harremanetarako Izena</v>
      </c>
      <c r="I182" s="12" t="str">
        <f ca="1">IFERROR(__xludf.DUMMYFUNCTION("GOOGLETRANSLATE($B182,""en"",I$3)"),"Nom de contacte")</f>
        <v>Nom de contacte</v>
      </c>
      <c r="J182" s="12" t="str">
        <f ca="1">IFERROR(__xludf.DUMMYFUNCTION("GOOGLETRANSLATE($B182,""en"",J$3)"),"kontaktní jméno")</f>
        <v>kontaktní jméno</v>
      </c>
      <c r="K182" s="12" t="str">
        <f ca="1">IFERROR(__xludf.DUMMYFUNCTION("GOOGLETRANSLATE($B182,""en"",K$3)"),"联系人姓名")</f>
        <v>联系人姓名</v>
      </c>
      <c r="L182" s="12" t="str">
        <f ca="1">IFERROR(__xludf.DUMMYFUNCTION("GOOGLETRANSLATE($B182,""en"",L$3)"),"聯繫人姓名")</f>
        <v>聯繫人姓名</v>
      </c>
      <c r="M182" s="12" t="str">
        <f ca="1">IFERROR(__xludf.DUMMYFUNCTION("GOOGLETRANSLATE($B182,""en"",M$3)"),"contactnaam")</f>
        <v>contactnaam</v>
      </c>
      <c r="N182" s="12" t="str">
        <f ca="1">IFERROR(__xludf.DUMMYFUNCTION("GOOGLETRANSLATE($B182,""en"",N$3)"),"όνομα επαφής")</f>
        <v>όνομα επαφής</v>
      </c>
      <c r="O182" s="12" t="str">
        <f ca="1">IFERROR(__xludf.DUMMYFUNCTION("GOOGLETRANSLATE($B182,""en"",O$3)"),"yhteyshenkilön nimi")</f>
        <v>yhteyshenkilön nimi</v>
      </c>
      <c r="P182" s="12" t="str">
        <f ca="1">IFERROR(__xludf.DUMMYFUNCTION("GOOGLETRANSLATE($B182,""en"",P$3)"),"Ainm an Teagmhálaí")</f>
        <v>Ainm an Teagmhálaí</v>
      </c>
      <c r="Q182" s="12" t="str">
        <f ca="1">IFERROR(__xludf.DUMMYFUNCTION("GOOGLETRANSLATE($B182,""en"",Q$3)"),"تماس با نام")</f>
        <v>تماس با نام</v>
      </c>
      <c r="R182" s="12" t="str">
        <f ca="1">IFERROR(__xludf.DUMMYFUNCTION("GOOGLETRANSLATE($B182,""en"",R$3)"),"שם איש קשר")</f>
        <v>שם איש קשר</v>
      </c>
      <c r="S182" s="12" t="str">
        <f ca="1">IFERROR(__xludf.DUMMYFUNCTION("GOOGLETRANSLATE($B182,""en"",S$3)"),"Nafn tengiliðar")</f>
        <v>Nafn tengiliðar</v>
      </c>
      <c r="T182" s="12" t="str">
        <f ca="1">IFERROR(__xludf.DUMMYFUNCTION("GOOGLETRANSLATE($B182,""en"",T$3)"),"kontakt navn")</f>
        <v>kontakt navn</v>
      </c>
      <c r="U182" s="12" t="str">
        <f ca="1">IFERROR(__xludf.DUMMYFUNCTION("GOOGLETRANSLATE($B182,""en"",U$3)"),"اسم الاتصال")</f>
        <v>اسم الاتصال</v>
      </c>
      <c r="V182" s="12" t="str">
        <f ca="1">IFERROR(__xludf.DUMMYFUNCTION("GOOGLETRANSLATE($B182,""en"",V$3)"),"Nazwa Kontaktu")</f>
        <v>Nazwa Kontaktu</v>
      </c>
      <c r="W182" s="12" t="str">
        <f ca="1">IFERROR(__xludf.DUMMYFUNCTION("GOOGLETRANSLATE($B182,""en"",W$3)"),"Контактное лицо")</f>
        <v>Контактное лицо</v>
      </c>
      <c r="X182" s="12" t="str">
        <f ca="1">IFERROR(__xludf.DUMMYFUNCTION("GOOGLETRANSLATE($B182,""en"",X$3)"),"Nombre de contacto")</f>
        <v>Nombre de contacto</v>
      </c>
      <c r="Y182" s="12"/>
      <c r="Z182" s="12"/>
    </row>
    <row r="183" spans="1:26" ht="32.25" customHeight="1" x14ac:dyDescent="0.2">
      <c r="A183" s="10" t="s">
        <v>474</v>
      </c>
      <c r="B183" s="10" t="s">
        <v>455</v>
      </c>
      <c r="C183" s="11" t="str">
        <f ca="1">IFERROR(__xludf.DUMMYFUNCTION("GOOGLETRANSLATE($B183,""en"",C$3)"),"Content Manager")</f>
        <v>Content Manager</v>
      </c>
      <c r="D183" s="11" t="str">
        <f ca="1">IFERROR(__xludf.DUMMYFUNCTION("GOOGLETRANSLATE($B183,""en"",D$3)"),"Content manager")</f>
        <v>Content manager</v>
      </c>
      <c r="E183" s="11" t="str">
        <f ca="1">IFERROR(__xludf.DUMMYFUNCTION("GOOGLETRANSLATE($B183,""en"",E$3)"),"Gestor de conteúdos")</f>
        <v>Gestor de conteúdos</v>
      </c>
      <c r="F183" s="11" t="str">
        <f ca="1">IFERROR(__xludf.DUMMYFUNCTION("GOOGLETRANSLATE($B183,""en"",F$3)"),"Gestor de conteúdos")</f>
        <v>Gestor de conteúdos</v>
      </c>
      <c r="G183" s="11" t="str">
        <f ca="1">IFERROR(__xludf.DUMMYFUNCTION("GOOGLETRANSLATE($B183,""en"",G$3)"),"Gestionnaire de contenu")</f>
        <v>Gestionnaire de contenu</v>
      </c>
      <c r="H183" s="11" t="str">
        <f ca="1">IFERROR(__xludf.DUMMYFUNCTION("GOOGLETRANSLATE($B183,""en"",H$3)"),"Eduki-kudeatzailea")</f>
        <v>Eduki-kudeatzailea</v>
      </c>
      <c r="I183" s="11" t="str">
        <f ca="1">IFERROR(__xludf.DUMMYFUNCTION("GOOGLETRANSLATE($B183,""en"",I$3)"),"Gestor de continguts")</f>
        <v>Gestor de continguts</v>
      </c>
      <c r="J183" s="11" t="str">
        <f ca="1">IFERROR(__xludf.DUMMYFUNCTION("GOOGLETRANSLATE($B183,""en"",J$3)"),"Manažer obsahu")</f>
        <v>Manažer obsahu</v>
      </c>
      <c r="K183" s="11" t="str">
        <f ca="1">IFERROR(__xludf.DUMMYFUNCTION("GOOGLETRANSLATE($B183,""en"",K$3)"),"内容管理者")</f>
        <v>内容管理者</v>
      </c>
      <c r="L183" s="11" t="str">
        <f ca="1">IFERROR(__xludf.DUMMYFUNCTION("GOOGLETRANSLATE($B183,""en"",L$3)"),"內容管理者")</f>
        <v>內容管理者</v>
      </c>
      <c r="M183" s="11" t="str">
        <f ca="1">IFERROR(__xludf.DUMMYFUNCTION("GOOGLETRANSLATE($B183,""en"",M$3)"),"Content Manager")</f>
        <v>Content Manager</v>
      </c>
      <c r="N183" s="11" t="str">
        <f ca="1">IFERROR(__xludf.DUMMYFUNCTION("GOOGLETRANSLATE($B183,""en"",N$3)"),"Διαχείριση Περιεχομένου")</f>
        <v>Διαχείριση Περιεχομένου</v>
      </c>
      <c r="O183" s="11" t="str">
        <f ca="1">IFERROR(__xludf.DUMMYFUNCTION("GOOGLETRANSLATE($B183,""en"",O$3)"),"Sisältöpäällikkö")</f>
        <v>Sisältöpäällikkö</v>
      </c>
      <c r="P183" s="11" t="str">
        <f ca="1">IFERROR(__xludf.DUMMYFUNCTION("GOOGLETRANSLATE($B183,""en"",P$3)"),"Bainisteoir content")</f>
        <v>Bainisteoir content</v>
      </c>
      <c r="Q183" s="11" t="str">
        <f ca="1">IFERROR(__xludf.DUMMYFUNCTION("GOOGLETRANSLATE($B183,""en"",Q$3)"),"مدیریت محتوا")</f>
        <v>مدیریت محتوا</v>
      </c>
      <c r="R183" s="11" t="str">
        <f ca="1">IFERROR(__xludf.DUMMYFUNCTION("GOOGLETRANSLATE($B183,""en"",R$3)"),"מנהל תוכן")</f>
        <v>מנהל תוכן</v>
      </c>
      <c r="S183" s="11" t="str">
        <f ca="1">IFERROR(__xludf.DUMMYFUNCTION("GOOGLETRANSLATE($B183,""en"",S$3)"),"content Manager")</f>
        <v>content Manager</v>
      </c>
      <c r="T183" s="11" t="str">
        <f ca="1">IFERROR(__xludf.DUMMYFUNCTION("GOOGLETRANSLATE($B183,""en"",T$3)"),"Content manager")</f>
        <v>Content manager</v>
      </c>
      <c r="U183" s="11" t="str">
        <f ca="1">IFERROR(__xludf.DUMMYFUNCTION("GOOGLETRANSLATE($B183,""en"",U$3)"),"مدير محتوى")</f>
        <v>مدير محتوى</v>
      </c>
      <c r="V183" s="11" t="str">
        <f ca="1">IFERROR(__xludf.DUMMYFUNCTION("GOOGLETRANSLATE($B183,""en"",V$3)"),"Content Manager")</f>
        <v>Content Manager</v>
      </c>
      <c r="W183" s="11" t="str">
        <f ca="1">IFERROR(__xludf.DUMMYFUNCTION("GOOGLETRANSLATE($B183,""en"",W$3)"),"Контент менеджер")</f>
        <v>Контент менеджер</v>
      </c>
      <c r="X183" s="11" t="str">
        <f ca="1">IFERROR(__xludf.DUMMYFUNCTION("GOOGLETRANSLATE($B183,""en"",X$3)"),"Gestor de contenidos")</f>
        <v>Gestor de contenidos</v>
      </c>
    </row>
    <row r="184" spans="1:26" ht="32.25" customHeight="1" x14ac:dyDescent="0.2">
      <c r="A184" s="10" t="s">
        <v>475</v>
      </c>
      <c r="B184" s="10" t="s">
        <v>476</v>
      </c>
      <c r="C184" s="11" t="str">
        <f ca="1">IFERROR(__xludf.DUMMYFUNCTION("GOOGLETRANSLATE($B184,""en"",C$3)"),"Inhalt")</f>
        <v>Inhalt</v>
      </c>
      <c r="D184" s="11" t="str">
        <f ca="1">IFERROR(__xludf.DUMMYFUNCTION("GOOGLETRANSLATE($B184,""en"",D$3)"),"Innehåll")</f>
        <v>Innehåll</v>
      </c>
      <c r="E184" s="11" t="str">
        <f ca="1">IFERROR(__xludf.DUMMYFUNCTION("GOOGLETRANSLATE($B184,""en"",E$3)"),"Conteúdo")</f>
        <v>Conteúdo</v>
      </c>
      <c r="F184" s="11" t="str">
        <f ca="1">IFERROR(__xludf.DUMMYFUNCTION("GOOGLETRANSLATE($B184,""en"",F$3)"),"Conteúdo")</f>
        <v>Conteúdo</v>
      </c>
      <c r="G184" s="11" t="str">
        <f ca="1">IFERROR(__xludf.DUMMYFUNCTION("GOOGLETRANSLATE($B184,""en"",G$3)"),"Contenu")</f>
        <v>Contenu</v>
      </c>
      <c r="H184" s="11" t="str">
        <f ca="1">IFERROR(__xludf.DUMMYFUNCTION("GOOGLETRANSLATE($B184,""en"",H$3)"),"Edukia")</f>
        <v>Edukia</v>
      </c>
      <c r="I184" s="11" t="str">
        <f ca="1">IFERROR(__xludf.DUMMYFUNCTION("GOOGLETRANSLATE($B184,""en"",I$3)"),"contingut")</f>
        <v>contingut</v>
      </c>
      <c r="J184" s="11" t="str">
        <f ca="1">IFERROR(__xludf.DUMMYFUNCTION("GOOGLETRANSLATE($B184,""en"",J$3)"),"Obsah")</f>
        <v>Obsah</v>
      </c>
      <c r="K184" s="11" t="str">
        <f ca="1">IFERROR(__xludf.DUMMYFUNCTION("GOOGLETRANSLATE($B184,""en"",K$3)"),"内容")</f>
        <v>内容</v>
      </c>
      <c r="L184" s="11" t="str">
        <f ca="1">IFERROR(__xludf.DUMMYFUNCTION("GOOGLETRANSLATE($B184,""en"",L$3)"),"內容")</f>
        <v>內容</v>
      </c>
      <c r="M184" s="11" t="str">
        <f ca="1">IFERROR(__xludf.DUMMYFUNCTION("GOOGLETRANSLATE($B184,""en"",M$3)"),"Inhoud")</f>
        <v>Inhoud</v>
      </c>
      <c r="N184" s="11" t="str">
        <f ca="1">IFERROR(__xludf.DUMMYFUNCTION("GOOGLETRANSLATE($B184,""en"",N$3)"),"Περιεχόμενο")</f>
        <v>Περιεχόμενο</v>
      </c>
      <c r="O184" s="11" t="str">
        <f ca="1">IFERROR(__xludf.DUMMYFUNCTION("GOOGLETRANSLATE($B184,""en"",O$3)"),"Sisältö")</f>
        <v>Sisältö</v>
      </c>
      <c r="P184" s="11" t="str">
        <f ca="1">IFERROR(__xludf.DUMMYFUNCTION("GOOGLETRANSLATE($B184,""en"",P$3)"),"Ábhar")</f>
        <v>Ábhar</v>
      </c>
      <c r="Q184" s="11" t="str">
        <f ca="1">IFERROR(__xludf.DUMMYFUNCTION("GOOGLETRANSLATE($B184,""en"",Q$3)"),"محتوا")</f>
        <v>محتوا</v>
      </c>
      <c r="R184" s="11" t="str">
        <f ca="1">IFERROR(__xludf.DUMMYFUNCTION("GOOGLETRANSLATE($B184,""en"",R$3)"),"תוֹכֶן")</f>
        <v>תוֹכֶן</v>
      </c>
      <c r="S184" s="11" t="str">
        <f ca="1">IFERROR(__xludf.DUMMYFUNCTION("GOOGLETRANSLATE($B184,""en"",S$3)"),"efni")</f>
        <v>efni</v>
      </c>
      <c r="T184" s="11" t="str">
        <f ca="1">IFERROR(__xludf.DUMMYFUNCTION("GOOGLETRANSLATE($B184,""en"",T$3)"),"Innhold")</f>
        <v>Innhold</v>
      </c>
      <c r="U184" s="11" t="str">
        <f ca="1">IFERROR(__xludf.DUMMYFUNCTION("GOOGLETRANSLATE($B184,""en"",U$3)"),"المحتوى")</f>
        <v>المحتوى</v>
      </c>
      <c r="V184" s="11" t="str">
        <f ca="1">IFERROR(__xludf.DUMMYFUNCTION("GOOGLETRANSLATE($B184,""en"",V$3)"),"Zadowolony")</f>
        <v>Zadowolony</v>
      </c>
      <c r="W184" s="11" t="str">
        <f ca="1">IFERROR(__xludf.DUMMYFUNCTION("GOOGLETRANSLATE($B184,""en"",W$3)"),"содержание")</f>
        <v>содержание</v>
      </c>
      <c r="X184" s="11" t="str">
        <f ca="1">IFERROR(__xludf.DUMMYFUNCTION("GOOGLETRANSLATE($B184,""en"",X$3)"),"Contenido")</f>
        <v>Contenido</v>
      </c>
    </row>
    <row r="185" spans="1:26" ht="32.25" customHeight="1" x14ac:dyDescent="0.2">
      <c r="A185" s="17" t="s">
        <v>477</v>
      </c>
      <c r="B185" s="17" t="s">
        <v>478</v>
      </c>
      <c r="C185" s="11" t="str">
        <f ca="1">IFERROR(__xludf.DUMMYFUNCTION("GOOGLETRANSLATE($B185,""en"",C$3)"),"Die Ost-West-Position auf der Weltkarte")</f>
        <v>Die Ost-West-Position auf der Weltkarte</v>
      </c>
      <c r="D185" s="12" t="str">
        <f ca="1">IFERROR(__xludf.DUMMYFUNCTION("GOOGLETRANSLATE($B185,""en"",D$3)"),"East-West position på världskartan")</f>
        <v>East-West position på världskartan</v>
      </c>
      <c r="E185" s="12" t="str">
        <f ca="1">IFERROR(__xludf.DUMMYFUNCTION("GOOGLETRANSLATE($B185,""en"",E$3)"),"A posição leste-oeste no mapa do mundo")</f>
        <v>A posição leste-oeste no mapa do mundo</v>
      </c>
      <c r="F185" s="12" t="str">
        <f ca="1">IFERROR(__xludf.DUMMYFUNCTION("GOOGLETRANSLATE($B185,""en"",F$3)"),"A posição leste-oeste no mapa do mundo")</f>
        <v>A posição leste-oeste no mapa do mundo</v>
      </c>
      <c r="G185" s="12" t="str">
        <f ca="1">IFERROR(__xludf.DUMMYFUNCTION("GOOGLETRANSLATE($B185,""en"",G$3)"),"La position est-ouest sur la carte du monde")</f>
        <v>La position est-ouest sur la carte du monde</v>
      </c>
      <c r="H185" s="12" t="str">
        <f ca="1">IFERROR(__xludf.DUMMYFUNCTION("GOOGLETRANSLATE($B185,""en"",H$3)"),"East-West munduko mapan posizioa")</f>
        <v>East-West munduko mapan posizioa</v>
      </c>
      <c r="I185" s="12" t="str">
        <f ca="1">IFERROR(__xludf.DUMMYFUNCTION("GOOGLETRANSLATE($B185,""en"",I$3)"),"La posició est-oest al mapa mundial")</f>
        <v>La posició est-oest al mapa mundial</v>
      </c>
      <c r="J185" s="12" t="str">
        <f ca="1">IFERROR(__xludf.DUMMYFUNCTION("GOOGLETRANSLATE($B185,""en"",J$3)"),"Na východ-západ pozice na mapě světa")</f>
        <v>Na východ-západ pozice na mapě světa</v>
      </c>
      <c r="K185" s="12" t="str">
        <f ca="1">IFERROR(__xludf.DUMMYFUNCTION("GOOGLETRANSLATE($B185,""en"",K$3)"),"在世界地图上的东西位置")</f>
        <v>在世界地图上的东西位置</v>
      </c>
      <c r="L185" s="12" t="str">
        <f ca="1">IFERROR(__xludf.DUMMYFUNCTION("GOOGLETRANSLATE($B185,""en"",L$3)"),"在世界地圖上的東西位置")</f>
        <v>在世界地圖上的東西位置</v>
      </c>
      <c r="M185" s="12" t="str">
        <f ca="1">IFERROR(__xludf.DUMMYFUNCTION("GOOGLETRANSLATE($B185,""en"",M$3)"),"De oost-west positie op de wereldkaart")</f>
        <v>De oost-west positie op de wereldkaart</v>
      </c>
      <c r="N185" s="12" t="str">
        <f ca="1">IFERROR(__xludf.DUMMYFUNCTION("GOOGLETRANSLATE($B185,""en"",N$3)"),"Η θέση της Ανατολής-Δύσης στον παγκόσμιο χάρτη")</f>
        <v>Η θέση της Ανατολής-Δύσης στον παγκόσμιο χάρτη</v>
      </c>
      <c r="O185" s="12" t="str">
        <f ca="1">IFERROR(__xludf.DUMMYFUNCTION("GOOGLETRANSLATE($B185,""en"",O$3)"),"Itä-länsi asema maailmankartalla")</f>
        <v>Itä-länsi asema maailmankartalla</v>
      </c>
      <c r="P185" s="12" t="str">
        <f ca="1">IFERROR(__xludf.DUMMYFUNCTION("GOOGLETRANSLATE($B185,""en"",P$3)"),"An seasamh Thoir-Thiar ar an léarscáil an domhain")</f>
        <v>An seasamh Thoir-Thiar ar an léarscáil an domhain</v>
      </c>
      <c r="Q185" s="12" t="str">
        <f ca="1">IFERROR(__xludf.DUMMYFUNCTION("GOOGLETRANSLATE($B185,""en"",Q$3)"),"موقعیت شرق و غرب بر روی نقشه جهان")</f>
        <v>موقعیت شرق و غرب بر روی نقشه جهان</v>
      </c>
      <c r="R185" s="12" t="str">
        <f ca="1">IFERROR(__xludf.DUMMYFUNCTION("GOOGLETRANSLATE($B185,""en"",R$3)"),"עמדת המזרח למערב על מפת העולם")</f>
        <v>עמדת המזרח למערב על מפת העולם</v>
      </c>
      <c r="S185" s="12" t="str">
        <f ca="1">IFERROR(__xludf.DUMMYFUNCTION("GOOGLETRANSLATE($B185,""en"",S$3)"),"The East-West staða á heimskortinu")</f>
        <v>The East-West staða á heimskortinu</v>
      </c>
      <c r="T185" s="12" t="str">
        <f ca="1">IFERROR(__xludf.DUMMYFUNCTION("GOOGLETRANSLATE($B185,""en"",T$3)"),"Øst-vest posisjon på verdenskartet")</f>
        <v>Øst-vest posisjon på verdenskartet</v>
      </c>
      <c r="U185" s="12" t="str">
        <f ca="1">IFERROR(__xludf.DUMMYFUNCTION("GOOGLETRANSLATE($B185,""en"",U$3)"),"الموقف بين الشرق والغرب على خريطة العالم")</f>
        <v>الموقف بين الشرق والغرب على خريطة العالم</v>
      </c>
      <c r="V185" s="12" t="str">
        <f ca="1">IFERROR(__xludf.DUMMYFUNCTION("GOOGLETRANSLATE($B185,""en"",V$3)"),"Stanowisko Wschód-Zachód na mapie świata")</f>
        <v>Stanowisko Wschód-Zachód na mapie świata</v>
      </c>
      <c r="W185" s="12" t="str">
        <f ca="1">IFERROR(__xludf.DUMMYFUNCTION("GOOGLETRANSLATE($B185,""en"",W$3)"),"Положение Восток-Запад на карте мира")</f>
        <v>Положение Восток-Запад на карте мира</v>
      </c>
      <c r="X185" s="12" t="str">
        <f ca="1">IFERROR(__xludf.DUMMYFUNCTION("GOOGLETRANSLATE($B185,""en"",X$3)"),"La posición este-oeste en el mapa mundial")</f>
        <v>La posición este-oeste en el mapa mundial</v>
      </c>
      <c r="Y185" s="12"/>
      <c r="Z185" s="12"/>
    </row>
    <row r="186" spans="1:26" ht="32.25" customHeight="1" x14ac:dyDescent="0.2">
      <c r="A186" s="17" t="s">
        <v>479</v>
      </c>
      <c r="B186" s="17" t="s">
        <v>480</v>
      </c>
      <c r="C186" s="18" t="s">
        <v>481</v>
      </c>
      <c r="D186" s="12" t="str">
        <f ca="1">IFERROR(__xludf.DUMMYFUNCTION("GOOGLETRANSLATE($B186,""en"",D$3)"),"Den North_South position på världskartan")</f>
        <v>Den North_South position på världskartan</v>
      </c>
      <c r="E186" s="12" t="str">
        <f ca="1">IFERROR(__xludf.DUMMYFUNCTION("GOOGLETRANSLATE($B186,""en"",E$3)"),"A posição North_South no mapa do mundo")</f>
        <v>A posição North_South no mapa do mundo</v>
      </c>
      <c r="F186" s="12" t="str">
        <f ca="1">IFERROR(__xludf.DUMMYFUNCTION("GOOGLETRANSLATE($B186,""en"",F$3)"),"A posição North_South no mapa do mundo")</f>
        <v>A posição North_South no mapa do mundo</v>
      </c>
      <c r="G186" s="12" t="str">
        <f ca="1">IFERROR(__xludf.DUMMYFUNCTION("GOOGLETRANSLATE($B186,""en"",G$3)"),"La position de North_South sur la carte du monde")</f>
        <v>La position de North_South sur la carte du monde</v>
      </c>
      <c r="H186" s="12" t="str">
        <f ca="1">IFERROR(__xludf.DUMMYFUNCTION("GOOGLETRANSLATE($B186,""en"",H$3)"),"North_South munduko mapan posizioa")</f>
        <v>North_South munduko mapan posizioa</v>
      </c>
      <c r="I186" s="12" t="str">
        <f ca="1">IFERROR(__xludf.DUMMYFUNCTION("GOOGLETRANSLATE($B186,""en"",I$3)"),"La posició North_South al mapa mundial")</f>
        <v>La posició North_South al mapa mundial</v>
      </c>
      <c r="J186" s="12" t="str">
        <f ca="1">IFERROR(__xludf.DUMMYFUNCTION("GOOGLETRANSLATE($B186,""en"",J$3)"),"Postavení North_South na mapě světa")</f>
        <v>Postavení North_South na mapě světa</v>
      </c>
      <c r="K186" s="12" t="str">
        <f ca="1">IFERROR(__xludf.DUMMYFUNCTION("GOOGLETRANSLATE($B186,""en"",K$3)"),"在世界地图上的位置North_South")</f>
        <v>在世界地图上的位置North_South</v>
      </c>
      <c r="L186" s="12" t="str">
        <f ca="1">IFERROR(__xludf.DUMMYFUNCTION("GOOGLETRANSLATE($B186,""en"",L$3)"),"在世界地圖上的位置North_South")</f>
        <v>在世界地圖上的位置North_South</v>
      </c>
      <c r="M186" s="12" t="str">
        <f ca="1">IFERROR(__xludf.DUMMYFUNCTION("GOOGLETRANSLATE($B186,""en"",M$3)"),"De North_South positie op de wereldkaart")</f>
        <v>De North_South positie op de wereldkaart</v>
      </c>
      <c r="N186" s="12" t="str">
        <f ca="1">IFERROR(__xludf.DUMMYFUNCTION("GOOGLETRANSLATE($B186,""en"",N$3)"),"Η θέση North_South στον παγκόσμιο χάρτη")</f>
        <v>Η θέση North_South στον παγκόσμιο χάρτη</v>
      </c>
      <c r="O186" s="12" t="str">
        <f ca="1">IFERROR(__xludf.DUMMYFUNCTION("GOOGLETRANSLATE($B186,""en"",O$3)"),"North_South asema maailmankartalla")</f>
        <v>North_South asema maailmankartalla</v>
      </c>
      <c r="P186" s="12" t="str">
        <f ca="1">IFERROR(__xludf.DUMMYFUNCTION("GOOGLETRANSLATE($B186,""en"",P$3)"),"An seasamh North_South ar an léarscáil an domhain")</f>
        <v>An seasamh North_South ar an léarscáil an domhain</v>
      </c>
      <c r="Q186" s="12" t="str">
        <f ca="1">IFERROR(__xludf.DUMMYFUNCTION("GOOGLETRANSLATE($B186,""en"",Q$3)"),"موقعیت North_South بر روی نقشه جهان")</f>
        <v>موقعیت North_South بر روی نقشه جهان</v>
      </c>
      <c r="R186" s="12" t="str">
        <f ca="1">IFERROR(__xludf.DUMMYFUNCTION("GOOGLETRANSLATE($B186,""en"",R$3)"),"עמדת North_South על מפת העולם")</f>
        <v>עמדת North_South על מפת העולם</v>
      </c>
      <c r="S186" s="12" t="str">
        <f ca="1">IFERROR(__xludf.DUMMYFUNCTION("GOOGLETRANSLATE($B186,""en"",S$3)"),"Í North_South staða á heimskortinu")</f>
        <v>Í North_South staða á heimskortinu</v>
      </c>
      <c r="T186" s="12" t="str">
        <f ca="1">IFERROR(__xludf.DUMMYFUNCTION("GOOGLETRANSLATE($B186,""en"",T$3)"),"Den North_South posisjon på verdenskartet")</f>
        <v>Den North_South posisjon på verdenskartet</v>
      </c>
      <c r="U186" s="12" t="str">
        <f ca="1">IFERROR(__xludf.DUMMYFUNCTION("GOOGLETRANSLATE($B186,""en"",U$3)"),"موقف الشمال والجنوب على خريطة العالم")</f>
        <v>موقف الشمال والجنوب على خريطة العالم</v>
      </c>
      <c r="V186" s="12" t="str">
        <f ca="1">IFERROR(__xludf.DUMMYFUNCTION("GOOGLETRANSLATE($B186,""en"",V$3)"),"Stanowisko North_South na mapie świata")</f>
        <v>Stanowisko North_South na mapie świata</v>
      </c>
      <c r="W186" s="12" t="str">
        <f ca="1">IFERROR(__xludf.DUMMYFUNCTION("GOOGLETRANSLATE($B186,""en"",W$3)"),"Положение North_South на карте мира")</f>
        <v>Положение North_South на карте мира</v>
      </c>
      <c r="X186" s="12" t="str">
        <f ca="1">IFERROR(__xludf.DUMMYFUNCTION("GOOGLETRANSLATE($B186,""en"",X$3)"),"La posición North_South en el mapa mundial")</f>
        <v>La posición North_South en el mapa mundial</v>
      </c>
      <c r="Y186" s="12"/>
      <c r="Z186" s="12"/>
    </row>
    <row r="187" spans="1:26" ht="32.25" customHeight="1" x14ac:dyDescent="0.2">
      <c r="A187" s="17" t="s">
        <v>482</v>
      </c>
      <c r="B187" s="17" t="s">
        <v>483</v>
      </c>
      <c r="C187" s="11" t="str">
        <f ca="1">IFERROR(__xludf.DUMMYFUNCTION("GOOGLETRANSLATE($B187,""en"",C$3)"),"CPU Intensive Sicherung gestartet")</f>
        <v>CPU Intensive Sicherung gestartet</v>
      </c>
      <c r="D187" s="12" t="str">
        <f ca="1">IFERROR(__xludf.DUMMYFUNCTION("GOOGLETRANSLATE($B187,""en"",D$3)"),"CPU Intensiv Backup igång")</f>
        <v>CPU Intensiv Backup igång</v>
      </c>
      <c r="E187" s="12" t="str">
        <f ca="1">IFERROR(__xludf.DUMMYFUNCTION("GOOGLETRANSLATE($B187,""en"",E$3)"),"CPU backup Intensivo Iniciado")</f>
        <v>CPU backup Intensivo Iniciado</v>
      </c>
      <c r="F187" s="12" t="str">
        <f ca="1">IFERROR(__xludf.DUMMYFUNCTION("GOOGLETRANSLATE($B187,""en"",F$3)"),"CPU backup Intensivo Iniciado")</f>
        <v>CPU backup Intensivo Iniciado</v>
      </c>
      <c r="G187" s="12" t="str">
        <f ca="1">IFERROR(__xludf.DUMMYFUNCTION("GOOGLETRANSLATE($B187,""en"",G$3)"),"CPU sauvegarde intensive en main")</f>
        <v>CPU sauvegarde intensive en main</v>
      </c>
      <c r="H187" s="12" t="str">
        <f ca="1">IFERROR(__xludf.DUMMYFUNCTION("GOOGLETRANSLATE($B187,""en"",H$3)"),"CPU trinkoak Backup hasita:")</f>
        <v>CPU trinkoak Backup hasita:</v>
      </c>
      <c r="I187" s="12" t="str">
        <f ca="1">IFERROR(__xludf.DUMMYFUNCTION("GOOGLETRANSLATE($B187,""en"",I$3)"),"Comença la CPU de reserva")</f>
        <v>Comença la CPU de reserva</v>
      </c>
      <c r="J187" s="12" t="str">
        <f ca="1">IFERROR(__xludf.DUMMYFUNCTION("GOOGLETRANSLATE($B187,""en"",J$3)"),"CPU intenzivní zálohování Začínáme")</f>
        <v>CPU intenzivní zálohování Začínáme</v>
      </c>
      <c r="K187" s="12" t="str">
        <f ca="1">IFERROR(__xludf.DUMMYFUNCTION("GOOGLETRANSLATE($B187,""en"",K$3)"),"CPU密集型备份开始")</f>
        <v>CPU密集型备份开始</v>
      </c>
      <c r="L187" s="12" t="str">
        <f ca="1">IFERROR(__xludf.DUMMYFUNCTION("GOOGLETRANSLATE($B187,""en"",L$3)"),"CPU密集型備份開始")</f>
        <v>CPU密集型備份開始</v>
      </c>
      <c r="M187" s="12" t="str">
        <f ca="1">IFERROR(__xludf.DUMMYFUNCTION("GOOGLETRANSLATE($B187,""en"",M$3)"),"CPU Intensive Backup slag")</f>
        <v>CPU Intensive Backup slag</v>
      </c>
      <c r="N187" s="12" t="str">
        <f ca="1">IFERROR(__xludf.DUMMYFUNCTION("GOOGLETRANSLATE($B187,""en"",N$3)"),"CPU Εντατική αντιγράφων ασφαλείας βήματα")</f>
        <v>CPU Εντατική αντιγράφων ασφαλείας βήματα</v>
      </c>
      <c r="O187" s="12" t="str">
        <f ca="1">IFERROR(__xludf.DUMMYFUNCTION("GOOGLETRANSLATE($B187,""en"",O$3)"),"Kuormittavampaa varmuuskopiointi alkoi")</f>
        <v>Kuormittavampaa varmuuskopiointi alkoi</v>
      </c>
      <c r="P187" s="12" t="str">
        <f ca="1">IFERROR(__xludf.DUMMYFUNCTION("GOOGLETRANSLATE($B187,""en"",P$3)"),"LAP Cúltaca Dian Started")</f>
        <v>LAP Cúltaca Dian Started</v>
      </c>
      <c r="Q187" s="12" t="str">
        <f ca="1">IFERROR(__xludf.DUMMYFUNCTION("GOOGLETRANSLATE($B187,""en"",Q$3)"),"پردازنده پشتیبان گیری فشرده آغاز شده")</f>
        <v>پردازنده پشتیبان گیری فشرده آغاز شده</v>
      </c>
      <c r="R187" s="12" t="str">
        <f ca="1">IFERROR(__xludf.DUMMYFUNCTION("GOOGLETRANSLATE($B187,""en"",R$3)"),"גיבוי נמרץ CPU Started")</f>
        <v>גיבוי נמרץ CPU Started</v>
      </c>
      <c r="S187" s="12" t="str">
        <f ca="1">IFERROR(__xludf.DUMMYFUNCTION("GOOGLETRANSLATE($B187,""en"",S$3)"),"CPU Intensive Backup Byrjað")</f>
        <v>CPU Intensive Backup Byrjað</v>
      </c>
      <c r="T187" s="12" t="str">
        <f ca="1">IFERROR(__xludf.DUMMYFUNCTION("GOOGLETRANSLATE($B187,""en"",T$3)"),"CPU Intensiv Backup i gang")</f>
        <v>CPU Intensiv Backup i gang</v>
      </c>
      <c r="U187" s="12" t="str">
        <f ca="1">IFERROR(__xludf.DUMMYFUNCTION("GOOGLETRANSLATE($B187,""en"",U$3)"),"CPU النسخ الاحتياطي المكثف كتبت")</f>
        <v>CPU النسخ الاحتياطي المكثف كتبت</v>
      </c>
      <c r="V187" s="12" t="str">
        <f ca="1">IFERROR(__xludf.DUMMYFUNCTION("GOOGLETRANSLATE($B187,""en"",V$3)"),"CPU Intensive zapasowa Rozpoczęte")</f>
        <v>CPU Intensive zapasowa Rozpoczęte</v>
      </c>
      <c r="W187" s="12" t="str">
        <f ca="1">IFERROR(__xludf.DUMMYFUNCTION("GOOGLETRANSLATE($B187,""en"",W$3)"),"CPU Интенсивное резервного копирования Started")</f>
        <v>CPU Интенсивное резервного копирования Started</v>
      </c>
      <c r="X187" s="12" t="str">
        <f ca="1">IFERROR(__xludf.DUMMYFUNCTION("GOOGLETRANSLATE($B187,""en"",X$3)"),"Comienza la CPU de reserva")</f>
        <v>Comienza la CPU de reserva</v>
      </c>
      <c r="Y187" s="12"/>
      <c r="Z187" s="12"/>
    </row>
    <row r="188" spans="1:26" ht="32.25" customHeight="1" x14ac:dyDescent="0.2">
      <c r="A188" s="17" t="s">
        <v>484</v>
      </c>
      <c r="B188" s="17" t="s">
        <v>485</v>
      </c>
      <c r="C188" s="11" t="str">
        <f ca="1">IFERROR(__xludf.DUMMYFUNCTION("GOOGLETRANSLATE($B188,""en"",C$3)"),"Erstellen Produktionskonto")</f>
        <v>Erstellen Produktionskonto</v>
      </c>
      <c r="D188" s="12" t="str">
        <f ca="1">IFERROR(__xludf.DUMMYFUNCTION("GOOGLETRANSLATE($B188,""en"",D$3)"),"Skapa Production konto")</f>
        <v>Skapa Production konto</v>
      </c>
      <c r="E188" s="12" t="str">
        <f ca="1">IFERROR(__xludf.DUMMYFUNCTION("GOOGLETRANSLATE($B188,""en"",E$3)"),"Criar Conta de Produção")</f>
        <v>Criar Conta de Produção</v>
      </c>
      <c r="F188" s="12" t="str">
        <f ca="1">IFERROR(__xludf.DUMMYFUNCTION("GOOGLETRANSLATE($B188,""en"",F$3)"),"Criar Conta de Produção")</f>
        <v>Criar Conta de Produção</v>
      </c>
      <c r="G188" s="12" t="str">
        <f ca="1">IFERROR(__xludf.DUMMYFUNCTION("GOOGLETRANSLATE($B188,""en"",G$3)"),"Créer production compte")</f>
        <v>Créer production compte</v>
      </c>
      <c r="H188" s="12" t="str">
        <f ca="1">IFERROR(__xludf.DUMMYFUNCTION("GOOGLETRANSLATE($B188,""en"",H$3)"),"Sortu Produkzioaren kontua")</f>
        <v>Sortu Produkzioaren kontua</v>
      </c>
      <c r="I188" s="12" t="str">
        <f ca="1">IFERROR(__xludf.DUMMYFUNCTION("GOOGLETRANSLATE($B188,""en"",I$3)"),"Crear Compte de Producció")</f>
        <v>Crear Compte de Producció</v>
      </c>
      <c r="J188" s="12" t="str">
        <f ca="1">IFERROR(__xludf.DUMMYFUNCTION("GOOGLETRANSLATE($B188,""en"",J$3)"),"Vytvořit účet výroby")</f>
        <v>Vytvořit účet výroby</v>
      </c>
      <c r="K188" s="12" t="str">
        <f ca="1">IFERROR(__xludf.DUMMYFUNCTION("GOOGLETRANSLATE($B188,""en"",K$3)"),"创建制作账户")</f>
        <v>创建制作账户</v>
      </c>
      <c r="L188" s="12" t="str">
        <f ca="1">IFERROR(__xludf.DUMMYFUNCTION("GOOGLETRANSLATE($B188,""en"",L$3)"),"創建製作賬戶")</f>
        <v>創建製作賬戶</v>
      </c>
      <c r="M188" s="12" t="str">
        <f ca="1">IFERROR(__xludf.DUMMYFUNCTION("GOOGLETRANSLATE($B188,""en"",M$3)"),"Maak Production Account")</f>
        <v>Maak Production Account</v>
      </c>
      <c r="N188" s="12" t="str">
        <f ca="1">IFERROR(__xludf.DUMMYFUNCTION("GOOGLETRANSLATE($B188,""en"",N$3)"),"Δημιουργία Λογαριασμού Παραγωγής")</f>
        <v>Δημιουργία Λογαριασμού Παραγωγής</v>
      </c>
      <c r="O188" s="12" t="str">
        <f ca="1">IFERROR(__xludf.DUMMYFUNCTION("GOOGLETRANSLATE($B188,""en"",O$3)"),"Luo Tuotanto Tili")</f>
        <v>Luo Tuotanto Tili</v>
      </c>
      <c r="P188" s="12" t="str">
        <f ca="1">IFERROR(__xludf.DUMMYFUNCTION("GOOGLETRANSLATE($B188,""en"",P$3)"),"Cruthaigh Cuntas Léiriúcháin")</f>
        <v>Cruthaigh Cuntas Léiriúcháin</v>
      </c>
      <c r="Q188" s="12" t="str">
        <f ca="1">IFERROR(__xludf.DUMMYFUNCTION("GOOGLETRANSLATE($B188,""en"",Q$3)"),"ایجاد حساب تولید")</f>
        <v>ایجاد حساب تولید</v>
      </c>
      <c r="R188" s="12" t="str">
        <f ca="1">IFERROR(__xludf.DUMMYFUNCTION("GOOGLETRANSLATE($B188,""en"",R$3)"),"צור חשבון הפקה")</f>
        <v>צור חשבון הפקה</v>
      </c>
      <c r="S188" s="12" t="str">
        <f ca="1">IFERROR(__xludf.DUMMYFUNCTION("GOOGLETRANSLATE($B188,""en"",S$3)"),"Búa Production reikning")</f>
        <v>Búa Production reikning</v>
      </c>
      <c r="T188" s="12" t="str">
        <f ca="1">IFERROR(__xludf.DUMMYFUNCTION("GOOGLETRANSLATE($B188,""en"",T$3)"),"Opprette produksjons konto")</f>
        <v>Opprette produksjons konto</v>
      </c>
      <c r="U188" s="12" t="str">
        <f ca="1">IFERROR(__xludf.DUMMYFUNCTION("GOOGLETRANSLATE($B188,""en"",U$3)"),"إنشاء حساب الإنتاج")</f>
        <v>إنشاء حساب الإنتاج</v>
      </c>
      <c r="V188" s="12" t="str">
        <f ca="1">IFERROR(__xludf.DUMMYFUNCTION("GOOGLETRANSLATE($B188,""en"",V$3)"),"Tworzenie rachunku produkcji")</f>
        <v>Tworzenie rachunku produkcji</v>
      </c>
      <c r="W188" s="12" t="str">
        <f ca="1">IFERROR(__xludf.DUMMYFUNCTION("GOOGLETRANSLATE($B188,""en"",W$3)"),"Создание счета производства")</f>
        <v>Создание счета производства</v>
      </c>
      <c r="X188" s="12" t="str">
        <f ca="1">IFERROR(__xludf.DUMMYFUNCTION("GOOGLETRANSLATE($B188,""en"",X$3)"),"Crear Cuenta de Producción")</f>
        <v>Crear Cuenta de Producción</v>
      </c>
      <c r="Y188" s="12"/>
      <c r="Z188" s="12"/>
    </row>
    <row r="189" spans="1:26" ht="32.25" customHeight="1" x14ac:dyDescent="0.2">
      <c r="A189" s="17" t="s">
        <v>486</v>
      </c>
      <c r="B189" s="17" t="s">
        <v>487</v>
      </c>
      <c r="C189" s="18" t="s">
        <v>1798</v>
      </c>
      <c r="D189" s="12" t="str">
        <f ca="1">IFERROR(__xludf.DUMMYFUNCTION("GOOGLETRANSLATE($B189,""en"",D$3)"),"Skapa en ny, tom databas")</f>
        <v>Skapa en ny, tom databas</v>
      </c>
      <c r="E189" s="12" t="str">
        <f ca="1">IFERROR(__xludf.DUMMYFUNCTION("GOOGLETRANSLATE($B189,""en"",E$3)"),"Criando um novo banco de dados, em branco")</f>
        <v>Criando um novo banco de dados, em branco</v>
      </c>
      <c r="F189" s="12" t="str">
        <f ca="1">IFERROR(__xludf.DUMMYFUNCTION("GOOGLETRANSLATE($B189,""en"",F$3)"),"Criando um novo banco de dados, em branco")</f>
        <v>Criando um novo banco de dados, em branco</v>
      </c>
      <c r="G189" s="12" t="str">
        <f ca="1">IFERROR(__xludf.DUMMYFUNCTION("GOOGLETRANSLATE($B189,""en"",G$3)"),"Création d'une nouvelle base de données")</f>
        <v>Création d'une nouvelle base de données</v>
      </c>
      <c r="H189" s="12" t="str">
        <f ca="1">IFERROR(__xludf.DUMMYFUNCTION("GOOGLETRANSLATE($B189,""en"",H$3)"),", Datu-base berri bat sortzea")</f>
        <v>, Datu-base berri bat sortzea</v>
      </c>
      <c r="I189" s="12" t="str">
        <f ca="1">IFERROR(__xludf.DUMMYFUNCTION("GOOGLETRANSLATE($B189,""en"",I$3)"),"Creació d'una nova base de dades, en blanc")</f>
        <v>Creació d'una nova base de dades, en blanc</v>
      </c>
      <c r="J189" s="12" t="str">
        <f ca="1">IFERROR(__xludf.DUMMYFUNCTION("GOOGLETRANSLATE($B189,""en"",J$3)"),"Vytvoření nové prázdné databáze")</f>
        <v>Vytvoření nové prázdné databáze</v>
      </c>
      <c r="K189" s="12" t="str">
        <f ca="1">IFERROR(__xludf.DUMMYFUNCTION("GOOGLETRANSLATE($B189,""en"",K$3)"),"创建一个新的空白数据库")</f>
        <v>创建一个新的空白数据库</v>
      </c>
      <c r="L189" s="12" t="str">
        <f ca="1">IFERROR(__xludf.DUMMYFUNCTION("GOOGLETRANSLATE($B189,""en"",L$3)"),"創建一個新的空白數據庫")</f>
        <v>創建一個新的空白數據庫</v>
      </c>
      <c r="M189" s="12" t="str">
        <f ca="1">IFERROR(__xludf.DUMMYFUNCTION("GOOGLETRANSLATE($B189,""en"",M$3)"),"Het creëren van een nieuwe, lege database")</f>
        <v>Het creëren van een nieuwe, lege database</v>
      </c>
      <c r="N189" s="12" t="str">
        <f ca="1">IFERROR(__xludf.DUMMYFUNCTION("GOOGLETRANSLATE($B189,""en"",N$3)"),"Δημιουργώντας μια νέα, κενή βάση δεδομένων")</f>
        <v>Δημιουργώντας μια νέα, κενή βάση δεδομένων</v>
      </c>
      <c r="O189" s="12" t="str">
        <f ca="1">IFERROR(__xludf.DUMMYFUNCTION("GOOGLETRANSLATE($B189,""en"",O$3)"),"Luodaan uusi, tyhjä tietokanta")</f>
        <v>Luodaan uusi, tyhjä tietokanta</v>
      </c>
      <c r="P189" s="12" t="str">
        <f ca="1">IFERROR(__xludf.DUMMYFUNCTION("GOOGLETRANSLATE($B189,""en"",P$3)"),"A chruthú nua, bunachar bán")</f>
        <v>A chruthú nua, bunachar bán</v>
      </c>
      <c r="Q189" s="12" t="str">
        <f ca="1">IFERROR(__xludf.DUMMYFUNCTION("GOOGLETRANSLATE($B189,""en"",Q$3)"),"ایجاد یک جدید، پایگاه داده خالی")</f>
        <v>ایجاد یک جدید، پایگاه داده خالی</v>
      </c>
      <c r="R189" s="12" t="str">
        <f ca="1">IFERROR(__xludf.DUMMYFUNCTION("GOOGLETRANSLATE($B189,""en"",R$3)"),"יצירת מסד נתונים חדש, ריק")</f>
        <v>יצירת מסד נתונים חדש, ריק</v>
      </c>
      <c r="S189" s="12" t="str">
        <f ca="1">IFERROR(__xludf.DUMMYFUNCTION("GOOGLETRANSLATE($B189,""en"",S$3)"),"Búa til nýja, eyða gagnagrunn")</f>
        <v>Búa til nýja, eyða gagnagrunn</v>
      </c>
      <c r="T189" s="12" t="str">
        <f ca="1">IFERROR(__xludf.DUMMYFUNCTION("GOOGLETRANSLATE($B189,""en"",T$3)"),"Opprette en ny, tom database")</f>
        <v>Opprette en ny, tom database</v>
      </c>
      <c r="U189" s="12" t="str">
        <f ca="1">IFERROR(__xludf.DUMMYFUNCTION("GOOGLETRANSLATE($B189,""en"",U$3)"),"إنشاء قاعدة بيانات جديد وفارغ")</f>
        <v>إنشاء قاعدة بيانات جديد وفارغ</v>
      </c>
      <c r="V189" s="12" t="str">
        <f ca="1">IFERROR(__xludf.DUMMYFUNCTION("GOOGLETRANSLATE($B189,""en"",V$3)"),"Tworząc nową, pustą bazę danych")</f>
        <v>Tworząc nową, pustą bazę danych</v>
      </c>
      <c r="W189" s="12" t="str">
        <f ca="1">IFERROR(__xludf.DUMMYFUNCTION("GOOGLETRANSLATE($B189,""en"",W$3)"),"Создание новой, пустой базы данных")</f>
        <v>Создание новой, пустой базы данных</v>
      </c>
      <c r="X189" s="12" t="str">
        <f ca="1">IFERROR(__xludf.DUMMYFUNCTION("GOOGLETRANSLATE($B189,""en"",X$3)"),"Creación de una nueva base de datos, en blanco")</f>
        <v>Creación de una nueva base de datos, en blanco</v>
      </c>
      <c r="Y189" s="12"/>
      <c r="Z189" s="12"/>
    </row>
    <row r="190" spans="1:26" ht="32.25" customHeight="1" x14ac:dyDescent="0.2">
      <c r="A190" s="17" t="s">
        <v>488</v>
      </c>
      <c r="B190" s="17" t="s">
        <v>489</v>
      </c>
      <c r="C190" s="18" t="s">
        <v>490</v>
      </c>
      <c r="D190" s="12" t="str">
        <f ca="1">IFERROR(__xludf.DUMMYFUNCTION("GOOGLETRANSLATE($B190,""en"",D$3)"),"Skapa Sandbox")</f>
        <v>Skapa Sandbox</v>
      </c>
      <c r="E190" s="12" t="str">
        <f ca="1">IFERROR(__xludf.DUMMYFUNCTION("GOOGLETRANSLATE($B190,""en"",E$3)"),"Criar Sandbox")</f>
        <v>Criar Sandbox</v>
      </c>
      <c r="F190" s="12" t="str">
        <f ca="1">IFERROR(__xludf.DUMMYFUNCTION("GOOGLETRANSLATE($B190,""en"",F$3)"),"Criar Sandbox")</f>
        <v>Criar Sandbox</v>
      </c>
      <c r="G190" s="12" t="str">
        <f ca="1">IFERROR(__xludf.DUMMYFUNCTION("GOOGLETRANSLATE($B190,""en"",G$3)"),"Créer Sandbox")</f>
        <v>Créer Sandbox</v>
      </c>
      <c r="H190" s="12" t="str">
        <f ca="1">IFERROR(__xludf.DUMMYFUNCTION("GOOGLETRANSLATE($B190,""en"",H$3)"),"Sortu Sandbox")</f>
        <v>Sortu Sandbox</v>
      </c>
      <c r="I190" s="12" t="str">
        <f ca="1">IFERROR(__xludf.DUMMYFUNCTION("GOOGLETRANSLATE($B190,""en"",I$3)"),"crear caixa de sorra")</f>
        <v>crear caixa de sorra</v>
      </c>
      <c r="J190" s="12" t="str">
        <f ca="1">IFERROR(__xludf.DUMMYFUNCTION("GOOGLETRANSLATE($B190,""en"",J$3)"),"Vytvořit Sandbox")</f>
        <v>Vytvořit Sandbox</v>
      </c>
      <c r="K190" s="12" t="str">
        <f ca="1">IFERROR(__xludf.DUMMYFUNCTION("GOOGLETRANSLATE($B190,""en"",K$3)"),"创建沙箱")</f>
        <v>创建沙箱</v>
      </c>
      <c r="L190" s="12" t="str">
        <f ca="1">IFERROR(__xludf.DUMMYFUNCTION("GOOGLETRANSLATE($B190,""en"",L$3)"),"創建沙箱")</f>
        <v>創建沙箱</v>
      </c>
      <c r="M190" s="12" t="str">
        <f ca="1">IFERROR(__xludf.DUMMYFUNCTION("GOOGLETRANSLATE($B190,""en"",M$3)"),"Maak Sandbox")</f>
        <v>Maak Sandbox</v>
      </c>
      <c r="N190" s="12" t="str">
        <f ca="1">IFERROR(__xludf.DUMMYFUNCTION("GOOGLETRANSLATE($B190,""en"",N$3)"),"Δημιουργία Sandbox")</f>
        <v>Δημιουργία Sandbox</v>
      </c>
      <c r="O190" s="12" t="str">
        <f ca="1">IFERROR(__xludf.DUMMYFUNCTION("GOOGLETRANSLATE($B190,""en"",O$3)"),"Luo hiekkalaatikko")</f>
        <v>Luo hiekkalaatikko</v>
      </c>
      <c r="P190" s="12" t="str">
        <f ca="1">IFERROR(__xludf.DUMMYFUNCTION("GOOGLETRANSLATE($B190,""en"",P$3)"),"Cruthaigh Bosca Gainimh")</f>
        <v>Cruthaigh Bosca Gainimh</v>
      </c>
      <c r="Q190" s="12" t="str">
        <f ca="1">IFERROR(__xludf.DUMMYFUNCTION("GOOGLETRANSLATE($B190,""en"",Q$3)"),"درست گودال ماسهبازی")</f>
        <v>درست گودال ماسهبازی</v>
      </c>
      <c r="R190" s="12" t="str">
        <f ca="1">IFERROR(__xludf.DUMMYFUNCTION("GOOGLETRANSLATE($B190,""en"",R$3)"),"צור ארגז חול")</f>
        <v>צור ארגז חול</v>
      </c>
      <c r="S190" s="12" t="str">
        <f ca="1">IFERROR(__xludf.DUMMYFUNCTION("GOOGLETRANSLATE($B190,""en"",S$3)"),"Búa Sandbox")</f>
        <v>Búa Sandbox</v>
      </c>
      <c r="T190" s="12" t="str">
        <f ca="1">IFERROR(__xludf.DUMMYFUNCTION("GOOGLETRANSLATE($B190,""en"",T$3)"),"Lag Sandbox")</f>
        <v>Lag Sandbox</v>
      </c>
      <c r="U190" s="12" t="str">
        <f ca="1">IFERROR(__xludf.DUMMYFUNCTION("GOOGLETRANSLATE($B190,""en"",U$3)"),"إنشاء رمل")</f>
        <v>إنشاء رمل</v>
      </c>
      <c r="V190" s="12" t="str">
        <f ca="1">IFERROR(__xludf.DUMMYFUNCTION("GOOGLETRANSLATE($B190,""en"",V$3)"),"Tworzenie Sandbox")</f>
        <v>Tworzenie Sandbox</v>
      </c>
      <c r="W190" s="12" t="str">
        <f ca="1">IFERROR(__xludf.DUMMYFUNCTION("GOOGLETRANSLATE($B190,""en"",W$3)"),"Создание Песочница")</f>
        <v>Создание Песочница</v>
      </c>
      <c r="X190" s="12" t="str">
        <f ca="1">IFERROR(__xludf.DUMMYFUNCTION("GOOGLETRANSLATE($B190,""en"",X$3)"),"crear caja de arena")</f>
        <v>crear caja de arena</v>
      </c>
      <c r="Y190" s="12"/>
      <c r="Z190" s="12"/>
    </row>
    <row r="191" spans="1:26" ht="32.25" customHeight="1" x14ac:dyDescent="0.2">
      <c r="A191" s="17" t="s">
        <v>491</v>
      </c>
      <c r="B191" s="17" t="s">
        <v>492</v>
      </c>
      <c r="C191" s="18" t="s">
        <v>493</v>
      </c>
      <c r="D191" s="12" t="str">
        <f ca="1">IFERROR(__xludf.DUMMYFUNCTION("GOOGLETRANSLATE($B191,""en"",D$3)"),"Skapa App och Få Keys")</f>
        <v>Skapa App och Få Keys</v>
      </c>
      <c r="E191" s="12" t="str">
        <f ca="1">IFERROR(__xludf.DUMMYFUNCTION("GOOGLETRANSLATE($B191,""en"",E$3)"),"Criar App e obter Chaves")</f>
        <v>Criar App e obter Chaves</v>
      </c>
      <c r="F191" s="12" t="str">
        <f ca="1">IFERROR(__xludf.DUMMYFUNCTION("GOOGLETRANSLATE($B191,""en"",F$3)"),"Criar App e obter Chaves")</f>
        <v>Criar App e obter Chaves</v>
      </c>
      <c r="G191" s="12" t="str">
        <f ca="1">IFERROR(__xludf.DUMMYFUNCTION("GOOGLETRANSLATE($B191,""en"",G$3)"),"Créer et obtenir les clés App")</f>
        <v>Créer et obtenir les clés App</v>
      </c>
      <c r="H191" s="12" t="str">
        <f ca="1">IFERROR(__xludf.DUMMYFUNCTION("GOOGLETRANSLATE($B191,""en"",H$3)"),"Sortu aplikazioa eta Talde Keys")</f>
        <v>Sortu aplikazioa eta Talde Keys</v>
      </c>
      <c r="I191" s="12" t="str">
        <f ca="1">IFERROR(__xludf.DUMMYFUNCTION("GOOGLETRANSLATE($B191,""en"",I$3)"),"Crea App i obtenir les claus")</f>
        <v>Crea App i obtenir les claus</v>
      </c>
      <c r="J191" s="12" t="str">
        <f ca="1">IFERROR(__xludf.DUMMYFUNCTION("GOOGLETRANSLATE($B191,""en"",J$3)"),"Vytvořte App a dostat klíče")</f>
        <v>Vytvořte App a dostat klíče</v>
      </c>
      <c r="K191" s="12" t="str">
        <f ca="1">IFERROR(__xludf.DUMMYFUNCTION("GOOGLETRANSLATE($B191,""en"",K$3)"),"创建应用程序和获取密钥")</f>
        <v>创建应用程序和获取密钥</v>
      </c>
      <c r="L191" s="12" t="str">
        <f ca="1">IFERROR(__xludf.DUMMYFUNCTION("GOOGLETRANSLATE($B191,""en"",L$3)"),"創建應用程序和獲取密鑰")</f>
        <v>創建應用程序和獲取密鑰</v>
      </c>
      <c r="M191" s="12" t="str">
        <f ca="1">IFERROR(__xludf.DUMMYFUNCTION("GOOGLETRANSLATE($B191,""en"",M$3)"),"Maak App en Get Keys")</f>
        <v>Maak App en Get Keys</v>
      </c>
      <c r="N191" s="12" t="str">
        <f ca="1">IFERROR(__xludf.DUMMYFUNCTION("GOOGLETRANSLATE($B191,""en"",N$3)"),"Δημιουργία εφαρμογών και να πάρει Κλειδιά")</f>
        <v>Δημιουργία εφαρμογών και να πάρει Κλειδιά</v>
      </c>
      <c r="O191" s="12" t="str">
        <f ca="1">IFERROR(__xludf.DUMMYFUNCTION("GOOGLETRANSLATE($B191,""en"",O$3)"),"Luo App ja saat avaimet")</f>
        <v>Luo App ja saat avaimet</v>
      </c>
      <c r="P191" s="12" t="str">
        <f ca="1">IFERROR(__xludf.DUMMYFUNCTION("GOOGLETRANSLATE($B191,""en"",P$3)"),"Cruthaigh App agus Faigh Eochracha")</f>
        <v>Cruthaigh App agus Faigh Eochracha</v>
      </c>
      <c r="Q191" s="12" t="str">
        <f ca="1">IFERROR(__xludf.DUMMYFUNCTION("GOOGLETRANSLATE($B191,""en"",Q$3)"),"درست برنامه و دریافت کلید")</f>
        <v>درست برنامه و دریافت کلید</v>
      </c>
      <c r="R191" s="12" t="str">
        <f ca="1">IFERROR(__xludf.DUMMYFUNCTION("GOOGLETRANSLATE($B191,""en"",R$3)"),"צור אפליקציות ולקבל מפתחות")</f>
        <v>צור אפליקציות ולקבל מפתחות</v>
      </c>
      <c r="S191" s="12" t="str">
        <f ca="1">IFERROR(__xludf.DUMMYFUNCTION("GOOGLETRANSLATE($B191,""en"",S$3)"),"Búa til App og fá Keys")</f>
        <v>Búa til App og fá Keys</v>
      </c>
      <c r="T191" s="12" t="str">
        <f ca="1">IFERROR(__xludf.DUMMYFUNCTION("GOOGLETRANSLATE($B191,""en"",T$3)"),"Lag App og få nøkler")</f>
        <v>Lag App og få nøkler</v>
      </c>
      <c r="U191" s="12" t="str">
        <f ca="1">IFERROR(__xludf.DUMMYFUNCTION("GOOGLETRANSLATE($B191,""en"",U$3)"),"إنشاء التطبيقات والحصول على مفاتيح")</f>
        <v>إنشاء التطبيقات والحصول على مفاتيح</v>
      </c>
      <c r="V191" s="12" t="str">
        <f ca="1">IFERROR(__xludf.DUMMYFUNCTION("GOOGLETRANSLATE($B191,""en"",V$3)"),"Tworzenie aplikacji i uzyskać Keys")</f>
        <v>Tworzenie aplikacji i uzyskać Keys</v>
      </c>
      <c r="W191" s="12" t="str">
        <f ca="1">IFERROR(__xludf.DUMMYFUNCTION("GOOGLETRANSLATE($B191,""en"",W$3)"),"Создать приложение и получить ключи")</f>
        <v>Создать приложение и получить ключи</v>
      </c>
      <c r="X191" s="12" t="str">
        <f ca="1">IFERROR(__xludf.DUMMYFUNCTION("GOOGLETRANSLATE($B191,""en"",X$3)"),"Crea App y obtener las claves")</f>
        <v>Crea App y obtener las claves</v>
      </c>
      <c r="Y191" s="12"/>
      <c r="Z191" s="12"/>
    </row>
    <row r="192" spans="1:26" ht="32.25" customHeight="1" x14ac:dyDescent="0.2">
      <c r="A192" s="17" t="s">
        <v>494</v>
      </c>
      <c r="B192" s="17" t="s">
        <v>495</v>
      </c>
      <c r="C192" s="11" t="str">
        <f ca="1">IFERROR(__xludf.DUMMYFUNCTION("GOOGLETRANSLATE($B192,""en"",C$3)"),"Erstellen von INI-Dateien")</f>
        <v>Erstellen von INI-Dateien</v>
      </c>
      <c r="D192" s="12" t="str">
        <f ca="1">IFERROR(__xludf.DUMMYFUNCTION("GOOGLETRANSLATE($B192,""en"",D$3)"),"Skapa ini-filer")</f>
        <v>Skapa ini-filer</v>
      </c>
      <c r="E192" s="12" t="str">
        <f ca="1">IFERROR(__xludf.DUMMYFUNCTION("GOOGLETRANSLATE($B192,""en"",E$3)"),"Criando arquivos INI")</f>
        <v>Criando arquivos INI</v>
      </c>
      <c r="F192" s="12" t="str">
        <f ca="1">IFERROR(__xludf.DUMMYFUNCTION("GOOGLETRANSLATE($B192,""en"",F$3)"),"Criando arquivos INI")</f>
        <v>Criando arquivos INI</v>
      </c>
      <c r="G192" s="12" t="str">
        <f ca="1">IFERROR(__xludf.DUMMYFUNCTION("GOOGLETRANSLATE($B192,""en"",G$3)"),"Création de fichiers INI")</f>
        <v>Création de fichiers INI</v>
      </c>
      <c r="H192" s="12" t="str">
        <f ca="1">IFERROR(__xludf.DUMMYFUNCTION("GOOGLETRANSLATE($B192,""en"",H$3)"),"INI fitxategiak sortzea")</f>
        <v>INI fitxategiak sortzea</v>
      </c>
      <c r="I192" s="12" t="str">
        <f ca="1">IFERROR(__xludf.DUMMYFUNCTION("GOOGLETRANSLATE($B192,""en"",I$3)"),"La creació d'arxius INI")</f>
        <v>La creació d'arxius INI</v>
      </c>
      <c r="J192" s="12" t="str">
        <f ca="1">IFERROR(__xludf.DUMMYFUNCTION("GOOGLETRANSLATE($B192,""en"",J$3)"),"Vytváření INI souborů")</f>
        <v>Vytváření INI souborů</v>
      </c>
      <c r="K192" s="12" t="str">
        <f ca="1">IFERROR(__xludf.DUMMYFUNCTION("GOOGLETRANSLATE($B192,""en"",K$3)"),"创建INI文件")</f>
        <v>创建INI文件</v>
      </c>
      <c r="L192" s="12" t="str">
        <f ca="1">IFERROR(__xludf.DUMMYFUNCTION("GOOGLETRANSLATE($B192,""en"",L$3)"),"創建INI文件")</f>
        <v>創建INI文件</v>
      </c>
      <c r="M192" s="12" t="str">
        <f ca="1">IFERROR(__xludf.DUMMYFUNCTION("GOOGLETRANSLATE($B192,""en"",M$3)"),"INI-bestanden")</f>
        <v>INI-bestanden</v>
      </c>
      <c r="N192" s="12" t="str">
        <f ca="1">IFERROR(__xludf.DUMMYFUNCTION("GOOGLETRANSLATE($B192,""en"",N$3)"),"Δημιουργία INI αρχεία")</f>
        <v>Δημιουργία INI αρχεία</v>
      </c>
      <c r="O192" s="12" t="str">
        <f ca="1">IFERROR(__xludf.DUMMYFUNCTION("GOOGLETRANSLATE($B192,""en"",O$3)"),"Luodaan INI-tiedostot")</f>
        <v>Luodaan INI-tiedostot</v>
      </c>
      <c r="P192" s="12" t="str">
        <f ca="1">IFERROR(__xludf.DUMMYFUNCTION("GOOGLETRANSLATE($B192,""en"",P$3)"),"Cruthú Comhaid INI")</f>
        <v>Cruthú Comhaid INI</v>
      </c>
      <c r="Q192" s="12" t="str">
        <f ca="1">IFERROR(__xludf.DUMMYFUNCTION("GOOGLETRANSLATE($B192,""en"",Q$3)"),"ایجاد فایل های INI")</f>
        <v>ایجاد فایل های INI</v>
      </c>
      <c r="R192" s="12" t="str">
        <f ca="1">IFERROR(__xludf.DUMMYFUNCTION("GOOGLETRANSLATE($B192,""en"",R$3)"),"יצירת INI קבצים")</f>
        <v>יצירת INI קבצים</v>
      </c>
      <c r="S192" s="12" t="str">
        <f ca="1">IFERROR(__xludf.DUMMYFUNCTION("GOOGLETRANSLATE($B192,""en"",S$3)"),"Búa til INI skrár")</f>
        <v>Búa til INI skrár</v>
      </c>
      <c r="T192" s="12" t="str">
        <f ca="1">IFERROR(__xludf.DUMMYFUNCTION("GOOGLETRANSLATE($B192,""en"",T$3)"),"Opprette INI filer")</f>
        <v>Opprette INI filer</v>
      </c>
      <c r="U192" s="12" t="str">
        <f ca="1">IFERROR(__xludf.DUMMYFUNCTION("GOOGLETRANSLATE($B192,""en"",U$3)"),"إنشاء ملفات INI")</f>
        <v>إنشاء ملفات INI</v>
      </c>
      <c r="V192" s="12" t="str">
        <f ca="1">IFERROR(__xludf.DUMMYFUNCTION("GOOGLETRANSLATE($B192,""en"",V$3)"),"Tworzenie plików INI")</f>
        <v>Tworzenie plików INI</v>
      </c>
      <c r="W192" s="12" t="str">
        <f ca="1">IFERROR(__xludf.DUMMYFUNCTION("GOOGLETRANSLATE($B192,""en"",W$3)"),"Создание INI файлов")</f>
        <v>Создание INI файлов</v>
      </c>
      <c r="X192" s="12" t="str">
        <f ca="1">IFERROR(__xludf.DUMMYFUNCTION("GOOGLETRANSLATE($B192,""en"",X$3)"),"La creación de archivos INI")</f>
        <v>La creación de archivos INI</v>
      </c>
      <c r="Y192" s="12"/>
      <c r="Z192" s="12"/>
    </row>
    <row r="193" spans="1:26" ht="32.25" customHeight="1" x14ac:dyDescent="0.2">
      <c r="A193" s="17" t="s">
        <v>496</v>
      </c>
      <c r="B193" s="17" t="s">
        <v>497</v>
      </c>
      <c r="C193" s="11" t="str">
        <f ca="1">IFERROR(__xludf.DUMMYFUNCTION("GOOGLETRANSLATE($B193,""en"",C$3)"),"Aktuelle Größe auf der Festplatte")</f>
        <v>Aktuelle Größe auf der Festplatte</v>
      </c>
      <c r="D193" s="12" t="str">
        <f ca="1">IFERROR(__xludf.DUMMYFUNCTION("GOOGLETRANSLATE($B193,""en"",D$3)"),"Nuvarande storlek på disk")</f>
        <v>Nuvarande storlek på disk</v>
      </c>
      <c r="E193" s="12" t="str">
        <f ca="1">IFERROR(__xludf.DUMMYFUNCTION("GOOGLETRANSLATE($B193,""en"",E$3)"),"Atual tamanho em disco")</f>
        <v>Atual tamanho em disco</v>
      </c>
      <c r="F193" s="12" t="str">
        <f ca="1">IFERROR(__xludf.DUMMYFUNCTION("GOOGLETRANSLATE($B193,""en"",F$3)"),"Atual tamanho em disco")</f>
        <v>Atual tamanho em disco</v>
      </c>
      <c r="G193" s="12" t="str">
        <f ca="1">IFERROR(__xludf.DUMMYFUNCTION("GOOGLETRANSLATE($B193,""en"",G$3)"),"Taille actuelle sur le disque")</f>
        <v>Taille actuelle sur le disque</v>
      </c>
      <c r="H193" s="12" t="str">
        <f ca="1">IFERROR(__xludf.DUMMYFUNCTION("GOOGLETRANSLATE($B193,""en"",H$3)"),"Disko on Current neurria")</f>
        <v>Disko on Current neurria</v>
      </c>
      <c r="I193" s="12" t="str">
        <f ca="1">IFERROR(__xludf.DUMMYFUNCTION("GOOGLETRANSLATE($B193,""en"",I$3)"),"Mida actual al disc")</f>
        <v>Mida actual al disc</v>
      </c>
      <c r="J193" s="12" t="str">
        <f ca="1">IFERROR(__xludf.DUMMYFUNCTION("GOOGLETRANSLATE($B193,""en"",J$3)"),"Aktuální velikost na disku")</f>
        <v>Aktuální velikost na disku</v>
      </c>
      <c r="K193" s="12" t="str">
        <f ca="1">IFERROR(__xludf.DUMMYFUNCTION("GOOGLETRANSLATE($B193,""en"",K$3)"),"目前的硬盘大小")</f>
        <v>目前的硬盘大小</v>
      </c>
      <c r="L193" s="12" t="str">
        <f ca="1">IFERROR(__xludf.DUMMYFUNCTION("GOOGLETRANSLATE($B193,""en"",L$3)"),"目前的硬盤大小")</f>
        <v>目前的硬盤大小</v>
      </c>
      <c r="M193" s="12" t="str">
        <f ca="1">IFERROR(__xludf.DUMMYFUNCTION("GOOGLETRANSLATE($B193,""en"",M$3)"),"Current Size op schijf")</f>
        <v>Current Size op schijf</v>
      </c>
      <c r="N193" s="12" t="str">
        <f ca="1">IFERROR(__xludf.DUMMYFUNCTION("GOOGLETRANSLATE($B193,""en"",N$3)"),"Τρέχουσα Μέγεθος στο δίσκο")</f>
        <v>Τρέχουσα Μέγεθος στο δίσκο</v>
      </c>
      <c r="O193" s="12" t="str">
        <f ca="1">IFERROR(__xludf.DUMMYFUNCTION("GOOGLETRANSLATE($B193,""en"",O$3)"),"Nykyinen Koko levyllä")</f>
        <v>Nykyinen Koko levyllä</v>
      </c>
      <c r="P193" s="12" t="str">
        <f ca="1">IFERROR(__xludf.DUMMYFUNCTION("GOOGLETRANSLATE($B193,""en"",P$3)"),"Méid atá ann faoi láthair ar Diosca")</f>
        <v>Méid atá ann faoi láthair ar Diosca</v>
      </c>
      <c r="Q193" s="12" t="str">
        <f ca="1">IFERROR(__xludf.DUMMYFUNCTION("GOOGLETRANSLATE($B193,""en"",Q$3)"),"اندازه فعلی بر روی دیسک")</f>
        <v>اندازه فعلی بر روی دیسک</v>
      </c>
      <c r="R193" s="12" t="str">
        <f ca="1">IFERROR(__xludf.DUMMYFUNCTION("GOOGLETRANSLATE($B193,""en"",R$3)"),"גודל נוכחי על דיסק")</f>
        <v>גודל נוכחי על דיסק</v>
      </c>
      <c r="S193" s="12" t="str">
        <f ca="1">IFERROR(__xludf.DUMMYFUNCTION("GOOGLETRANSLATE($B193,""en"",S$3)"),"Núverandi stærð á diski")</f>
        <v>Núverandi stærð á diski</v>
      </c>
      <c r="T193" s="12" t="str">
        <f ca="1">IFERROR(__xludf.DUMMYFUNCTION("GOOGLETRANSLATE($B193,""en"",T$3)"),"Nåværende størrelse på disk")</f>
        <v>Nåværende størrelse på disk</v>
      </c>
      <c r="U193" s="12" t="str">
        <f ca="1">IFERROR(__xludf.DUMMYFUNCTION("GOOGLETRANSLATE($B193,""en"",U$3)"),"الحجم الحالي على القرص")</f>
        <v>الحجم الحالي على القرص</v>
      </c>
      <c r="V193" s="12" t="str">
        <f ca="1">IFERROR(__xludf.DUMMYFUNCTION("GOOGLETRANSLATE($B193,""en"",V$3)"),"Aktualny Rozmiar na dysku")</f>
        <v>Aktualny Rozmiar na dysku</v>
      </c>
      <c r="W193" s="12" t="str">
        <f ca="1">IFERROR(__xludf.DUMMYFUNCTION("GOOGLETRANSLATE($B193,""en"",W$3)"),"Текущий размер на диске")</f>
        <v>Текущий размер на диске</v>
      </c>
      <c r="X193" s="12" t="str">
        <f ca="1">IFERROR(__xludf.DUMMYFUNCTION("GOOGLETRANSLATE($B193,""en"",X$3)"),"Tamaño actual en el disco")</f>
        <v>Tamaño actual en el disco</v>
      </c>
      <c r="Y193" s="12"/>
      <c r="Z193" s="12"/>
    </row>
    <row r="194" spans="1:26" ht="32.25" customHeight="1" x14ac:dyDescent="0.2">
      <c r="A194" s="10" t="s">
        <v>498</v>
      </c>
      <c r="B194" s="10" t="s">
        <v>497</v>
      </c>
      <c r="C194" s="11" t="str">
        <f ca="1">IFERROR(__xludf.DUMMYFUNCTION("GOOGLETRANSLATE($B194,""en"",C$3)"),"Aktuelle Größe auf der Festplatte")</f>
        <v>Aktuelle Größe auf der Festplatte</v>
      </c>
      <c r="D194" s="11" t="str">
        <f ca="1">IFERROR(__xludf.DUMMYFUNCTION("GOOGLETRANSLATE($B194,""en"",D$3)"),"Nuvarande storlek på disk")</f>
        <v>Nuvarande storlek på disk</v>
      </c>
      <c r="E194" s="11" t="str">
        <f ca="1">IFERROR(__xludf.DUMMYFUNCTION("GOOGLETRANSLATE($B194,""en"",E$3)"),"Atual tamanho em disco")</f>
        <v>Atual tamanho em disco</v>
      </c>
      <c r="F194" s="11" t="str">
        <f ca="1">IFERROR(__xludf.DUMMYFUNCTION("GOOGLETRANSLATE($B194,""en"",F$3)"),"Atual tamanho em disco")</f>
        <v>Atual tamanho em disco</v>
      </c>
      <c r="G194" s="11" t="str">
        <f ca="1">IFERROR(__xludf.DUMMYFUNCTION("GOOGLETRANSLATE($B194,""en"",G$3)"),"Taille actuelle sur le disque")</f>
        <v>Taille actuelle sur le disque</v>
      </c>
      <c r="H194" s="11" t="str">
        <f ca="1">IFERROR(__xludf.DUMMYFUNCTION("GOOGLETRANSLATE($B194,""en"",H$3)"),"Disko on Current neurria")</f>
        <v>Disko on Current neurria</v>
      </c>
      <c r="I194" s="11" t="str">
        <f ca="1">IFERROR(__xludf.DUMMYFUNCTION("GOOGLETRANSLATE($B194,""en"",I$3)"),"Mida actual al disc")</f>
        <v>Mida actual al disc</v>
      </c>
      <c r="J194" s="11" t="str">
        <f ca="1">IFERROR(__xludf.DUMMYFUNCTION("GOOGLETRANSLATE($B194,""en"",J$3)"),"Aktuální velikost na disku")</f>
        <v>Aktuální velikost na disku</v>
      </c>
      <c r="K194" s="11" t="str">
        <f ca="1">IFERROR(__xludf.DUMMYFUNCTION("GOOGLETRANSLATE($B194,""en"",K$3)"),"目前的硬盘大小")</f>
        <v>目前的硬盘大小</v>
      </c>
      <c r="L194" s="11" t="str">
        <f ca="1">IFERROR(__xludf.DUMMYFUNCTION("GOOGLETRANSLATE($B194,""en"",L$3)"),"目前的硬盤大小")</f>
        <v>目前的硬盤大小</v>
      </c>
      <c r="M194" s="11" t="str">
        <f ca="1">IFERROR(__xludf.DUMMYFUNCTION("GOOGLETRANSLATE($B194,""en"",M$3)"),"Current Size op schijf")</f>
        <v>Current Size op schijf</v>
      </c>
      <c r="N194" s="11" t="str">
        <f ca="1">IFERROR(__xludf.DUMMYFUNCTION("GOOGLETRANSLATE($B194,""en"",N$3)"),"Τρέχουσα Μέγεθος στο δίσκο")</f>
        <v>Τρέχουσα Μέγεθος στο δίσκο</v>
      </c>
      <c r="O194" s="11" t="str">
        <f ca="1">IFERROR(__xludf.DUMMYFUNCTION("GOOGLETRANSLATE($B194,""en"",O$3)"),"Nykyinen Koko levyllä")</f>
        <v>Nykyinen Koko levyllä</v>
      </c>
      <c r="P194" s="11" t="str">
        <f ca="1">IFERROR(__xludf.DUMMYFUNCTION("GOOGLETRANSLATE($B194,""en"",P$3)"),"Méid atá ann faoi láthair ar Diosca")</f>
        <v>Méid atá ann faoi láthair ar Diosca</v>
      </c>
      <c r="Q194" s="11" t="str">
        <f ca="1">IFERROR(__xludf.DUMMYFUNCTION("GOOGLETRANSLATE($B194,""en"",Q$3)"),"اندازه فعلی بر روی دیسک")</f>
        <v>اندازه فعلی بر روی دیسک</v>
      </c>
      <c r="R194" s="11" t="str">
        <f ca="1">IFERROR(__xludf.DUMMYFUNCTION("GOOGLETRANSLATE($B194,""en"",R$3)"),"גודל נוכחי על דיסק")</f>
        <v>גודל נוכחי על דיסק</v>
      </c>
      <c r="S194" s="11" t="str">
        <f ca="1">IFERROR(__xludf.DUMMYFUNCTION("GOOGLETRANSLATE($B194,""en"",S$3)"),"Núverandi stærð á diski")</f>
        <v>Núverandi stærð á diski</v>
      </c>
      <c r="T194" s="11" t="str">
        <f ca="1">IFERROR(__xludf.DUMMYFUNCTION("GOOGLETRANSLATE($B194,""en"",T$3)"),"Nåværende størrelse på disk")</f>
        <v>Nåværende størrelse på disk</v>
      </c>
      <c r="U194" s="11" t="str">
        <f ca="1">IFERROR(__xludf.DUMMYFUNCTION("GOOGLETRANSLATE($B194,""en"",U$3)"),"الحجم الحالي على القرص")</f>
        <v>الحجم الحالي على القرص</v>
      </c>
      <c r="V194" s="11" t="str">
        <f ca="1">IFERROR(__xludf.DUMMYFUNCTION("GOOGLETRANSLATE($B194,""en"",V$3)"),"Aktualny Rozmiar na dysku")</f>
        <v>Aktualny Rozmiar na dysku</v>
      </c>
      <c r="W194" s="11" t="str">
        <f ca="1">IFERROR(__xludf.DUMMYFUNCTION("GOOGLETRANSLATE($B194,""en"",W$3)"),"Текущий размер на диске")</f>
        <v>Текущий размер на диске</v>
      </c>
      <c r="X194" s="11" t="str">
        <f ca="1">IFERROR(__xludf.DUMMYFUNCTION("GOOGLETRANSLATE($B194,""en"",X$3)"),"Tamaño actual en el disco")</f>
        <v>Tamaño actual en el disco</v>
      </c>
    </row>
    <row r="195" spans="1:26" ht="32.25" customHeight="1" x14ac:dyDescent="0.2">
      <c r="A195" s="17" t="s">
        <v>499</v>
      </c>
      <c r="B195" s="17" t="s">
        <v>500</v>
      </c>
      <c r="C195" s="18" t="s">
        <v>501</v>
      </c>
      <c r="D195" s="12" t="str">
        <f ca="1">IFERROR(__xludf.DUMMYFUNCTION("GOOGLETRANSLATE($B195,""en"",D$3)"),"Beställnings")</f>
        <v>Beställnings</v>
      </c>
      <c r="E195" s="13" t="s">
        <v>502</v>
      </c>
      <c r="F195" s="13" t="s">
        <v>502</v>
      </c>
      <c r="G195" s="12" t="str">
        <f ca="1">IFERROR(__xludf.DUMMYFUNCTION("GOOGLETRANSLATE($B195,""en"",G$3)"),"Douane")</f>
        <v>Douane</v>
      </c>
      <c r="H195" s="12" t="str">
        <f ca="1">IFERROR(__xludf.DUMMYFUNCTION("GOOGLETRANSLATE($B195,""en"",H$3)"),"pertsonalizatua")</f>
        <v>pertsonalizatua</v>
      </c>
      <c r="I195" s="12" t="str">
        <f ca="1">IFERROR(__xludf.DUMMYFUNCTION("GOOGLETRANSLATE($B195,""en"",I$3)"),"costum")</f>
        <v>costum</v>
      </c>
      <c r="J195" s="12" t="str">
        <f ca="1">IFERROR(__xludf.DUMMYFUNCTION("GOOGLETRANSLATE($B195,""en"",J$3)"),"Zvyk")</f>
        <v>Zvyk</v>
      </c>
      <c r="K195" s="12" t="str">
        <f ca="1">IFERROR(__xludf.DUMMYFUNCTION("GOOGLETRANSLATE($B195,""en"",K$3)"),"习惯")</f>
        <v>习惯</v>
      </c>
      <c r="L195" s="12" t="str">
        <f ca="1">IFERROR(__xludf.DUMMYFUNCTION("GOOGLETRANSLATE($B195,""en"",L$3)"),"習慣")</f>
        <v>習慣</v>
      </c>
      <c r="M195" s="12" t="str">
        <f ca="1">IFERROR(__xludf.DUMMYFUNCTION("GOOGLETRANSLATE($B195,""en"",M$3)"),"Op maat")</f>
        <v>Op maat</v>
      </c>
      <c r="N195" s="12" t="str">
        <f ca="1">IFERROR(__xludf.DUMMYFUNCTION("GOOGLETRANSLATE($B195,""en"",N$3)"),"Εθιμο")</f>
        <v>Εθιμο</v>
      </c>
      <c r="O195" s="12" t="str">
        <f ca="1">IFERROR(__xludf.DUMMYFUNCTION("GOOGLETRANSLATE($B195,""en"",O$3)"),"Mukautettu")</f>
        <v>Mukautettu</v>
      </c>
      <c r="P195" s="12" t="str">
        <f ca="1">IFERROR(__xludf.DUMMYFUNCTION("GOOGLETRANSLATE($B195,""en"",P$3)"),"Saincheaptha")</f>
        <v>Saincheaptha</v>
      </c>
      <c r="Q195" s="12" t="str">
        <f ca="1">IFERROR(__xludf.DUMMYFUNCTION("GOOGLETRANSLATE($B195,""en"",Q$3)"),"سفارشی")</f>
        <v>سفارشی</v>
      </c>
      <c r="R195" s="12" t="str">
        <f ca="1">IFERROR(__xludf.DUMMYFUNCTION("GOOGLETRANSLATE($B195,""en"",R$3)"),"המותאם אישית")</f>
        <v>המותאם אישית</v>
      </c>
      <c r="S195" s="12" t="str">
        <f ca="1">IFERROR(__xludf.DUMMYFUNCTION("GOOGLETRANSLATE($B195,""en"",S$3)"),"Custom")</f>
        <v>Custom</v>
      </c>
      <c r="T195" s="12" t="str">
        <f ca="1">IFERROR(__xludf.DUMMYFUNCTION("GOOGLETRANSLATE($B195,""en"",T$3)"),"Tilpasset")</f>
        <v>Tilpasset</v>
      </c>
      <c r="U195" s="12" t="str">
        <f ca="1">IFERROR(__xludf.DUMMYFUNCTION("GOOGLETRANSLATE($B195,""en"",U$3)"),"مخصص")</f>
        <v>مخصص</v>
      </c>
      <c r="V195" s="12" t="str">
        <f ca="1">IFERROR(__xludf.DUMMYFUNCTION("GOOGLETRANSLATE($B195,""en"",V$3)"),"Zwyczaj")</f>
        <v>Zwyczaj</v>
      </c>
      <c r="W195" s="12" t="str">
        <f ca="1">IFERROR(__xludf.DUMMYFUNCTION("GOOGLETRANSLATE($B195,""en"",W$3)"),"изготовленный на заказ")</f>
        <v>изготовленный на заказ</v>
      </c>
      <c r="X195" s="12" t="str">
        <f ca="1">IFERROR(__xludf.DUMMYFUNCTION("GOOGLETRANSLATE($B195,""en"",X$3)"),"Personalizado")</f>
        <v>Personalizado</v>
      </c>
      <c r="Y195" s="12"/>
      <c r="Z195" s="12"/>
    </row>
    <row r="196" spans="1:26" ht="32.25" customHeight="1" x14ac:dyDescent="0.2">
      <c r="A196" s="17" t="s">
        <v>503</v>
      </c>
      <c r="B196" s="17" t="s">
        <v>504</v>
      </c>
      <c r="C196" s="11" t="str">
        <f ca="1">IFERROR(__xludf.DUMMYFUNCTION("GOOGLETRANSLATE($B196,""en"",C$3)"),"Zykluszeit in Sekunden")</f>
        <v>Zykluszeit in Sekunden</v>
      </c>
      <c r="D196" s="12" t="str">
        <f ca="1">IFERROR(__xludf.DUMMYFUNCTION("GOOGLETRANSLATE($B196,""en"",D$3)"),"Cycle Tid i sekunder")</f>
        <v>Cycle Tid i sekunder</v>
      </c>
      <c r="E196" s="12" t="str">
        <f ca="1">IFERROR(__xludf.DUMMYFUNCTION("GOOGLETRANSLATE($B196,""en"",E$3)"),"Ciclo de tempo em segundos")</f>
        <v>Ciclo de tempo em segundos</v>
      </c>
      <c r="F196" s="12" t="str">
        <f ca="1">IFERROR(__xludf.DUMMYFUNCTION("GOOGLETRANSLATE($B196,""en"",F$3)"),"Ciclo de tempo em segundos")</f>
        <v>Ciclo de tempo em segundos</v>
      </c>
      <c r="G196" s="12" t="str">
        <f ca="1">IFERROR(__xludf.DUMMYFUNCTION("GOOGLETRANSLATE($B196,""en"",G$3)"),"Temps de cycle en secondes")</f>
        <v>Temps de cycle en secondes</v>
      </c>
      <c r="H196" s="12" t="str">
        <f ca="1">IFERROR(__xludf.DUMMYFUNCTION("GOOGLETRANSLATE($B196,""en"",H$3)"),"Zikloa denbora segundotan")</f>
        <v>Zikloa denbora segundotan</v>
      </c>
      <c r="I196" s="12" t="str">
        <f ca="1">IFERROR(__xludf.DUMMYFUNCTION("GOOGLETRANSLATE($B196,""en"",I$3)"),"Temps de el cicle en qüestió de segons")</f>
        <v>Temps de el cicle en qüestió de segons</v>
      </c>
      <c r="J196" s="12" t="str">
        <f ca="1">IFERROR(__xludf.DUMMYFUNCTION("GOOGLETRANSLATE($B196,""en"",J$3)"),"Doba cyklu během několika sekund")</f>
        <v>Doba cyklu během několika sekund</v>
      </c>
      <c r="K196" s="12" t="str">
        <f ca="1">IFERROR(__xludf.DUMMYFUNCTION("GOOGLETRANSLATE($B196,""en"",K$3)"),"以秒为周期时间")</f>
        <v>以秒为周期时间</v>
      </c>
      <c r="L196" s="12" t="str">
        <f ca="1">IFERROR(__xludf.DUMMYFUNCTION("GOOGLETRANSLATE($B196,""en"",L$3)"),"以秒為週期時間")</f>
        <v>以秒為週期時間</v>
      </c>
      <c r="M196" s="12" t="str">
        <f ca="1">IFERROR(__xludf.DUMMYFUNCTION("GOOGLETRANSLATE($B196,""en"",M$3)"),"Cycle Tijd in seconden")</f>
        <v>Cycle Tijd in seconden</v>
      </c>
      <c r="N196" s="12" t="str">
        <f ca="1">IFERROR(__xludf.DUMMYFUNCTION("GOOGLETRANSLATE($B196,""en"",N$3)"),"Κύκλος Χρόνος σε δευτερόλεπτα")</f>
        <v>Κύκλος Χρόνος σε δευτερόλεπτα</v>
      </c>
      <c r="O196" s="12" t="str">
        <f ca="1">IFERROR(__xludf.DUMMYFUNCTION("GOOGLETRANSLATE($B196,""en"",O$3)"),"Cycle Aika sekunneissa")</f>
        <v>Cycle Aika sekunneissa</v>
      </c>
      <c r="P196" s="12" t="str">
        <f ca="1">IFERROR(__xludf.DUMMYFUNCTION("GOOGLETRANSLATE($B196,""en"",P$3)"),"Am Rothaíochta i soicindí")</f>
        <v>Am Rothaíochta i soicindí</v>
      </c>
      <c r="Q196" s="12" t="str">
        <f ca="1">IFERROR(__xludf.DUMMYFUNCTION("GOOGLETRANSLATE($B196,""en"",Q$3)"),"زمان چرخه در ثانیه")</f>
        <v>زمان چرخه در ثانیه</v>
      </c>
      <c r="R196" s="12" t="str">
        <f ca="1">IFERROR(__xludf.DUMMYFUNCTION("GOOGLETRANSLATE($B196,""en"",R$3)"),"זמן מחזור שני")</f>
        <v>זמן מחזור שני</v>
      </c>
      <c r="S196" s="12" t="str">
        <f ca="1">IFERROR(__xludf.DUMMYFUNCTION("GOOGLETRANSLATE($B196,""en"",S$3)"),"Hringrás Tími í sekúndum")</f>
        <v>Hringrás Tími í sekúndum</v>
      </c>
      <c r="T196" s="12" t="str">
        <f ca="1">IFERROR(__xludf.DUMMYFUNCTION("GOOGLETRANSLATE($B196,""en"",T$3)"),"Cycle Tid i sekunder")</f>
        <v>Cycle Tid i sekunder</v>
      </c>
      <c r="U196" s="12" t="str">
        <f ca="1">IFERROR(__xludf.DUMMYFUNCTION("GOOGLETRANSLATE($B196,""en"",U$3)"),"الوقت دورة في ثوان")</f>
        <v>الوقت دورة في ثوان</v>
      </c>
      <c r="V196" s="12" t="str">
        <f ca="1">IFERROR(__xludf.DUMMYFUNCTION("GOOGLETRANSLATE($B196,""en"",V$3)"),"Czas cyklu w sekundach")</f>
        <v>Czas cyklu w sekundach</v>
      </c>
      <c r="W196" s="12" t="str">
        <f ca="1">IFERROR(__xludf.DUMMYFUNCTION("GOOGLETRANSLATE($B196,""en"",W$3)"),"Время цикла в секундах")</f>
        <v>Время цикла в секундах</v>
      </c>
      <c r="X196" s="12" t="str">
        <f ca="1">IFERROR(__xludf.DUMMYFUNCTION("GOOGLETRANSLATE($B196,""en"",X$3)"),"Tiempo del ciclo en cuestión de segundos")</f>
        <v>Tiempo del ciclo en cuestión de segundos</v>
      </c>
      <c r="Y196" s="12"/>
      <c r="Z196" s="12"/>
    </row>
    <row r="197" spans="1:26" ht="32.25" customHeight="1" x14ac:dyDescent="0.2">
      <c r="A197" s="17" t="s">
        <v>505</v>
      </c>
      <c r="B197" s="17" t="s">
        <v>506</v>
      </c>
      <c r="C197" s="11" t="str">
        <f ca="1">IFERROR(__xludf.DUMMYFUNCTION("GOOGLETRANSLATE($B197,""en"",C$3)"),"Wie lange in Sekunden für eine komplette Zykluszeit. Low-&gt; High&gt; low")</f>
        <v>Wie lange in Sekunden für eine komplette Zykluszeit. Low-&gt; High&gt; low</v>
      </c>
      <c r="D197" s="12" t="str">
        <f ca="1">IFERROR(__xludf.DUMMYFUNCTION("GOOGLETRANSLATE($B197,""en"",D$3)"),"Hur länge i sekunder för en komplett cykeltiden. låg-&gt; hög-&gt; låg")</f>
        <v>Hur länge i sekunder för en komplett cykeltiden. låg-&gt; hög-&gt; låg</v>
      </c>
      <c r="E197" s="12" t="str">
        <f ca="1">IFERROR(__xludf.DUMMYFUNCTION("GOOGLETRANSLATE($B197,""en"",E$3)"),"Quanto tempo em segundos para um tempo de ciclo completo. baixa&gt; alta&gt; baixo")</f>
        <v>Quanto tempo em segundos para um tempo de ciclo completo. baixa&gt; alta&gt; baixo</v>
      </c>
      <c r="F197" s="12" t="str">
        <f ca="1">IFERROR(__xludf.DUMMYFUNCTION("GOOGLETRANSLATE($B197,""en"",F$3)"),"Quanto tempo em segundos para um tempo de ciclo completo. baixa&gt; alta&gt; baixo")</f>
        <v>Quanto tempo em segundos para um tempo de ciclo completo. baixa&gt; alta&gt; baixo</v>
      </c>
      <c r="G197" s="12" t="str">
        <f ca="1">IFERROR(__xludf.DUMMYFUNCTION("GOOGLETRANSLATE($B197,""en"",G$3)"),"Pendant combien de temps en secondes pour un temps de cycle complet. faible&gt; haut-&gt; bas")</f>
        <v>Pendant combien de temps en secondes pour un temps de cycle complet. faible&gt; haut-&gt; bas</v>
      </c>
      <c r="H197" s="12" t="str">
        <f ca="1">IFERROR(__xludf.DUMMYFUNCTION("GOOGLETRANSLATE($B197,""en"",H$3)"),"Zenbat denbora zikloaren denbora osoa segundotan. behe&gt; goi-&gt; baxua")</f>
        <v>Zenbat denbora zikloaren denbora osoa segundotan. behe&gt; goi-&gt; baxua</v>
      </c>
      <c r="I197" s="12" t="str">
        <f ca="1">IFERROR(__xludf.DUMMYFUNCTION("GOOGLETRANSLATE($B197,""en"",I$3)"),"Quant de temps en segons per a un temps de cicle complet. baix&gt; alt&gt; baix")</f>
        <v>Quant de temps en segons per a un temps de cicle complet. baix&gt; alt&gt; baix</v>
      </c>
      <c r="J197" s="12" t="str">
        <f ca="1">IFERROR(__xludf.DUMMYFUNCTION("GOOGLETRANSLATE($B197,""en"",J$3)"),"Jak dlouho v sekundách pro kompletní době cyklu. nízko&gt; vysoce&gt; nízká")</f>
        <v>Jak dlouho v sekundách pro kompletní době cyklu. nízko&gt; vysoce&gt; nízká</v>
      </c>
      <c r="K197" s="12" t="str">
        <f ca="1">IFERROR(__xludf.DUMMYFUNCTION("GOOGLETRANSLATE($B197,""en"",K$3)"),"多久为一个完整周期的时间秒。低 - &gt;高 - &gt;低")</f>
        <v>多久为一个完整周期的时间秒。低 - &gt;高 - &gt;低</v>
      </c>
      <c r="L197" s="12" t="str">
        <f ca="1">IFERROR(__xludf.DUMMYFUNCTION("GOOGLETRANSLATE($B197,""en"",L$3)"),"多久為一個完整週期的時間秒。低 - &gt;高 - &gt;低")</f>
        <v>多久為一個完整週期的時間秒。低 - &gt;高 - &gt;低</v>
      </c>
      <c r="M197" s="12" t="str">
        <f ca="1">IFERROR(__xludf.DUMMYFUNCTION("GOOGLETRANSLATE($B197,""en"",M$3)"),"Hoe lang in enkele seconden voor een volledige cyclustijd. laag-&gt; hoog&gt; laag")</f>
        <v>Hoe lang in enkele seconden voor een volledige cyclustijd. laag-&gt; hoog&gt; laag</v>
      </c>
      <c r="N197" s="12" t="str">
        <f ca="1">IFERROR(__xludf.DUMMYFUNCTION("GOOGLETRANSLATE($B197,""en"",N$3)"),"Πόσο καιρό σε δευτερόλεπτα για μια πλήρη χρόνο του κύκλου. χαμηλής&gt; υψηλής&gt; χαμηλή")</f>
        <v>Πόσο καιρό σε δευτερόλεπτα για μια πλήρη χρόνο του κύκλου. χαμηλής&gt; υψηλής&gt; χαμηλή</v>
      </c>
      <c r="O197" s="12" t="str">
        <f ca="1">IFERROR(__xludf.DUMMYFUNCTION("GOOGLETRANSLATE($B197,""en"",O$3)"),"Kuinka kauan sekunneissa täydellisen jakson ajan. matala-&gt; korkean&gt; alhainen")</f>
        <v>Kuinka kauan sekunneissa täydellisen jakson ajan. matala-&gt; korkean&gt; alhainen</v>
      </c>
      <c r="P197" s="12" t="str">
        <f ca="1">IFERROR(__xludf.DUMMYFUNCTION("GOOGLETRANSLATE($B197,""en"",P$3)"),"Cé chomh fada i soicindí feadh tréimhse timthriall iomlán. íseal&gt; ard&gt; íseal")</f>
        <v>Cé chomh fada i soicindí feadh tréimhse timthriall iomlán. íseal&gt; ard&gt; íseal</v>
      </c>
      <c r="Q197" s="12" t="str">
        <f ca="1">IFERROR(__xludf.DUMMYFUNCTION("GOOGLETRANSLATE($B197,""en"",Q$3)"),"چه مدت در ثانیه برای یک زمان چرخه کامل است. کم&gt; بالا&gt; پایین")</f>
        <v>چه مدت در ثانیه برای یک زمان چرخه کامل است. کم&gt; بالا&gt; پایین</v>
      </c>
      <c r="R197" s="12" t="str">
        <f ca="1">IFERROR(__xludf.DUMMYFUNCTION("GOOGLETRANSLATE($B197,""en"",R$3)"),"כמה זמן בשניות במשך זמן מחזור שלם. נמוך&gt; גבוה&gt; נמוך")</f>
        <v>כמה זמן בשניות במשך זמן מחזור שלם. נמוך&gt; גבוה&gt; נמוך</v>
      </c>
      <c r="S197" s="12" t="str">
        <f ca="1">IFERROR(__xludf.DUMMYFUNCTION("GOOGLETRANSLATE($B197,""en"",S$3)"),"Hversu lengi í sekúndum fyrir fullan hringrás tíma. lægra-gildis&gt; hár-&gt; lág")</f>
        <v>Hversu lengi í sekúndum fyrir fullan hringrás tíma. lægra-gildis&gt; hár-&gt; lág</v>
      </c>
      <c r="T197" s="12" t="str">
        <f ca="1">IFERROR(__xludf.DUMMYFUNCTION("GOOGLETRANSLATE($B197,""en"",T$3)"),"Hvor lenge i sekunder for en komplett syklus tid. lav-&gt; høy-&gt; lavt")</f>
        <v>Hvor lenge i sekunder for en komplett syklus tid. lav-&gt; høy-&gt; lavt</v>
      </c>
      <c r="U197" s="12" t="str">
        <f ca="1">IFERROR(__xludf.DUMMYFUNCTION("GOOGLETRANSLATE($B197,""en"",U$3)"),"كم من الوقت في ثوان لمدة دورة كاملة. المنخفضة&gt; عالية&gt; منخفض")</f>
        <v>كم من الوقت في ثوان لمدة دورة كاملة. المنخفضة&gt; عالية&gt; منخفض</v>
      </c>
      <c r="V197" s="12" t="str">
        <f ca="1">IFERROR(__xludf.DUMMYFUNCTION("GOOGLETRANSLATE($B197,""en"",V$3)"),"Jak długo w sekundach dla pełnego czasu cyklu. nisko-&gt; wysokiej&gt; niska")</f>
        <v>Jak długo w sekundach dla pełnego czasu cyklu. nisko-&gt; wysokiej&gt; niska</v>
      </c>
      <c r="W197" s="12" t="str">
        <f ca="1">IFERROR(__xludf.DUMMYFUNCTION("GOOGLETRANSLATE($B197,""en"",W$3)"),"Как долго в секундах для полного времени цикла. низко-&gt; высокого&gt; низкий")</f>
        <v>Как долго в секундах для полного времени цикла. низко-&gt; высокого&gt; низкий</v>
      </c>
      <c r="X197" s="12" t="str">
        <f ca="1">IFERROR(__xludf.DUMMYFUNCTION("GOOGLETRANSLATE($B197,""en"",X$3)"),"¿Cuánto tiempo en segundos para un tiempo de ciclo completo. bajo&gt; alto&gt; bajo")</f>
        <v>¿Cuánto tiempo en segundos para un tiempo de ciclo completo. bajo&gt; alto&gt; bajo</v>
      </c>
      <c r="Y197" s="12"/>
      <c r="Z197" s="12"/>
    </row>
    <row r="198" spans="1:26" ht="32.25" customHeight="1" x14ac:dyDescent="0.2">
      <c r="A198" s="10" t="s">
        <v>8</v>
      </c>
      <c r="B198" s="10" t="s">
        <v>8</v>
      </c>
      <c r="C198" s="11" t="str">
        <f ca="1">IFERROR(__xludf.DUMMYFUNCTION("GOOGLETRANSLATE($B198,""en"",C$3)"),"Tschechisch")</f>
        <v>Tschechisch</v>
      </c>
      <c r="D198" s="11" t="str">
        <f ca="1">IFERROR(__xludf.DUMMYFUNCTION("GOOGLETRANSLATE($B198,""en"",D$3)"),"tjeck")</f>
        <v>tjeck</v>
      </c>
      <c r="E198" s="11" t="str">
        <f ca="1">IFERROR(__xludf.DUMMYFUNCTION("GOOGLETRANSLATE($B198,""en"",E$3)"),"tcheco")</f>
        <v>tcheco</v>
      </c>
      <c r="F198" s="11" t="str">
        <f ca="1">IFERROR(__xludf.DUMMYFUNCTION("GOOGLETRANSLATE($B198,""en"",F$3)"),"tcheco")</f>
        <v>tcheco</v>
      </c>
      <c r="G198" s="11" t="str">
        <f ca="1">IFERROR(__xludf.DUMMYFUNCTION("GOOGLETRANSLATE($B198,""en"",G$3)"),"tchèque")</f>
        <v>tchèque</v>
      </c>
      <c r="H198" s="11" t="str">
        <f ca="1">IFERROR(__xludf.DUMMYFUNCTION("GOOGLETRANSLATE($B198,""en"",H$3)"),"Txekiar")</f>
        <v>Txekiar</v>
      </c>
      <c r="I198" s="11" t="str">
        <f ca="1">IFERROR(__xludf.DUMMYFUNCTION("GOOGLETRANSLATE($B198,""en"",I$3)"),"txec")</f>
        <v>txec</v>
      </c>
      <c r="J198" s="11" t="str">
        <f ca="1">IFERROR(__xludf.DUMMYFUNCTION("GOOGLETRANSLATE($B198,""en"",J$3)"),"čeština")</f>
        <v>čeština</v>
      </c>
      <c r="K198" s="11" t="str">
        <f ca="1">IFERROR(__xludf.DUMMYFUNCTION("GOOGLETRANSLATE($B198,""en"",K$3)"),"捷克")</f>
        <v>捷克</v>
      </c>
      <c r="L198" s="11" t="str">
        <f ca="1">IFERROR(__xludf.DUMMYFUNCTION("GOOGLETRANSLATE($B198,""en"",L$3)"),"捷克")</f>
        <v>捷克</v>
      </c>
      <c r="M198" s="11" t="str">
        <f ca="1">IFERROR(__xludf.DUMMYFUNCTION("GOOGLETRANSLATE($B198,""en"",M$3)"),"Tsjechisch")</f>
        <v>Tsjechisch</v>
      </c>
      <c r="N198" s="11" t="str">
        <f ca="1">IFERROR(__xludf.DUMMYFUNCTION("GOOGLETRANSLATE($B198,""en"",N$3)"),"Τσέχος")</f>
        <v>Τσέχος</v>
      </c>
      <c r="O198" s="11" t="str">
        <f ca="1">IFERROR(__xludf.DUMMYFUNCTION("GOOGLETRANSLATE($B198,""en"",O$3)"),"czech")</f>
        <v>czech</v>
      </c>
      <c r="P198" s="11" t="str">
        <f ca="1">IFERROR(__xludf.DUMMYFUNCTION("GOOGLETRANSLATE($B198,""en"",P$3)"),"Seice")</f>
        <v>Seice</v>
      </c>
      <c r="Q198" s="11" t="str">
        <f ca="1">IFERROR(__xludf.DUMMYFUNCTION("GOOGLETRANSLATE($B198,""en"",Q$3)"),"کشور چک")</f>
        <v>کشور چک</v>
      </c>
      <c r="R198" s="11" t="str">
        <f ca="1">IFERROR(__xludf.DUMMYFUNCTION("GOOGLETRANSLATE($B198,""en"",R$3)"),"צ'כיה")</f>
        <v>צ'כיה</v>
      </c>
      <c r="S198" s="11" t="str">
        <f ca="1">IFERROR(__xludf.DUMMYFUNCTION("GOOGLETRANSLATE($B198,""en"",S$3)"),"czech")</f>
        <v>czech</v>
      </c>
      <c r="T198" s="11" t="str">
        <f ca="1">IFERROR(__xludf.DUMMYFUNCTION("GOOGLETRANSLATE($B198,""en"",T$3)"),"Czech")</f>
        <v>Czech</v>
      </c>
      <c r="U198" s="11" t="str">
        <f ca="1">IFERROR(__xludf.DUMMYFUNCTION("GOOGLETRANSLATE($B198,""en"",U$3)"),"تشيكي")</f>
        <v>تشيكي</v>
      </c>
      <c r="V198" s="11" t="str">
        <f ca="1">IFERROR(__xludf.DUMMYFUNCTION("GOOGLETRANSLATE($B198,""en"",V$3)"),"Czech")</f>
        <v>Czech</v>
      </c>
      <c r="W198" s="11" t="str">
        <f ca="1">IFERROR(__xludf.DUMMYFUNCTION("GOOGLETRANSLATE($B198,""en"",W$3)"),"Чешский")</f>
        <v>Чешский</v>
      </c>
      <c r="X198" s="11" t="str">
        <f ca="1">IFERROR(__xludf.DUMMYFUNCTION("GOOGLETRANSLATE($B198,""en"",X$3)"),"checo")</f>
        <v>checo</v>
      </c>
    </row>
    <row r="199" spans="1:26" ht="32.25" customHeight="1" x14ac:dyDescent="0.2">
      <c r="A199" s="17" t="s">
        <v>507</v>
      </c>
      <c r="B199" s="17" t="s">
        <v>508</v>
      </c>
      <c r="C199" s="11" t="str">
        <f ca="1">IFERROR(__xludf.DUMMYFUNCTION("GOOGLETRANSLATE($B199,""en"",C$3)"),"Datenordner")</f>
        <v>Datenordner</v>
      </c>
      <c r="D199" s="12" t="str">
        <f ca="1">IFERROR(__xludf.DUMMYFUNCTION("GOOGLETRANSLATE($B199,""en"",D$3)"),"Data Folder")</f>
        <v>Data Folder</v>
      </c>
      <c r="E199" s="12" t="str">
        <f ca="1">IFERROR(__xludf.DUMMYFUNCTION("GOOGLETRANSLATE($B199,""en"",E$3)"),"pasta de dados")</f>
        <v>pasta de dados</v>
      </c>
      <c r="F199" s="12" t="str">
        <f ca="1">IFERROR(__xludf.DUMMYFUNCTION("GOOGLETRANSLATE($B199,""en"",F$3)"),"pasta de dados")</f>
        <v>pasta de dados</v>
      </c>
      <c r="G199" s="12" t="str">
        <f ca="1">IFERROR(__xludf.DUMMYFUNCTION("GOOGLETRANSLATE($B199,""en"",G$3)"),"dossier de données")</f>
        <v>dossier de données</v>
      </c>
      <c r="H199" s="12" t="str">
        <f ca="1">IFERROR(__xludf.DUMMYFUNCTION("GOOGLETRANSLATE($B199,""en"",H$3)"),"Datu karpeta")</f>
        <v>Datu karpeta</v>
      </c>
      <c r="I199" s="12" t="str">
        <f ca="1">IFERROR(__xludf.DUMMYFUNCTION("GOOGLETRANSLATE($B199,""en"",I$3)"),"carpeta de dades")</f>
        <v>carpeta de dades</v>
      </c>
      <c r="J199" s="12" t="str">
        <f ca="1">IFERROR(__xludf.DUMMYFUNCTION("GOOGLETRANSLATE($B199,""en"",J$3)"),"Složka Data")</f>
        <v>Složka Data</v>
      </c>
      <c r="K199" s="12" t="str">
        <f ca="1">IFERROR(__xludf.DUMMYFUNCTION("GOOGLETRANSLATE($B199,""en"",K$3)"),"数据文件夹")</f>
        <v>数据文件夹</v>
      </c>
      <c r="L199" s="12" t="str">
        <f ca="1">IFERROR(__xludf.DUMMYFUNCTION("GOOGLETRANSLATE($B199,""en"",L$3)"),"數據文件夾")</f>
        <v>數據文件夾</v>
      </c>
      <c r="M199" s="12" t="str">
        <f ca="1">IFERROR(__xludf.DUMMYFUNCTION("GOOGLETRANSLATE($B199,""en"",M$3)"),"data Folder")</f>
        <v>data Folder</v>
      </c>
      <c r="N199" s="12" t="str">
        <f ca="1">IFERROR(__xludf.DUMMYFUNCTION("GOOGLETRANSLATE($B199,""en"",N$3)"),"Φάκελος δεδομένων")</f>
        <v>Φάκελος δεδομένων</v>
      </c>
      <c r="O199" s="12" t="str">
        <f ca="1">IFERROR(__xludf.DUMMYFUNCTION("GOOGLETRANSLATE($B199,""en"",O$3)"),"data-kansio")</f>
        <v>data-kansio</v>
      </c>
      <c r="P199" s="12" t="str">
        <f ca="1">IFERROR(__xludf.DUMMYFUNCTION("GOOGLETRANSLATE($B199,""en"",P$3)"),"Sonraí Fillteán")</f>
        <v>Sonraí Fillteán</v>
      </c>
      <c r="Q199" s="12" t="str">
        <f ca="1">IFERROR(__xludf.DUMMYFUNCTION("GOOGLETRANSLATE($B199,""en"",Q$3)"),"پوشه داده")</f>
        <v>پوشه داده</v>
      </c>
      <c r="R199" s="12" t="str">
        <f ca="1">IFERROR(__xludf.DUMMYFUNCTION("GOOGLETRANSLATE($B199,""en"",R$3)"),"תיקיית מידע")</f>
        <v>תיקיית מידע</v>
      </c>
      <c r="S199" s="12" t="str">
        <f ca="1">IFERROR(__xludf.DUMMYFUNCTION("GOOGLETRANSLATE($B199,""en"",S$3)"),"gögn Folder")</f>
        <v>gögn Folder</v>
      </c>
      <c r="T199" s="12" t="str">
        <f ca="1">IFERROR(__xludf.DUMMYFUNCTION("GOOGLETRANSLATE($B199,""en"",T$3)"),"data Folder")</f>
        <v>data Folder</v>
      </c>
      <c r="U199" s="12" t="str">
        <f ca="1">IFERROR(__xludf.DUMMYFUNCTION("GOOGLETRANSLATE($B199,""en"",U$3)"),"مجلد البيانات")</f>
        <v>مجلد البيانات</v>
      </c>
      <c r="V199" s="12" t="str">
        <f ca="1">IFERROR(__xludf.DUMMYFUNCTION("GOOGLETRANSLATE($B199,""en"",V$3)"),"Folder dane")</f>
        <v>Folder dane</v>
      </c>
      <c r="W199" s="12" t="str">
        <f ca="1">IFERROR(__xludf.DUMMYFUNCTION("GOOGLETRANSLATE($B199,""en"",W$3)"),"Папка данных")</f>
        <v>Папка данных</v>
      </c>
      <c r="X199" s="12" t="str">
        <f ca="1">IFERROR(__xludf.DUMMYFUNCTION("GOOGLETRANSLATE($B199,""en"",X$3)"),"carpeta de datos")</f>
        <v>carpeta de datos</v>
      </c>
      <c r="Y199" s="12"/>
      <c r="Z199" s="12"/>
    </row>
    <row r="200" spans="1:26" ht="32.25" customHeight="1" x14ac:dyDescent="0.2">
      <c r="A200" s="17" t="s">
        <v>509</v>
      </c>
      <c r="B200" s="17" t="s">
        <v>510</v>
      </c>
      <c r="C200" s="11" t="str">
        <f ca="1">IFERROR(__xludf.DUMMYFUNCTION("GOOGLETRANSLATE($B200,""en"",C$3)"),"Datenbank Hilfe")</f>
        <v>Datenbank Hilfe</v>
      </c>
      <c r="D200" s="12" t="str">
        <f ca="1">IFERROR(__xludf.DUMMYFUNCTION("GOOGLETRANSLATE($B200,""en"",D$3)"),"databas Hjälp")</f>
        <v>databas Hjälp</v>
      </c>
      <c r="E200" s="12" t="str">
        <f ca="1">IFERROR(__xludf.DUMMYFUNCTION("GOOGLETRANSLATE($B200,""en"",E$3)"),"Banco de Dados Ajuda")</f>
        <v>Banco de Dados Ajuda</v>
      </c>
      <c r="F200" s="12" t="str">
        <f ca="1">IFERROR(__xludf.DUMMYFUNCTION("GOOGLETRANSLATE($B200,""en"",F$3)"),"Banco de Dados Ajuda")</f>
        <v>Banco de Dados Ajuda</v>
      </c>
      <c r="G200" s="12" t="str">
        <f ca="1">IFERROR(__xludf.DUMMYFUNCTION("GOOGLETRANSLATE($B200,""en"",G$3)"),"Base de données Aide")</f>
        <v>Base de données Aide</v>
      </c>
      <c r="H200" s="12" t="str">
        <f ca="1">IFERROR(__xludf.DUMMYFUNCTION("GOOGLETRANSLATE($B200,""en"",H$3)"),"Database Laguntza")</f>
        <v>Database Laguntza</v>
      </c>
      <c r="I200" s="12" t="str">
        <f ca="1">IFERROR(__xludf.DUMMYFUNCTION("GOOGLETRANSLATE($B200,""en"",I$3)"),"Base de Dades d'Ajuda")</f>
        <v>Base de Dades d'Ajuda</v>
      </c>
      <c r="J200" s="12" t="str">
        <f ca="1">IFERROR(__xludf.DUMMYFUNCTION("GOOGLETRANSLATE($B200,""en"",J$3)"),"databáze Help")</f>
        <v>databáze Help</v>
      </c>
      <c r="K200" s="12" t="str">
        <f ca="1">IFERROR(__xludf.DUMMYFUNCTION("GOOGLETRANSLATE($B200,""en"",K$3)"),"数据库帮助")</f>
        <v>数据库帮助</v>
      </c>
      <c r="L200" s="12" t="str">
        <f ca="1">IFERROR(__xludf.DUMMYFUNCTION("GOOGLETRANSLATE($B200,""en"",L$3)"),"數據庫幫助")</f>
        <v>數據庫幫助</v>
      </c>
      <c r="M200" s="12" t="str">
        <f ca="1">IFERROR(__xludf.DUMMYFUNCTION("GOOGLETRANSLATE($B200,""en"",M$3)"),"Database Help")</f>
        <v>Database Help</v>
      </c>
      <c r="N200" s="12" t="str">
        <f ca="1">IFERROR(__xludf.DUMMYFUNCTION("GOOGLETRANSLATE($B200,""en"",N$3)"),"Βάση Δεδομένων Βοήθεια")</f>
        <v>Βάση Δεδομένων Βοήθεια</v>
      </c>
      <c r="O200" s="12" t="str">
        <f ca="1">IFERROR(__xludf.DUMMYFUNCTION("GOOGLETRANSLATE($B200,""en"",O$3)"),"tietokanta Apua")</f>
        <v>tietokanta Apua</v>
      </c>
      <c r="P200" s="12" t="str">
        <f ca="1">IFERROR(__xludf.DUMMYFUNCTION("GOOGLETRANSLATE($B200,""en"",P$3)"),"Bunachar Sonraí Help")</f>
        <v>Bunachar Sonraí Help</v>
      </c>
      <c r="Q200" s="12" t="str">
        <f ca="1">IFERROR(__xludf.DUMMYFUNCTION("GOOGLETRANSLATE($B200,""en"",Q$3)"),"پایگاه راهنما")</f>
        <v>پایگاه راهنما</v>
      </c>
      <c r="R200" s="12" t="str">
        <f ca="1">IFERROR(__xludf.DUMMYFUNCTION("GOOGLETRANSLATE($B200,""en"",R$3)"),"עזרת Database")</f>
        <v>עזרת Database</v>
      </c>
      <c r="S200" s="12" t="str">
        <f ca="1">IFERROR(__xludf.DUMMYFUNCTION("GOOGLETRANSLATE($B200,""en"",S$3)"),"Gagnagrunnur Hjálp")</f>
        <v>Gagnagrunnur Hjálp</v>
      </c>
      <c r="T200" s="12" t="str">
        <f ca="1">IFERROR(__xludf.DUMMYFUNCTION("GOOGLETRANSLATE($B200,""en"",T$3)"),"database Hjelp")</f>
        <v>database Hjelp</v>
      </c>
      <c r="U200" s="12" t="str">
        <f ca="1">IFERROR(__xludf.DUMMYFUNCTION("GOOGLETRANSLATE($B200,""en"",U$3)"),"مساعدة قاعدة بيانات")</f>
        <v>مساعدة قاعدة بيانات</v>
      </c>
      <c r="V200" s="12" t="str">
        <f ca="1">IFERROR(__xludf.DUMMYFUNCTION("GOOGLETRANSLATE($B200,""en"",V$3)"),"baza danych Pomoc")</f>
        <v>baza danych Pomoc</v>
      </c>
      <c r="W200" s="12" t="str">
        <f ca="1">IFERROR(__xludf.DUMMYFUNCTION("GOOGLETRANSLATE($B200,""en"",W$3)"),"Помощь Базы данных")</f>
        <v>Помощь Базы данных</v>
      </c>
      <c r="X200" s="12" t="str">
        <f ca="1">IFERROR(__xludf.DUMMYFUNCTION("GOOGLETRANSLATE($B200,""en"",X$3)"),"Base de Datos de Ayuda")</f>
        <v>Base de Datos de Ayuda</v>
      </c>
      <c r="Y200" s="12"/>
      <c r="Z200" s="12"/>
    </row>
    <row r="201" spans="1:26" ht="32.25" customHeight="1" x14ac:dyDescent="0.2">
      <c r="A201" s="17" t="s">
        <v>511</v>
      </c>
      <c r="B201" s="17" t="s">
        <v>512</v>
      </c>
      <c r="C201" s="11" t="str">
        <f ca="1">IFERROR(__xludf.DUMMYFUNCTION("GOOGLETRANSLATE($B201,""en"",C$3)"),"Datenbank-Setup")</f>
        <v>Datenbank-Setup</v>
      </c>
      <c r="D201" s="12" t="str">
        <f ca="1">IFERROR(__xludf.DUMMYFUNCTION("GOOGLETRANSLATE($B201,""en"",D$3)"),"Database Setup")</f>
        <v>Database Setup</v>
      </c>
      <c r="E201" s="12" t="str">
        <f ca="1">IFERROR(__xludf.DUMMYFUNCTION("GOOGLETRANSLATE($B201,""en"",E$3)"),"Configuração de banco de dados")</f>
        <v>Configuração de banco de dados</v>
      </c>
      <c r="F201" s="12" t="str">
        <f ca="1">IFERROR(__xludf.DUMMYFUNCTION("GOOGLETRANSLATE($B201,""en"",F$3)"),"Configuração de banco de dados")</f>
        <v>Configuração de banco de dados</v>
      </c>
      <c r="G201" s="12" t="str">
        <f ca="1">IFERROR(__xludf.DUMMYFUNCTION("GOOGLETRANSLATE($B201,""en"",G$3)"),"Configuration de base de données")</f>
        <v>Configuration de base de données</v>
      </c>
      <c r="H201" s="12" t="str">
        <f ca="1">IFERROR(__xludf.DUMMYFUNCTION("GOOGLETRANSLATE($B201,""en"",H$3)"),"Database Setup")</f>
        <v>Database Setup</v>
      </c>
      <c r="I201" s="12" t="str">
        <f ca="1">IFERROR(__xludf.DUMMYFUNCTION("GOOGLETRANSLATE($B201,""en"",I$3)"),"Configuració de la base de dades")</f>
        <v>Configuració de la base de dades</v>
      </c>
      <c r="J201" s="12" t="str">
        <f ca="1">IFERROR(__xludf.DUMMYFUNCTION("GOOGLETRANSLATE($B201,""en"",J$3)"),"Nastavení databáze")</f>
        <v>Nastavení databáze</v>
      </c>
      <c r="K201" s="12" t="str">
        <f ca="1">IFERROR(__xludf.DUMMYFUNCTION("GOOGLETRANSLATE($B201,""en"",K$3)"),"数据库设置")</f>
        <v>数据库设置</v>
      </c>
      <c r="L201" s="12" t="str">
        <f ca="1">IFERROR(__xludf.DUMMYFUNCTION("GOOGLETRANSLATE($B201,""en"",L$3)"),"數據庫設置")</f>
        <v>數據庫設置</v>
      </c>
      <c r="M201" s="12" t="str">
        <f ca="1">IFERROR(__xludf.DUMMYFUNCTION("GOOGLETRANSLATE($B201,""en"",M$3)"),"Database Setup")</f>
        <v>Database Setup</v>
      </c>
      <c r="N201" s="12" t="str">
        <f ca="1">IFERROR(__xludf.DUMMYFUNCTION("GOOGLETRANSLATE($B201,""en"",N$3)"),"Ρύθμιση βάσης δεδομένων")</f>
        <v>Ρύθμιση βάσης δεδομένων</v>
      </c>
      <c r="O201" s="12" t="str">
        <f ca="1">IFERROR(__xludf.DUMMYFUNCTION("GOOGLETRANSLATE($B201,""en"",O$3)"),"tietokannan asetukset")</f>
        <v>tietokannan asetukset</v>
      </c>
      <c r="P201" s="12" t="str">
        <f ca="1">IFERROR(__xludf.DUMMYFUNCTION("GOOGLETRANSLATE($B201,""en"",P$3)"),"Socrú Bunachar Sonraí")</f>
        <v>Socrú Bunachar Sonraí</v>
      </c>
      <c r="Q201" s="12" t="str">
        <f ca="1">IFERROR(__xludf.DUMMYFUNCTION("GOOGLETRANSLATE($B201,""en"",Q$3)"),"پایگاه راه اندازی")</f>
        <v>پایگاه راه اندازی</v>
      </c>
      <c r="R201" s="12" t="str">
        <f ca="1">IFERROR(__xludf.DUMMYFUNCTION("GOOGLETRANSLATE($B201,""en"",R$3)"),"הגדרת מסד")</f>
        <v>הגדרת מסד</v>
      </c>
      <c r="S201" s="12" t="str">
        <f ca="1">IFERROR(__xludf.DUMMYFUNCTION("GOOGLETRANSLATE($B201,""en"",S$3)"),"Gagnagrunnur Skipulag")</f>
        <v>Gagnagrunnur Skipulag</v>
      </c>
      <c r="T201" s="12" t="str">
        <f ca="1">IFERROR(__xludf.DUMMYFUNCTION("GOOGLETRANSLATE($B201,""en"",T$3)"),"database Setup")</f>
        <v>database Setup</v>
      </c>
      <c r="U201" s="12" t="str">
        <f ca="1">IFERROR(__xludf.DUMMYFUNCTION("GOOGLETRANSLATE($B201,""en"",U$3)"),"إعداد قاعدة بيانات")</f>
        <v>إعداد قاعدة بيانات</v>
      </c>
      <c r="V201" s="12" t="str">
        <f ca="1">IFERROR(__xludf.DUMMYFUNCTION("GOOGLETRANSLATE($B201,""en"",V$3)"),"Konfiguracja bazy danych")</f>
        <v>Konfiguracja bazy danych</v>
      </c>
      <c r="W201" s="12" t="str">
        <f ca="1">IFERROR(__xludf.DUMMYFUNCTION("GOOGLETRANSLATE($B201,""en"",W$3)"),"Настройка базы данных")</f>
        <v>Настройка базы данных</v>
      </c>
      <c r="X201" s="12" t="str">
        <f ca="1">IFERROR(__xludf.DUMMYFUNCTION("GOOGLETRANSLATE($B201,""en"",X$3)"),"Configuración de la base de datos")</f>
        <v>Configuración de la base de datos</v>
      </c>
      <c r="Y201" s="12"/>
      <c r="Z201" s="12"/>
    </row>
    <row r="202" spans="1:26" ht="32.25" customHeight="1" x14ac:dyDescent="0.2">
      <c r="A202" s="17" t="s">
        <v>513</v>
      </c>
      <c r="B202" s="17" t="s">
        <v>514</v>
      </c>
      <c r="C202" s="11" t="str">
        <f ca="1">IFERROR(__xludf.DUMMYFUNCTION("GOOGLETRANSLATE($B202,""en"",C$3)"),"Datenbank")</f>
        <v>Datenbank</v>
      </c>
      <c r="D202" s="12" t="str">
        <f ca="1">IFERROR(__xludf.DUMMYFUNCTION("GOOGLETRANSLATE($B202,""en"",D$3)"),"Databas")</f>
        <v>Databas</v>
      </c>
      <c r="E202" s="12" t="str">
        <f ca="1">IFERROR(__xludf.DUMMYFUNCTION("GOOGLETRANSLATE($B202,""en"",E$3)"),"Base de dados")</f>
        <v>Base de dados</v>
      </c>
      <c r="F202" s="12" t="str">
        <f ca="1">IFERROR(__xludf.DUMMYFUNCTION("GOOGLETRANSLATE($B202,""en"",F$3)"),"Base de dados")</f>
        <v>Base de dados</v>
      </c>
      <c r="G202" s="12" t="str">
        <f ca="1">IFERROR(__xludf.DUMMYFUNCTION("GOOGLETRANSLATE($B202,""en"",G$3)"),"Base de données")</f>
        <v>Base de données</v>
      </c>
      <c r="H202" s="12" t="str">
        <f ca="1">IFERROR(__xludf.DUMMYFUNCTION("GOOGLETRANSLATE($B202,""en"",H$3)"),"Database")</f>
        <v>Database</v>
      </c>
      <c r="I202" s="12" t="str">
        <f ca="1">IFERROR(__xludf.DUMMYFUNCTION("GOOGLETRANSLATE($B202,""en"",I$3)"),"Base de dades")</f>
        <v>Base de dades</v>
      </c>
      <c r="J202" s="12" t="str">
        <f ca="1">IFERROR(__xludf.DUMMYFUNCTION("GOOGLETRANSLATE($B202,""en"",J$3)"),"Databáze")</f>
        <v>Databáze</v>
      </c>
      <c r="K202" s="12" t="str">
        <f ca="1">IFERROR(__xludf.DUMMYFUNCTION("GOOGLETRANSLATE($B202,""en"",K$3)"),"数据库")</f>
        <v>数据库</v>
      </c>
      <c r="L202" s="12" t="str">
        <f ca="1">IFERROR(__xludf.DUMMYFUNCTION("GOOGLETRANSLATE($B202,""en"",L$3)"),"數據庫")</f>
        <v>數據庫</v>
      </c>
      <c r="M202" s="12" t="str">
        <f ca="1">IFERROR(__xludf.DUMMYFUNCTION("GOOGLETRANSLATE($B202,""en"",M$3)"),"Database")</f>
        <v>Database</v>
      </c>
      <c r="N202" s="12" t="str">
        <f ca="1">IFERROR(__xludf.DUMMYFUNCTION("GOOGLETRANSLATE($B202,""en"",N$3)"),"Βάση δεδομένων")</f>
        <v>Βάση δεδομένων</v>
      </c>
      <c r="O202" s="12" t="str">
        <f ca="1">IFERROR(__xludf.DUMMYFUNCTION("GOOGLETRANSLATE($B202,""en"",O$3)"),"Tietokanta")</f>
        <v>Tietokanta</v>
      </c>
      <c r="P202" s="12" t="str">
        <f ca="1">IFERROR(__xludf.DUMMYFUNCTION("GOOGLETRANSLATE($B202,""en"",P$3)"),"Bunachar Sonraí")</f>
        <v>Bunachar Sonraí</v>
      </c>
      <c r="Q202" s="12" t="str">
        <f ca="1">IFERROR(__xludf.DUMMYFUNCTION("GOOGLETRANSLATE($B202,""en"",Q$3)"),"پایگاه")</f>
        <v>پایگاه</v>
      </c>
      <c r="R202" s="12" t="str">
        <f ca="1">IFERROR(__xludf.DUMMYFUNCTION("GOOGLETRANSLATE($B202,""en"",R$3)"),"מאגר מידע")</f>
        <v>מאגר מידע</v>
      </c>
      <c r="S202" s="12" t="str">
        <f ca="1">IFERROR(__xludf.DUMMYFUNCTION("GOOGLETRANSLATE($B202,""en"",S$3)"),"Gagnagrunnur")</f>
        <v>Gagnagrunnur</v>
      </c>
      <c r="T202" s="12" t="str">
        <f ca="1">IFERROR(__xludf.DUMMYFUNCTION("GOOGLETRANSLATE($B202,""en"",T$3)"),"database")</f>
        <v>database</v>
      </c>
      <c r="U202" s="12" t="str">
        <f ca="1">IFERROR(__xludf.DUMMYFUNCTION("GOOGLETRANSLATE($B202,""en"",U$3)"),"قاعدة البيانات")</f>
        <v>قاعدة البيانات</v>
      </c>
      <c r="V202" s="12" t="str">
        <f ca="1">IFERROR(__xludf.DUMMYFUNCTION("GOOGLETRANSLATE($B202,""en"",V$3)"),"Baza danych")</f>
        <v>Baza danych</v>
      </c>
      <c r="W202" s="12" t="str">
        <f ca="1">IFERROR(__xludf.DUMMYFUNCTION("GOOGLETRANSLATE($B202,""en"",W$3)"),"База данных")</f>
        <v>База данных</v>
      </c>
      <c r="X202" s="12" t="str">
        <f ca="1">IFERROR(__xludf.DUMMYFUNCTION("GOOGLETRANSLATE($B202,""en"",X$3)"),"Base de datos")</f>
        <v>Base de datos</v>
      </c>
      <c r="Y202" s="12"/>
      <c r="Z202" s="12"/>
    </row>
    <row r="203" spans="1:26" ht="32.25" customHeight="1" x14ac:dyDescent="0.2">
      <c r="A203" s="17" t="s">
        <v>515</v>
      </c>
      <c r="B203" s="17" t="s">
        <v>516</v>
      </c>
      <c r="C203" s="11" t="str">
        <f ca="1">IFERROR(__xludf.DUMMYFUNCTION("GOOGLETRANSLATE($B203,""en"",C$3)"),"Name der Datenbank")</f>
        <v>Name der Datenbank</v>
      </c>
      <c r="D203" s="12" t="str">
        <f ca="1">IFERROR(__xludf.DUMMYFUNCTION("GOOGLETRANSLATE($B203,""en"",D$3)"),"Databas namn")</f>
        <v>Databas namn</v>
      </c>
      <c r="E203" s="12" t="str">
        <f ca="1">IFERROR(__xludf.DUMMYFUNCTION("GOOGLETRANSLATE($B203,""en"",E$3)"),"Nome do banco de dados")</f>
        <v>Nome do banco de dados</v>
      </c>
      <c r="F203" s="12" t="str">
        <f ca="1">IFERROR(__xludf.DUMMYFUNCTION("GOOGLETRANSLATE($B203,""en"",F$3)"),"Nome do banco de dados")</f>
        <v>Nome do banco de dados</v>
      </c>
      <c r="G203" s="12" t="str">
        <f ca="1">IFERROR(__xludf.DUMMYFUNCTION("GOOGLETRANSLATE($B203,""en"",G$3)"),"Nom de la base de données")</f>
        <v>Nom de la base de données</v>
      </c>
      <c r="H203" s="12" t="str">
        <f ca="1">IFERROR(__xludf.DUMMYFUNCTION("GOOGLETRANSLATE($B203,""en"",H$3)"),"Datu-basearen izena")</f>
        <v>Datu-basearen izena</v>
      </c>
      <c r="I203" s="12" t="str">
        <f ca="1">IFERROR(__xludf.DUMMYFUNCTION("GOOGLETRANSLATE($B203,""en"",I$3)"),"Nom de base de dades")</f>
        <v>Nom de base de dades</v>
      </c>
      <c r="J203" s="12" t="str">
        <f ca="1">IFERROR(__xludf.DUMMYFUNCTION("GOOGLETRANSLATE($B203,""en"",J$3)"),"Jméno databáze")</f>
        <v>Jméno databáze</v>
      </c>
      <c r="K203" s="12" t="str">
        <f ca="1">IFERROR(__xludf.DUMMYFUNCTION("GOOGLETRANSLATE($B203,""en"",K$3)"),"数据库名称")</f>
        <v>数据库名称</v>
      </c>
      <c r="L203" s="12" t="str">
        <f ca="1">IFERROR(__xludf.DUMMYFUNCTION("GOOGLETRANSLATE($B203,""en"",L$3)"),"數據庫名稱")</f>
        <v>數據庫名稱</v>
      </c>
      <c r="M203" s="12" t="str">
        <f ca="1">IFERROR(__xludf.DUMMYFUNCTION("GOOGLETRANSLATE($B203,""en"",M$3)"),"Database naam")</f>
        <v>Database naam</v>
      </c>
      <c r="N203" s="12" t="str">
        <f ca="1">IFERROR(__xludf.DUMMYFUNCTION("GOOGLETRANSLATE($B203,""en"",N$3)"),"Ονομα βάσης δεδομένων")</f>
        <v>Ονομα βάσης δεδομένων</v>
      </c>
      <c r="O203" s="12" t="str">
        <f ca="1">IFERROR(__xludf.DUMMYFUNCTION("GOOGLETRANSLATE($B203,""en"",O$3)"),"Tietokannan nimi")</f>
        <v>Tietokannan nimi</v>
      </c>
      <c r="P203" s="12" t="str">
        <f ca="1">IFERROR(__xludf.DUMMYFUNCTION("GOOGLETRANSLATE($B203,""en"",P$3)"),"Bunachar Sonraí Ainm")</f>
        <v>Bunachar Sonraí Ainm</v>
      </c>
      <c r="Q203" s="12" t="str">
        <f ca="1">IFERROR(__xludf.DUMMYFUNCTION("GOOGLETRANSLATE($B203,""en"",Q$3)"),"نام پایگاه داده")</f>
        <v>نام پایگاه داده</v>
      </c>
      <c r="R203" s="12" t="str">
        <f ca="1">IFERROR(__xludf.DUMMYFUNCTION("GOOGLETRANSLATE($B203,""en"",R$3)"),"שם בסיס הנתונים")</f>
        <v>שם בסיס הנתונים</v>
      </c>
      <c r="S203" s="12" t="str">
        <f ca="1">IFERROR(__xludf.DUMMYFUNCTION("GOOGLETRANSLATE($B203,""en"",S$3)"),"Heiti gagnagrunns")</f>
        <v>Heiti gagnagrunns</v>
      </c>
      <c r="T203" s="12" t="str">
        <f ca="1">IFERROR(__xludf.DUMMYFUNCTION("GOOGLETRANSLATE($B203,""en"",T$3)"),"database Name")</f>
        <v>database Name</v>
      </c>
      <c r="U203" s="12" t="str">
        <f ca="1">IFERROR(__xludf.DUMMYFUNCTION("GOOGLETRANSLATE($B203,""en"",U$3)"),"اسم قاعدة البيانات")</f>
        <v>اسم قاعدة البيانات</v>
      </c>
      <c r="V203" s="12" t="str">
        <f ca="1">IFERROR(__xludf.DUMMYFUNCTION("GOOGLETRANSLATE($B203,""en"",V$3)"),"Nazwa bazy danych")</f>
        <v>Nazwa bazy danych</v>
      </c>
      <c r="W203" s="12" t="str">
        <f ca="1">IFERROR(__xludf.DUMMYFUNCTION("GOOGLETRANSLATE($B203,""en"",W$3)"),"Имя базы данных")</f>
        <v>Имя базы данных</v>
      </c>
      <c r="X203" s="12" t="str">
        <f ca="1">IFERROR(__xludf.DUMMYFUNCTION("GOOGLETRANSLATE($B203,""en"",X$3)"),"Nombre de la base de datos")</f>
        <v>Nombre de la base de datos</v>
      </c>
      <c r="Y203" s="12"/>
      <c r="Z203" s="12"/>
    </row>
    <row r="204" spans="1:26" ht="32.25" customHeight="1" x14ac:dyDescent="0.2">
      <c r="A204" s="17" t="s">
        <v>517</v>
      </c>
      <c r="B204" s="17" t="s">
        <v>518</v>
      </c>
      <c r="C204" s="11" t="str">
        <f ca="1">IFERROR(__xludf.DUMMYFUNCTION("GOOGLETRANSLATE($B204,""en"",C$3)"),"Dynamic DNS-Name wird bereits verwendet. Vielleicht verwenden Sie das falsche Passwort?")</f>
        <v>Dynamic DNS-Name wird bereits verwendet. Vielleicht verwenden Sie das falsche Passwort?</v>
      </c>
      <c r="D204" s="12" t="str">
        <f ca="1">IFERROR(__xludf.DUMMYFUNCTION("GOOGLETRANSLATE($B204,""en"",D$3)"),"Dynamic DNS-namn används redan. Kanske du använder fel lösenord?")</f>
        <v>Dynamic DNS-namn används redan. Kanske du använder fel lösenord?</v>
      </c>
      <c r="E204" s="12" t="str">
        <f ca="1">IFERROR(__xludf.DUMMYFUNCTION("GOOGLETRANSLATE($B204,""en"",E$3)"),"Dinâmico Nome DNS já é usado. Talvez você estiver usando a senha errada?")</f>
        <v>Dinâmico Nome DNS já é usado. Talvez você estiver usando a senha errada?</v>
      </c>
      <c r="F204" s="12" t="str">
        <f ca="1">IFERROR(__xludf.DUMMYFUNCTION("GOOGLETRANSLATE($B204,""en"",F$3)"),"Dinâmico Nome DNS já é usado. Talvez você estiver usando a senha errada?")</f>
        <v>Dinâmico Nome DNS já é usado. Talvez você estiver usando a senha errada?</v>
      </c>
      <c r="G204" s="12" t="str">
        <f ca="1">IFERROR(__xludf.DUMMYFUNCTION("GOOGLETRANSLATE($B204,""en"",G$3)"),"Dynamique nom DNS est déjà utilisé. Peut-être que vous utilisez le mot de passe erroné?")</f>
        <v>Dynamique nom DNS est déjà utilisé. Peut-être que vous utilisez le mot de passe erroné?</v>
      </c>
      <c r="H204" s="12" t="str">
        <f ca="1">IFERROR(__xludf.DUMMYFUNCTION("GOOGLETRANSLATE($B204,""en"",H$3)"),"Dynamic DNS izena dagoeneko erabiltzen da. Agian okerreko pasahitza erabiltzen ari zara?")</f>
        <v>Dynamic DNS izena dagoeneko erabiltzen da. Agian okerreko pasahitza erabiltzen ari zara?</v>
      </c>
      <c r="I204" s="12" t="str">
        <f ca="1">IFERROR(__xludf.DUMMYFUNCTION("GOOGLETRANSLATE($B204,""en"",I$3)"),"Dinàmica nom DNS ja s'utilitza. Pot ser que estigui utilitzant una clau incorrecta?")</f>
        <v>Dinàmica nom DNS ja s'utilitza. Pot ser que estigui utilitzant una clau incorrecta?</v>
      </c>
      <c r="J204" s="12" t="str">
        <f ca="1">IFERROR(__xludf.DUMMYFUNCTION("GOOGLETRANSLATE($B204,""en"",J$3)"),"Dynamic DNS jméno se již používá. Možná, že používáte nesprávné heslo?")</f>
        <v>Dynamic DNS jméno se již používá. Možná, že používáte nesprávné heslo?</v>
      </c>
      <c r="K204" s="12" t="str">
        <f ca="1">IFERROR(__xludf.DUMMYFUNCTION("GOOGLETRANSLATE($B204,""en"",K$3)"),"动态DNS名称已被使用。也许你使用了错误的密码？")</f>
        <v>动态DNS名称已被使用。也许你使用了错误的密码？</v>
      </c>
      <c r="L204" s="12" t="str">
        <f ca="1">IFERROR(__xludf.DUMMYFUNCTION("GOOGLETRANSLATE($B204,""en"",L$3)"),"動態DNS名稱已被使用。也許你使用了錯誤的密碼？")</f>
        <v>動態DNS名稱已被使用。也許你使用了錯誤的密碼？</v>
      </c>
      <c r="M204" s="12" t="str">
        <f ca="1">IFERROR(__xludf.DUMMYFUNCTION("GOOGLETRANSLATE($B204,""en"",M$3)"),"Dynamic DNS-naam wordt al gebruikt. Misschien gebruikt u een verkeerd wachtwoord?")</f>
        <v>Dynamic DNS-naam wordt al gebruikt. Misschien gebruikt u een verkeerd wachtwoord?</v>
      </c>
      <c r="N204" s="12" t="str">
        <f ca="1">IFERROR(__xludf.DUMMYFUNCTION("GOOGLETRANSLATE($B204,""en"",N$3)"),"Dynamic DNS Όνομα χρησιμοποιείται ήδη. Ίσως χρησιμοποιείτε λανθασμένο κωδικό πρόσβασης;")</f>
        <v>Dynamic DNS Όνομα χρησιμοποιείται ήδη. Ίσως χρησιμοποιείτε λανθασμένο κωδικό πρόσβασης;</v>
      </c>
      <c r="O204" s="12" t="str">
        <f ca="1">IFERROR(__xludf.DUMMYFUNCTION("GOOGLETRANSLATE($B204,""en"",O$3)"),"Dynaaminen DNS-nimi on jo käytössä. Ehkä käytät väärä salasana?")</f>
        <v>Dynaaminen DNS-nimi on jo käytössä. Ehkä käytät väärä salasana?</v>
      </c>
      <c r="P204" s="12" t="str">
        <f ca="1">IFERROR(__xludf.DUMMYFUNCTION("GOOGLETRANSLATE($B204,""en"",P$3)"),"Dinimiciúla DNS Ainm úsáidtear cheana. B'fhéidir go bhfuil tú ag baint úsáide as an focal faire mícheart?")</f>
        <v>Dinimiciúla DNS Ainm úsáidtear cheana. B'fhéidir go bhfuil tú ag baint úsáide as an focal faire mícheart?</v>
      </c>
      <c r="Q204" s="12" t="str">
        <f ca="1">IFERROR(__xludf.DUMMYFUNCTION("GOOGLETRANSLATE($B204,""en"",Q$3)"),"پویا نام DNS است در حال حاضر استفاده می شود. شاید شما با استفاده از رمز عبور اشتباه است؟")</f>
        <v>پویا نام DNS است در حال حاضر استفاده می شود. شاید شما با استفاده از رمز عبور اشتباه است؟</v>
      </c>
      <c r="R204" s="12" t="str">
        <f ca="1">IFERROR(__xludf.DUMMYFUNCTION("GOOGLETRANSLATE($B204,""en"",R$3)"),"Dynamic DNS שם משמש כבר. אולי אתה משתמש בסיסמה שגויה?")</f>
        <v>Dynamic DNS שם משמש כבר. אולי אתה משתמש בסיסמה שגויה?</v>
      </c>
      <c r="S204" s="12" t="str">
        <f ca="1">IFERROR(__xludf.DUMMYFUNCTION("GOOGLETRANSLATE($B204,""en"",S$3)"),"Dynamic DNS nafn er þegar í notkun. Kannski þú ert að nota rangt lykilorð?")</f>
        <v>Dynamic DNS nafn er þegar í notkun. Kannski þú ert að nota rangt lykilorð?</v>
      </c>
      <c r="T204" s="12" t="str">
        <f ca="1">IFERROR(__xludf.DUMMYFUNCTION("GOOGLETRANSLATE($B204,""en"",T$3)"),"Dynamisk DNS-navn er allerede brukt. Kanskje du bruker feil passord?")</f>
        <v>Dynamisk DNS-navn er allerede brukt. Kanskje du bruker feil passord?</v>
      </c>
      <c r="U204" s="12" t="str">
        <f ca="1">IFERROR(__xludf.DUMMYFUNCTION("GOOGLETRANSLATE($B204,""en"",U$3)"),"يستخدم ديناميكية اسم DNS بالفعل. ربما كنت تستخدم كلمة مرور خاطئة؟")</f>
        <v>يستخدم ديناميكية اسم DNS بالفعل. ربما كنت تستخدم كلمة مرور خاطئة؟</v>
      </c>
      <c r="V204" s="12" t="str">
        <f ca="1">IFERROR(__xludf.DUMMYFUNCTION("GOOGLETRANSLATE($B204,""en"",V$3)"),"Dynamiczny DNS nazwa jest już używana. Może używasz złego hasła?")</f>
        <v>Dynamiczny DNS nazwa jest już używana. Może używasz złego hasła?</v>
      </c>
      <c r="W204" s="12" t="str">
        <f ca="1">IFERROR(__xludf.DUMMYFUNCTION("GOOGLETRANSLATE($B204,""en"",W$3)"),"Динамический DNS-имя уже используется. Может быть, вы используете неправильный пароль?")</f>
        <v>Динамический DNS-имя уже используется. Может быть, вы используете неправильный пароль?</v>
      </c>
      <c r="X204" s="12" t="str">
        <f ca="1">IFERROR(__xludf.DUMMYFUNCTION("GOOGLETRANSLATE($B204,""en"",X$3)"),"Dinámica nombre DNS ya se utiliza. Puede que esté utilizando una contraseña incorrecta?")</f>
        <v>Dinámica nombre DNS ya se utiliza. Puede que esté utilizando una contraseña incorrecta?</v>
      </c>
      <c r="Y204" s="12"/>
      <c r="Z204" s="12"/>
    </row>
    <row r="205" spans="1:26" ht="32.25" customHeight="1" x14ac:dyDescent="0.2">
      <c r="A205" s="17" t="s">
        <v>519</v>
      </c>
      <c r="B205" s="17" t="s">
        <v>520</v>
      </c>
      <c r="C205" s="18" t="s">
        <v>521</v>
      </c>
      <c r="D205" s="12" t="str">
        <f ca="1">IFERROR(__xludf.DUMMYFUNCTION("GOOGLETRANSLATE($B205,""en"",D$3)"),"Debug")</f>
        <v>Debug</v>
      </c>
      <c r="E205" s="12" t="str">
        <f ca="1">IFERROR(__xludf.DUMMYFUNCTION("GOOGLETRANSLATE($B205,""en"",E$3)"),"Depurar")</f>
        <v>Depurar</v>
      </c>
      <c r="F205" s="12" t="str">
        <f ca="1">IFERROR(__xludf.DUMMYFUNCTION("GOOGLETRANSLATE($B205,""en"",F$3)"),"Depurar")</f>
        <v>Depurar</v>
      </c>
      <c r="G205" s="12" t="str">
        <f ca="1">IFERROR(__xludf.DUMMYFUNCTION("GOOGLETRANSLATE($B205,""en"",G$3)"),"Déboguer")</f>
        <v>Déboguer</v>
      </c>
      <c r="H205" s="12" t="str">
        <f ca="1">IFERROR(__xludf.DUMMYFUNCTION("GOOGLETRANSLATE($B205,""en"",H$3)"),"Araztu")</f>
        <v>Araztu</v>
      </c>
      <c r="I205" s="12" t="str">
        <f ca="1">IFERROR(__xludf.DUMMYFUNCTION("GOOGLETRANSLATE($B205,""en"",I$3)"),"depurar")</f>
        <v>depurar</v>
      </c>
      <c r="J205" s="12" t="str">
        <f ca="1">IFERROR(__xludf.DUMMYFUNCTION("GOOGLETRANSLATE($B205,""en"",J$3)"),"Ladit")</f>
        <v>Ladit</v>
      </c>
      <c r="K205" s="12" t="str">
        <f ca="1">IFERROR(__xludf.DUMMYFUNCTION("GOOGLETRANSLATE($B205,""en"",K$3)"),"调试")</f>
        <v>调试</v>
      </c>
      <c r="L205" s="12" t="str">
        <f ca="1">IFERROR(__xludf.DUMMYFUNCTION("GOOGLETRANSLATE($B205,""en"",L$3)"),"調試")</f>
        <v>調試</v>
      </c>
      <c r="M205" s="12" t="str">
        <f ca="1">IFERROR(__xludf.DUMMYFUNCTION("GOOGLETRANSLATE($B205,""en"",M$3)"),"debug")</f>
        <v>debug</v>
      </c>
      <c r="N205" s="12" t="str">
        <f ca="1">IFERROR(__xludf.DUMMYFUNCTION("GOOGLETRANSLATE($B205,""en"",N$3)"),"εντοπισμού σφαλμάτων")</f>
        <v>εντοπισμού σφαλμάτων</v>
      </c>
      <c r="O205" s="12" t="str">
        <f ca="1">IFERROR(__xludf.DUMMYFUNCTION("GOOGLETRANSLATE($B205,""en"",O$3)"),"debug")</f>
        <v>debug</v>
      </c>
      <c r="P205" s="12" t="str">
        <f ca="1">IFERROR(__xludf.DUMMYFUNCTION("GOOGLETRANSLATE($B205,""en"",P$3)"),"Dífhabhtaigh")</f>
        <v>Dífhabhtaigh</v>
      </c>
      <c r="Q205" s="12" t="str">
        <f ca="1">IFERROR(__xludf.DUMMYFUNCTION("GOOGLETRANSLATE($B205,""en"",Q$3)"),"اشکال زدایی")</f>
        <v>اشکال زدایی</v>
      </c>
      <c r="R205" s="12" t="str">
        <f ca="1">IFERROR(__xludf.DUMMYFUNCTION("GOOGLETRANSLATE($B205,""en"",R$3)"),"לנפות")</f>
        <v>לנפות</v>
      </c>
      <c r="S205" s="12" t="str">
        <f ca="1">IFERROR(__xludf.DUMMYFUNCTION("GOOGLETRANSLATE($B205,""en"",S$3)"),"kemba")</f>
        <v>kemba</v>
      </c>
      <c r="T205" s="12" t="str">
        <f ca="1">IFERROR(__xludf.DUMMYFUNCTION("GOOGLETRANSLATE($B205,""en"",T$3)"),"Debug")</f>
        <v>Debug</v>
      </c>
      <c r="U205" s="12" t="str">
        <f ca="1">IFERROR(__xludf.DUMMYFUNCTION("GOOGLETRANSLATE($B205,""en"",U$3)"),"التصحيح")</f>
        <v>التصحيح</v>
      </c>
      <c r="V205" s="12" t="str">
        <f ca="1">IFERROR(__xludf.DUMMYFUNCTION("GOOGLETRANSLATE($B205,""en"",V$3)"),"Odpluskwić")</f>
        <v>Odpluskwić</v>
      </c>
      <c r="W205" s="12" t="str">
        <f ca="1">IFERROR(__xludf.DUMMYFUNCTION("GOOGLETRANSLATE($B205,""en"",W$3)"),"Отлаживать")</f>
        <v>Отлаживать</v>
      </c>
      <c r="X205" s="12" t="str">
        <f ca="1">IFERROR(__xludf.DUMMYFUNCTION("GOOGLETRANSLATE($B205,""en"",X$3)"),"Depurar")</f>
        <v>Depurar</v>
      </c>
      <c r="Y205" s="12"/>
      <c r="Z205" s="12"/>
    </row>
    <row r="206" spans="1:26" ht="32.25" customHeight="1" x14ac:dyDescent="0.2">
      <c r="A206" s="17" t="s">
        <v>522</v>
      </c>
      <c r="B206" s="17" t="s">
        <v>523</v>
      </c>
      <c r="C206" s="11" t="str">
        <f ca="1">IFERROR(__xludf.DUMMYFUNCTION("GOOGLETRANSLATE($B206,""en"",C$3)"),"Standard 8001")</f>
        <v>Standard 8001</v>
      </c>
      <c r="D206" s="12" t="str">
        <f ca="1">IFERROR(__xludf.DUMMYFUNCTION("GOOGLETRANSLATE($B206,""en"",D$3)"),"Standard 8001")</f>
        <v>Standard 8001</v>
      </c>
      <c r="E206" s="12" t="str">
        <f ca="1">IFERROR(__xludf.DUMMYFUNCTION("GOOGLETRANSLATE($B206,""en"",E$3)"),"padrão 8001")</f>
        <v>padrão 8001</v>
      </c>
      <c r="F206" s="12" t="str">
        <f ca="1">IFERROR(__xludf.DUMMYFUNCTION("GOOGLETRANSLATE($B206,""en"",F$3)"),"padrão 8001")</f>
        <v>padrão 8001</v>
      </c>
      <c r="G206" s="12" t="str">
        <f ca="1">IFERROR(__xludf.DUMMYFUNCTION("GOOGLETRANSLATE($B206,""en"",G$3)"),"Par défaut 8001")</f>
        <v>Par défaut 8001</v>
      </c>
      <c r="H206" s="12" t="str">
        <f ca="1">IFERROR(__xludf.DUMMYFUNCTION("GOOGLETRANSLATE($B206,""en"",H$3)"),"8001 lehenetsia")</f>
        <v>8001 lehenetsia</v>
      </c>
      <c r="I206" s="12" t="str">
        <f ca="1">IFERROR(__xludf.DUMMYFUNCTION("GOOGLETRANSLATE($B206,""en"",I$3)"),"Per defecte 8001")</f>
        <v>Per defecte 8001</v>
      </c>
      <c r="J206" s="12" t="str">
        <f ca="1">IFERROR(__xludf.DUMMYFUNCTION("GOOGLETRANSLATE($B206,""en"",J$3)"),"výchozí 8001")</f>
        <v>výchozí 8001</v>
      </c>
      <c r="K206" s="12" t="str">
        <f ca="1">IFERROR(__xludf.DUMMYFUNCTION("GOOGLETRANSLATE($B206,""en"",K$3)"),"默认8001")</f>
        <v>默认8001</v>
      </c>
      <c r="L206" s="12" t="str">
        <f ca="1">IFERROR(__xludf.DUMMYFUNCTION("GOOGLETRANSLATE($B206,""en"",L$3)"),"默認8001")</f>
        <v>默認8001</v>
      </c>
      <c r="M206" s="12" t="str">
        <f ca="1">IFERROR(__xludf.DUMMYFUNCTION("GOOGLETRANSLATE($B206,""en"",M$3)"),"standaard 8001")</f>
        <v>standaard 8001</v>
      </c>
      <c r="N206" s="12" t="str">
        <f ca="1">IFERROR(__xludf.DUMMYFUNCTION("GOOGLETRANSLATE($B206,""en"",N$3)"),"προεπιλογή 8001")</f>
        <v>προεπιλογή 8001</v>
      </c>
      <c r="O206" s="12" t="str">
        <f ca="1">IFERROR(__xludf.DUMMYFUNCTION("GOOGLETRANSLATE($B206,""en"",O$3)"),"Oletus 8001")</f>
        <v>Oletus 8001</v>
      </c>
      <c r="P206" s="12" t="str">
        <f ca="1">IFERROR(__xludf.DUMMYFUNCTION("GOOGLETRANSLATE($B206,""en"",P$3)"),"Réamhshocrú 8001")</f>
        <v>Réamhshocrú 8001</v>
      </c>
      <c r="Q206" s="12" t="str">
        <f ca="1">IFERROR(__xludf.DUMMYFUNCTION("GOOGLETRANSLATE($B206,""en"",Q$3)"),"پیش فرض 8001")</f>
        <v>پیش فرض 8001</v>
      </c>
      <c r="R206" s="12" t="str">
        <f ca="1">IFERROR(__xludf.DUMMYFUNCTION("GOOGLETRANSLATE($B206,""en"",R$3)"),"ברירת מחדל 8001")</f>
        <v>ברירת מחדל 8001</v>
      </c>
      <c r="S206" s="12" t="str">
        <f ca="1">IFERROR(__xludf.DUMMYFUNCTION("GOOGLETRANSLATE($B206,""en"",S$3)"),"Sjálfgefin 8001")</f>
        <v>Sjálfgefin 8001</v>
      </c>
      <c r="T206" s="12" t="str">
        <f ca="1">IFERROR(__xludf.DUMMYFUNCTION("GOOGLETRANSLATE($B206,""en"",T$3)"),"standard 8001")</f>
        <v>standard 8001</v>
      </c>
      <c r="U206" s="12" t="str">
        <f ca="1">IFERROR(__xludf.DUMMYFUNCTION("GOOGLETRANSLATE($B206,""en"",U$3)"),"افتراضي 8001")</f>
        <v>افتراضي 8001</v>
      </c>
      <c r="V206" s="12" t="str">
        <f ca="1">IFERROR(__xludf.DUMMYFUNCTION("GOOGLETRANSLATE($B206,""en"",V$3)"),"Domyślnie 8001")</f>
        <v>Domyślnie 8001</v>
      </c>
      <c r="W206" s="12" t="str">
        <f ca="1">IFERROR(__xludf.DUMMYFUNCTION("GOOGLETRANSLATE($B206,""en"",W$3)"),"По умолчанию 8001")</f>
        <v>По умолчанию 8001</v>
      </c>
      <c r="X206" s="12" t="str">
        <f ca="1">IFERROR(__xludf.DUMMYFUNCTION("GOOGLETRANSLATE($B206,""en"",X$3)"),"Por defecto 8001")</f>
        <v>Por defecto 8001</v>
      </c>
      <c r="Y206" s="12"/>
      <c r="Z206" s="12"/>
    </row>
    <row r="207" spans="1:26" ht="32.25" customHeight="1" x14ac:dyDescent="0.2">
      <c r="A207" s="17" t="s">
        <v>524</v>
      </c>
      <c r="B207" s="17" t="s">
        <v>525</v>
      </c>
      <c r="C207" s="11" t="str">
        <f ca="1">IFERROR(__xludf.DUMMYFUNCTION("GOOGLETRANSLATE($B207,""en"",C$3)"),"Standard 8002")</f>
        <v>Standard 8002</v>
      </c>
      <c r="D207" s="12" t="str">
        <f ca="1">IFERROR(__xludf.DUMMYFUNCTION("GOOGLETRANSLATE($B207,""en"",D$3)"),"Standard 8002")</f>
        <v>Standard 8002</v>
      </c>
      <c r="E207" s="12" t="str">
        <f ca="1">IFERROR(__xludf.DUMMYFUNCTION("GOOGLETRANSLATE($B207,""en"",E$3)"),"padrão 8002")</f>
        <v>padrão 8002</v>
      </c>
      <c r="F207" s="12" t="str">
        <f ca="1">IFERROR(__xludf.DUMMYFUNCTION("GOOGLETRANSLATE($B207,""en"",F$3)"),"padrão 8002")</f>
        <v>padrão 8002</v>
      </c>
      <c r="G207" s="12" t="str">
        <f ca="1">IFERROR(__xludf.DUMMYFUNCTION("GOOGLETRANSLATE($B207,""en"",G$3)"),"Par défaut 8002")</f>
        <v>Par défaut 8002</v>
      </c>
      <c r="H207" s="12" t="str">
        <f ca="1">IFERROR(__xludf.DUMMYFUNCTION("GOOGLETRANSLATE($B207,""en"",H$3)"),"8002 lehenetsia")</f>
        <v>8002 lehenetsia</v>
      </c>
      <c r="I207" s="12" t="str">
        <f ca="1">IFERROR(__xludf.DUMMYFUNCTION("GOOGLETRANSLATE($B207,""en"",I$3)"),"Per defecte 8002")</f>
        <v>Per defecte 8002</v>
      </c>
      <c r="J207" s="12" t="str">
        <f ca="1">IFERROR(__xludf.DUMMYFUNCTION("GOOGLETRANSLATE($B207,""en"",J$3)"),"výchozí 8002")</f>
        <v>výchozí 8002</v>
      </c>
      <c r="K207" s="12" t="str">
        <f ca="1">IFERROR(__xludf.DUMMYFUNCTION("GOOGLETRANSLATE($B207,""en"",K$3)"),"默认8002")</f>
        <v>默认8002</v>
      </c>
      <c r="L207" s="12" t="str">
        <f ca="1">IFERROR(__xludf.DUMMYFUNCTION("GOOGLETRANSLATE($B207,""en"",L$3)"),"默認8002")</f>
        <v>默認8002</v>
      </c>
      <c r="M207" s="12" t="str">
        <f ca="1">IFERROR(__xludf.DUMMYFUNCTION("GOOGLETRANSLATE($B207,""en"",M$3)"),"standaard 8002")</f>
        <v>standaard 8002</v>
      </c>
      <c r="N207" s="12" t="str">
        <f ca="1">IFERROR(__xludf.DUMMYFUNCTION("GOOGLETRANSLATE($B207,""en"",N$3)"),"προεπιλογή 8002")</f>
        <v>προεπιλογή 8002</v>
      </c>
      <c r="O207" s="12" t="str">
        <f ca="1">IFERROR(__xludf.DUMMYFUNCTION("GOOGLETRANSLATE($B207,""en"",O$3)"),"Oletus 8002")</f>
        <v>Oletus 8002</v>
      </c>
      <c r="P207" s="12" t="str">
        <f ca="1">IFERROR(__xludf.DUMMYFUNCTION("GOOGLETRANSLATE($B207,""en"",P$3)"),"Réamhshocrú 8002")</f>
        <v>Réamhshocrú 8002</v>
      </c>
      <c r="Q207" s="12" t="str">
        <f ca="1">IFERROR(__xludf.DUMMYFUNCTION("GOOGLETRANSLATE($B207,""en"",Q$3)"),"پیش فرض 8002")</f>
        <v>پیش فرض 8002</v>
      </c>
      <c r="R207" s="12" t="str">
        <f ca="1">IFERROR(__xludf.DUMMYFUNCTION("GOOGLETRANSLATE($B207,""en"",R$3)"),"ברירת מחדל 8002")</f>
        <v>ברירת מחדל 8002</v>
      </c>
      <c r="S207" s="12" t="str">
        <f ca="1">IFERROR(__xludf.DUMMYFUNCTION("GOOGLETRANSLATE($B207,""en"",S$3)"),"Sjálfgefin 8002")</f>
        <v>Sjálfgefin 8002</v>
      </c>
      <c r="T207" s="12" t="str">
        <f ca="1">IFERROR(__xludf.DUMMYFUNCTION("GOOGLETRANSLATE($B207,""en"",T$3)"),"standard 8002")</f>
        <v>standard 8002</v>
      </c>
      <c r="U207" s="12" t="str">
        <f ca="1">IFERROR(__xludf.DUMMYFUNCTION("GOOGLETRANSLATE($B207,""en"",U$3)"),"افتراضي 8002")</f>
        <v>افتراضي 8002</v>
      </c>
      <c r="V207" s="12" t="str">
        <f ca="1">IFERROR(__xludf.DUMMYFUNCTION("GOOGLETRANSLATE($B207,""en"",V$3)"),"Domyślnie 8002")</f>
        <v>Domyślnie 8002</v>
      </c>
      <c r="W207" s="12" t="str">
        <f ca="1">IFERROR(__xludf.DUMMYFUNCTION("GOOGLETRANSLATE($B207,""en"",W$3)"),"По умолчанию 8002")</f>
        <v>По умолчанию 8002</v>
      </c>
      <c r="X207" s="12" t="str">
        <f ca="1">IFERROR(__xludf.DUMMYFUNCTION("GOOGLETRANSLATE($B207,""en"",X$3)"),"Por defecto 8002")</f>
        <v>Por defecto 8002</v>
      </c>
      <c r="Y207" s="12"/>
      <c r="Z207" s="12"/>
    </row>
    <row r="208" spans="1:26" ht="32.25" customHeight="1" x14ac:dyDescent="0.2">
      <c r="A208" s="17" t="s">
        <v>526</v>
      </c>
      <c r="B208" s="17" t="s">
        <v>527</v>
      </c>
      <c r="C208" s="11" t="str">
        <f ca="1">IFERROR(__xludf.DUMMYFUNCTION("GOOGLETRANSLATE($B208,""en"",C$3)"),"Standard 8003")</f>
        <v>Standard 8003</v>
      </c>
      <c r="D208" s="12" t="str">
        <f ca="1">IFERROR(__xludf.DUMMYFUNCTION("GOOGLETRANSLATE($B208,""en"",D$3)"),"Standard 8003")</f>
        <v>Standard 8003</v>
      </c>
      <c r="E208" s="12" t="str">
        <f ca="1">IFERROR(__xludf.DUMMYFUNCTION("GOOGLETRANSLATE($B208,""en"",E$3)"),"padrão 8003")</f>
        <v>padrão 8003</v>
      </c>
      <c r="F208" s="12" t="str">
        <f ca="1">IFERROR(__xludf.DUMMYFUNCTION("GOOGLETRANSLATE($B208,""en"",F$3)"),"padrão 8003")</f>
        <v>padrão 8003</v>
      </c>
      <c r="G208" s="12" t="str">
        <f ca="1">IFERROR(__xludf.DUMMYFUNCTION("GOOGLETRANSLATE($B208,""en"",G$3)"),"Par défaut 8003")</f>
        <v>Par défaut 8003</v>
      </c>
      <c r="H208" s="12" t="str">
        <f ca="1">IFERROR(__xludf.DUMMYFUNCTION("GOOGLETRANSLATE($B208,""en"",H$3)"),"8003 lehenetsia")</f>
        <v>8003 lehenetsia</v>
      </c>
      <c r="I208" s="12" t="str">
        <f ca="1">IFERROR(__xludf.DUMMYFUNCTION("GOOGLETRANSLATE($B208,""en"",I$3)"),"Per defecte 8003")</f>
        <v>Per defecte 8003</v>
      </c>
      <c r="J208" s="12" t="str">
        <f ca="1">IFERROR(__xludf.DUMMYFUNCTION("GOOGLETRANSLATE($B208,""en"",J$3)"),"výchozí 8003")</f>
        <v>výchozí 8003</v>
      </c>
      <c r="K208" s="12" t="str">
        <f ca="1">IFERROR(__xludf.DUMMYFUNCTION("GOOGLETRANSLATE($B208,""en"",K$3)"),"默认8003")</f>
        <v>默认8003</v>
      </c>
      <c r="L208" s="12" t="str">
        <f ca="1">IFERROR(__xludf.DUMMYFUNCTION("GOOGLETRANSLATE($B208,""en"",L$3)"),"默認8003")</f>
        <v>默認8003</v>
      </c>
      <c r="M208" s="12" t="str">
        <f ca="1">IFERROR(__xludf.DUMMYFUNCTION("GOOGLETRANSLATE($B208,""en"",M$3)"),"standaard 8003")</f>
        <v>standaard 8003</v>
      </c>
      <c r="N208" s="12" t="str">
        <f ca="1">IFERROR(__xludf.DUMMYFUNCTION("GOOGLETRANSLATE($B208,""en"",N$3)"),"προεπιλογή 8003")</f>
        <v>προεπιλογή 8003</v>
      </c>
      <c r="O208" s="12" t="str">
        <f ca="1">IFERROR(__xludf.DUMMYFUNCTION("GOOGLETRANSLATE($B208,""en"",O$3)"),"Oletus 8003")</f>
        <v>Oletus 8003</v>
      </c>
      <c r="P208" s="12" t="str">
        <f ca="1">IFERROR(__xludf.DUMMYFUNCTION("GOOGLETRANSLATE($B208,""en"",P$3)"),"Réamhshocrú 8003")</f>
        <v>Réamhshocrú 8003</v>
      </c>
      <c r="Q208" s="12" t="str">
        <f ca="1">IFERROR(__xludf.DUMMYFUNCTION("GOOGLETRANSLATE($B208,""en"",Q$3)"),"پیش فرض 8003")</f>
        <v>پیش فرض 8003</v>
      </c>
      <c r="R208" s="12" t="str">
        <f ca="1">IFERROR(__xludf.DUMMYFUNCTION("GOOGLETRANSLATE($B208,""en"",R$3)"),"ברירת מחדל 8003")</f>
        <v>ברירת מחדל 8003</v>
      </c>
      <c r="S208" s="12" t="str">
        <f ca="1">IFERROR(__xludf.DUMMYFUNCTION("GOOGLETRANSLATE($B208,""en"",S$3)"),"Sjálfgefin 8003")</f>
        <v>Sjálfgefin 8003</v>
      </c>
      <c r="T208" s="12" t="str">
        <f ca="1">IFERROR(__xludf.DUMMYFUNCTION("GOOGLETRANSLATE($B208,""en"",T$3)"),"standard 8003")</f>
        <v>standard 8003</v>
      </c>
      <c r="U208" s="12" t="str">
        <f ca="1">IFERROR(__xludf.DUMMYFUNCTION("GOOGLETRANSLATE($B208,""en"",U$3)"),"افتراضي 8003")</f>
        <v>افتراضي 8003</v>
      </c>
      <c r="V208" s="12" t="str">
        <f ca="1">IFERROR(__xludf.DUMMYFUNCTION("GOOGLETRANSLATE($B208,""en"",V$3)"),"Domyślnie 8003")</f>
        <v>Domyślnie 8003</v>
      </c>
      <c r="W208" s="12" t="str">
        <f ca="1">IFERROR(__xludf.DUMMYFUNCTION("GOOGLETRANSLATE($B208,""en"",W$3)"),"По умолчанию 8003")</f>
        <v>По умолчанию 8003</v>
      </c>
      <c r="X208" s="12" t="str">
        <f ca="1">IFERROR(__xludf.DUMMYFUNCTION("GOOGLETRANSLATE($B208,""en"",X$3)"),"Por defecto 8003")</f>
        <v>Por defecto 8003</v>
      </c>
      <c r="Y208" s="12"/>
      <c r="Z208" s="12"/>
    </row>
    <row r="209" spans="1:26" ht="32.25" customHeight="1" x14ac:dyDescent="0.2">
      <c r="A209" s="17" t="s">
        <v>528</v>
      </c>
      <c r="B209" s="17" t="s">
        <v>529</v>
      </c>
      <c r="C209" s="11" t="str">
        <f ca="1">IFERROR(__xludf.DUMMYFUNCTION("GOOGLETRANSLATE($B209,""en"",C$3)"),"Standard 8004")</f>
        <v>Standard 8004</v>
      </c>
      <c r="D209" s="12" t="str">
        <f ca="1">IFERROR(__xludf.DUMMYFUNCTION("GOOGLETRANSLATE($B209,""en"",D$3)"),"Standard 8004")</f>
        <v>Standard 8004</v>
      </c>
      <c r="E209" s="12" t="str">
        <f ca="1">IFERROR(__xludf.DUMMYFUNCTION("GOOGLETRANSLATE($B209,""en"",E$3)"),"padrão 8004")</f>
        <v>padrão 8004</v>
      </c>
      <c r="F209" s="12" t="str">
        <f ca="1">IFERROR(__xludf.DUMMYFUNCTION("GOOGLETRANSLATE($B209,""en"",F$3)"),"padrão 8004")</f>
        <v>padrão 8004</v>
      </c>
      <c r="G209" s="12" t="str">
        <f ca="1">IFERROR(__xludf.DUMMYFUNCTION("GOOGLETRANSLATE($B209,""en"",G$3)"),"Par défaut 8004")</f>
        <v>Par défaut 8004</v>
      </c>
      <c r="H209" s="12" t="str">
        <f ca="1">IFERROR(__xludf.DUMMYFUNCTION("GOOGLETRANSLATE($B209,""en"",H$3)"),"8004 lehenetsia")</f>
        <v>8004 lehenetsia</v>
      </c>
      <c r="I209" s="12" t="str">
        <f ca="1">IFERROR(__xludf.DUMMYFUNCTION("GOOGLETRANSLATE($B209,""en"",I$3)"),"Per defecte 8004")</f>
        <v>Per defecte 8004</v>
      </c>
      <c r="J209" s="12" t="str">
        <f ca="1">IFERROR(__xludf.DUMMYFUNCTION("GOOGLETRANSLATE($B209,""en"",J$3)"),"výchozí 8004")</f>
        <v>výchozí 8004</v>
      </c>
      <c r="K209" s="12" t="str">
        <f ca="1">IFERROR(__xludf.DUMMYFUNCTION("GOOGLETRANSLATE($B209,""en"",K$3)"),"默认8004")</f>
        <v>默认8004</v>
      </c>
      <c r="L209" s="12" t="str">
        <f ca="1">IFERROR(__xludf.DUMMYFUNCTION("GOOGLETRANSLATE($B209,""en"",L$3)"),"默認8004")</f>
        <v>默認8004</v>
      </c>
      <c r="M209" s="12" t="str">
        <f ca="1">IFERROR(__xludf.DUMMYFUNCTION("GOOGLETRANSLATE($B209,""en"",M$3)"),"standaard 8004")</f>
        <v>standaard 8004</v>
      </c>
      <c r="N209" s="12" t="str">
        <f ca="1">IFERROR(__xludf.DUMMYFUNCTION("GOOGLETRANSLATE($B209,""en"",N$3)"),"προεπιλογή 8004")</f>
        <v>προεπιλογή 8004</v>
      </c>
      <c r="O209" s="12" t="str">
        <f ca="1">IFERROR(__xludf.DUMMYFUNCTION("GOOGLETRANSLATE($B209,""en"",O$3)"),"Oletus 8004")</f>
        <v>Oletus 8004</v>
      </c>
      <c r="P209" s="12" t="str">
        <f ca="1">IFERROR(__xludf.DUMMYFUNCTION("GOOGLETRANSLATE($B209,""en"",P$3)"),"Réamhshocrú 8004")</f>
        <v>Réamhshocrú 8004</v>
      </c>
      <c r="Q209" s="12" t="str">
        <f ca="1">IFERROR(__xludf.DUMMYFUNCTION("GOOGLETRANSLATE($B209,""en"",Q$3)"),"پیش فرض 8004")</f>
        <v>پیش فرض 8004</v>
      </c>
      <c r="R209" s="12" t="str">
        <f ca="1">IFERROR(__xludf.DUMMYFUNCTION("GOOGLETRANSLATE($B209,""en"",R$3)"),"ברירת מחדל 8004")</f>
        <v>ברירת מחדל 8004</v>
      </c>
      <c r="S209" s="12" t="str">
        <f ca="1">IFERROR(__xludf.DUMMYFUNCTION("GOOGLETRANSLATE($B209,""en"",S$3)"),"Sjálfgefin 8004")</f>
        <v>Sjálfgefin 8004</v>
      </c>
      <c r="T209" s="12" t="str">
        <f ca="1">IFERROR(__xludf.DUMMYFUNCTION("GOOGLETRANSLATE($B209,""en"",T$3)"),"standard 8004")</f>
        <v>standard 8004</v>
      </c>
      <c r="U209" s="12" t="str">
        <f ca="1">IFERROR(__xludf.DUMMYFUNCTION("GOOGLETRANSLATE($B209,""en"",U$3)"),"افتراضي 8004")</f>
        <v>افتراضي 8004</v>
      </c>
      <c r="V209" s="12" t="str">
        <f ca="1">IFERROR(__xludf.DUMMYFUNCTION("GOOGLETRANSLATE($B209,""en"",V$3)"),"Domyślnie 8004")</f>
        <v>Domyślnie 8004</v>
      </c>
      <c r="W209" s="12" t="str">
        <f ca="1">IFERROR(__xludf.DUMMYFUNCTION("GOOGLETRANSLATE($B209,""en"",W$3)"),"По умолчанию 8004")</f>
        <v>По умолчанию 8004</v>
      </c>
      <c r="X209" s="12" t="str">
        <f ca="1">IFERROR(__xludf.DUMMYFUNCTION("GOOGLETRANSLATE($B209,""en"",X$3)"),"Por defecto 8004")</f>
        <v>Por defecto 8004</v>
      </c>
      <c r="Y209" s="12"/>
      <c r="Z209" s="12"/>
    </row>
    <row r="210" spans="1:26" ht="32.25" customHeight="1" x14ac:dyDescent="0.2">
      <c r="A210" s="17" t="s">
        <v>530</v>
      </c>
      <c r="B210" s="17" t="s">
        <v>531</v>
      </c>
      <c r="C210" s="11" t="str">
        <f ca="1">IFERROR(__xludf.DUMMYFUNCTION("GOOGLETRANSLATE($B210,""en"",C$3)"),"Standard: aktiviert")</f>
        <v>Standard: aktiviert</v>
      </c>
      <c r="D210" s="12" t="str">
        <f ca="1">IFERROR(__xludf.DUMMYFUNCTION("GOOGLETRANSLATE($B210,""en"",D$3)"),"Standard: Kontrollerad")</f>
        <v>Standard: Kontrollerad</v>
      </c>
      <c r="E210" s="12" t="str">
        <f ca="1">IFERROR(__xludf.DUMMYFUNCTION("GOOGLETRANSLATE($B210,""en"",E$3)"),"Padrão: verificado")</f>
        <v>Padrão: verificado</v>
      </c>
      <c r="F210" s="12" t="str">
        <f ca="1">IFERROR(__xludf.DUMMYFUNCTION("GOOGLETRANSLATE($B210,""en"",F$3)"),"Padrão: verificado")</f>
        <v>Padrão: verificado</v>
      </c>
      <c r="G210" s="12" t="str">
        <f ca="1">IFERROR(__xludf.DUMMYFUNCTION("GOOGLETRANSLATE($B210,""en"",G$3)"),"Par défaut: coché")</f>
        <v>Par défaut: coché</v>
      </c>
      <c r="H210" s="12" t="str">
        <f ca="1">IFERROR(__xludf.DUMMYFUNCTION("GOOGLETRANSLATE($B210,""en"",H$3)"),"Lehenetsia: Checked")</f>
        <v>Lehenetsia: Checked</v>
      </c>
      <c r="I210" s="12" t="str">
        <f ca="1">IFERROR(__xludf.DUMMYFUNCTION("GOOGLETRANSLATE($B210,""en"",I$3)"),"Valor per defecte: seleccionat")</f>
        <v>Valor per defecte: seleccionat</v>
      </c>
      <c r="J210" s="12" t="str">
        <f ca="1">IFERROR(__xludf.DUMMYFUNCTION("GOOGLETRANSLATE($B210,""en"",J$3)"),"Výchozí: Kontroloval")</f>
        <v>Výchozí: Kontroloval</v>
      </c>
      <c r="K210" s="12" t="str">
        <f ca="1">IFERROR(__xludf.DUMMYFUNCTION("GOOGLETRANSLATE($B210,""en"",K$3)"),"默认：选中")</f>
        <v>默认：选中</v>
      </c>
      <c r="L210" s="12" t="str">
        <f ca="1">IFERROR(__xludf.DUMMYFUNCTION("GOOGLETRANSLATE($B210,""en"",L$3)"),"默認：選中")</f>
        <v>默認：選中</v>
      </c>
      <c r="M210" s="12" t="str">
        <f ca="1">IFERROR(__xludf.DUMMYFUNCTION("GOOGLETRANSLATE($B210,""en"",M$3)"),"Standaard: Gecontroleerd")</f>
        <v>Standaard: Gecontroleerd</v>
      </c>
      <c r="N210" s="12" t="str">
        <f ca="1">IFERROR(__xludf.DUMMYFUNCTION("GOOGLETRANSLATE($B210,""en"",N$3)"),"Προεπιλογή: ελεγμένο")</f>
        <v>Προεπιλογή: ελεγμένο</v>
      </c>
      <c r="O210" s="12" t="str">
        <f ca="1">IFERROR(__xludf.DUMMYFUNCTION("GOOGLETRANSLATE($B210,""en"",O$3)"),"Oletus: tarkastettu")</f>
        <v>Oletus: tarkastettu</v>
      </c>
      <c r="P210" s="12" t="str">
        <f ca="1">IFERROR(__xludf.DUMMYFUNCTION("GOOGLETRANSLATE($B210,""en"",P$3)"),"Default: Seiceáilte")</f>
        <v>Default: Seiceáilte</v>
      </c>
      <c r="Q210" s="12" t="str">
        <f ca="1">IFERROR(__xludf.DUMMYFUNCTION("GOOGLETRANSLATE($B210,""en"",Q$3)"),"پیش فرض: بررسی")</f>
        <v>پیش فرض: بررسی</v>
      </c>
      <c r="R210" s="12" t="str">
        <f ca="1">IFERROR(__xludf.DUMMYFUNCTION("GOOGLETRANSLATE($B210,""en"",R$3)"),"ברירת מחדל: מסומן")</f>
        <v>ברירת מחדל: מסומן</v>
      </c>
      <c r="S210" s="12" t="str">
        <f ca="1">IFERROR(__xludf.DUMMYFUNCTION("GOOGLETRANSLATE($B210,""en"",S$3)"),"Default: Mætti")</f>
        <v>Default: Mætti</v>
      </c>
      <c r="T210" s="12" t="str">
        <f ca="1">IFERROR(__xludf.DUMMYFUNCTION("GOOGLETRANSLATE($B210,""en"",T$3)"),"Standard: Sjekket")</f>
        <v>Standard: Sjekket</v>
      </c>
      <c r="U210" s="12" t="str">
        <f ca="1">IFERROR(__xludf.DUMMYFUNCTION("GOOGLETRANSLATE($B210,""en"",U$3)"),"الافتراضي: مراجعة")</f>
        <v>الافتراضي: مراجعة</v>
      </c>
      <c r="V210" s="12" t="str">
        <f ca="1">IFERROR(__xludf.DUMMYFUNCTION("GOOGLETRANSLATE($B210,""en"",V$3)"),"Domyślnie: sprawdzone")</f>
        <v>Domyślnie: sprawdzone</v>
      </c>
      <c r="W210" s="12" t="str">
        <f ca="1">IFERROR(__xludf.DUMMYFUNCTION("GOOGLETRANSLATE($B210,""en"",W$3)"),"Значение по умолчанию: Проверено")</f>
        <v>Значение по умолчанию: Проверено</v>
      </c>
      <c r="X210" s="12" t="str">
        <f ca="1">IFERROR(__xludf.DUMMYFUNCTION("GOOGLETRANSLATE($B210,""en"",X$3)"),"Valor predeterminado: seleccionado")</f>
        <v>Valor predeterminado: seleccionado</v>
      </c>
      <c r="Y210" s="12"/>
      <c r="Z210" s="12"/>
    </row>
    <row r="211" spans="1:26" ht="32.25" customHeight="1" x14ac:dyDescent="0.2">
      <c r="A211" s="17" t="s">
        <v>532</v>
      </c>
      <c r="B211" s="17" t="s">
        <v>533</v>
      </c>
      <c r="C211" s="11" t="str">
        <f ca="1">IFERROR(__xludf.DUMMYFUNCTION("GOOGLETRANSLATE($B211,""en"",C$3)"),"Der Standard ‚Welcome‘ Region ist nicht aktiviert. Fortsetzen?")</f>
        <v>Der Standard ‚Welcome‘ Region ist nicht aktiviert. Fortsetzen?</v>
      </c>
      <c r="D211" s="12" t="str">
        <f ca="1">IFERROR(__xludf.DUMMYFUNCTION("GOOGLETRANSLATE($B211,""en"",D$3)"),"Standard 'Välkommen' region är inte aktiverad. Fortsätta?")</f>
        <v>Standard 'Välkommen' region är inte aktiverad. Fortsätta?</v>
      </c>
      <c r="E211" s="12" t="str">
        <f ca="1">IFERROR(__xludf.DUMMYFUNCTION("GOOGLETRANSLATE($B211,""en"",E$3)"),"O padrão região 'Welcome' não está habilitado. Continuar?")</f>
        <v>O padrão região 'Welcome' não está habilitado. Continuar?</v>
      </c>
      <c r="F211" s="12" t="str">
        <f ca="1">IFERROR(__xludf.DUMMYFUNCTION("GOOGLETRANSLATE($B211,""en"",F$3)"),"O padrão região 'Welcome' não está habilitado. Continuar?")</f>
        <v>O padrão região 'Welcome' não está habilitado. Continuar?</v>
      </c>
      <c r="G211" s="12" t="str">
        <f ca="1">IFERROR(__xludf.DUMMYFUNCTION("GOOGLETRANSLATE($B211,""en"",G$3)"),"La valeur par défaut « Bienvenue » région n'est pas activé. Continuer?")</f>
        <v>La valeur par défaut « Bienvenue » région n'est pas activé. Continuer?</v>
      </c>
      <c r="H211" s="12" t="str">
        <f ca="1">IFERROR(__xludf.DUMMYFUNCTION("GOOGLETRANSLATE($B211,""en"",H$3)"),"Lehenetsia 'Ongi' eskualdea ez dago gaituta. Jarraitu?")</f>
        <v>Lehenetsia 'Ongi' eskualdea ez dago gaituta. Jarraitu?</v>
      </c>
      <c r="I211" s="12" t="str">
        <f ca="1">IFERROR(__xludf.DUMMYFUNCTION("GOOGLETRANSLATE($B211,""en"",I$3)"),"La regió per defecte 'Benvingut' no està habilitada. Continuar?")</f>
        <v>La regió per defecte 'Benvingut' no està habilitada. Continuar?</v>
      </c>
      <c r="J211" s="12" t="str">
        <f ca="1">IFERROR(__xludf.DUMMYFUNCTION("GOOGLETRANSLATE($B211,""en"",J$3)"),"Výchozí ‚Vítejte‘ region není povolen. Pokračovat?")</f>
        <v>Výchozí ‚Vítejte‘ region není povolen. Pokračovat?</v>
      </c>
      <c r="K211" s="12" t="str">
        <f ca="1">IFERROR(__xludf.DUMMYFUNCTION("GOOGLETRANSLATE($B211,""en"",K$3)"),"默认的“欢迎”区域未启用。继续？")</f>
        <v>默认的“欢迎”区域未启用。继续？</v>
      </c>
      <c r="L211" s="12" t="str">
        <f ca="1">IFERROR(__xludf.DUMMYFUNCTION("GOOGLETRANSLATE($B211,""en"",L$3)"),"默認的'歡迎'區域未啟用。繼續？")</f>
        <v>默認的'歡迎'區域未啟用。繼續？</v>
      </c>
      <c r="M211" s="12" t="str">
        <f ca="1">IFERROR(__xludf.DUMMYFUNCTION("GOOGLETRANSLATE($B211,""en"",M$3)"),"De standaard 'Welcome' regio is niet ingeschakeld. Doorgaan met?")</f>
        <v>De standaard 'Welcome' regio is niet ingeschakeld. Doorgaan met?</v>
      </c>
      <c r="N211" s="12" t="str">
        <f ca="1">IFERROR(__xludf.DUMMYFUNCTION("GOOGLETRANSLATE($B211,""en"",N$3)"),"Η προεπιλογή «Welcome» περιοχή δεν είναι ενεργοποιημένη. Να συνεχίσει?")</f>
        <v>Η προεπιλογή «Welcome» περιοχή δεν είναι ενεργοποιημένη. Να συνεχίσει?</v>
      </c>
      <c r="O211" s="12" t="str">
        <f ca="1">IFERROR(__xludf.DUMMYFUNCTION("GOOGLETRANSLATE($B211,""en"",O$3)"),"Oletuksena 'Tervetuloa' alue ei ole käytössä. Jatkaa?")</f>
        <v>Oletuksena 'Tervetuloa' alue ei ole käytössä. Jatkaa?</v>
      </c>
      <c r="P211" s="12" t="str">
        <f ca="1">IFERROR(__xludf.DUMMYFUNCTION("GOOGLETRANSLATE($B211,""en"",P$3)"),"Níl an réamhshocrú 'Fáilte' réigiúin cumasaithe. Leanúint ar aghaidh?")</f>
        <v>Níl an réamhshocrú 'Fáilte' réigiúin cumasaithe. Leanúint ar aghaidh?</v>
      </c>
      <c r="Q211" s="12" t="str">
        <f ca="1">IFERROR(__xludf.DUMMYFUNCTION("GOOGLETRANSLATE($B211,""en"",Q$3)"),"به طور پیش فرض 'خوش آمدید' منطقه فعال نیست. ادامه هید؟")</f>
        <v>به طور پیش فرض 'خوش آمدید' منطقه فعال نیست. ادامه هید؟</v>
      </c>
      <c r="R211" s="12" t="str">
        <f ca="1">IFERROR(__xludf.DUMMYFUNCTION("GOOGLETRANSLATE($B211,""en"",R$3)"),"ברירת המחדל ""ברוכים הבאים"" באזור אינו מופעל. לְהַמשִׁיך?")</f>
        <v>ברירת המחדל "ברוכים הבאים" באזור אינו מופעל. לְהַמשִׁיך?</v>
      </c>
      <c r="S211" s="12" t="str">
        <f ca="1">IFERROR(__xludf.DUMMYFUNCTION("GOOGLETRANSLATE($B211,""en"",S$3)"),"Sjálfgefna 'Velkomin' svæði er ekki virkt. Halda áfram?")</f>
        <v>Sjálfgefna 'Velkomin' svæði er ekki virkt. Halda áfram?</v>
      </c>
      <c r="T211" s="12" t="str">
        <f ca="1">IFERROR(__xludf.DUMMYFUNCTION("GOOGLETRANSLATE($B211,""en"",T$3)"),"Standard 'Velkommen' region er ikke aktivert. Fortsette?")</f>
        <v>Standard 'Velkommen' region er ikke aktivert. Fortsette?</v>
      </c>
      <c r="U211" s="12" t="str">
        <f ca="1">IFERROR(__xludf.DUMMYFUNCTION("GOOGLETRANSLATE($B211,""en"",U$3)"),"لم يتم تمكين ""أهلا"" المنطقة الافتراضية. استمر؟")</f>
        <v>لم يتم تمكين "أهلا" المنطقة الافتراضية. استمر؟</v>
      </c>
      <c r="V211" s="12" t="str">
        <f ca="1">IFERROR(__xludf.DUMMYFUNCTION("GOOGLETRANSLATE($B211,""en"",V$3)"),"Domyślną „Welcome” region nie jest włączona. Kontyntynuj?")</f>
        <v>Domyślną „Welcome” region nie jest włączona. Kontyntynuj?</v>
      </c>
      <c r="W211" s="12" t="str">
        <f ca="1">IFERROR(__xludf.DUMMYFUNCTION("GOOGLETRANSLATE($B211,""en"",W$3)"),"«Добро пожаловать» регион по умолчанию не включен. Продолжать?")</f>
        <v>«Добро пожаловать» регион по умолчанию не включен. Продолжать?</v>
      </c>
      <c r="X211" s="12" t="str">
        <f ca="1">IFERROR(__xludf.DUMMYFUNCTION("GOOGLETRANSLATE($B211,""en"",X$3)"),"La región por defecto 'Bienvenido' no está habilitada. ¿Seguir?")</f>
        <v>La región por defecto 'Bienvenido' no está habilitada. ¿Seguir?</v>
      </c>
      <c r="Y211" s="12"/>
      <c r="Z211" s="12"/>
    </row>
    <row r="212" spans="1:26" ht="32.25" customHeight="1" x14ac:dyDescent="0.2">
      <c r="A212" s="17" t="s">
        <v>534</v>
      </c>
      <c r="B212" s="17" t="s">
        <v>535</v>
      </c>
      <c r="C212" s="11" t="str">
        <f ca="1">IFERROR(__xludf.DUMMYFUNCTION("GOOGLETRANSLATE($B212,""en"",C$3)"),"Standardregion")</f>
        <v>Standardregion</v>
      </c>
      <c r="D212" s="12" t="str">
        <f ca="1">IFERROR(__xludf.DUMMYFUNCTION("GOOGLETRANSLATE($B212,""en"",D$3)"),"Standard region")</f>
        <v>Standard region</v>
      </c>
      <c r="E212" s="12" t="str">
        <f ca="1">IFERROR(__xludf.DUMMYFUNCTION("GOOGLETRANSLATE($B212,""en"",E$3)"),"região padrão")</f>
        <v>região padrão</v>
      </c>
      <c r="F212" s="12" t="str">
        <f ca="1">IFERROR(__xludf.DUMMYFUNCTION("GOOGLETRANSLATE($B212,""en"",F$3)"),"região padrão")</f>
        <v>região padrão</v>
      </c>
      <c r="G212" s="12" t="str">
        <f ca="1">IFERROR(__xludf.DUMMYFUNCTION("GOOGLETRANSLATE($B212,""en"",G$3)"),"région par défaut")</f>
        <v>région par défaut</v>
      </c>
      <c r="H212" s="12" t="str">
        <f ca="1">IFERROR(__xludf.DUMMYFUNCTION("GOOGLETRANSLATE($B212,""en"",H$3)"),"eskualde Default")</f>
        <v>eskualde Default</v>
      </c>
      <c r="I212" s="12" t="str">
        <f ca="1">IFERROR(__xludf.DUMMYFUNCTION("GOOGLETRANSLATE($B212,""en"",I$3)"),"regió per defecte")</f>
        <v>regió per defecte</v>
      </c>
      <c r="J212" s="12" t="str">
        <f ca="1">IFERROR(__xludf.DUMMYFUNCTION("GOOGLETRANSLATE($B212,""en"",J$3)"),"výchozí region")</f>
        <v>výchozí region</v>
      </c>
      <c r="K212" s="12" t="str">
        <f ca="1">IFERROR(__xludf.DUMMYFUNCTION("GOOGLETRANSLATE($B212,""en"",K$3)"),"默认区域")</f>
        <v>默认区域</v>
      </c>
      <c r="L212" s="12" t="str">
        <f ca="1">IFERROR(__xludf.DUMMYFUNCTION("GOOGLETRANSLATE($B212,""en"",L$3)"),"默認區域")</f>
        <v>默認區域</v>
      </c>
      <c r="M212" s="12" t="str">
        <f ca="1">IFERROR(__xludf.DUMMYFUNCTION("GOOGLETRANSLATE($B212,""en"",M$3)"),"Default regio")</f>
        <v>Default regio</v>
      </c>
      <c r="N212" s="12" t="str">
        <f ca="1">IFERROR(__xludf.DUMMYFUNCTION("GOOGLETRANSLATE($B212,""en"",N$3)"),"προεπιλογή περιοχή")</f>
        <v>προεπιλογή περιοχή</v>
      </c>
      <c r="O212" s="12" t="str">
        <f ca="1">IFERROR(__xludf.DUMMYFUNCTION("GOOGLETRANSLATE($B212,""en"",O$3)"),"Oletus alue")</f>
        <v>Oletus alue</v>
      </c>
      <c r="P212" s="12" t="str">
        <f ca="1">IFERROR(__xludf.DUMMYFUNCTION("GOOGLETRANSLATE($B212,""en"",P$3)"),"réigiún réamhshocraithe")</f>
        <v>réigiún réamhshocraithe</v>
      </c>
      <c r="Q212" s="12" t="str">
        <f ca="1">IFERROR(__xludf.DUMMYFUNCTION("GOOGLETRANSLATE($B212,""en"",Q$3)"),"منطقه به طور پیش فرض")</f>
        <v>منطقه به طور پیش فرض</v>
      </c>
      <c r="R212" s="12" t="str">
        <f ca="1">IFERROR(__xludf.DUMMYFUNCTION("GOOGLETRANSLATE($B212,""en"",R$3)"),"אזור ברירה")</f>
        <v>אזור ברירה</v>
      </c>
      <c r="S212" s="12" t="str">
        <f ca="1">IFERROR(__xludf.DUMMYFUNCTION("GOOGLETRANSLATE($B212,""en"",S$3)"),"Default svæðinu")</f>
        <v>Default svæðinu</v>
      </c>
      <c r="T212" s="12" t="str">
        <f ca="1">IFERROR(__xludf.DUMMYFUNCTION("GOOGLETRANSLATE($B212,""en"",T$3)"),"standard region")</f>
        <v>standard region</v>
      </c>
      <c r="U212" s="12" t="str">
        <f ca="1">IFERROR(__xludf.DUMMYFUNCTION("GOOGLETRANSLATE($B212,""en"",U$3)"),"المنطقة الافتراضية")</f>
        <v>المنطقة الافتراضية</v>
      </c>
      <c r="V212" s="12" t="str">
        <f ca="1">IFERROR(__xludf.DUMMYFUNCTION("GOOGLETRANSLATE($B212,""en"",V$3)"),"Region domyślny")</f>
        <v>Region domyślny</v>
      </c>
      <c r="W212" s="12" t="str">
        <f ca="1">IFERROR(__xludf.DUMMYFUNCTION("GOOGLETRANSLATE($B212,""en"",W$3)"),"По умолчанию область")</f>
        <v>По умолчанию область</v>
      </c>
      <c r="X212" s="12" t="str">
        <f ca="1">IFERROR(__xludf.DUMMYFUNCTION("GOOGLETRANSLATE($B212,""en"",X$3)"),"región por defecto")</f>
        <v>región por defecto</v>
      </c>
      <c r="Y212" s="12"/>
      <c r="Z212" s="12"/>
    </row>
    <row r="213" spans="1:26" ht="32.25" customHeight="1" x14ac:dyDescent="0.2">
      <c r="A213" s="17" t="s">
        <v>536</v>
      </c>
      <c r="B213" s="17" t="s">
        <v>537</v>
      </c>
      <c r="C213" s="11" t="str">
        <f ca="1">IFERROR(__xludf.DUMMYFUNCTION("GOOGLETRANSLATE($B213,""en"",C$3)"),"Der Standard ‚Welcome‘ Region ist nicht im System gefunden. Fortsetzen?")</f>
        <v>Der Standard ‚Welcome‘ Region ist nicht im System gefunden. Fortsetzen?</v>
      </c>
      <c r="D213" s="12" t="str">
        <f ca="1">IFERROR(__xludf.DUMMYFUNCTION("GOOGLETRANSLATE($B213,""en"",D$3)"),"Standard 'Välkommen' region inte finns i systemet. Fortsätta?")</f>
        <v>Standard 'Välkommen' region inte finns i systemet. Fortsätta?</v>
      </c>
      <c r="E213" s="12" t="str">
        <f ca="1">IFERROR(__xludf.DUMMYFUNCTION("GOOGLETRANSLATE($B213,""en"",E$3)"),"A região default 'Bem-vindo' não foi encontrado no sistema. Continuar?")</f>
        <v>A região default 'Bem-vindo' não foi encontrado no sistema. Continuar?</v>
      </c>
      <c r="F213" s="12" t="str">
        <f ca="1">IFERROR(__xludf.DUMMYFUNCTION("GOOGLETRANSLATE($B213,""en"",F$3)"),"A região default 'Bem-vindo' não foi encontrado no sistema. Continuar?")</f>
        <v>A região default 'Bem-vindo' não foi encontrado no sistema. Continuar?</v>
      </c>
      <c r="G213" s="12" t="str">
        <f ca="1">IFERROR(__xludf.DUMMYFUNCTION("GOOGLETRANSLATE($B213,""en"",G$3)"),"La région par défaut « Welcome » ne se trouve pas dans le système. Continuer?")</f>
        <v>La région par défaut « Welcome » ne se trouve pas dans le système. Continuer?</v>
      </c>
      <c r="H213" s="12" t="str">
        <f ca="1">IFERROR(__xludf.DUMMYFUNCTION("GOOGLETRANSLATE($B213,""en"",H$3)"),"Lehenetsia 'Ongi' eskualdea ez dago sistema aurkitu. Jarraitu?")</f>
        <v>Lehenetsia 'Ongi' eskualdea ez dago sistema aurkitu. Jarraitu?</v>
      </c>
      <c r="I213" s="12" t="str">
        <f ca="1">IFERROR(__xludf.DUMMYFUNCTION("GOOGLETRANSLATE($B213,""en"",I$3)"),"La regió per defecte 'Benvingut' no es troba en el sistema. Continuar?")</f>
        <v>La regió per defecte 'Benvingut' no es troba en el sistema. Continuar?</v>
      </c>
      <c r="J213" s="12" t="str">
        <f ca="1">IFERROR(__xludf.DUMMYFUNCTION("GOOGLETRANSLATE($B213,""en"",J$3)"),"Dále jen ‚Vítejte‘ Výchozí oblast není v systému nalezen. Pokračovat?")</f>
        <v>Dále jen ‚Vítejte‘ Výchozí oblast není v systému nalezen. Pokračovat?</v>
      </c>
      <c r="K213" s="12" t="str">
        <f ca="1">IFERROR(__xludf.DUMMYFUNCTION("GOOGLETRANSLATE($B213,""en"",K$3)"),"默认的“欢迎”区域未在系统中找到。继续？")</f>
        <v>默认的“欢迎”区域未在系统中找到。继续？</v>
      </c>
      <c r="L213" s="12" t="str">
        <f ca="1">IFERROR(__xludf.DUMMYFUNCTION("GOOGLETRANSLATE($B213,""en"",L$3)"),"默認的'歡迎'區域未在系統中找到。繼續？")</f>
        <v>默認的'歡迎'區域未在系統中找到。繼續？</v>
      </c>
      <c r="M213" s="12" t="str">
        <f ca="1">IFERROR(__xludf.DUMMYFUNCTION("GOOGLETRANSLATE($B213,""en"",M$3)"),"De regio default 'Welcome' is niet gevonden in het systeem. Doorgaan met?")</f>
        <v>De regio default 'Welcome' is niet gevonden in het systeem. Doorgaan met?</v>
      </c>
      <c r="N213" s="12" t="str">
        <f ca="1">IFERROR(__xludf.DUMMYFUNCTION("GOOGLETRANSLATE($B213,""en"",N$3)"),"Η προεπιλεγμένη περιοχή «Welcome» δεν βρίσκεται στο σύστημα. Να συνεχίσει?")</f>
        <v>Η προεπιλεγμένη περιοχή «Welcome» δεν βρίσκεται στο σύστημα. Να συνεχίσει?</v>
      </c>
      <c r="O213" s="12" t="str">
        <f ca="1">IFERROR(__xludf.DUMMYFUNCTION("GOOGLETRANSLATE($B213,""en"",O$3)"),"Oletuksena 'Tervetuloa' aluetta ei löydy järjestelmästä. Jatkaa?")</f>
        <v>Oletuksena 'Tervetuloa' aluetta ei löydy järjestelmästä. Jatkaa?</v>
      </c>
      <c r="P213" s="12" t="str">
        <f ca="1">IFERROR(__xludf.DUMMYFUNCTION("GOOGLETRANSLATE($B213,""en"",P$3)"),"Níl an réigiún réamhshocraithe 'Fáilte' le fáil sa chóras. Leanúint ar aghaidh?")</f>
        <v>Níl an réigiún réamhshocraithe 'Fáilte' le fáil sa chóras. Leanúint ar aghaidh?</v>
      </c>
      <c r="Q213" s="12" t="str">
        <f ca="1">IFERROR(__xludf.DUMMYFUNCTION("GOOGLETRANSLATE($B213,""en"",Q$3)"),"به طور پیش فرض 'خوش آمدید' منطقه در سیستم یافت نشد. ادامه هید؟")</f>
        <v>به طور پیش فرض 'خوش آمدید' منطقه در سیستم یافت نشد. ادامه هید؟</v>
      </c>
      <c r="R213" s="12" t="str">
        <f ca="1">IFERROR(__xludf.DUMMYFUNCTION("GOOGLETRANSLATE($B213,""en"",R$3)"),"ברירת המחדל ""ברוכים הבאים"" באזור לא נמצא במערכת. לְהַמשִׁיך?")</f>
        <v>ברירת המחדל "ברוכים הבאים" באזור לא נמצא במערכת. לְהַמשִׁיך?</v>
      </c>
      <c r="S213" s="12" t="str">
        <f ca="1">IFERROR(__xludf.DUMMYFUNCTION("GOOGLETRANSLATE($B213,""en"",S$3)"),"Sjálfgefna 'Velkomin' svæðinu er ekki í kerfinu. Halda áfram?")</f>
        <v>Sjálfgefna 'Velkomin' svæðinu er ekki í kerfinu. Halda áfram?</v>
      </c>
      <c r="T213" s="12" t="str">
        <f ca="1">IFERROR(__xludf.DUMMYFUNCTION("GOOGLETRANSLATE($B213,""en"",T$3)"),"Standard 'Velkommen' region finnes ikke i systemet. Fortsette?")</f>
        <v>Standard 'Velkommen' region finnes ikke i systemet. Fortsette?</v>
      </c>
      <c r="U213" s="12" t="str">
        <f ca="1">IFERROR(__xludf.DUMMYFUNCTION("GOOGLETRANSLATE($B213,""en"",U$3)"),"لم يتم العثور على ""أهلا"" المنطقة الافتراضية في النظام. استمر؟")</f>
        <v>لم يتم العثور على "أهلا" المنطقة الافتراضية في النظام. استمر؟</v>
      </c>
      <c r="V213" s="12" t="str">
        <f ca="1">IFERROR(__xludf.DUMMYFUNCTION("GOOGLETRANSLATE($B213,""en"",V$3)"),"Domyślną „Welcome” region nie znajduje się w systemie. Kontyntynuj?")</f>
        <v>Domyślną „Welcome” region nie znajduje się w systemie. Kontyntynuj?</v>
      </c>
      <c r="W213" s="12" t="str">
        <f ca="1">IFERROR(__xludf.DUMMYFUNCTION("GOOGLETRANSLATE($B213,""en"",W$3)"),"«Добро пожаловать» регион по умолчанию не найден в системе. Продолжать?")</f>
        <v>«Добро пожаловать» регион по умолчанию не найден в системе. Продолжать?</v>
      </c>
      <c r="X213" s="12" t="str">
        <f ca="1">IFERROR(__xludf.DUMMYFUNCTION("GOOGLETRANSLATE($B213,""en"",X$3)"),"La región por defecto 'Bienvenido' no se encuentra en el sistema. ¿Seguir?")</f>
        <v>La región por defecto 'Bienvenido' no se encuentra en el sistema. ¿Seguir?</v>
      </c>
      <c r="Y213" s="12"/>
      <c r="Z213" s="12"/>
    </row>
    <row r="214" spans="1:26" ht="32.25" customHeight="1" x14ac:dyDescent="0.2">
      <c r="A214" s="17" t="s">
        <v>538</v>
      </c>
      <c r="B214" s="17" t="s">
        <v>539</v>
      </c>
      <c r="C214" s="11" t="str">
        <f ca="1">IFERROR(__xludf.DUMMYFUNCTION("GOOGLETRANSLATE($B214,""en"",C$3)"),"Löschen")</f>
        <v>Löschen</v>
      </c>
      <c r="D214" s="12" t="str">
        <f ca="1">IFERROR(__xludf.DUMMYFUNCTION("GOOGLETRANSLATE($B214,""en"",D$3)"),"Radera")</f>
        <v>Radera</v>
      </c>
      <c r="E214" s="12" t="str">
        <f ca="1">IFERROR(__xludf.DUMMYFUNCTION("GOOGLETRANSLATE($B214,""en"",E$3)"),"Excluir")</f>
        <v>Excluir</v>
      </c>
      <c r="F214" s="12" t="str">
        <f ca="1">IFERROR(__xludf.DUMMYFUNCTION("GOOGLETRANSLATE($B214,""en"",F$3)"),"Excluir")</f>
        <v>Excluir</v>
      </c>
      <c r="G214" s="12" t="str">
        <f ca="1">IFERROR(__xludf.DUMMYFUNCTION("GOOGLETRANSLATE($B214,""en"",G$3)"),"Supprimer")</f>
        <v>Supprimer</v>
      </c>
      <c r="H214" s="12" t="str">
        <f ca="1">IFERROR(__xludf.DUMMYFUNCTION("GOOGLETRANSLATE($B214,""en"",H$3)"),"Ezabatu")</f>
        <v>Ezabatu</v>
      </c>
      <c r="I214" s="12" t="str">
        <f ca="1">IFERROR(__xludf.DUMMYFUNCTION("GOOGLETRANSLATE($B214,""en"",I$3)"),"eliminar")</f>
        <v>eliminar</v>
      </c>
      <c r="J214" s="12" t="str">
        <f ca="1">IFERROR(__xludf.DUMMYFUNCTION("GOOGLETRANSLATE($B214,""en"",J$3)"),"Vymazat")</f>
        <v>Vymazat</v>
      </c>
      <c r="K214" s="12" t="str">
        <f ca="1">IFERROR(__xludf.DUMMYFUNCTION("GOOGLETRANSLATE($B214,""en"",K$3)"),"删除")</f>
        <v>删除</v>
      </c>
      <c r="L214" s="12" t="str">
        <f ca="1">IFERROR(__xludf.DUMMYFUNCTION("GOOGLETRANSLATE($B214,""en"",L$3)"),"刪除")</f>
        <v>刪除</v>
      </c>
      <c r="M214" s="12" t="str">
        <f ca="1">IFERROR(__xludf.DUMMYFUNCTION("GOOGLETRANSLATE($B214,""en"",M$3)"),"Delete")</f>
        <v>Delete</v>
      </c>
      <c r="N214" s="12" t="str">
        <f ca="1">IFERROR(__xludf.DUMMYFUNCTION("GOOGLETRANSLATE($B214,""en"",N$3)"),"Διαγράφω")</f>
        <v>Διαγράφω</v>
      </c>
      <c r="O214" s="12" t="str">
        <f ca="1">IFERROR(__xludf.DUMMYFUNCTION("GOOGLETRANSLATE($B214,""en"",O$3)"),"Poistaa")</f>
        <v>Poistaa</v>
      </c>
      <c r="P214" s="12" t="str">
        <f ca="1">IFERROR(__xludf.DUMMYFUNCTION("GOOGLETRANSLATE($B214,""en"",P$3)"),"Scrios")</f>
        <v>Scrios</v>
      </c>
      <c r="Q214" s="12" t="str">
        <f ca="1">IFERROR(__xludf.DUMMYFUNCTION("GOOGLETRANSLATE($B214,""en"",Q$3)"),"حذف")</f>
        <v>حذف</v>
      </c>
      <c r="R214" s="12" t="str">
        <f ca="1">IFERROR(__xludf.DUMMYFUNCTION("GOOGLETRANSLATE($B214,""en"",R$3)"),"לִמְחוֹק")</f>
        <v>לִמְחוֹק</v>
      </c>
      <c r="S214" s="12" t="str">
        <f ca="1">IFERROR(__xludf.DUMMYFUNCTION("GOOGLETRANSLATE($B214,""en"",S$3)"),"Eyða")</f>
        <v>Eyða</v>
      </c>
      <c r="T214" s="12" t="str">
        <f ca="1">IFERROR(__xludf.DUMMYFUNCTION("GOOGLETRANSLATE($B214,""en"",T$3)"),"Slett")</f>
        <v>Slett</v>
      </c>
      <c r="U214" s="12" t="str">
        <f ca="1">IFERROR(__xludf.DUMMYFUNCTION("GOOGLETRANSLATE($B214,""en"",U$3)"),"حذف")</f>
        <v>حذف</v>
      </c>
      <c r="V214" s="12" t="str">
        <f ca="1">IFERROR(__xludf.DUMMYFUNCTION("GOOGLETRANSLATE($B214,""en"",V$3)"),"Usunąć")</f>
        <v>Usunąć</v>
      </c>
      <c r="W214" s="12" t="str">
        <f ca="1">IFERROR(__xludf.DUMMYFUNCTION("GOOGLETRANSLATE($B214,""en"",W$3)"),"Удалить")</f>
        <v>Удалить</v>
      </c>
      <c r="X214" s="12" t="str">
        <f ca="1">IFERROR(__xludf.DUMMYFUNCTION("GOOGLETRANSLATE($B214,""en"",X$3)"),"Eliminar")</f>
        <v>Eliminar</v>
      </c>
      <c r="Y214" s="12"/>
      <c r="Z214" s="12"/>
    </row>
    <row r="215" spans="1:26" ht="32.25" customHeight="1" x14ac:dyDescent="0.2">
      <c r="A215" s="17" t="s">
        <v>540</v>
      </c>
      <c r="B215" s="17" t="s">
        <v>541</v>
      </c>
      <c r="C215" s="11" t="str">
        <f ca="1">IFERROR(__xludf.DUMMYFUNCTION("GOOGLETRANSLATE($B215,""en"",C$3)"),"Gelöscht")</f>
        <v>Gelöscht</v>
      </c>
      <c r="D215" s="12" t="str">
        <f ca="1">IFERROR(__xludf.DUMMYFUNCTION("GOOGLETRANSLATE($B215,""en"",D$3)"),"raderade")</f>
        <v>raderade</v>
      </c>
      <c r="E215" s="12" t="str">
        <f ca="1">IFERROR(__xludf.DUMMYFUNCTION("GOOGLETRANSLATE($B215,""en"",E$3)"),"Deleted")</f>
        <v>Deleted</v>
      </c>
      <c r="F215" s="12" t="str">
        <f ca="1">IFERROR(__xludf.DUMMYFUNCTION("GOOGLETRANSLATE($B215,""en"",F$3)"),"Deleted")</f>
        <v>Deleted</v>
      </c>
      <c r="G215" s="12" t="str">
        <f ca="1">IFERROR(__xludf.DUMMYFUNCTION("GOOGLETRANSLATE($B215,""en"",G$3)"),"supprimé")</f>
        <v>supprimé</v>
      </c>
      <c r="H215" s="12" t="str">
        <f ca="1">IFERROR(__xludf.DUMMYFUNCTION("GOOGLETRANSLATE($B215,""en"",H$3)"),"Ezabatutako")</f>
        <v>Ezabatutako</v>
      </c>
      <c r="I215" s="12" t="str">
        <f ca="1">IFERROR(__xludf.DUMMYFUNCTION("GOOGLETRANSLATE($B215,""en"",I$3)"),"suprimit")</f>
        <v>suprimit</v>
      </c>
      <c r="J215" s="12" t="str">
        <f ca="1">IFERROR(__xludf.DUMMYFUNCTION("GOOGLETRANSLATE($B215,""en"",J$3)"),"vypouští")</f>
        <v>vypouští</v>
      </c>
      <c r="K215" s="12" t="str">
        <f ca="1">IFERROR(__xludf.DUMMYFUNCTION("GOOGLETRANSLATE($B215,""en"",K$3)"),"已删除")</f>
        <v>已删除</v>
      </c>
      <c r="L215" s="12" t="str">
        <f ca="1">IFERROR(__xludf.DUMMYFUNCTION("GOOGLETRANSLATE($B215,""en"",L$3)"),"已刪除")</f>
        <v>已刪除</v>
      </c>
      <c r="M215" s="12" t="str">
        <f ca="1">IFERROR(__xludf.DUMMYFUNCTION("GOOGLETRANSLATE($B215,""en"",M$3)"),"Verwijderde")</f>
        <v>Verwijderde</v>
      </c>
      <c r="N215" s="12" t="str">
        <f ca="1">IFERROR(__xludf.DUMMYFUNCTION("GOOGLETRANSLATE($B215,""en"",N$3)"),"Διαγράφεται")</f>
        <v>Διαγράφεται</v>
      </c>
      <c r="O215" s="12" t="str">
        <f ca="1">IFERROR(__xludf.DUMMYFUNCTION("GOOGLETRANSLATE($B215,""en"",O$3)"),"Poistettu")</f>
        <v>Poistettu</v>
      </c>
      <c r="P215" s="12" t="str">
        <f ca="1">IFERROR(__xludf.DUMMYFUNCTION("GOOGLETRANSLATE($B215,""en"",P$3)"),"Scriosta")</f>
        <v>Scriosta</v>
      </c>
      <c r="Q215" s="12" t="str">
        <f ca="1">IFERROR(__xludf.DUMMYFUNCTION("GOOGLETRANSLATE($B215,""en"",Q$3)"),"حذف شده")</f>
        <v>حذف شده</v>
      </c>
      <c r="R215" s="12" t="str">
        <f ca="1">IFERROR(__xludf.DUMMYFUNCTION("GOOGLETRANSLATE($B215,""en"",R$3)"),"שנמחק")</f>
        <v>שנמחק</v>
      </c>
      <c r="S215" s="12" t="str">
        <f ca="1">IFERROR(__xludf.DUMMYFUNCTION("GOOGLETRANSLATE($B215,""en"",S$3)"),"eytt")</f>
        <v>eytt</v>
      </c>
      <c r="T215" s="12" t="str">
        <f ca="1">IFERROR(__xludf.DUMMYFUNCTION("GOOGLETRANSLATE($B215,""en"",T$3)"),"Slettet")</f>
        <v>Slettet</v>
      </c>
      <c r="U215" s="12" t="str">
        <f ca="1">IFERROR(__xludf.DUMMYFUNCTION("GOOGLETRANSLATE($B215,""en"",U$3)"),"تم الحذف")</f>
        <v>تم الحذف</v>
      </c>
      <c r="V215" s="12" t="str">
        <f ca="1">IFERROR(__xludf.DUMMYFUNCTION("GOOGLETRANSLATE($B215,""en"",V$3)"),"Usunięte")</f>
        <v>Usunięte</v>
      </c>
      <c r="W215" s="12" t="str">
        <f ca="1">IFERROR(__xludf.DUMMYFUNCTION("GOOGLETRANSLATE($B215,""en"",W$3)"),"Исключен")</f>
        <v>Исключен</v>
      </c>
      <c r="X215" s="12" t="str">
        <f ca="1">IFERROR(__xludf.DUMMYFUNCTION("GOOGLETRANSLATE($B215,""en"",X$3)"),"Suprimido")</f>
        <v>Suprimido</v>
      </c>
      <c r="Y215" s="12"/>
      <c r="Z215" s="12"/>
    </row>
    <row r="216" spans="1:26" ht="32.25" customHeight="1" x14ac:dyDescent="0.2">
      <c r="A216" s="17" t="s">
        <v>542</v>
      </c>
      <c r="B216" s="17" t="s">
        <v>543</v>
      </c>
      <c r="C216" s="11" t="str">
        <f ca="1">IFERROR(__xludf.DUMMYFUNCTION("GOOGLETRANSLATE($B216,""en"",C$3)"),"Löschen Alle Karten")</f>
        <v>Löschen Alle Karten</v>
      </c>
      <c r="D216" s="12" t="str">
        <f ca="1">IFERROR(__xludf.DUMMYFUNCTION("GOOGLETRANSLATE($B216,""en"",D$3)"),"Radera Maps Alla")</f>
        <v>Radera Maps Alla</v>
      </c>
      <c r="E216" s="12" t="str">
        <f ca="1">IFERROR(__xludf.DUMMYFUNCTION("GOOGLETRANSLATE($B216,""en"",E$3)"),"Apagar todos os mapas")</f>
        <v>Apagar todos os mapas</v>
      </c>
      <c r="F216" s="12" t="str">
        <f ca="1">IFERROR(__xludf.DUMMYFUNCTION("GOOGLETRANSLATE($B216,""en"",F$3)"),"Apagar todos os mapas")</f>
        <v>Apagar todos os mapas</v>
      </c>
      <c r="G216" s="12" t="str">
        <f ca="1">IFERROR(__xludf.DUMMYFUNCTION("GOOGLETRANSLATE($B216,""en"",G$3)"),"Supprimer Toutes les cartes")</f>
        <v>Supprimer Toutes les cartes</v>
      </c>
      <c r="H216" s="12" t="str">
        <f ca="1">IFERROR(__xludf.DUMMYFUNCTION("GOOGLETRANSLATE($B216,""en"",H$3)"),"Ezabatu Maps Guztiak")</f>
        <v>Ezabatu Maps Guztiak</v>
      </c>
      <c r="I216" s="12" t="str">
        <f ca="1">IFERROR(__xludf.DUMMYFUNCTION("GOOGLETRANSLATE($B216,""en"",I$3)"),"Eliminar tots els mapes")</f>
        <v>Eliminar tots els mapes</v>
      </c>
      <c r="J216" s="12" t="str">
        <f ca="1">IFERROR(__xludf.DUMMYFUNCTION("GOOGLETRANSLATE($B216,""en"",J$3)"),"Odstranit všechny mapy")</f>
        <v>Odstranit všechny mapy</v>
      </c>
      <c r="K216" s="12" t="str">
        <f ca="1">IFERROR(__xludf.DUMMYFUNCTION("GOOGLETRANSLATE($B216,""en"",K$3)"),"删除所有地图")</f>
        <v>删除所有地图</v>
      </c>
      <c r="L216" s="12" t="str">
        <f ca="1">IFERROR(__xludf.DUMMYFUNCTION("GOOGLETRANSLATE($B216,""en"",L$3)"),"刪除所有地圖")</f>
        <v>刪除所有地圖</v>
      </c>
      <c r="M216" s="12" t="str">
        <f ca="1">IFERROR(__xludf.DUMMYFUNCTION("GOOGLETRANSLATE($B216,""en"",M$3)"),"Delete All Maps")</f>
        <v>Delete All Maps</v>
      </c>
      <c r="N216" s="12" t="str">
        <f ca="1">IFERROR(__xludf.DUMMYFUNCTION("GOOGLETRANSLATE($B216,""en"",N$3)"),"Διαγραφή όλων Χάρτες")</f>
        <v>Διαγραφή όλων Χάρτες</v>
      </c>
      <c r="O216" s="12" t="str">
        <f ca="1">IFERROR(__xludf.DUMMYFUNCTION("GOOGLETRANSLATE($B216,""en"",O$3)"),"Poista kaikki kartat")</f>
        <v>Poista kaikki kartat</v>
      </c>
      <c r="P216" s="12" t="str">
        <f ca="1">IFERROR(__xludf.DUMMYFUNCTION("GOOGLETRANSLATE($B216,""en"",P$3)"),"Scrios Uile Léarscáileanna")</f>
        <v>Scrios Uile Léarscáileanna</v>
      </c>
      <c r="Q216" s="12" t="str">
        <f ca="1">IFERROR(__xludf.DUMMYFUNCTION("GOOGLETRANSLATE($B216,""en"",Q$3)"),"حذف همه نقشه ها")</f>
        <v>حذف همه نقشه ها</v>
      </c>
      <c r="R216" s="12" t="str">
        <f ca="1">IFERROR(__xludf.DUMMYFUNCTION("GOOGLETRANSLATE($B216,""en"",R$3)"),"למחוק את כל המפות")</f>
        <v>למחוק את כל המפות</v>
      </c>
      <c r="S216" s="12" t="str">
        <f ca="1">IFERROR(__xludf.DUMMYFUNCTION("GOOGLETRANSLATE($B216,""en"",S$3)"),"Eyða öllum kortum")</f>
        <v>Eyða öllum kortum</v>
      </c>
      <c r="T216" s="12" t="str">
        <f ca="1">IFERROR(__xludf.DUMMYFUNCTION("GOOGLETRANSLATE($B216,""en"",T$3)"),"Slett alle Maps")</f>
        <v>Slett alle Maps</v>
      </c>
      <c r="U216" s="12" t="str">
        <f ca="1">IFERROR(__xludf.DUMMYFUNCTION("GOOGLETRANSLATE($B216,""en"",U$3)"),"حذف جميع خرائط")</f>
        <v>حذف جميع خرائط</v>
      </c>
      <c r="V216" s="12" t="str">
        <f ca="1">IFERROR(__xludf.DUMMYFUNCTION("GOOGLETRANSLATE($B216,""en"",V$3)"),"Usuń wszystkie mapy")</f>
        <v>Usuń wszystkie mapy</v>
      </c>
      <c r="W216" s="12" t="str">
        <f ca="1">IFERROR(__xludf.DUMMYFUNCTION("GOOGLETRANSLATE($B216,""en"",W$3)"),"Удалить все карты")</f>
        <v>Удалить все карты</v>
      </c>
      <c r="X216" s="12" t="str">
        <f ca="1">IFERROR(__xludf.DUMMYFUNCTION("GOOGLETRANSLATE($B216,""en"",X$3)"),"Eliminar todos los mapas")</f>
        <v>Eliminar todos los mapas</v>
      </c>
      <c r="Y216" s="12"/>
      <c r="Z216" s="12"/>
    </row>
    <row r="217" spans="1:26" ht="32.25" customHeight="1" x14ac:dyDescent="0.2">
      <c r="A217" s="17" t="s">
        <v>544</v>
      </c>
      <c r="B217" s="17" t="s">
        <v>545</v>
      </c>
      <c r="C217" s="11" t="str">
        <f ca="1">IFERROR(__xludf.DUMMYFUNCTION("GOOGLETRANSLATE($B217,""en"",C$3)"),"Alle Regionen sind abgemeldeten")</f>
        <v>Alle Regionen sind abgemeldeten</v>
      </c>
      <c r="D217" s="12" t="str">
        <f ca="1">IFERROR(__xludf.DUMMYFUNCTION("GOOGLETRANSLATE($B217,""en"",D$3)"),"Alla regioner är avregistreras")</f>
        <v>Alla regioner är avregistreras</v>
      </c>
      <c r="E217" s="12" t="str">
        <f ca="1">IFERROR(__xludf.DUMMYFUNCTION("GOOGLETRANSLATE($B217,""en"",E$3)"),"Todas as Regiões são deregistered")</f>
        <v>Todas as Regiões são deregistered</v>
      </c>
      <c r="F217" s="12" t="str">
        <f ca="1">IFERROR(__xludf.DUMMYFUNCTION("GOOGLETRANSLATE($B217,""en"",F$3)"),"Todas as Regiões são deregistered")</f>
        <v>Todas as Regiões são deregistered</v>
      </c>
      <c r="G217" s="12" t="str">
        <f ca="1">IFERROR(__xludf.DUMMYFUNCTION("GOOGLETRANSLATE($B217,""en"",G$3)"),"Toutes les régions sont désinscrits")</f>
        <v>Toutes les régions sont désinscrits</v>
      </c>
      <c r="H217" s="12" t="str">
        <f ca="1">IFERROR(__xludf.DUMMYFUNCTION("GOOGLETRANSLATE($B217,""en"",H$3)"),"Eskualde guztiak baja dira")</f>
        <v>Eskualde guztiak baja dira</v>
      </c>
      <c r="I217" s="12" t="str">
        <f ca="1">IFERROR(__xludf.DUMMYFUNCTION("GOOGLETRANSLATE($B217,""en"",I$3)"),"Tots els estats són eliminats de l'registre")</f>
        <v>Tots els estats són eliminats de l'registre</v>
      </c>
      <c r="J217" s="12" t="str">
        <f ca="1">IFERROR(__xludf.DUMMYFUNCTION("GOOGLETRANSLATE($B217,""en"",J$3)"),"Všechny kraje se odhlásí")</f>
        <v>Všechny kraje se odhlásí</v>
      </c>
      <c r="K217" s="12" t="str">
        <f ca="1">IFERROR(__xludf.DUMMYFUNCTION("GOOGLETRANSLATE($B217,""en"",K$3)"),"所有地区都被注销")</f>
        <v>所有地区都被注销</v>
      </c>
      <c r="L217" s="12" t="str">
        <f ca="1">IFERROR(__xludf.DUMMYFUNCTION("GOOGLETRANSLATE($B217,""en"",L$3)"),"所有地區都被註銷")</f>
        <v>所有地區都被註銷</v>
      </c>
      <c r="M217" s="12" t="str">
        <f ca="1">IFERROR(__xludf.DUMMYFUNCTION("GOOGLETRANSLATE($B217,""en"",M$3)"),"Alle regio's worden afgemeld")</f>
        <v>Alle regio's worden afgemeld</v>
      </c>
      <c r="N217" s="12" t="str">
        <f ca="1">IFERROR(__xludf.DUMMYFUNCTION("GOOGLETRANSLATE($B217,""en"",N$3)"),"Όλες οι Περιοχές διέγραψε")</f>
        <v>Όλες οι Περιοχές διέγραψε</v>
      </c>
      <c r="O217" s="12" t="str">
        <f ca="1">IFERROR(__xludf.DUMMYFUNCTION("GOOGLETRANSLATE($B217,""en"",O$3)"),"Kaikki alueet ovat rekisteristä")</f>
        <v>Kaikki alueet ovat rekisteristä</v>
      </c>
      <c r="P217" s="12" t="str">
        <f ca="1">IFERROR(__xludf.DUMMYFUNCTION("GOOGLETRANSLATE($B217,""en"",P$3)"),"Gach Réigiúin atá deregistered")</f>
        <v>Gach Réigiúin atá deregistered</v>
      </c>
      <c r="Q217" s="12" t="str">
        <f ca="1">IFERROR(__xludf.DUMMYFUNCTION("GOOGLETRANSLATE($B217,""en"",Q$3)"),"همه مناطق لغو می")</f>
        <v>همه مناطق لغو می</v>
      </c>
      <c r="R217" s="12" t="str">
        <f ca="1">IFERROR(__xludf.DUMMYFUNCTION("GOOGLETRANSLATE($B217,""en"",R$3)"),"כל המחוזות ההרשמה בוטלה")</f>
        <v>כל המחוזות ההרשמה בוטלה</v>
      </c>
      <c r="S217" s="12" t="str">
        <f ca="1">IFERROR(__xludf.DUMMYFUNCTION("GOOGLETRANSLATE($B217,""en"",S$3)"),"Allar Svæði eru afskráð")</f>
        <v>Allar Svæði eru afskráð</v>
      </c>
      <c r="T217" s="12" t="str">
        <f ca="1">IFERROR(__xludf.DUMMYFUNCTION("GOOGLETRANSLATE($B217,""en"",T$3)"),"Alle regioner er avregistrert")</f>
        <v>Alle regioner er avregistrert</v>
      </c>
      <c r="U217" s="12" t="str">
        <f ca="1">IFERROR(__xludf.DUMMYFUNCTION("GOOGLETRANSLATE($B217,""en"",U$3)"),"وإلغاء تسجيل جميع المناطق")</f>
        <v>وإلغاء تسجيل جميع المناطق</v>
      </c>
      <c r="V217" s="12" t="str">
        <f ca="1">IFERROR(__xludf.DUMMYFUNCTION("GOOGLETRANSLATE($B217,""en"",V$3)"),"Wszystkie regiony są wyrejestrowane")</f>
        <v>Wszystkie regiony są wyrejestrowane</v>
      </c>
      <c r="W217" s="12" t="str">
        <f ca="1">IFERROR(__xludf.DUMMYFUNCTION("GOOGLETRANSLATE($B217,""en"",W$3)"),"Все Регионы с регистрацией")</f>
        <v>Все Регионы с регистрацией</v>
      </c>
      <c r="X217" s="12" t="str">
        <f ca="1">IFERROR(__xludf.DUMMYFUNCTION("GOOGLETRANSLATE($B217,""en"",X$3)"),"Todos los estados son eliminados del registro")</f>
        <v>Todos los estados son eliminados del registro</v>
      </c>
      <c r="Y217" s="12"/>
      <c r="Z217" s="12"/>
    </row>
    <row r="218" spans="1:26" ht="32.25" customHeight="1" x14ac:dyDescent="0.2">
      <c r="A218" s="17" t="s">
        <v>546</v>
      </c>
      <c r="B218" s="17" t="s">
        <v>547</v>
      </c>
      <c r="C218" s="18" t="s">
        <v>548</v>
      </c>
      <c r="D218" s="12" t="str">
        <f ca="1">IFERROR(__xludf.DUMMYFUNCTION("GOOGLETRANSLATE($B218,""en"",D$3)"),"Avregistrera")</f>
        <v>Avregistrera</v>
      </c>
      <c r="E218" s="12" t="str">
        <f ca="1">IFERROR(__xludf.DUMMYFUNCTION("GOOGLETRANSLATE($B218,""en"",E$3)"),"Deregister")</f>
        <v>Deregister</v>
      </c>
      <c r="F218" s="12" t="str">
        <f ca="1">IFERROR(__xludf.DUMMYFUNCTION("GOOGLETRANSLATE($B218,""en"",F$3)"),"Deregister")</f>
        <v>Deregister</v>
      </c>
      <c r="G218" s="12" t="str">
        <f ca="1">IFERROR(__xludf.DUMMYFUNCTION("GOOGLETRANSLATE($B218,""en"",G$3)"),"deregister")</f>
        <v>deregister</v>
      </c>
      <c r="H218" s="12" t="str">
        <f ca="1">IFERROR(__xludf.DUMMYFUNCTION("GOOGLETRANSLATE($B218,""en"",H$3)"),"baja")</f>
        <v>baja</v>
      </c>
      <c r="I218" s="12" t="str">
        <f ca="1">IFERROR(__xludf.DUMMYFUNCTION("GOOGLETRANSLATE($B218,""en"",I$3)"),"Donar de baixa")</f>
        <v>Donar de baixa</v>
      </c>
      <c r="J218" s="12" t="str">
        <f ca="1">IFERROR(__xludf.DUMMYFUNCTION("GOOGLETRANSLATE($B218,""en"",J$3)"),"Deregister")</f>
        <v>Deregister</v>
      </c>
      <c r="K218" s="12" t="str">
        <f ca="1">IFERROR(__xludf.DUMMYFUNCTION("GOOGLETRANSLATE($B218,""en"",K$3)"),"注销")</f>
        <v>注销</v>
      </c>
      <c r="L218" s="12" t="str">
        <f ca="1">IFERROR(__xludf.DUMMYFUNCTION("GOOGLETRANSLATE($B218,""en"",L$3)"),"註銷")</f>
        <v>註銷</v>
      </c>
      <c r="M218" s="12" t="str">
        <f ca="1">IFERROR(__xludf.DUMMYFUNCTION("GOOGLETRANSLATE($B218,""en"",M$3)"),"Uitschrijven")</f>
        <v>Uitschrijven</v>
      </c>
      <c r="N218" s="12" t="str">
        <f ca="1">IFERROR(__xludf.DUMMYFUNCTION("GOOGLETRANSLATE($B218,""en"",N$3)"),"διαγράφουν")</f>
        <v>διαγράφουν</v>
      </c>
      <c r="O218" s="12" t="str">
        <f ca="1">IFERROR(__xludf.DUMMYFUNCTION("GOOGLETRANSLATE($B218,""en"",O$3)"),"rekisteröinnin poistamista koskeva")</f>
        <v>rekisteröinnin poistamista koskeva</v>
      </c>
      <c r="P218" s="12" t="str">
        <f ca="1">IFERROR(__xludf.DUMMYFUNCTION("GOOGLETRANSLATE($B218,""en"",P$3)"),"a dhíchlárú")</f>
        <v>a dhíchlárú</v>
      </c>
      <c r="Q218" s="12" t="str">
        <f ca="1">IFERROR(__xludf.DUMMYFUNCTION("GOOGLETRANSLATE($B218,""en"",Q$3)"),"لغو ثبت")</f>
        <v>لغو ثبت</v>
      </c>
      <c r="R218" s="12" t="str">
        <f ca="1">IFERROR(__xludf.DUMMYFUNCTION("GOOGLETRANSLATE($B218,""en"",R$3)"),"deregister")</f>
        <v>deregister</v>
      </c>
      <c r="S218" s="12" t="str">
        <f ca="1">IFERROR(__xludf.DUMMYFUNCTION("GOOGLETRANSLATE($B218,""en"",S$3)"),"afskrá")</f>
        <v>afskrá</v>
      </c>
      <c r="T218" s="12" t="str">
        <f ca="1">IFERROR(__xludf.DUMMYFUNCTION("GOOGLETRANSLATE($B218,""en"",T$3)"),"avregistrere")</f>
        <v>avregistrere</v>
      </c>
      <c r="U218" s="12" t="str">
        <f ca="1">IFERROR(__xludf.DUMMYFUNCTION("GOOGLETRANSLATE($B218,""en"",U$3)"),"إلغاء تسجيل")</f>
        <v>إلغاء تسجيل</v>
      </c>
      <c r="V218" s="12" t="str">
        <f ca="1">IFERROR(__xludf.DUMMYFUNCTION("GOOGLETRANSLATE($B218,""en"",V$3)"),"Wyrejestruj")</f>
        <v>Wyrejestruj</v>
      </c>
      <c r="W218" s="12" t="str">
        <f ca="1">IFERROR(__xludf.DUMMYFUNCTION("GOOGLETRANSLATE($B218,""en"",W$3)"),"Отменить регистрацию")</f>
        <v>Отменить регистрацию</v>
      </c>
      <c r="X218" s="12" t="str">
        <f ca="1">IFERROR(__xludf.DUMMYFUNCTION("GOOGLETRANSLATE($B218,""en"",X$3)"),"Dar de baja")</f>
        <v>Dar de baja</v>
      </c>
      <c r="Y218" s="12"/>
      <c r="Z218" s="12"/>
    </row>
    <row r="219" spans="1:26" ht="32.25" customHeight="1" x14ac:dyDescent="0.2">
      <c r="A219" s="17" t="s">
        <v>549</v>
      </c>
      <c r="B219" s="17" t="s">
        <v>550</v>
      </c>
      <c r="C219" s="11" t="str">
        <f ca="1">IFERROR(__xludf.DUMMYFUNCTION("GOOGLETRANSLATE($B219,""en"",C$3)"),"Beschreibung")</f>
        <v>Beschreibung</v>
      </c>
      <c r="D219" s="12" t="str">
        <f ca="1">IFERROR(__xludf.DUMMYFUNCTION("GOOGLETRANSLATE($B219,""en"",D$3)"),"Beskrivning")</f>
        <v>Beskrivning</v>
      </c>
      <c r="E219" s="12" t="str">
        <f ca="1">IFERROR(__xludf.DUMMYFUNCTION("GOOGLETRANSLATE($B219,""en"",E$3)"),"Descrição")</f>
        <v>Descrição</v>
      </c>
      <c r="F219" s="12" t="str">
        <f ca="1">IFERROR(__xludf.DUMMYFUNCTION("GOOGLETRANSLATE($B219,""en"",F$3)"),"Descrição")</f>
        <v>Descrição</v>
      </c>
      <c r="G219" s="12" t="str">
        <f ca="1">IFERROR(__xludf.DUMMYFUNCTION("GOOGLETRANSLATE($B219,""en"",G$3)"),"La description")</f>
        <v>La description</v>
      </c>
      <c r="H219" s="12" t="str">
        <f ca="1">IFERROR(__xludf.DUMMYFUNCTION("GOOGLETRANSLATE($B219,""en"",H$3)"),"deskribapena")</f>
        <v>deskribapena</v>
      </c>
      <c r="I219" s="12" t="str">
        <f ca="1">IFERROR(__xludf.DUMMYFUNCTION("GOOGLETRANSLATE($B219,""en"",I$3)"),"descripció")</f>
        <v>descripció</v>
      </c>
      <c r="J219" s="12" t="str">
        <f ca="1">IFERROR(__xludf.DUMMYFUNCTION("GOOGLETRANSLATE($B219,""en"",J$3)"),"Popis")</f>
        <v>Popis</v>
      </c>
      <c r="K219" s="12" t="str">
        <f ca="1">IFERROR(__xludf.DUMMYFUNCTION("GOOGLETRANSLATE($B219,""en"",K$3)"),"描述")</f>
        <v>描述</v>
      </c>
      <c r="L219" s="12" t="str">
        <f ca="1">IFERROR(__xludf.DUMMYFUNCTION("GOOGLETRANSLATE($B219,""en"",L$3)"),"描述")</f>
        <v>描述</v>
      </c>
      <c r="M219" s="12" t="str">
        <f ca="1">IFERROR(__xludf.DUMMYFUNCTION("GOOGLETRANSLATE($B219,""en"",M$3)"),"Omschrijving")</f>
        <v>Omschrijving</v>
      </c>
      <c r="N219" s="12" t="str">
        <f ca="1">IFERROR(__xludf.DUMMYFUNCTION("GOOGLETRANSLATE($B219,""en"",N$3)"),"Περιγραφή")</f>
        <v>Περιγραφή</v>
      </c>
      <c r="O219" s="12" t="str">
        <f ca="1">IFERROR(__xludf.DUMMYFUNCTION("GOOGLETRANSLATE($B219,""en"",O$3)"),"Kuvaus")</f>
        <v>Kuvaus</v>
      </c>
      <c r="P219" s="12" t="str">
        <f ca="1">IFERROR(__xludf.DUMMYFUNCTION("GOOGLETRANSLATE($B219,""en"",P$3)"),"Tuairisc")</f>
        <v>Tuairisc</v>
      </c>
      <c r="Q219" s="12" t="str">
        <f ca="1">IFERROR(__xludf.DUMMYFUNCTION("GOOGLETRANSLATE($B219,""en"",Q$3)"),"شرح")</f>
        <v>شرح</v>
      </c>
      <c r="R219" s="12" t="str">
        <f ca="1">IFERROR(__xludf.DUMMYFUNCTION("GOOGLETRANSLATE($B219,""en"",R$3)"),"תיאור")</f>
        <v>תיאור</v>
      </c>
      <c r="S219" s="12" t="str">
        <f ca="1">IFERROR(__xludf.DUMMYFUNCTION("GOOGLETRANSLATE($B219,""en"",S$3)"),"Lýsing")</f>
        <v>Lýsing</v>
      </c>
      <c r="T219" s="12" t="str">
        <f ca="1">IFERROR(__xludf.DUMMYFUNCTION("GOOGLETRANSLATE($B219,""en"",T$3)"),"Beskrivelse")</f>
        <v>Beskrivelse</v>
      </c>
      <c r="U219" s="12" t="str">
        <f ca="1">IFERROR(__xludf.DUMMYFUNCTION("GOOGLETRANSLATE($B219,""en"",U$3)"),"وصف")</f>
        <v>وصف</v>
      </c>
      <c r="V219" s="12" t="str">
        <f ca="1">IFERROR(__xludf.DUMMYFUNCTION("GOOGLETRANSLATE($B219,""en"",V$3)"),"Opis")</f>
        <v>Opis</v>
      </c>
      <c r="W219" s="12" t="str">
        <f ca="1">IFERROR(__xludf.DUMMYFUNCTION("GOOGLETRANSLATE($B219,""en"",W$3)"),"Описание")</f>
        <v>Описание</v>
      </c>
      <c r="X219" s="12" t="str">
        <f ca="1">IFERROR(__xludf.DUMMYFUNCTION("GOOGLETRANSLATE($B219,""en"",X$3)"),"Descripción")</f>
        <v>Descripción</v>
      </c>
      <c r="Y219" s="12"/>
      <c r="Z219" s="12"/>
    </row>
    <row r="220" spans="1:26" ht="32.25" customHeight="1" x14ac:dyDescent="0.2">
      <c r="A220" s="10" t="s">
        <v>551</v>
      </c>
      <c r="B220" s="10" t="s">
        <v>552</v>
      </c>
      <c r="C220" s="11" t="str">
        <f ca="1">IFERROR(__xludf.DUMMYFUNCTION("GOOGLETRANSLATE($B220,""en"",C$3)"),"Gewünschte Trennung (default = 5.0)")</f>
        <v>Gewünschte Trennung (default = 5.0)</v>
      </c>
      <c r="D220" s="11" t="str">
        <f ca="1">IFERROR(__xludf.DUMMYFUNCTION("GOOGLETRANSLATE($B220,""en"",D$3)"),"Önskade Separation (default = 5,0)")</f>
        <v>Önskade Separation (default = 5,0)</v>
      </c>
      <c r="E220" s="11" t="str">
        <f ca="1">IFERROR(__xludf.DUMMYFUNCTION("GOOGLETRANSLATE($B220,""en"",E$3)"),"Separação desejado (default = 5.0)")</f>
        <v>Separação desejado (default = 5.0)</v>
      </c>
      <c r="F220" s="11" t="str">
        <f ca="1">IFERROR(__xludf.DUMMYFUNCTION("GOOGLETRANSLATE($B220,""en"",F$3)"),"Separação desejado (default = 5.0)")</f>
        <v>Separação desejado (default = 5.0)</v>
      </c>
      <c r="G220" s="11" t="str">
        <f ca="1">IFERROR(__xludf.DUMMYFUNCTION("GOOGLETRANSLATE($B220,""en"",G$3)"),"Séparation souhaitée (par défaut = 5,0)")</f>
        <v>Séparation souhaitée (par défaut = 5,0)</v>
      </c>
      <c r="H220" s="11" t="str">
        <f ca="1">IFERROR(__xludf.DUMMYFUNCTION("GOOGLETRANSLATE($B220,""en"",H$3)"),"Nahi den Separation (lehenetsia = 5,0)")</f>
        <v>Nahi den Separation (lehenetsia = 5,0)</v>
      </c>
      <c r="I220" s="11" t="str">
        <f ca="1">IFERROR(__xludf.DUMMYFUNCTION("GOOGLETRANSLATE($B220,""en"",I$3)"),"Separació desitjada (per defecte = 5,0)")</f>
        <v>Separació desitjada (per defecte = 5,0)</v>
      </c>
      <c r="J220" s="11" t="str">
        <f ca="1">IFERROR(__xludf.DUMMYFUNCTION("GOOGLETRANSLATE($B220,""en"",J$3)"),"Požadované separace (default = 5.0)")</f>
        <v>Požadované separace (default = 5.0)</v>
      </c>
      <c r="K220" s="11" t="str">
        <f ca="1">IFERROR(__xludf.DUMMYFUNCTION("GOOGLETRANSLATE($B220,""en"",K$3)"),"所需的分离（缺省值= 5.0）")</f>
        <v>所需的分离（缺省值= 5.0）</v>
      </c>
      <c r="L220" s="11" t="str">
        <f ca="1">IFERROR(__xludf.DUMMYFUNCTION("GOOGLETRANSLATE($B220,""en"",L$3)"),"所需的分離（缺省值= 5.0）")</f>
        <v>所需的分離（缺省值= 5.0）</v>
      </c>
      <c r="M220" s="11" t="str">
        <f ca="1">IFERROR(__xludf.DUMMYFUNCTION("GOOGLETRANSLATE($B220,""en"",M$3)"),"Gewenste scheiding (standaard = 5,0)")</f>
        <v>Gewenste scheiding (standaard = 5,0)</v>
      </c>
      <c r="N220" s="11" t="str">
        <f ca="1">IFERROR(__xludf.DUMMYFUNCTION("GOOGLETRANSLATE($B220,""en"",N$3)"),"Επιθυμητός διαχωρισμός (προεπιλογή = 5,0)")</f>
        <v>Επιθυμητός διαχωρισμός (προεπιλογή = 5,0)</v>
      </c>
      <c r="O220" s="11" t="str">
        <f ca="1">IFERROR(__xludf.DUMMYFUNCTION("GOOGLETRANSLATE($B220,""en"",O$3)"),"Haluttu erottaminen (oletusarvo = 5,0)")</f>
        <v>Haluttu erottaminen (oletusarvo = 5,0)</v>
      </c>
      <c r="P220" s="11" t="str">
        <f ca="1">IFERROR(__xludf.DUMMYFUNCTION("GOOGLETRANSLATE($B220,""en"",P$3)"),"Scaradh Inmhianaithe (réamhshocrú = 5.0)")</f>
        <v>Scaradh Inmhianaithe (réamhshocrú = 5.0)</v>
      </c>
      <c r="Q220" s="11" t="str">
        <f ca="1">IFERROR(__xludf.DUMMYFUNCTION("GOOGLETRANSLATE($B220,""en"",Q$3)"),"جدایی مورد نظر (به طور پیش فرض = 5.0)")</f>
        <v>جدایی مورد نظر (به طور پیش فرض = 5.0)</v>
      </c>
      <c r="R220" s="11" t="str">
        <f ca="1">IFERROR(__xludf.DUMMYFUNCTION("GOOGLETRANSLATE($B220,""en"",R$3)"),"הפרדה רצוי (ברירת מחדל = 5.0)")</f>
        <v>הפרדה רצוי (ברירת מחדל = 5.0)</v>
      </c>
      <c r="S220" s="11" t="str">
        <f ca="1">IFERROR(__xludf.DUMMYFUNCTION("GOOGLETRANSLATE($B220,""en"",S$3)"),"Óskað Aðskilnaður (sjálfgefið = 5,0)")</f>
        <v>Óskað Aðskilnaður (sjálfgefið = 5,0)</v>
      </c>
      <c r="T220" s="11" t="str">
        <f ca="1">IFERROR(__xludf.DUMMYFUNCTION("GOOGLETRANSLATE($B220,""en"",T$3)"),"Ønsket Separasjon (standard = 5,0)")</f>
        <v>Ønsket Separasjon (standard = 5,0)</v>
      </c>
      <c r="U220" s="11" t="str">
        <f ca="1">IFERROR(__xludf.DUMMYFUNCTION("GOOGLETRANSLATE($B220,""en"",U$3)"),"المطلوب الفصل (الافتراضي = 5.0)")</f>
        <v>المطلوب الفصل (الافتراضي = 5.0)</v>
      </c>
      <c r="V220" s="11" t="str">
        <f ca="1">IFERROR(__xludf.DUMMYFUNCTION("GOOGLETRANSLATE($B220,""en"",V$3)"),"Pożądane rozdzielenie (standard = 5,0)")</f>
        <v>Pożądane rozdzielenie (standard = 5,0)</v>
      </c>
      <c r="W220" s="11" t="str">
        <f ca="1">IFERROR(__xludf.DUMMYFUNCTION("GOOGLETRANSLATE($B220,""en"",W$3)"),"Желаемое Разделение (по умолчанию = 5.0)")</f>
        <v>Желаемое Разделение (по умолчанию = 5.0)</v>
      </c>
      <c r="X220" s="11" t="str">
        <f ca="1">IFERROR(__xludf.DUMMYFUNCTION("GOOGLETRANSLATE($B220,""en"",X$3)"),"Separación deseada (por defecto = 5,0)")</f>
        <v>Separación deseada (por defecto = 5,0)</v>
      </c>
    </row>
    <row r="221" spans="1:26" ht="32.25" customHeight="1" x14ac:dyDescent="0.2">
      <c r="A221" s="17" t="s">
        <v>553</v>
      </c>
      <c r="B221" s="17" t="s">
        <v>554</v>
      </c>
      <c r="C221" s="11" t="str">
        <f ca="1">IFERROR(__xludf.DUMMYFUNCTION("GOOGLETRANSLATE($B221,""en"",C$3)"),"Einzelheiten")</f>
        <v>Einzelheiten</v>
      </c>
      <c r="D221" s="12" t="str">
        <f ca="1">IFERROR(__xludf.DUMMYFUNCTION("GOOGLETRANSLATE($B221,""en"",D$3)"),"detaljer")</f>
        <v>detaljer</v>
      </c>
      <c r="E221" s="12" t="str">
        <f ca="1">IFERROR(__xludf.DUMMYFUNCTION("GOOGLETRANSLATE($B221,""en"",E$3)"),"detalhes")</f>
        <v>detalhes</v>
      </c>
      <c r="F221" s="12" t="str">
        <f ca="1">IFERROR(__xludf.DUMMYFUNCTION("GOOGLETRANSLATE($B221,""en"",F$3)"),"detalhes")</f>
        <v>detalhes</v>
      </c>
      <c r="G221" s="12" t="str">
        <f ca="1">IFERROR(__xludf.DUMMYFUNCTION("GOOGLETRANSLATE($B221,""en"",G$3)"),"Détails")</f>
        <v>Détails</v>
      </c>
      <c r="H221" s="12" t="str">
        <f ca="1">IFERROR(__xludf.DUMMYFUNCTION("GOOGLETRANSLATE($B221,""en"",H$3)"),"Xehetasunak")</f>
        <v>Xehetasunak</v>
      </c>
      <c r="I221" s="12" t="str">
        <f ca="1">IFERROR(__xludf.DUMMYFUNCTION("GOOGLETRANSLATE($B221,""en"",I$3)"),"Detalls")</f>
        <v>Detalls</v>
      </c>
      <c r="J221" s="12" t="str">
        <f ca="1">IFERROR(__xludf.DUMMYFUNCTION("GOOGLETRANSLATE($B221,""en"",J$3)"),"podrobnosti")</f>
        <v>podrobnosti</v>
      </c>
      <c r="K221" s="12" t="str">
        <f ca="1">IFERROR(__xludf.DUMMYFUNCTION("GOOGLETRANSLATE($B221,""en"",K$3)"),"细节")</f>
        <v>细节</v>
      </c>
      <c r="L221" s="12" t="str">
        <f ca="1">IFERROR(__xludf.DUMMYFUNCTION("GOOGLETRANSLATE($B221,""en"",L$3)"),"細節")</f>
        <v>細節</v>
      </c>
      <c r="M221" s="12" t="str">
        <f ca="1">IFERROR(__xludf.DUMMYFUNCTION("GOOGLETRANSLATE($B221,""en"",M$3)"),"Details")</f>
        <v>Details</v>
      </c>
      <c r="N221" s="12" t="str">
        <f ca="1">IFERROR(__xludf.DUMMYFUNCTION("GOOGLETRANSLATE($B221,""en"",N$3)"),"Λεπτομέριες")</f>
        <v>Λεπτομέριες</v>
      </c>
      <c r="O221" s="12" t="str">
        <f ca="1">IFERROR(__xludf.DUMMYFUNCTION("GOOGLETRANSLATE($B221,""en"",O$3)"),"Yksityiskohdat")</f>
        <v>Yksityiskohdat</v>
      </c>
      <c r="P221" s="12" t="str">
        <f ca="1">IFERROR(__xludf.DUMMYFUNCTION("GOOGLETRANSLATE($B221,""en"",P$3)"),"Sonraí")</f>
        <v>Sonraí</v>
      </c>
      <c r="Q221" s="12" t="str">
        <f ca="1">IFERROR(__xludf.DUMMYFUNCTION("GOOGLETRANSLATE($B221,""en"",Q$3)"),"جزئیات")</f>
        <v>جزئیات</v>
      </c>
      <c r="R221" s="12" t="str">
        <f ca="1">IFERROR(__xludf.DUMMYFUNCTION("GOOGLETRANSLATE($B221,""en"",R$3)"),"פרטים")</f>
        <v>פרטים</v>
      </c>
      <c r="S221" s="12" t="str">
        <f ca="1">IFERROR(__xludf.DUMMYFUNCTION("GOOGLETRANSLATE($B221,""en"",S$3)"),"Nánar")</f>
        <v>Nánar</v>
      </c>
      <c r="T221" s="12" t="str">
        <f ca="1">IFERROR(__xludf.DUMMYFUNCTION("GOOGLETRANSLATE($B221,""en"",T$3)"),"detaljer")</f>
        <v>detaljer</v>
      </c>
      <c r="U221" s="12" t="str">
        <f ca="1">IFERROR(__xludf.DUMMYFUNCTION("GOOGLETRANSLATE($B221,""en"",U$3)"),"تفاصيل")</f>
        <v>تفاصيل</v>
      </c>
      <c r="V221" s="12" t="str">
        <f ca="1">IFERROR(__xludf.DUMMYFUNCTION("GOOGLETRANSLATE($B221,""en"",V$3)"),"Detale")</f>
        <v>Detale</v>
      </c>
      <c r="W221" s="12" t="str">
        <f ca="1">IFERROR(__xludf.DUMMYFUNCTION("GOOGLETRANSLATE($B221,""en"",W$3)"),"подробности")</f>
        <v>подробности</v>
      </c>
      <c r="X221" s="12" t="str">
        <f ca="1">IFERROR(__xludf.DUMMYFUNCTION("GOOGLETRANSLATE($B221,""en"",X$3)"),"detalles")</f>
        <v>detalles</v>
      </c>
      <c r="Y221" s="12"/>
      <c r="Z221" s="12"/>
    </row>
    <row r="222" spans="1:26" ht="32.25" customHeight="1" x14ac:dyDescent="0.2">
      <c r="A222" s="17" t="s">
        <v>555</v>
      </c>
      <c r="B222" s="17" t="s">
        <v>556</v>
      </c>
      <c r="C222" s="11" t="str">
        <f ca="1">IFERROR(__xludf.DUMMYFUNCTION("GOOGLETRANSLATE($B222,""en"",C$3)"),"Diese legt fest, ob das Modul etwas tut")</f>
        <v>Diese legt fest, ob das Modul etwas tut</v>
      </c>
      <c r="D222" s="12" t="str">
        <f ca="1">IFERROR(__xludf.DUMMYFUNCTION("GOOGLETRANSLATE($B222,""en"",D$3)"),"Detta avgör om modulen gör något")</f>
        <v>Detta avgör om modulen gör något</v>
      </c>
      <c r="E222" s="13" t="s">
        <v>557</v>
      </c>
      <c r="F222" s="13" t="s">
        <v>557</v>
      </c>
      <c r="G222" s="12" t="str">
        <f ca="1">IFERROR(__xludf.DUMMYFUNCTION("GOOGLETRANSLATE($B222,""en"",G$3)"),"Cela permet de déterminer si le module ne fait rien")</f>
        <v>Cela permet de déterminer si le module ne fait rien</v>
      </c>
      <c r="H222" s="12" t="str">
        <f ca="1">IFERROR(__xludf.DUMMYFUNCTION("GOOGLETRANSLATE($B222,""en"",H$3)"),"Honek erabakitzen ala modulua ezer gertatzen")</f>
        <v>Honek erabakitzen ala modulua ezer gertatzen</v>
      </c>
      <c r="I222" s="12" t="str">
        <f ca="1">IFERROR(__xludf.DUMMYFUNCTION("GOOGLETRANSLATE($B222,""en"",I$3)"),"Això determina si el mòdul fa res")</f>
        <v>Això determina si el mòdul fa res</v>
      </c>
      <c r="J222" s="12" t="str">
        <f ca="1">IFERROR(__xludf.DUMMYFUNCTION("GOOGLETRANSLATE($B222,""en"",J$3)"),"To určuje, zda modul nic nedělá")</f>
        <v>To určuje, zda modul nic nedělá</v>
      </c>
      <c r="K222" s="12" t="str">
        <f ca="1">IFERROR(__xludf.DUMMYFUNCTION("GOOGLETRANSLATE($B222,""en"",K$3)"),"这就决定了模块是否做任何事情")</f>
        <v>这就决定了模块是否做任何事情</v>
      </c>
      <c r="L222" s="12" t="str">
        <f ca="1">IFERROR(__xludf.DUMMYFUNCTION("GOOGLETRANSLATE($B222,""en"",L$3)"),"這就決定了模塊是否做任何事情")</f>
        <v>這就決定了模塊是否做任何事情</v>
      </c>
      <c r="M222" s="12" t="str">
        <f ca="1">IFERROR(__xludf.DUMMYFUNCTION("GOOGLETRANSLATE($B222,""en"",M$3)"),"Dit bepaalt of de module iets doet")</f>
        <v>Dit bepaalt of de module iets doet</v>
      </c>
      <c r="N222" s="12" t="str">
        <f ca="1">IFERROR(__xludf.DUMMYFUNCTION("GOOGLETRANSLATE($B222,""en"",N$3)"),"Αυτό καθορίζει αν η μονάδα κάνει τίποτα")</f>
        <v>Αυτό καθορίζει αν η μονάδα κάνει τίποτα</v>
      </c>
      <c r="O222" s="12" t="str">
        <f ca="1">IFERROR(__xludf.DUMMYFUNCTION("GOOGLETRANSLATE($B222,""en"",O$3)"),"Asemasta riippuu moduulin tee mitään")</f>
        <v>Asemasta riippuu moduulin tee mitään</v>
      </c>
      <c r="P222" s="12" t="str">
        <f ca="1">IFERROR(__xludf.DUMMYFUNCTION("GOOGLETRANSLATE($B222,""en"",P$3)"),"Cinneann sé seo an bhfuil a dhéanann an modúl rud ar bith")</f>
        <v>Cinneann sé seo an bhfuil a dhéanann an modúl rud ar bith</v>
      </c>
      <c r="Q222" s="12" t="str">
        <f ca="1">IFERROR(__xludf.DUMMYFUNCTION("GOOGLETRANSLATE($B222,""en"",Q$3)"),"این تعیین اینکه آیا ماژول هر چیزی")</f>
        <v>این تعیین اینکه آیا ماژول هر چیزی</v>
      </c>
      <c r="R222" s="12" t="str">
        <f ca="1">IFERROR(__xludf.DUMMYFUNCTION("GOOGLETRANSLATE($B222,""en"",R$3)"),"זו קובעת אם מודול עושה כלום")</f>
        <v>זו קובעת אם מודול עושה כלום</v>
      </c>
      <c r="S222" s="12" t="str">
        <f ca="1">IFERROR(__xludf.DUMMYFUNCTION("GOOGLETRANSLATE($B222,""en"",S$3)"),"Þetta ákvarðar hvort einingin gerir neitt")</f>
        <v>Þetta ákvarðar hvort einingin gerir neitt</v>
      </c>
      <c r="T222" s="12" t="str">
        <f ca="1">IFERROR(__xludf.DUMMYFUNCTION("GOOGLETRANSLATE($B222,""en"",T$3)"),"Dette bestemmer om modulen gjør noe")</f>
        <v>Dette bestemmer om modulen gjør noe</v>
      </c>
      <c r="U222" s="12" t="str">
        <f ca="1">IFERROR(__xludf.DUMMYFUNCTION("GOOGLETRANSLATE($B222,""en"",U$3)"),"هذا يحدد ما إذا كانت وحدة يفعل أي شيء")</f>
        <v>هذا يحدد ما إذا كانت وحدة يفعل أي شيء</v>
      </c>
      <c r="V222" s="12" t="str">
        <f ca="1">IFERROR(__xludf.DUMMYFUNCTION("GOOGLETRANSLATE($B222,""en"",V$3)"),"To określa, czy moduł nic nie robi")</f>
        <v>To określa, czy moduł nic nie robi</v>
      </c>
      <c r="W222" s="12" t="str">
        <f ca="1">IFERROR(__xludf.DUMMYFUNCTION("GOOGLETRANSLATE($B222,""en"",W$3)"),"Это определяет, имеет ли модуль ничего")</f>
        <v>Это определяет, имеет ли модуль ничего</v>
      </c>
      <c r="X222" s="12" t="str">
        <f ca="1">IFERROR(__xludf.DUMMYFUNCTION("GOOGLETRANSLATE($B222,""en"",X$3)"),"Esto determina si el módulo hace nada")</f>
        <v>Esto determina si el módulo hace nada</v>
      </c>
      <c r="Y222" s="12"/>
      <c r="Z222" s="12"/>
    </row>
    <row r="223" spans="1:26" ht="32.25" customHeight="1" x14ac:dyDescent="0.2">
      <c r="A223" s="17" t="s">
        <v>558</v>
      </c>
      <c r="B223" s="17" t="s">
        <v>559</v>
      </c>
      <c r="C223" s="11" t="str">
        <f ca="1">IFERROR(__xludf.DUMMYFUNCTION("GOOGLETRANSLATE($B223,""en"",C$3)"),"Dieser Anschluss funktioniert nicht. DreamGrid wird durch eine Firewall oder Anti-Virus blockiert, so Region Icons deaktiviert sind.")</f>
        <v>Dieser Anschluss funktioniert nicht. DreamGrid wird durch eine Firewall oder Anti-Virus blockiert, so Region Icons deaktiviert sind.</v>
      </c>
      <c r="D223" s="12" t="str">
        <f ca="1">IFERROR(__xludf.DUMMYFUNCTION("GOOGLETRANSLATE($B223,""en"",D$3)"),"Denna port fungerar inte. DreamGrid blockeras av brandvägg eller anti-virus, så ikoner regionen är inaktiverade.")</f>
        <v>Denna port fungerar inte. DreamGrid blockeras av brandvägg eller anti-virus, så ikoner regionen är inaktiverade.</v>
      </c>
      <c r="E223" s="12" t="str">
        <f ca="1">IFERROR(__xludf.DUMMYFUNCTION("GOOGLETRANSLATE($B223,""en"",E$3)"),"Esta porta não está funcionando. DreamGrid é bloqueado pelo vírus firewall ou anti, assim região ícones estão desactivados.")</f>
        <v>Esta porta não está funcionando. DreamGrid é bloqueado pelo vírus firewall ou anti, assim região ícones estão desactivados.</v>
      </c>
      <c r="F223" s="12" t="str">
        <f ca="1">IFERROR(__xludf.DUMMYFUNCTION("GOOGLETRANSLATE($B223,""en"",F$3)"),"Esta porta não está funcionando. DreamGrid é bloqueado pelo vírus firewall ou anti, assim região ícones estão desactivados.")</f>
        <v>Esta porta não está funcionando. DreamGrid é bloqueado pelo vírus firewall ou anti, assim região ícones estão desactivados.</v>
      </c>
      <c r="G223" s="12" t="str">
        <f ca="1">IFERROR(__xludf.DUMMYFUNCTION("GOOGLETRANSLATE($B223,""en"",G$3)"),"Ce port ne fonctionne pas. DreamGrid est bloqué par le virus pare-feu ou anti, de sorte que les icônes de la région sont désactivées.")</f>
        <v>Ce port ne fonctionne pas. DreamGrid est bloqué par le virus pare-feu ou anti, de sorte que les icônes de la région sont désactivées.</v>
      </c>
      <c r="H223" s="12" t="str">
        <f ca="1">IFERROR(__xludf.DUMMYFUNCTION("GOOGLETRANSLATE($B223,""en"",H$3)"),"ataka hau ez da lanean ari. DreamGrid da firewall edo anti birusa blokeatu, beraz eskualdean ikonoak desgaituta daude.")</f>
        <v>ataka hau ez da lanean ari. DreamGrid da firewall edo anti birusa blokeatu, beraz eskualdean ikonoak desgaituta daude.</v>
      </c>
      <c r="I223" s="12" t="str">
        <f ca="1">IFERROR(__xludf.DUMMYFUNCTION("GOOGLETRANSLATE($B223,""en"",I$3)"),"Aquest port no està funcionant. DreamGrid està bloquejat pel virus de tallafocs o anti, de manera icones regió estan desactivats.")</f>
        <v>Aquest port no està funcionant. DreamGrid està bloquejat pel virus de tallafocs o anti, de manera icones regió estan desactivats.</v>
      </c>
      <c r="J223" s="12" t="str">
        <f ca="1">IFERROR(__xludf.DUMMYFUNCTION("GOOGLETRANSLATE($B223,""en"",J$3)"),"Tento port nefunguje. DreamGrid blokována firewallem nebo proti viru, takže ikony regionu jsou zakázány.")</f>
        <v>Tento port nefunguje. DreamGrid blokována firewallem nebo proti viru, takže ikony regionu jsou zakázány.</v>
      </c>
      <c r="K223" s="12" t="str">
        <f ca="1">IFERROR(__xludf.DUMMYFUNCTION("GOOGLETRANSLATE($B223,""en"",K$3)"),"该端口无法工作。 DreamGrid是由防火墙或防病毒阻塞，所以区域图标会被禁用。")</f>
        <v>该端口无法工作。 DreamGrid是由防火墙或防病毒阻塞，所以区域图标会被禁用。</v>
      </c>
      <c r="L223" s="12" t="str">
        <f ca="1">IFERROR(__xludf.DUMMYFUNCTION("GOOGLETRANSLATE($B223,""en"",L$3)"),"該端口無法工作。 DreamGrid是由防火牆或防病毒阻塞，所以區域圖標會被禁用。")</f>
        <v>該端口無法工作。 DreamGrid是由防火牆或防病毒阻塞，所以區域圖標會被禁用。</v>
      </c>
      <c r="M223" s="12" t="str">
        <f ca="1">IFERROR(__xludf.DUMMYFUNCTION("GOOGLETRANSLATE($B223,""en"",M$3)"),"Deze poort werkt niet. DreamGrid wordt geblokkeerd door firewall of anti-virus, zodat gebiedspictogrammen uitgeschakeld.")</f>
        <v>Deze poort werkt niet. DreamGrid wordt geblokkeerd door firewall of anti-virus, zodat gebiedspictogrammen uitgeschakeld.</v>
      </c>
      <c r="N223" s="12" t="str">
        <f ca="1">IFERROR(__xludf.DUMMYFUNCTION("GOOGLETRANSLATE($B223,""en"",N$3)"),"Αυτή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f>
        <v>Αυτή η θύρα δεν λειτουργεί. DreamGrid εμποδίζεται από το τείχος προστασίας ή την καταπολέμηση του ιού, έτσι ώστε τα εικονίδια περιοχή είναι άτομα με ειδικές ανάγκες.</v>
      </c>
      <c r="O223" s="12" t="str">
        <f ca="1">IFERROR(__xludf.DUMMYFUNCTION("GOOGLETRANSLATE($B223,""en"",O$3)"),"Tämä portti ei toimi. DreamGrid on estetty palomuurit tai virus, joten alue kuvakkeet eivät ole käytössä.")</f>
        <v>Tämä portti ei toimi. DreamGrid on estetty palomuurit tai virus, joten alue kuvakkeet eivät ole käytössä.</v>
      </c>
      <c r="P223" s="12" t="str">
        <f ca="1">IFERROR(__xludf.DUMMYFUNCTION("GOOGLETRANSLATE($B223,""en"",P$3)"),"Ní hé seo an calafort ag obair. DreamGrid Tá bac víreas balla dóiteáin nó frith, mar sin go bhfuil réigiún deilbhíní mhíchumas.")</f>
        <v>Ní hé seo an calafort ag obair. DreamGrid Tá bac víreas balla dóiteáin nó frith, mar sin go bhfuil réigiún deilbhíní mhíchumas.</v>
      </c>
      <c r="Q223" s="12" t="str">
        <f ca="1">IFERROR(__xludf.DUMMYFUNCTION("GOOGLETRANSLATE($B223,""en"",Q$3)"),"این بندر کار نمی کند. DreamGrid است توسط ویروس و فایروال و یا ضد مسدود شده، بنابراین آیکون های منطقه غیر فعال هستند.")</f>
        <v>این بندر کار نمی کند. DreamGrid است توسط ویروس و فایروال و یا ضد مسدود شده، بنابراین آیکون های منطقه غیر فعال هستند.</v>
      </c>
      <c r="R223" s="12" t="str">
        <f ca="1">IFERROR(__xludf.DUMMYFUNCTION("GOOGLETRANSLATE($B223,""en"",R$3)"),"נמל זה לא עובד. DreamGrid חסום על ידי וירוס או פיירוול ואנטי, כך סמלי אזור מושבת.")</f>
        <v>נמל זה לא עובד. DreamGrid חסום על ידי וירוס או פיירוול ואנטי, כך סמלי אזור מושבת.</v>
      </c>
      <c r="S223" s="12" t="str">
        <f ca="1">IFERROR(__xludf.DUMMYFUNCTION("GOOGLETRANSLATE($B223,""en"",S$3)"),"Þessi höfn er ekki að virka. DreamGrid er læst með eldvegg eða andstæðingur veira, þannig svæði tákn eru óvirk.")</f>
        <v>Þessi höfn er ekki að virka. DreamGrid er læst með eldvegg eða andstæðingur veira, þannig svæði tákn eru óvirk.</v>
      </c>
      <c r="T223" s="12" t="str">
        <f ca="1">IFERROR(__xludf.DUMMYFUNCTION("GOOGLETRANSLATE($B223,""en"",T$3)"),"Denne porten fungerer ikke. DreamGrid er blokkert av brannmur eller anti-virus, så regionens ikoner er deaktivert.")</f>
        <v>Denne porten fungerer ikke. DreamGrid er blokkert av brannmur eller anti-virus, så regionens ikoner er deaktivert.</v>
      </c>
      <c r="U223" s="12" t="str">
        <f ca="1">IFERROR(__xludf.DUMMYFUNCTION("GOOGLETRANSLATE($B223,""en"",U$3)"),"هذا المنفذ لا يعمل. يتم حظر DreamGrid فيروس جدار الحماية أو مكافحة، لذلك يتم تعطيل الرموز المنطقة.")</f>
        <v>هذا المنفذ لا يعمل. يتم حظر DreamGrid فيروس جدار الحماية أو مكافحة، لذلك يتم تعطيل الرموز المنطقة.</v>
      </c>
      <c r="V223" s="12" t="str">
        <f ca="1">IFERROR(__xludf.DUMMYFUNCTION("GOOGLETRANSLATE($B223,""en"",V$3)"),"Ten port nie działa. DreamGrid jest blokowany przez firewall lub anty wirus, więc rejon ikony są wyłączone.")</f>
        <v>Ten port nie działa. DreamGrid jest blokowany przez firewall lub anty wirus, więc rejon ikony są wyłączone.</v>
      </c>
      <c r="W223" s="12" t="str">
        <f ca="1">IFERROR(__xludf.DUMMYFUNCTION("GOOGLETRANSLATE($B223,""en"",W$3)"),"Этот порт не работает. DreamGrid блокируется брандмауэром или анти-вирус, поэтому значки область отключены.")</f>
        <v>Этот порт не работает. DreamGrid блокируется брандмауэром или анти-вирус, поэтому значки область отключены.</v>
      </c>
      <c r="X223" s="12" t="str">
        <f ca="1">IFERROR(__xludf.DUMMYFUNCTION("GOOGLETRANSLATE($B223,""en"",X$3)"),"Este puerto no está funcionando. DreamGrid está bloqueado por el virus de cortafuegos o anti, de modo iconos región están desactivados.")</f>
        <v>Este puerto no está funcionando. DreamGrid está bloqueado por el virus de cortafuegos o anti, de modo iconos región están desactivados.</v>
      </c>
      <c r="Y223" s="12"/>
      <c r="Z223" s="12"/>
    </row>
    <row r="224" spans="1:26" ht="32.25" customHeight="1" x14ac:dyDescent="0.2">
      <c r="A224" s="17" t="s">
        <v>560</v>
      </c>
      <c r="B224" s="17" t="s">
        <v>561</v>
      </c>
      <c r="C224" s="11" t="str">
        <f ca="1">IFERROR(__xludf.DUMMYFUNCTION("GOOGLETRANSLATE($B224,""en"",C$3)"),"Diagnose-Port")</f>
        <v>Diagnose-Port</v>
      </c>
      <c r="D224" s="12" t="str">
        <f ca="1">IFERROR(__xludf.DUMMYFUNCTION("GOOGLETRANSLATE($B224,""en"",D$3)"),"diagnostik port")</f>
        <v>diagnostik port</v>
      </c>
      <c r="E224" s="12" t="str">
        <f ca="1">IFERROR(__xludf.DUMMYFUNCTION("GOOGLETRANSLATE($B224,""en"",E$3)"),"porta de diagnóstico")</f>
        <v>porta de diagnóstico</v>
      </c>
      <c r="F224" s="12" t="str">
        <f ca="1">IFERROR(__xludf.DUMMYFUNCTION("GOOGLETRANSLATE($B224,""en"",F$3)"),"porta de diagnóstico")</f>
        <v>porta de diagnóstico</v>
      </c>
      <c r="G224" s="12" t="str">
        <f ca="1">IFERROR(__xludf.DUMMYFUNCTION("GOOGLETRANSLATE($B224,""en"",G$3)"),"Port de diagnostic")</f>
        <v>Port de diagnostic</v>
      </c>
      <c r="H224" s="12" t="str">
        <f ca="1">IFERROR(__xludf.DUMMYFUNCTION("GOOGLETRANSLATE($B224,""en"",H$3)"),"diagnostikoak ataka")</f>
        <v>diagnostikoak ataka</v>
      </c>
      <c r="I224" s="12" t="str">
        <f ca="1">IFERROR(__xludf.DUMMYFUNCTION("GOOGLETRANSLATE($B224,""en"",I$3)"),"port de diagnòstic")</f>
        <v>port de diagnòstic</v>
      </c>
      <c r="J224" s="12" t="str">
        <f ca="1">IFERROR(__xludf.DUMMYFUNCTION("GOOGLETRANSLATE($B224,""en"",J$3)"),"diagnostika portů")</f>
        <v>diagnostika portů</v>
      </c>
      <c r="K224" s="12" t="str">
        <f ca="1">IFERROR(__xludf.DUMMYFUNCTION("GOOGLETRANSLATE($B224,""en"",K$3)"),"诊断端口")</f>
        <v>诊断端口</v>
      </c>
      <c r="L224" s="12" t="str">
        <f ca="1">IFERROR(__xludf.DUMMYFUNCTION("GOOGLETRANSLATE($B224,""en"",L$3)"),"診斷端口")</f>
        <v>診斷端口</v>
      </c>
      <c r="M224" s="12" t="str">
        <f ca="1">IFERROR(__xludf.DUMMYFUNCTION("GOOGLETRANSLATE($B224,""en"",M$3)"),"Diagnostics port")</f>
        <v>Diagnostics port</v>
      </c>
      <c r="N224" s="12" t="str">
        <f ca="1">IFERROR(__xludf.DUMMYFUNCTION("GOOGLETRANSLATE($B224,""en"",N$3)"),"θύρα Diagnostics")</f>
        <v>θύρα Diagnostics</v>
      </c>
      <c r="O224" s="12" t="str">
        <f ca="1">IFERROR(__xludf.DUMMYFUNCTION("GOOGLETRANSLATE($B224,""en"",O$3)"),"diagnostiikka-portti")</f>
        <v>diagnostiikka-portti</v>
      </c>
      <c r="P224" s="12" t="str">
        <f ca="1">IFERROR(__xludf.DUMMYFUNCTION("GOOGLETRANSLATE($B224,""en"",P$3)"),"Diagnostics port")</f>
        <v>Diagnostics port</v>
      </c>
      <c r="Q224" s="12" t="str">
        <f ca="1">IFERROR(__xludf.DUMMYFUNCTION("GOOGLETRANSLATE($B224,""en"",Q$3)"),"پورت تشخیص")</f>
        <v>پورت تشخیص</v>
      </c>
      <c r="R224" s="12" t="str">
        <f ca="1">IFERROR(__xludf.DUMMYFUNCTION("GOOGLETRANSLATE($B224,""en"",R$3)"),"יציאת אבחון")</f>
        <v>יציאת אבחון</v>
      </c>
      <c r="S224" s="12" t="str">
        <f ca="1">IFERROR(__xludf.DUMMYFUNCTION("GOOGLETRANSLATE($B224,""en"",S$3)"),"Diagnostics höfn")</f>
        <v>Diagnostics höfn</v>
      </c>
      <c r="T224" s="12" t="str">
        <f ca="1">IFERROR(__xludf.DUMMYFUNCTION("GOOGLETRANSLATE($B224,""en"",T$3)"),"diagnostikk port")</f>
        <v>diagnostikk port</v>
      </c>
      <c r="U224" s="12" t="str">
        <f ca="1">IFERROR(__xludf.DUMMYFUNCTION("GOOGLETRANSLATE($B224,""en"",U$3)"),"ميناء التشخيص")</f>
        <v>ميناء التشخيص</v>
      </c>
      <c r="V224" s="12" t="str">
        <f ca="1">IFERROR(__xludf.DUMMYFUNCTION("GOOGLETRANSLATE($B224,""en"",V$3)"),"Port diagnostyka")</f>
        <v>Port diagnostyka</v>
      </c>
      <c r="W224" s="12" t="str">
        <f ca="1">IFERROR(__xludf.DUMMYFUNCTION("GOOGLETRANSLATE($B224,""en"",W$3)"),"порт диагностики")</f>
        <v>порт диагностики</v>
      </c>
      <c r="X224" s="12" t="str">
        <f ca="1">IFERROR(__xludf.DUMMYFUNCTION("GOOGLETRANSLATE($B224,""en"",X$3)"),"puerto de diagnóstico")</f>
        <v>puerto de diagnóstico</v>
      </c>
      <c r="Y224" s="12"/>
      <c r="Z224" s="12"/>
    </row>
    <row r="225" spans="1:26" ht="32.25" customHeight="1" x14ac:dyDescent="0.2">
      <c r="A225" s="17" t="s">
        <v>562</v>
      </c>
      <c r="B225" s="17" t="s">
        <v>563</v>
      </c>
      <c r="C225" s="11" t="str">
        <f ca="1">IFERROR(__xludf.DUMMYFUNCTION("GOOGLETRANSLATE($B225,""en"",C$3)"),"Diagnose fehlgeschlagen. Möchten Sie das Protokoll sehen?")</f>
        <v>Diagnose fehlgeschlagen. Möchten Sie das Protokoll sehen?</v>
      </c>
      <c r="D225" s="12" t="str">
        <f ca="1">IFERROR(__xludf.DUMMYFUNCTION("GOOGLETRANSLATE($B225,""en"",D$3)"),"Diagnostik misslyckades. Vill du se loggen?")</f>
        <v>Diagnostik misslyckades. Vill du se loggen?</v>
      </c>
      <c r="E225" s="12" t="str">
        <f ca="1">IFERROR(__xludf.DUMMYFUNCTION("GOOGLETRANSLATE($B225,""en"",E$3)"),"Diagnóstico falhou. Você deseja ver o log?")</f>
        <v>Diagnóstico falhou. Você deseja ver o log?</v>
      </c>
      <c r="F225" s="12" t="str">
        <f ca="1">IFERROR(__xludf.DUMMYFUNCTION("GOOGLETRANSLATE($B225,""en"",F$3)"),"Diagnóstico falhou. Você deseja ver o log?")</f>
        <v>Diagnóstico falhou. Você deseja ver o log?</v>
      </c>
      <c r="G225" s="12" t="str">
        <f ca="1">IFERROR(__xludf.DUMMYFUNCTION("GOOGLETRANSLATE($B225,""en"",G$3)"),"Diagnostics a échoué. Voulez-vous voir le journal?")</f>
        <v>Diagnostics a échoué. Voulez-vous voir le journal?</v>
      </c>
      <c r="H225" s="12" t="str">
        <f ca="1">IFERROR(__xludf.DUMMYFUNCTION("GOOGLETRANSLATE($B225,""en"",H$3)"),"Diagnostikoak huts egin du. Ez log ikusi nahi dituzu?")</f>
        <v>Diagnostikoak huts egin du. Ez log ikusi nahi dituzu?</v>
      </c>
      <c r="I225" s="12" t="str">
        <f ca="1">IFERROR(__xludf.DUMMYFUNCTION("GOOGLETRANSLATE($B225,""en"",I$3)"),"Diagnòstic fracassar. Vols veure el registre?")</f>
        <v>Diagnòstic fracassar. Vols veure el registre?</v>
      </c>
      <c r="J225" s="12" t="str">
        <f ca="1">IFERROR(__xludf.DUMMYFUNCTION("GOOGLETRANSLATE($B225,""en"",J$3)"),"Diagnostika se nezdařilo. Chcete vidět protokol?")</f>
        <v>Diagnostika se nezdařilo. Chcete vidět protokol?</v>
      </c>
      <c r="K225" s="12" t="str">
        <f ca="1">IFERROR(__xludf.DUMMYFUNCTION("GOOGLETRANSLATE($B225,""en"",K$3)"),"诊断失败。你想看到的日志？")</f>
        <v>诊断失败。你想看到的日志？</v>
      </c>
      <c r="L225" s="12" t="str">
        <f ca="1">IFERROR(__xludf.DUMMYFUNCTION("GOOGLETRANSLATE($B225,""en"",L$3)"),"診斷失敗。你想看到的日誌？")</f>
        <v>診斷失敗。你想看到的日誌？</v>
      </c>
      <c r="M225" s="12" t="str">
        <f ca="1">IFERROR(__xludf.DUMMYFUNCTION("GOOGLETRANSLATE($B225,""en"",M$3)"),"Diagnostics is mislukt. Wilt u het logboek te zien?")</f>
        <v>Diagnostics is mislukt. Wilt u het logboek te zien?</v>
      </c>
      <c r="N225" s="12" t="str">
        <f ca="1">IFERROR(__xludf.DUMMYFUNCTION("GOOGLETRANSLATE($B225,""en"",N$3)"),"Διαγνωστικά απέτυχε. Θέλετε να δείτε το αρχείο καταγραφής;")</f>
        <v>Διαγνωστικά απέτυχε. Θέλετε να δείτε το αρχείο καταγραφής;</v>
      </c>
      <c r="O225" s="12" t="str">
        <f ca="1">IFERROR(__xludf.DUMMYFUNCTION("GOOGLETRANSLATE($B225,""en"",O$3)"),"Diagnostiikka epäonnistui. Haluatko nähdä lokin?")</f>
        <v>Diagnostiikka epäonnistui. Haluatko nähdä lokin?</v>
      </c>
      <c r="P225" s="12" t="str">
        <f ca="1">IFERROR(__xludf.DUMMYFUNCTION("GOOGLETRANSLATE($B225,""en"",P$3)"),"Theip ar Diagnóisic. Ar mhaith leat a fheiceáil ar an logáil isteach?")</f>
        <v>Theip ar Diagnóisic. Ar mhaith leat a fheiceáil ar an logáil isteach?</v>
      </c>
      <c r="Q225" s="12" t="str">
        <f ca="1">IFERROR(__xludf.DUMMYFUNCTION("GOOGLETRANSLATE($B225,""en"",Q$3)"),"تشخیص شکست خورده است. آیا شما می خواهید برای دیدن وارد شوید؟")</f>
        <v>تشخیص شکست خورده است. آیا شما می خواهید برای دیدن وارد شوید؟</v>
      </c>
      <c r="R225" s="12" t="str">
        <f ca="1">IFERROR(__xludf.DUMMYFUNCTION("GOOGLETRANSLATE($B225,""en"",R$3)"),"אבחון נכשל. האם אתה רוצה לראות את היומן?")</f>
        <v>אבחון נכשל. האם אתה רוצה לראות את היומן?</v>
      </c>
      <c r="S225" s="12" t="str">
        <f ca="1">IFERROR(__xludf.DUMMYFUNCTION("GOOGLETRANSLATE($B225,""en"",S$3)"),"Diagnostics mistókst. Viltu sjá þig inn?")</f>
        <v>Diagnostics mistókst. Viltu sjá þig inn?</v>
      </c>
      <c r="T225" s="12" t="str">
        <f ca="1">IFERROR(__xludf.DUMMYFUNCTION("GOOGLETRANSLATE($B225,""en"",T$3)"),"Diagnostikk mislyktes. Ønsker du å se loggen?")</f>
        <v>Diagnostikk mislyktes. Ønsker du å se loggen?</v>
      </c>
      <c r="U225" s="12" t="str">
        <f ca="1">IFERROR(__xludf.DUMMYFUNCTION("GOOGLETRANSLATE($B225,""en"",U$3)"),"فشلت التشخيص. هل تريد أن ترى سجل؟")</f>
        <v>فشلت التشخيص. هل تريد أن ترى سجل؟</v>
      </c>
      <c r="V225" s="12" t="str">
        <f ca="1">IFERROR(__xludf.DUMMYFUNCTION("GOOGLETRANSLATE($B225,""en"",V$3)"),"Diagnostyka nie powiodło się. Czy chcesz zobaczyć dziennik?")</f>
        <v>Diagnostyka nie powiodło się. Czy chcesz zobaczyć dziennik?</v>
      </c>
      <c r="W225" s="12" t="str">
        <f ca="1">IFERROR(__xludf.DUMMYFUNCTION("GOOGLETRANSLATE($B225,""en"",W$3)"),"Диагностика не удалось. Вы хотите посмотреть журнал?")</f>
        <v>Диагностика не удалось. Вы хотите посмотреть журнал?</v>
      </c>
      <c r="X225" s="12" t="str">
        <f ca="1">IFERROR(__xludf.DUMMYFUNCTION("GOOGLETRANSLATE($B225,""en"",X$3)"),"Diagnóstico fracasaron. ¿Quieres ver el registro?")</f>
        <v>Diagnóstico fracasaron. ¿Quieres ver el registro?</v>
      </c>
      <c r="Y225" s="12"/>
      <c r="Z225" s="12"/>
    </row>
    <row r="226" spans="1:26" ht="32.25" customHeight="1" x14ac:dyDescent="0.2">
      <c r="A226" s="17" t="s">
        <v>564</v>
      </c>
      <c r="B226" s="17" t="s">
        <v>565</v>
      </c>
      <c r="C226" s="18" t="s">
        <v>566</v>
      </c>
      <c r="D226" s="12" t="str">
        <f ca="1">IFERROR(__xludf.DUMMYFUNCTION("GOOGLETRANSLATE($B226,""en"",D$3)"),"inte starta")</f>
        <v>inte starta</v>
      </c>
      <c r="E226" s="12" t="str">
        <f ca="1">IFERROR(__xludf.DUMMYFUNCTION("GOOGLETRANSLATE($B226,""en"",E$3)"),"não começou")</f>
        <v>não começou</v>
      </c>
      <c r="F226" s="12" t="str">
        <f ca="1">IFERROR(__xludf.DUMMYFUNCTION("GOOGLETRANSLATE($B226,""en"",F$3)"),"não começou")</f>
        <v>não começou</v>
      </c>
      <c r="G226" s="12" t="str">
        <f ca="1">IFERROR(__xludf.DUMMYFUNCTION("GOOGLETRANSLATE($B226,""en"",G$3)"),"n'a pas commencé")</f>
        <v>n'a pas commencé</v>
      </c>
      <c r="H226" s="12" t="str">
        <f ca="1">IFERROR(__xludf.DUMMYFUNCTION("GOOGLETRANSLATE($B226,""en"",H$3)"),"ez hasteko")</f>
        <v>ez hasteko</v>
      </c>
      <c r="I226" s="12" t="str">
        <f ca="1">IFERROR(__xludf.DUMMYFUNCTION("GOOGLETRANSLATE($B226,""en"",I$3)"),"no es va iniciar")</f>
        <v>no es va iniciar</v>
      </c>
      <c r="J226" s="12" t="str">
        <f ca="1">IFERROR(__xludf.DUMMYFUNCTION("GOOGLETRANSLATE($B226,""en"",J$3)"),"nezačal")</f>
        <v>nezačal</v>
      </c>
      <c r="K226" s="12" t="str">
        <f ca="1">IFERROR(__xludf.DUMMYFUNCTION("GOOGLETRANSLATE($B226,""en"",K$3)"),"未启动")</f>
        <v>未启动</v>
      </c>
      <c r="L226" s="12" t="str">
        <f ca="1">IFERROR(__xludf.DUMMYFUNCTION("GOOGLETRANSLATE($B226,""en"",L$3)"),"未啟動")</f>
        <v>未啟動</v>
      </c>
      <c r="M226" s="12" t="str">
        <f ca="1">IFERROR(__xludf.DUMMYFUNCTION("GOOGLETRANSLATE($B226,""en"",M$3)"),"niet gestart")</f>
        <v>niet gestart</v>
      </c>
      <c r="N226" s="12" t="str">
        <f ca="1">IFERROR(__xludf.DUMMYFUNCTION("GOOGLETRANSLATE($B226,""en"",N$3)"),"δεν ξεκίνησε")</f>
        <v>δεν ξεκίνησε</v>
      </c>
      <c r="O226" s="12" t="str">
        <f ca="1">IFERROR(__xludf.DUMMYFUNCTION("GOOGLETRANSLATE($B226,""en"",O$3)"),"ei käynnistynyt")</f>
        <v>ei käynnistynyt</v>
      </c>
      <c r="P226" s="12" t="str">
        <f ca="1">IFERROR(__xludf.DUMMYFUNCTION("GOOGLETRANSLATE($B226,""en"",P$3)"),"Ní raibh tús")</f>
        <v>Ní raibh tús</v>
      </c>
      <c r="Q226" s="12" t="str">
        <f ca="1">IFERROR(__xludf.DUMMYFUNCTION("GOOGLETRANSLATE($B226,""en"",Q$3)"),"شروع نکردند")</f>
        <v>شروع نکردند</v>
      </c>
      <c r="R226" s="12" t="str">
        <f ca="1">IFERROR(__xludf.DUMMYFUNCTION("GOOGLETRANSLATE($B226,""en"",R$3)"),"לא התחילה")</f>
        <v>לא התחילה</v>
      </c>
      <c r="S226" s="12" t="str">
        <f ca="1">IFERROR(__xludf.DUMMYFUNCTION("GOOGLETRANSLATE($B226,""en"",S$3)"),"ekki að byrja")</f>
        <v>ekki að byrja</v>
      </c>
      <c r="T226" s="12" t="str">
        <f ca="1">IFERROR(__xludf.DUMMYFUNCTION("GOOGLETRANSLATE($B226,""en"",T$3)"),"ikke startet")</f>
        <v>ikke startet</v>
      </c>
      <c r="U226" s="12" t="str">
        <f ca="1">IFERROR(__xludf.DUMMYFUNCTION("GOOGLETRANSLATE($B226,""en"",U$3)"),"لم تبدأ")</f>
        <v>لم تبدأ</v>
      </c>
      <c r="V226" s="12" t="str">
        <f ca="1">IFERROR(__xludf.DUMMYFUNCTION("GOOGLETRANSLATE($B226,""en"",V$3)"),"nie zacząć")</f>
        <v>nie zacząć</v>
      </c>
      <c r="W226" s="12" t="str">
        <f ca="1">IFERROR(__xludf.DUMMYFUNCTION("GOOGLETRANSLATE($B226,""en"",W$3)"),"не началась")</f>
        <v>не началась</v>
      </c>
      <c r="X226" s="12" t="str">
        <f ca="1">IFERROR(__xludf.DUMMYFUNCTION("GOOGLETRANSLATE($B226,""en"",X$3)"),"no empezó")</f>
        <v>no empezó</v>
      </c>
      <c r="Y226" s="12"/>
      <c r="Z226" s="12"/>
    </row>
    <row r="227" spans="1:26" ht="32.25" customHeight="1" x14ac:dyDescent="0.2">
      <c r="A227" s="17" t="s">
        <v>567</v>
      </c>
      <c r="B227" s="17" t="s">
        <v>568</v>
      </c>
      <c r="C227" s="18" t="s">
        <v>569</v>
      </c>
      <c r="D227" s="12" t="str">
        <f ca="1">IFERROR(__xludf.DUMMYFUNCTION("GOOGLETRANSLATE($B227,""en"",D$3)"),"Inaktivera reseguider")</f>
        <v>Inaktivera reseguider</v>
      </c>
      <c r="E227" s="12" t="str">
        <f ca="1">IFERROR(__xludf.DUMMYFUNCTION("GOOGLETRANSLATE($B227,""en"",E$3)"),"Desativar visitantes estrangeiros")</f>
        <v>Desativar visitantes estrangeiros</v>
      </c>
      <c r="F227" s="12" t="str">
        <f ca="1">IFERROR(__xludf.DUMMYFUNCTION("GOOGLETRANSLATE($B227,""en"",F$3)"),"Desativar visitantes estrangeiros")</f>
        <v>Desativar visitantes estrangeiros</v>
      </c>
      <c r="G227" s="12" t="str">
        <f ca="1">IFERROR(__xludf.DUMMYFUNCTION("GOOGLETRANSLATE($B227,""en"",G$3)"),"Désactiver les visiteurs étrangers")</f>
        <v>Désactiver les visiteurs étrangers</v>
      </c>
      <c r="H227" s="12" t="str">
        <f ca="1">IFERROR(__xludf.DUMMYFUNCTION("GOOGLETRANSLATE($B227,""en"",H$3)"),"Disable Atzerritarrak")</f>
        <v>Disable Atzerritarrak</v>
      </c>
      <c r="I227" s="12" t="str">
        <f ca="1">IFERROR(__xludf.DUMMYFUNCTION("GOOGLETRANSLATE($B227,""en"",I$3)"),"Desactivar els visitants estrangers")</f>
        <v>Desactivar els visitants estrangers</v>
      </c>
      <c r="J227" s="12" t="str">
        <f ca="1">IFERROR(__xludf.DUMMYFUNCTION("GOOGLETRANSLATE($B227,""en"",J$3)"),"Zakázat Zahraniční návštěvníci")</f>
        <v>Zakázat Zahraniční návštěvníci</v>
      </c>
      <c r="K227" s="12" t="str">
        <f ca="1">IFERROR(__xludf.DUMMYFUNCTION("GOOGLETRANSLATE($B227,""en"",K$3)"),"禁止外国游客")</f>
        <v>禁止外国游客</v>
      </c>
      <c r="L227" s="12" t="str">
        <f ca="1">IFERROR(__xludf.DUMMYFUNCTION("GOOGLETRANSLATE($B227,""en"",L$3)"),"禁止外國遊客")</f>
        <v>禁止外國遊客</v>
      </c>
      <c r="M227" s="12" t="str">
        <f ca="1">IFERROR(__xludf.DUMMYFUNCTION("GOOGLETRANSLATE($B227,""en"",M$3)"),"Uitschakelen Buitenlandse Bezoekers")</f>
        <v>Uitschakelen Buitenlandse Bezoekers</v>
      </c>
      <c r="N227" s="12" t="str">
        <f ca="1">IFERROR(__xludf.DUMMYFUNCTION("GOOGLETRANSLATE($B227,""en"",N$3)"),"Απενεργοποίηση Εξωτερικών Επισκέπτες")</f>
        <v>Απενεργοποίηση Εξωτερικών Επισκέπτες</v>
      </c>
      <c r="O227" s="12" t="str">
        <f ca="1">IFERROR(__xludf.DUMMYFUNCTION("GOOGLETRANSLATE($B227,""en"",O$3)"),"Disable ulkomaiset vierailijat")</f>
        <v>Disable ulkomaiset vierailijat</v>
      </c>
      <c r="P227" s="12" t="str">
        <f ca="1">IFERROR(__xludf.DUMMYFUNCTION("GOOGLETRANSLATE($B227,""en"",P$3)"),"Díchumasaigh Cuairteoirí Eachtracha")</f>
        <v>Díchumasaigh Cuairteoirí Eachtracha</v>
      </c>
      <c r="Q227" s="12" t="str">
        <f ca="1">IFERROR(__xludf.DUMMYFUNCTION("GOOGLETRANSLATE($B227,""en"",Q$3)"),"غیر فعال کردن بازدید کنندگان خارجی")</f>
        <v>غیر فعال کردن بازدید کنندگان خارجی</v>
      </c>
      <c r="R227" s="12" t="str">
        <f ca="1">IFERROR(__xludf.DUMMYFUNCTION("GOOGLETRANSLATE($B227,""en"",R$3)"),"מבקרים זרים שבת")</f>
        <v>מבקרים זרים שבת</v>
      </c>
      <c r="S227" s="12" t="str">
        <f ca="1">IFERROR(__xludf.DUMMYFUNCTION("GOOGLETRANSLATE($B227,""en"",S$3)"),"Slökkva á erlendum ferðamönnum")</f>
        <v>Slökkva á erlendum ferðamönnum</v>
      </c>
      <c r="T227" s="12" t="str">
        <f ca="1">IFERROR(__xludf.DUMMYFUNCTION("GOOGLETRANSLATE($B227,""en"",T$3)"),"Deaktiver Utenlandske besøkende")</f>
        <v>Deaktiver Utenlandske besøkende</v>
      </c>
      <c r="U227" s="12" t="str">
        <f ca="1">IFERROR(__xludf.DUMMYFUNCTION("GOOGLETRANSLATE($B227,""en"",U$3)"),"تعطيل آخر الخارجية")</f>
        <v>تعطيل آخر الخارجية</v>
      </c>
      <c r="V227" s="12" t="str">
        <f ca="1">IFERROR(__xludf.DUMMYFUNCTION("GOOGLETRANSLATE($B227,""en"",V$3)"),"Wyłącz obcokrajowców")</f>
        <v>Wyłącz obcokrajowców</v>
      </c>
      <c r="W227" s="12" t="str">
        <f ca="1">IFERROR(__xludf.DUMMYFUNCTION("GOOGLETRANSLATE($B227,""en"",W$3)"),"Отключить Иностранные посетители")</f>
        <v>Отключить Иностранные посетители</v>
      </c>
      <c r="X227" s="12" t="str">
        <f ca="1">IFERROR(__xludf.DUMMYFUNCTION("GOOGLETRANSLATE($B227,""en"",X$3)"),"Desactivar los visitantes extranjeros")</f>
        <v>Desactivar los visitantes extranjeros</v>
      </c>
      <c r="Y227" s="12"/>
      <c r="Z227" s="12"/>
    </row>
    <row r="228" spans="1:26" ht="32.25" customHeight="1" x14ac:dyDescent="0.2">
      <c r="A228" s="17" t="s">
        <v>570</v>
      </c>
      <c r="B228" s="17" t="s">
        <v>571</v>
      </c>
      <c r="C228" s="11" t="str">
        <f ca="1">IFERROR(__xludf.DUMMYFUNCTION("GOOGLETRANSLATE($B228,""en"",C$3)"),"Die globale saetting Gloebits werden nicht in dieser Region gelten, wenn geprüft.")</f>
        <v>Die globale saetting Gloebits werden nicht in dieser Region gelten, wenn geprüft.</v>
      </c>
      <c r="D228" s="12" t="str">
        <f ca="1">IFERROR(__xludf.DUMMYFUNCTION("GOOGLETRANSLATE($B228,""en"",D$3)"),"De globala saetting Gloebits gäller inte till denna region om markerad.")</f>
        <v>De globala saetting Gloebits gäller inte till denna region om markerad.</v>
      </c>
      <c r="E228" s="12" t="str">
        <f ca="1">IFERROR(__xludf.DUMMYFUNCTION("GOOGLETRANSLATE($B228,""en"",E$3)"),"Os Gloebits saetting globais não se aplica a esta região se verificado.")</f>
        <v>Os Gloebits saetting globais não se aplica a esta região se verificado.</v>
      </c>
      <c r="F228" s="12" t="str">
        <f ca="1">IFERROR(__xludf.DUMMYFUNCTION("GOOGLETRANSLATE($B228,""en"",F$3)"),"Os Gloebits saetting globais não se aplica a esta região se verificado.")</f>
        <v>Os Gloebits saetting globais não se aplica a esta região se verificado.</v>
      </c>
      <c r="G228" s="12" t="str">
        <f ca="1">IFERROR(__xludf.DUMMYFUNCTION("GOOGLETRANSLATE($B228,""en"",G$3)"),"Les Gloebits mondiaux saetting ne seront pas applicables à cette région si elle est cochée.")</f>
        <v>Les Gloebits mondiaux saetting ne seront pas applicables à cette région si elle est cochée.</v>
      </c>
      <c r="H228" s="12" t="str">
        <f ca="1">IFERROR(__xludf.DUMMYFUNCTION("GOOGLETRANSLATE($B228,""en"",H$3)"),"The global saetting Gloebits ez ditu eskualde honetan aplikatuko egiaztatuko bada.")</f>
        <v>The global saetting Gloebits ez ditu eskualde honetan aplikatuko egiaztatuko bada.</v>
      </c>
      <c r="I228" s="12" t="str">
        <f ca="1">IFERROR(__xludf.DUMMYFUNCTION("GOOGLETRANSLATE($B228,""en"",I$3)"),"Els Gloebits saetting globals no s'apliquen a aquesta regió si s'activa.")</f>
        <v>Els Gloebits saetting globals no s'apliquen a aquesta regió si s'activa.</v>
      </c>
      <c r="J228" s="12" t="str">
        <f ca="1">IFERROR(__xludf.DUMMYFUNCTION("GOOGLETRANSLATE($B228,""en"",J$3)"),"Globální saetting Gloebits se nevztahuje na tento region, pokud kontrolovat.")</f>
        <v>Globální saetting Gloebits se nevztahuje na tento region, pokud kontrolovat.</v>
      </c>
      <c r="K228" s="12" t="str">
        <f ca="1">IFERROR(__xludf.DUMMYFUNCTION("GOOGLETRANSLATE($B228,""en"",K$3)"),"如果检查的全球saetting Gloebits将不适用于这个地区。")</f>
        <v>如果检查的全球saetting Gloebits将不适用于这个地区。</v>
      </c>
      <c r="L228" s="12" t="str">
        <f ca="1">IFERROR(__xludf.DUMMYFUNCTION("GOOGLETRANSLATE($B228,""en"",L$3)"),"如果檢查的全球saetting Gloebits將不適用於這個地區。")</f>
        <v>如果檢查的全球saetting Gloebits將不適用於這個地區。</v>
      </c>
      <c r="M228" s="12" t="str">
        <f ca="1">IFERROR(__xludf.DUMMYFUNCTION("GOOGLETRANSLATE($B228,""en"",M$3)"),"De wereldwijde saetting Gloebits niet van toepassing op deze regio, indien gecontroleerd.")</f>
        <v>De wereldwijde saetting Gloebits niet van toepassing op deze regio, indien gecontroleerd.</v>
      </c>
      <c r="N228" s="12" t="str">
        <f ca="1">IFERROR(__xludf.DUMMYFUNCTION("GOOGLETRANSLATE($B228,""en"",N$3)"),"Οι παγκόσμιες Gloebits saetting δεν θα ισχύουν για την περιοχή αυτή, αν ελέγχονται.")</f>
        <v>Οι παγκόσμιες Gloebits saetting δεν θα ισχύουν για την περιοχή αυτή, αν ελέγχονται.</v>
      </c>
      <c r="O228" s="12" t="str">
        <f ca="1">IFERROR(__xludf.DUMMYFUNCTION("GOOGLETRANSLATE($B228,""en"",O$3)"),"Globaali saetting Gloebits eivät koske tätä aluetta, jos valittuna.")</f>
        <v>Globaali saetting Gloebits eivät koske tätä aluetta, jos valittuna.</v>
      </c>
      <c r="P228" s="12" t="str">
        <f ca="1">IFERROR(__xludf.DUMMYFUNCTION("GOOGLETRANSLATE($B228,""en"",P$3)"),"Ní bheidh an Gloebits saetting domhanda maidir leis an réigiún seo más sheiceáil.")</f>
        <v>Ní bheidh an Gloebits saetting domhanda maidir leis an réigiún seo más sheiceáil.</v>
      </c>
      <c r="Q228" s="12" t="str">
        <f ca="1">IFERROR(__xludf.DUMMYFUNCTION("GOOGLETRANSLATE($B228,""en"",Q$3)"),"Gloebits saetting جهانی نمی خواهد به این منطقه اعمال می شود اگر بررسی می شود.")</f>
        <v>Gloebits saetting جهانی نمی خواهد به این منطقه اعمال می شود اگر بررسی می شود.</v>
      </c>
      <c r="R228" s="12" t="str">
        <f ca="1">IFERROR(__xludf.DUMMYFUNCTION("GOOGLETRANSLATE($B228,""en"",R$3)"),"Gloebits saetting העולמי לא יחול על האזור הזה אם נבדק.")</f>
        <v>Gloebits saetting העולמי לא יחול על האזור הזה אם נבדק.</v>
      </c>
      <c r="S228" s="12" t="str">
        <f ca="1">IFERROR(__xludf.DUMMYFUNCTION("GOOGLETRANSLATE($B228,""en"",S$3)"),"The alheims Gloebits saetting mun ekki eiga við þetta svæði ef merkt.")</f>
        <v>The alheims Gloebits saetting mun ekki eiga við þetta svæði ef merkt.</v>
      </c>
      <c r="T228" s="12" t="str">
        <f ca="1">IFERROR(__xludf.DUMMYFUNCTION("GOOGLETRANSLATE($B228,""en"",T$3)"),"De globale saetting Gloebits vil ikke gjelde for denne regionen dersom sjekket.")</f>
        <v>De globale saetting Gloebits vil ikke gjelde for denne regionen dersom sjekket.</v>
      </c>
      <c r="U228" s="12" t="str">
        <f ca="1">IFERROR(__xludf.DUMMYFUNCTION("GOOGLETRANSLATE($B228,""en"",U$3)"),"لن تطبق Gloebits saetting العالمي إلى هذه المنطقة إذا محددا.")</f>
        <v>لن تطبق Gloebits saetting العالمي إلى هذه المنطقة إذا محددا.</v>
      </c>
      <c r="V228" s="12" t="str">
        <f ca="1">IFERROR(__xludf.DUMMYFUNCTION("GOOGLETRANSLATE($B228,""en"",V$3)"),"Globalne Gloebits saetting nie stosuje się do tego regionu, jeśli zaznaczone.")</f>
        <v>Globalne Gloebits saetting nie stosuje się do tego regionu, jeśli zaznaczone.</v>
      </c>
      <c r="W228" s="12" t="str">
        <f ca="1">IFERROR(__xludf.DUMMYFUNCTION("GOOGLETRANSLATE($B228,""en"",W$3)"),"Глобальные saetting Gloebits не будут применяться к этому региону, если проверяются.")</f>
        <v>Глобальные saetting Gloebits не будут применяться к этому региону, если проверяются.</v>
      </c>
      <c r="X228" s="12" t="str">
        <f ca="1">IFERROR(__xludf.DUMMYFUNCTION("GOOGLETRANSLATE($B228,""en"",X$3)"),"Los Gloebits saetting globales no se aplicarán a esta región si se activa.")</f>
        <v>Los Gloebits saetting globales no se aplicarán a esta región si se activa.</v>
      </c>
      <c r="Y228" s="12"/>
      <c r="Z228" s="12"/>
    </row>
    <row r="229" spans="1:26" ht="32.25" customHeight="1" x14ac:dyDescent="0.2">
      <c r="A229" s="17" t="s">
        <v>572</v>
      </c>
      <c r="B229" s="17" t="s">
        <v>573</v>
      </c>
      <c r="C229" s="18" t="s">
        <v>574</v>
      </c>
      <c r="D229" s="12" t="str">
        <f ca="1">IFERROR(__xludf.DUMMYFUNCTION("GOOGLETRANSLATE($B229,""en"",D$3)"),"Inaktivera alla Gloebits")</f>
        <v>Inaktivera alla Gloebits</v>
      </c>
      <c r="E229" s="13" t="s">
        <v>575</v>
      </c>
      <c r="F229" s="13" t="s">
        <v>575</v>
      </c>
      <c r="G229" s="12" t="str">
        <f ca="1">IFERROR(__xludf.DUMMYFUNCTION("GOOGLETRANSLATE($B229,""en"",G$3)"),"Désactiver tous les Gloebits")</f>
        <v>Désactiver tous les Gloebits</v>
      </c>
      <c r="H229" s="12" t="str">
        <f ca="1">IFERROR(__xludf.DUMMYFUNCTION("GOOGLETRANSLATE($B229,""en"",H$3)"),"Disable Gloebits Guztiak")</f>
        <v>Disable Gloebits Guztiak</v>
      </c>
      <c r="I229" s="12" t="str">
        <f ca="1">IFERROR(__xludf.DUMMYFUNCTION("GOOGLETRANSLATE($B229,""en"",I$3)"),"Deshabilitar tot Gloebits")</f>
        <v>Deshabilitar tot Gloebits</v>
      </c>
      <c r="J229" s="12" t="str">
        <f ca="1">IFERROR(__xludf.DUMMYFUNCTION("GOOGLETRANSLATE($B229,""en"",J$3)"),"Zakázat všechny Gloebits")</f>
        <v>Zakázat všechny Gloebits</v>
      </c>
      <c r="K229" s="12" t="str">
        <f ca="1">IFERROR(__xludf.DUMMYFUNCTION("GOOGLETRANSLATE($B229,""en"",K$3)"),"禁用所有Gloebits")</f>
        <v>禁用所有Gloebits</v>
      </c>
      <c r="L229" s="12" t="str">
        <f ca="1">IFERROR(__xludf.DUMMYFUNCTION("GOOGLETRANSLATE($B229,""en"",L$3)"),"禁用所有Gloebits")</f>
        <v>禁用所有Gloebits</v>
      </c>
      <c r="M229" s="12" t="str">
        <f ca="1">IFERROR(__xludf.DUMMYFUNCTION("GOOGLETRANSLATE($B229,""en"",M$3)"),"Alles uitschakelen Gloebits")</f>
        <v>Alles uitschakelen Gloebits</v>
      </c>
      <c r="N229" s="12" t="str">
        <f ca="1">IFERROR(__xludf.DUMMYFUNCTION("GOOGLETRANSLATE($B229,""en"",N$3)"),"Απενεργοποίηση όλων Gloebits")</f>
        <v>Απενεργοποίηση όλων Gloebits</v>
      </c>
      <c r="O229" s="12" t="str">
        <f ca="1">IFERROR(__xludf.DUMMYFUNCTION("GOOGLETRANSLATE($B229,""en"",O$3)"),"Poista kaikki Gloebits")</f>
        <v>Poista kaikki Gloebits</v>
      </c>
      <c r="P229" s="12" t="str">
        <f ca="1">IFERROR(__xludf.DUMMYFUNCTION("GOOGLETRANSLATE($B229,""en"",P$3)"),"Díchumasaigh Uile Gloebits")</f>
        <v>Díchumasaigh Uile Gloebits</v>
      </c>
      <c r="Q229" s="12" t="str">
        <f ca="1">IFERROR(__xludf.DUMMYFUNCTION("GOOGLETRANSLATE($B229,""en"",Q$3)"),"غیر فعال کردن همه Gloebits")</f>
        <v>غیر فعال کردن همه Gloebits</v>
      </c>
      <c r="R229" s="12" t="str">
        <f ca="1">IFERROR(__xludf.DUMMYFUNCTION("GOOGLETRANSLATE($B229,""en"",R$3)"),"השבת כל Gloebits")</f>
        <v>השבת כל Gloebits</v>
      </c>
      <c r="S229" s="12" t="str">
        <f ca="1">IFERROR(__xludf.DUMMYFUNCTION("GOOGLETRANSLATE($B229,""en"",S$3)"),"Slökkva á öllum Gloebits")</f>
        <v>Slökkva á öllum Gloebits</v>
      </c>
      <c r="T229" s="12" t="str">
        <f ca="1">IFERROR(__xludf.DUMMYFUNCTION("GOOGLETRANSLATE($B229,""en"",T$3)"),"Deaktiver Alle Gloebits")</f>
        <v>Deaktiver Alle Gloebits</v>
      </c>
      <c r="U229" s="12" t="str">
        <f ca="1">IFERROR(__xludf.DUMMYFUNCTION("GOOGLETRANSLATE($B229,""en"",U$3)"),"تعطيل الكل Gloebits")</f>
        <v>تعطيل الكل Gloebits</v>
      </c>
      <c r="V229" s="12" t="str">
        <f ca="1">IFERROR(__xludf.DUMMYFUNCTION("GOOGLETRANSLATE($B229,""en"",V$3)"),"Wyłącz wszystkie Gloebits")</f>
        <v>Wyłącz wszystkie Gloebits</v>
      </c>
      <c r="W229" s="12" t="str">
        <f ca="1">IFERROR(__xludf.DUMMYFUNCTION("GOOGLETRANSLATE($B229,""en"",W$3)"),"Отключить все Gloebits")</f>
        <v>Отключить все Gloebits</v>
      </c>
      <c r="X229" s="12" t="str">
        <f ca="1">IFERROR(__xludf.DUMMYFUNCTION("GOOGLETRANSLATE($B229,""en"",X$3)"),"Deshabilitar todo Gloebits")</f>
        <v>Deshabilitar todo Gloebits</v>
      </c>
      <c r="Y229" s="12"/>
      <c r="Z229" s="12"/>
    </row>
    <row r="230" spans="1:26" ht="32.25" customHeight="1" x14ac:dyDescent="0.2">
      <c r="A230" s="17" t="s">
        <v>576</v>
      </c>
      <c r="B230" s="17" t="s">
        <v>577</v>
      </c>
      <c r="C230" s="18" t="s">
        <v>578</v>
      </c>
      <c r="D230" s="12" t="str">
        <f ca="1">IFERROR(__xludf.DUMMYFUNCTION("GOOGLETRANSLATE($B230,""en"",D$3)"),"Inaktivera alla invånare")</f>
        <v>Inaktivera alla invånare</v>
      </c>
      <c r="E230" s="13" t="s">
        <v>579</v>
      </c>
      <c r="F230" s="13" t="s">
        <v>579</v>
      </c>
      <c r="G230" s="12" t="str">
        <f ca="1">IFERROR(__xludf.DUMMYFUNCTION("GOOGLETRANSLATE($B230,""en"",G$3)"),"Désactiver Tous les résidents")</f>
        <v>Désactiver Tous les résidents</v>
      </c>
      <c r="H230" s="12" t="str">
        <f ca="1">IFERROR(__xludf.DUMMYFUNCTION("GOOGLETRANSLATE($B230,""en"",H$3)"),"Disable Auzotarren Guztiak")</f>
        <v>Disable Auzotarren Guztiak</v>
      </c>
      <c r="I230" s="12" t="str">
        <f ca="1">IFERROR(__xludf.DUMMYFUNCTION("GOOGLETRANSLATE($B230,""en"",I$3)"),"Desactivar tots els residents")</f>
        <v>Desactivar tots els residents</v>
      </c>
      <c r="J230" s="12" t="str">
        <f ca="1">IFERROR(__xludf.DUMMYFUNCTION("GOOGLETRANSLATE($B230,""en"",J$3)"),"Zakázat všechny obyvatele")</f>
        <v>Zakázat všechny obyvatele</v>
      </c>
      <c r="K230" s="12" t="str">
        <f ca="1">IFERROR(__xludf.DUMMYFUNCTION("GOOGLETRANSLATE($B230,""en"",K$3)"),"禁用所有居民")</f>
        <v>禁用所有居民</v>
      </c>
      <c r="L230" s="12" t="str">
        <f ca="1">IFERROR(__xludf.DUMMYFUNCTION("GOOGLETRANSLATE($B230,""en"",L$3)"),"禁用所有居民")</f>
        <v>禁用所有居民</v>
      </c>
      <c r="M230" s="12" t="str">
        <f ca="1">IFERROR(__xludf.DUMMYFUNCTION("GOOGLETRANSLATE($B230,""en"",M$3)"),"Alles uitschakelen Bewoners")</f>
        <v>Alles uitschakelen Bewoners</v>
      </c>
      <c r="N230" s="12" t="str">
        <f ca="1">IFERROR(__xludf.DUMMYFUNCTION("GOOGLETRANSLATE($B230,""en"",N$3)"),"Απενεργοποίηση όλων των κατοίκων")</f>
        <v>Απενεργοποίηση όλων των κατοίκων</v>
      </c>
      <c r="O230" s="12" t="str">
        <f ca="1">IFERROR(__xludf.DUMMYFUNCTION("GOOGLETRANSLATE($B230,""en"",O$3)"),"Poista kaikki Asukkaat")</f>
        <v>Poista kaikki Asukkaat</v>
      </c>
      <c r="P230" s="12" t="str">
        <f ca="1">IFERROR(__xludf.DUMMYFUNCTION("GOOGLETRANSLATE($B230,""en"",P$3)"),"Díchumasaigh Uile Cónaitheoirí")</f>
        <v>Díchumasaigh Uile Cónaitheoirí</v>
      </c>
      <c r="Q230" s="12" t="str">
        <f ca="1">IFERROR(__xludf.DUMMYFUNCTION("GOOGLETRANSLATE($B230,""en"",Q$3)"),"غیر فعال کردن همه ساکنان")</f>
        <v>غیر فعال کردن همه ساکنان</v>
      </c>
      <c r="R230" s="12" t="str">
        <f ca="1">IFERROR(__xludf.DUMMYFUNCTION("GOOGLETRANSLATE($B230,""en"",R$3)"),"תושבי שבת הכל")</f>
        <v>תושבי שבת הכל</v>
      </c>
      <c r="S230" s="12" t="str">
        <f ca="1">IFERROR(__xludf.DUMMYFUNCTION("GOOGLETRANSLATE($B230,""en"",S$3)"),"Slökkva á öllum Íbúar")</f>
        <v>Slökkva á öllum Íbúar</v>
      </c>
      <c r="T230" s="12" t="str">
        <f ca="1">IFERROR(__xludf.DUMMYFUNCTION("GOOGLETRANSLATE($B230,""en"",T$3)"),"Deaktiver Alle Beboere")</f>
        <v>Deaktiver Alle Beboere</v>
      </c>
      <c r="U230" s="12" t="str">
        <f ca="1">IFERROR(__xludf.DUMMYFUNCTION("GOOGLETRANSLATE($B230,""en"",U$3)"),"تعطيل جميع سكان")</f>
        <v>تعطيل جميع سكان</v>
      </c>
      <c r="V230" s="12" t="str">
        <f ca="1">IFERROR(__xludf.DUMMYFUNCTION("GOOGLETRANSLATE($B230,""en"",V$3)"),"Wyłącz wszystkich mieszkańców")</f>
        <v>Wyłącz wszystkich mieszkańców</v>
      </c>
      <c r="W230" s="12" t="str">
        <f ca="1">IFERROR(__xludf.DUMMYFUNCTION("GOOGLETRANSLATE($B230,""en"",W$3)"),"Отключить все жители")</f>
        <v>Отключить все жители</v>
      </c>
      <c r="X230" s="12" t="str">
        <f ca="1">IFERROR(__xludf.DUMMYFUNCTION("GOOGLETRANSLATE($B230,""en"",X$3)"),"Desactivar todos los residentes")</f>
        <v>Desactivar todos los residentes</v>
      </c>
      <c r="Y230" s="12"/>
      <c r="Z230" s="12"/>
    </row>
    <row r="231" spans="1:26" ht="32.25" customHeight="1" x14ac:dyDescent="0.2">
      <c r="A231" s="17" t="s">
        <v>580</v>
      </c>
      <c r="B231" s="17" t="s">
        <v>581</v>
      </c>
      <c r="C231" s="11" t="str">
        <f ca="1">IFERROR(__xludf.DUMMYFUNCTION("GOOGLETRANSLATE($B231,""en"",C$3)"),"Dies wird weniger sicher Wenn Sie den Koffer zu deaktivieren, sondern wird auf rez Objekte auf ausländische Netze leichter")</f>
        <v>Dies wird weniger sicher Wenn Sie den Koffer zu deaktivieren, sondern wird auf rez Objekte auf ausländische Netze leichter</v>
      </c>
      <c r="D231" s="12" t="str">
        <f ca="1">IFERROR(__xludf.DUMMYFUNCTION("GOOGLETRANSLATE($B231,""en"",D$3)"),"Detta kommer att vara mindre säker Om du inaktiverar resväska, men kommer att vara lättare att rez objekt på utländska nät")</f>
        <v>Detta kommer att vara mindre säker Om du inaktiverar resväska, men kommer att vara lättare att rez objekt på utländska nät</v>
      </c>
      <c r="E231" s="12" t="str">
        <f ca="1">IFERROR(__xludf.DUMMYFUNCTION("GOOGLETRANSLATE($B231,""en"",E$3)"),"Isso vai ser menos seguro Se você desativar a mala, mas será mais fácil de objetos rez em grades estrangeiros")</f>
        <v>Isso vai ser menos seguro Se você desativar a mala, mas será mais fácil de objetos rez em grades estrangeiros</v>
      </c>
      <c r="F231" s="12" t="str">
        <f ca="1">IFERROR(__xludf.DUMMYFUNCTION("GOOGLETRANSLATE($B231,""en"",F$3)"),"Isso vai ser menos seguro Se você desativar a mala, mas será mais fácil de objetos rez em grades estrangeiros")</f>
        <v>Isso vai ser menos seguro Se você desativar a mala, mas será mais fácil de objetos rez em grades estrangeiros</v>
      </c>
      <c r="G231" s="12" t="str">
        <f ca="1">IFERROR(__xludf.DUMMYFUNCTION("GOOGLETRANSLATE($B231,""en"",G$3)"),"Ce sera moins sûr Si vous désactivez la valise, mais sera plus facile aux objets sur les réseaux étrangers rez")</f>
        <v>Ce sera moins sûr Si vous désactivez la valise, mais sera plus facile aux objets sur les réseaux étrangers rez</v>
      </c>
      <c r="H231" s="12" t="str">
        <f ca="1">IFERROR(__xludf.DUMMYFUNCTION("GOOGLETRANSLATE($B231,""en"",H$3)"),"Hau gutxiago segurua maleta desgaitzen baduzu izango da, baina rez objektuak errazago atzerriko grids izango")</f>
        <v>Hau gutxiago segurua maleta desgaitzen baduzu izango da, baina rez objektuak errazago atzerriko grids izango</v>
      </c>
      <c r="I231" s="12" t="str">
        <f ca="1">IFERROR(__xludf.DUMMYFUNCTION("GOOGLETRANSLATE($B231,""en"",I$3)"),"Això serà menys segur Si desactiva la maleta, però serà més fàcil d'objectes rez a les xarxes estrangeres")</f>
        <v>Això serà menys segur Si desactiva la maleta, però serà més fàcil d'objectes rez a les xarxes estrangeres</v>
      </c>
      <c r="J231" s="12" t="str">
        <f ca="1">IFERROR(__xludf.DUMMYFUNCTION("GOOGLETRANSLATE($B231,""en"",J$3)"),"To bude méně bezpečné Pokud zakážete kufr, ale bude snazší Řeži objektů na zahraničních mřížek")</f>
        <v>To bude méně bezpečné Pokud zakážete kufr, ale bude snazší Řeži objektů na zahraničních mřížek</v>
      </c>
      <c r="K231" s="12" t="str">
        <f ca="1">IFERROR(__xludf.DUMMYFUNCTION("GOOGLETRANSLATE($B231,""en"",K$3)"),"这将是不太安全的。如果禁用手提箱，但会更容易苏亚雷斯对象对外国网格")</f>
        <v>这将是不太安全的。如果禁用手提箱，但会更容易苏亚雷斯对象对外国网格</v>
      </c>
      <c r="L231" s="12" t="str">
        <f ca="1">IFERROR(__xludf.DUMMYFUNCTION("GOOGLETRANSLATE($B231,""en"",L$3)"),"這將是不太安全的。如果禁用手提箱，但會更容易蘇亞雷斯對象對外國網格")</f>
        <v>這將是不太安全的。如果禁用手提箱，但會更容易蘇亞雷斯對象對外國網格</v>
      </c>
      <c r="M231" s="12" t="str">
        <f ca="1">IFERROR(__xludf.DUMMYFUNCTION("GOOGLETRANSLATE($B231,""en"",M$3)"),"Dit zal minder veilige Als u de koffer uit te schakelen, maar zal makkelijker om rez objecten op buitenlandse grids")</f>
        <v>Dit zal minder veilige Als u de koffer uit te schakelen, maar zal makkelijker om rez objecten op buitenlandse grids</v>
      </c>
      <c r="N231" s="12" t="str">
        <f ca="1">IFERROR(__xludf.DUMMYFUNCTION("GOOGLETRANSLATE($B231,""en"",N$3)"),"Αυτό θα είναι λιγότερο ασφαλής Εάν απενεργοποιήσετε τη βαλίτσα, αλλά θα είναι πιο εύκολο να τα αντικείμενα Rez σε ξένα δίκτυα")</f>
        <v>Αυτό θα είναι λιγότερο ασφαλής Εάν απενεργοποιήσετε τη βαλίτσα, αλλά θα είναι πιο εύκολο να τα αντικείμενα Rez σε ξένα δίκτυα</v>
      </c>
      <c r="O231" s="12" t="str">
        <f ca="1">IFERROR(__xludf.DUMMYFUNCTION("GOOGLETRANSLATE($B231,""en"",O$3)"),"Tämä on vähemmän turvallinen Jos poistat matkalaukku, mutta on helpompi Rez esineitä ulkomaisia ​​verkkoihin")</f>
        <v>Tämä on vähemmän turvallinen Jos poistat matkalaukku, mutta on helpompi Rez esineitä ulkomaisia ​​verkkoihin</v>
      </c>
      <c r="P231" s="12" t="str">
        <f ca="1">IFERROR(__xludf.DUMMYFUNCTION("GOOGLETRANSLATE($B231,""en"",P$3)"),"Beidh sé seo chomh daingean Má dhíchumasú tú an suitcase, ach beidh sé níos éasca chun rudaí a rez ar ghreillí coigríche")</f>
        <v>Beidh sé seo chomh daingean Má dhíchumasú tú an suitcase, ach beidh sé níos éasca chun rudaí a rez ar ghreillí coigríche</v>
      </c>
      <c r="Q231" s="12" t="str">
        <f ca="1">IFERROR(__xludf.DUMMYFUNCTION("GOOGLETRANSLATE($B231,""en"",Q$3)"),"این خواهد بود که امنیت کمتری اگر شما چمدان غیر فعال کردن، اما آسان تر به اشیاء REZ در شبکه های خارجی خواهد بود")</f>
        <v>این خواهد بود که امنیت کمتری اگر شما چمدان غیر فعال کردن، اما آسان تر به اشیاء REZ در شبکه های خارجی خواهد بود</v>
      </c>
      <c r="R231" s="12" t="str">
        <f ca="1">IFERROR(__xludf.DUMMYFUNCTION("GOOGLETRANSLATE($B231,""en"",R$3)"),"זה יהיה פחות מוגן אם תבטל את המזוודה, אבל יהיה קל יותר אובייקטי rez על רשתות זרות")</f>
        <v>זה יהיה פחות מוגן אם תבטל את המזוודה, אבל יהיה קל יותר אובייקטי rez על רשתות זרות</v>
      </c>
      <c r="S231" s="12" t="str">
        <f ca="1">IFERROR(__xludf.DUMMYFUNCTION("GOOGLETRANSLATE($B231,""en"",S$3)"),"Þetta verður að vera minna örugg Ef þú slekkur á ferðatösku, en verður auðveldara að Rez hluti á erlendum grids")</f>
        <v>Þetta verður að vera minna örugg Ef þú slekkur á ferðatösku, en verður auðveldara að Rez hluti á erlendum grids</v>
      </c>
      <c r="T231" s="12" t="str">
        <f ca="1">IFERROR(__xludf.DUMMYFUNCTION("GOOGLETRANSLATE($B231,""en"",T$3)"),"Dette vil være mindre sikker Hvis du deaktiverer kofferten, men vil være lettere å rez objekter på utenlandske nett")</f>
        <v>Dette vil være mindre sikker Hvis du deaktiverer kofferten, men vil være lettere å rez objekter på utenlandske nett</v>
      </c>
      <c r="U231" s="12" t="str">
        <f ca="1">IFERROR(__xludf.DUMMYFUNCTION("GOOGLETRANSLATE($B231,""en"",U$3)"),"وسيكون هذا أقل أمنا إذا قمت بتعطيل الحقيبة، ولكن سيكون من الأسهل إلى كائنات ريز على الشبكات الخارجية")</f>
        <v>وسيكون هذا أقل أمنا إذا قمت بتعطيل الحقيبة، ولكن سيكون من الأسهل إلى كائنات ريز على الشبكات الخارجية</v>
      </c>
      <c r="V231" s="12" t="str">
        <f ca="1">IFERROR(__xludf.DUMMYFUNCTION("GOOGLETRANSLATE($B231,""en"",V$3)"),"To będzie mniej bezpieczna Jeśli wyłączysz walizkę, ale będzie łatwiej obiektów rez na zagranicznych sieci")</f>
        <v>To będzie mniej bezpieczna Jeśli wyłączysz walizkę, ale będzie łatwiej obiektów rez na zagranicznych sieci</v>
      </c>
      <c r="W231" s="12" t="str">
        <f ca="1">IFERROR(__xludf.DUMMYFUNCTION("GOOGLETRANSLATE($B231,""en"",W$3)"),"Это будет менее безопасным Если отключить чемодан, но будет легче объекты Rez на зарубежных сетях")</f>
        <v>Это будет менее безопасным Если отключить чемодан, но будет легче объекты Rez на зарубежных сетях</v>
      </c>
      <c r="X231" s="12" t="str">
        <f ca="1">IFERROR(__xludf.DUMMYFUNCTION("GOOGLETRANSLATE($B231,""en"",X$3)"),"Esto será menos seguro Si desactiva la maleta, pero será más fácil de objetos rez en las redes extranjeras")</f>
        <v>Esto será menos seguro Si desactiva la maleta, pero será más fácil de objetos rez en las redes extranjeras</v>
      </c>
      <c r="Y231" s="12"/>
      <c r="Z231" s="12"/>
    </row>
    <row r="232" spans="1:26" ht="32.25" customHeight="1" x14ac:dyDescent="0.2">
      <c r="A232" s="17" t="s">
        <v>582</v>
      </c>
      <c r="B232" s="17" t="s">
        <v>583</v>
      </c>
      <c r="C232" s="18" t="s">
        <v>584</v>
      </c>
      <c r="D232" s="12" t="str">
        <f ca="1">IFERROR(__xludf.DUMMYFUNCTION("GOOGLETRANSLATE($B232,""en"",D$3)"),"Inaktiverad")</f>
        <v>Inaktiverad</v>
      </c>
      <c r="E232" s="12" t="str">
        <f ca="1">IFERROR(__xludf.DUMMYFUNCTION("GOOGLETRANSLATE($B232,""en"",E$3)"),"Desativado")</f>
        <v>Desativado</v>
      </c>
      <c r="F232" s="12" t="str">
        <f ca="1">IFERROR(__xludf.DUMMYFUNCTION("GOOGLETRANSLATE($B232,""en"",F$3)"),"Desativado")</f>
        <v>Desativado</v>
      </c>
      <c r="G232" s="12" t="str">
        <f ca="1">IFERROR(__xludf.DUMMYFUNCTION("GOOGLETRANSLATE($B232,""en"",G$3)"),"désactivé")</f>
        <v>désactivé</v>
      </c>
      <c r="H232" s="12" t="str">
        <f ca="1">IFERROR(__xludf.DUMMYFUNCTION("GOOGLETRANSLATE($B232,""en"",H$3)"),"Desgaituta")</f>
        <v>Desgaituta</v>
      </c>
      <c r="I232" s="12" t="str">
        <f ca="1">IFERROR(__xludf.DUMMYFUNCTION("GOOGLETRANSLATE($B232,""en"",I$3)"),"discapacitat")</f>
        <v>discapacitat</v>
      </c>
      <c r="J232" s="12" t="str">
        <f ca="1">IFERROR(__xludf.DUMMYFUNCTION("GOOGLETRANSLATE($B232,""en"",J$3)"),"invalidní")</f>
        <v>invalidní</v>
      </c>
      <c r="K232" s="12" t="str">
        <f ca="1">IFERROR(__xludf.DUMMYFUNCTION("GOOGLETRANSLATE($B232,""en"",K$3)"),"残")</f>
        <v>残</v>
      </c>
      <c r="L232" s="12" t="str">
        <f ca="1">IFERROR(__xludf.DUMMYFUNCTION("GOOGLETRANSLATE($B232,""en"",L$3)"),"殘")</f>
        <v>殘</v>
      </c>
      <c r="M232" s="12" t="str">
        <f ca="1">IFERROR(__xludf.DUMMYFUNCTION("GOOGLETRANSLATE($B232,""en"",M$3)"),"Gehandicapt")</f>
        <v>Gehandicapt</v>
      </c>
      <c r="N232" s="12" t="str">
        <f ca="1">IFERROR(__xludf.DUMMYFUNCTION("GOOGLETRANSLATE($B232,""en"",N$3)"),"άτομα με ειδικές ανάγκες")</f>
        <v>άτομα με ειδικές ανάγκες</v>
      </c>
      <c r="O232" s="12" t="str">
        <f ca="1">IFERROR(__xludf.DUMMYFUNCTION("GOOGLETRANSLATE($B232,""en"",O$3)"),"Liikuntarajoitteinen")</f>
        <v>Liikuntarajoitteinen</v>
      </c>
      <c r="P232" s="12" t="str">
        <f ca="1">IFERROR(__xludf.DUMMYFUNCTION("GOOGLETRANSLATE($B232,""en"",P$3)"),"Faoi mhíchumas")</f>
        <v>Faoi mhíchumas</v>
      </c>
      <c r="Q232" s="12" t="str">
        <f ca="1">IFERROR(__xludf.DUMMYFUNCTION("GOOGLETRANSLATE($B232,""en"",Q$3)"),"معلول")</f>
        <v>معلول</v>
      </c>
      <c r="R232" s="12" t="str">
        <f ca="1">IFERROR(__xludf.DUMMYFUNCTION("GOOGLETRANSLATE($B232,""en"",R$3)"),"נָכֶה")</f>
        <v>נָכֶה</v>
      </c>
      <c r="S232" s="12" t="str">
        <f ca="1">IFERROR(__xludf.DUMMYFUNCTION("GOOGLETRANSLATE($B232,""en"",S$3)"),"óvirk")</f>
        <v>óvirk</v>
      </c>
      <c r="T232" s="12" t="str">
        <f ca="1">IFERROR(__xludf.DUMMYFUNCTION("GOOGLETRANSLATE($B232,""en"",T$3)"),"Funksjonshemmet")</f>
        <v>Funksjonshemmet</v>
      </c>
      <c r="U232" s="12" t="str">
        <f ca="1">IFERROR(__xludf.DUMMYFUNCTION("GOOGLETRANSLATE($B232,""en"",U$3)"),"معاق")</f>
        <v>معاق</v>
      </c>
      <c r="V232" s="12" t="str">
        <f ca="1">IFERROR(__xludf.DUMMYFUNCTION("GOOGLETRANSLATE($B232,""en"",V$3)"),"Niepełnosprawny")</f>
        <v>Niepełnosprawny</v>
      </c>
      <c r="W232" s="12" t="str">
        <f ca="1">IFERROR(__xludf.DUMMYFUNCTION("GOOGLETRANSLATE($B232,""en"",W$3)"),"Отключено")</f>
        <v>Отключено</v>
      </c>
      <c r="X232" s="12" t="str">
        <f ca="1">IFERROR(__xludf.DUMMYFUNCTION("GOOGLETRANSLATE($B232,""en"",X$3)"),"Discapacitado")</f>
        <v>Discapacitado</v>
      </c>
      <c r="Y232" s="12"/>
      <c r="Z232" s="12"/>
    </row>
    <row r="233" spans="1:26" ht="32.25" customHeight="1" x14ac:dyDescent="0.2">
      <c r="A233" s="17" t="s">
        <v>585</v>
      </c>
      <c r="B233" s="17" t="s">
        <v>586</v>
      </c>
      <c r="C233" s="11" t="str">
        <f ca="1">IFERROR(__xludf.DUMMYFUNCTION("GOOGLETRANSLATE($B233,""en"",C$3)"),"Das Deaktivieren der Bestands Koffer macht alle Inventar an andere Netze. Aber es ist leicht zu geben Objekte.")</f>
        <v>Das Deaktivieren der Bestands Koffer macht alle Inventar an andere Netze. Aber es ist leicht zu geben Objekte.</v>
      </c>
      <c r="D233" s="12" t="str">
        <f ca="1">IFERROR(__xludf.DUMMYFUNCTION("GOOGLETRANSLATE($B233,""en"",D$3)"),"Inaktivera Inventory Suitcase exponerar all ditt lager till andra nät. Men det är lätt att ge objekt.")</f>
        <v>Inaktivera Inventory Suitcase exponerar all ditt lager till andra nät. Men det är lätt att ge objekt.</v>
      </c>
      <c r="E233" s="12" t="str">
        <f ca="1">IFERROR(__xludf.DUMMYFUNCTION("GOOGLETRANSLATE($B233,""en"",E$3)"),"A desativação do Inventory Suitcase expõe todo o seu inventário para outras grades. Mas é fácil de objetos dar.")</f>
        <v>A desativação do Inventory Suitcase expõe todo o seu inventário para outras grades. Mas é fácil de objetos dar.</v>
      </c>
      <c r="F233" s="12" t="str">
        <f ca="1">IFERROR(__xludf.DUMMYFUNCTION("GOOGLETRANSLATE($B233,""en"",F$3)"),"A desativação do Inventory Suitcase expõe todo o seu inventário para outras grades. Mas é fácil de objetos dar.")</f>
        <v>A desativação do Inventory Suitcase expõe todo o seu inventário para outras grades. Mas é fácil de objetos dar.</v>
      </c>
      <c r="G233" s="12" t="str">
        <f ca="1">IFERROR(__xludf.DUMMYFUNCTION("GOOGLETRANSLATE($B233,""en"",G$3)"),"La désactivation de l'inventaire valise expose tout votre inventaire à d'autres réseaux. Mais il est facile de donner des objets.")</f>
        <v>La désactivation de l'inventaire valise expose tout votre inventaire à d'autres réseaux. Mais il est facile de donner des objets.</v>
      </c>
      <c r="H233" s="12" t="str">
        <f ca="1">IFERROR(__xludf.DUMMYFUNCTION("GOOGLETRANSLATE($B233,""en"",H$3)"),"Inbentarioa desgaituz Maleta zure inbentarioa beste grids den azaltzen. Baina erraza da give objektuak.")</f>
        <v>Inbentarioa desgaituz Maleta zure inbentarioa beste grids den azaltzen. Baina erraza da give objektuak.</v>
      </c>
      <c r="I233" s="12" t="str">
        <f ca="1">IFERROR(__xludf.DUMMYFUNCTION("GOOGLETRANSLATE($B233,""en"",I$3)"),"La desactivació de l'Inventari Maleta exposa tota la seva inventari a altres xarxes. Però és fàcil d'objectes donar.")</f>
        <v>La desactivació de l'Inventari Maleta exposa tota la seva inventari a altres xarxes. Però és fàcil d'objectes donar.</v>
      </c>
      <c r="J233" s="12" t="str">
        <f ca="1">IFERROR(__xludf.DUMMYFUNCTION("GOOGLETRANSLATE($B233,""en"",J$3)"),"Deaktivace inventury Suitcase vystavuje celý svůj inventář do jiných mřížek. Ale je to snadné dát objektů.")</f>
        <v>Deaktivace inventury Suitcase vystavuje celý svůj inventář do jiných mřížek. Ale je to snadné dát objektů.</v>
      </c>
      <c r="K233" s="12" t="str">
        <f ca="1">IFERROR(__xludf.DUMMYFUNCTION("GOOGLETRANSLATE($B233,""en"",K$3)"),"禁用清单手提箱公开所有库存到其他网格。但很容易给对象。")</f>
        <v>禁用清单手提箱公开所有库存到其他网格。但很容易给对象。</v>
      </c>
      <c r="L233" s="12" t="str">
        <f ca="1">IFERROR(__xludf.DUMMYFUNCTION("GOOGLETRANSLATE($B233,""en"",L$3)"),"禁用清單手提箱公開所有庫存到其他網格。但很容易給對象。")</f>
        <v>禁用清單手提箱公開所有庫存到其他網格。但很容易給對象。</v>
      </c>
      <c r="M233" s="12" t="str">
        <f ca="1">IFERROR(__xludf.DUMMYFUNCTION("GOOGLETRANSLATE($B233,""en"",M$3)"),"Het uitschakelen van de Inventory Suitcase bloot al je inventaris naar andere netten. Maar het is gemakkelijk om te geven objecten.")</f>
        <v>Het uitschakelen van de Inventory Suitcase bloot al je inventaris naar andere netten. Maar het is gemakkelijk om te geven objecten.</v>
      </c>
      <c r="N233" s="12" t="str">
        <f ca="1">IFERROR(__xludf.DUMMYFUNCTION("GOOGLETRANSLATE($B233,""en"",N$3)"),"Η απενεργοποίηση της απογραφής βαλίτσα εκθέτει όλα τα αποθέματά σας σε άλλα δίκτυα. Αλλά είναι εύκολο να αντικείμενα δώσει.")</f>
        <v>Η απενεργοποίηση της απογραφής βαλίτσα εκθέτει όλα τα αποθέματά σας σε άλλα δίκτυα. Αλλά είναι εύκολο να αντικείμενα δώσει.</v>
      </c>
      <c r="O233" s="12" t="str">
        <f ca="1">IFERROR(__xludf.DUMMYFUNCTION("GOOGLETRANSLATE($B233,""en"",O$3)"),"Poistaminen käytöstä Inventory matkalaukku paljastaa kaikki varaston muihin verkkoihin. Mutta se on helppo antaa esineitä.")</f>
        <v>Poistaminen käytöstä Inventory matkalaukku paljastaa kaikki varaston muihin verkkoihin. Mutta se on helppo antaa esineitä.</v>
      </c>
      <c r="P233" s="12" t="str">
        <f ca="1">IFERROR(__xludf.DUMMYFUNCTION("GOOGLETRANSLATE($B233,""en"",P$3)"),"Disabling an Fardal exposes Suitcase do fardal chun greillí eile. Ach tá sé éasca le rudaí thabhairt.")</f>
        <v>Disabling an Fardal exposes Suitcase do fardal chun greillí eile. Ach tá sé éasca le rudaí thabhairt.</v>
      </c>
      <c r="Q233" s="12" t="str">
        <f ca="1">IFERROR(__xludf.DUMMYFUNCTION("GOOGLETRANSLATE($B233,""en"",Q$3)"),"غیر فعال کردن پرسشنامه چمدان در معرض تمام موجودی خود را به دیگر شبکه های. اما از آن آسان به اشیاء را.")</f>
        <v>غیر فعال کردن پرسشنامه چمدان در معرض تمام موجودی خود را به دیگر شبکه های. اما از آن آسان به اشیاء را.</v>
      </c>
      <c r="R233" s="12" t="str">
        <f ca="1">IFERROR(__xludf.DUMMYFUNCTION("GOOGLETRANSLATE($B233,""en"",R$3)"),"השבתת מלאי מזוודה חושפת את כל המלאי שלך לרשתות אחרות. אבל קל לאובייקטים תן.")</f>
        <v>השבתת מלאי מזוודה חושפת את כל המלאי שלך לרשתות אחרות. אבל קל לאובייקטים תן.</v>
      </c>
      <c r="S233" s="12" t="str">
        <f ca="1">IFERROR(__xludf.DUMMYFUNCTION("GOOGLETRANSLATE($B233,""en"",S$3)"),"Slekkur á Inventory Ferðataska sýnir alla birgðum öðrum grids. En það er auðvelt að gefa hlutum.")</f>
        <v>Slekkur á Inventory Ferðataska sýnir alla birgðum öðrum grids. En það er auðvelt að gefa hlutum.</v>
      </c>
      <c r="T233" s="12" t="str">
        <f ca="1">IFERROR(__xludf.DUMMYFUNCTION("GOOGLETRANSLATE($B233,""en"",T$3)"),"Deaktivering Inventory Suitcase eksponerer alle beholdningen til andre nett. Men det er lett å gi stedene.")</f>
        <v>Deaktivering Inventory Suitcase eksponerer alle beholdningen til andre nett. Men det er lett å gi stedene.</v>
      </c>
      <c r="U233" s="12" t="str">
        <f ca="1">IFERROR(__xludf.DUMMYFUNCTION("GOOGLETRANSLATE($B233,""en"",U$3)"),"تعطيل الجرد حقيبة يكشف عن المخزون الخاص بك إلى شبكات أخرى. ولكن من السهل إلى كائنات العطاء.")</f>
        <v>تعطيل الجرد حقيبة يكشف عن المخزون الخاص بك إلى شبكات أخرى. ولكن من السهل إلى كائنات العطاء.</v>
      </c>
      <c r="V233" s="12" t="str">
        <f ca="1">IFERROR(__xludf.DUMMYFUNCTION("GOOGLETRANSLATE($B233,""en"",V$3)"),"Wyłączenie Wykazu Walizka eksponuje wszystkie swoje zasoby do innych sieci. Ale to jest łatwe do obiektów dać.")</f>
        <v>Wyłączenie Wykazu Walizka eksponuje wszystkie swoje zasoby do innych sieci. Ale to jest łatwe do obiektów dać.</v>
      </c>
      <c r="W233" s="12" t="str">
        <f ca="1">IFERROR(__xludf.DUMMYFUNCTION("GOOGLETRANSLATE($B233,""en"",W$3)"),"Отключение инвентаризации Чемодан выставляет все свои ресурсы других сетей. Но это легко объекты дают.")</f>
        <v>Отключение инвентаризации Чемодан выставляет все свои ресурсы других сетей. Но это легко объекты дают.</v>
      </c>
      <c r="X233" s="12" t="str">
        <f ca="1">IFERROR(__xludf.DUMMYFUNCTION("GOOGLETRANSLATE($B233,""en"",X$3)"),"La desactivación del Inventario Maleta expone toda su inventario a otras redes. Pero es fácil de objetos dar.")</f>
        <v>La desactivación del Inventario Maleta expone toda su inventario a otras redes. Pero es fácil de objetos dar.</v>
      </c>
      <c r="Y233" s="12"/>
      <c r="Z233" s="12"/>
    </row>
    <row r="234" spans="1:26" ht="32.25" customHeight="1" x14ac:dyDescent="0.2">
      <c r="A234" s="17" t="s">
        <v>587</v>
      </c>
      <c r="B234" s="17" t="s">
        <v>588</v>
      </c>
      <c r="C234" s="11" t="str">
        <f ca="1">IFERROR(__xludf.DUMMYFUNCTION("GOOGLETRANSLATE($B234,""en"",C$3)"),"Alle Änderungen verwerfen und beenden?")</f>
        <v>Alle Änderungen verwerfen und beenden?</v>
      </c>
      <c r="D234" s="12" t="str">
        <f ca="1">IFERROR(__xludf.DUMMYFUNCTION("GOOGLETRANSLATE($B234,""en"",D$3)"),"Kasta alla ändringar och avsluta?")</f>
        <v>Kasta alla ändringar och avsluta?</v>
      </c>
      <c r="E234" s="12" t="str">
        <f ca="1">IFERROR(__xludf.DUMMYFUNCTION("GOOGLETRANSLATE($B234,""en"",E$3)"),"Descartar todas as alterações e sair?")</f>
        <v>Descartar todas as alterações e sair?</v>
      </c>
      <c r="F234" s="12" t="str">
        <f ca="1">IFERROR(__xludf.DUMMYFUNCTION("GOOGLETRANSLATE($B234,""en"",F$3)"),"Descartar todas as alterações e sair?")</f>
        <v>Descartar todas as alterações e sair?</v>
      </c>
      <c r="G234" s="12" t="str">
        <f ca="1">IFERROR(__xludf.DUMMYFUNCTION("GOOGLETRANSLATE($B234,""en"",G$3)"),"Jeter toutes les modifications et quitter?")</f>
        <v>Jeter toutes les modifications et quitter?</v>
      </c>
      <c r="H234" s="12" t="str">
        <f ca="1">IFERROR(__xludf.DUMMYFUNCTION("GOOGLETRANSLATE($B234,""en"",H$3)"),"Baztertu aldaketak eta irten?")</f>
        <v>Baztertu aldaketak eta irten?</v>
      </c>
      <c r="I234" s="12" t="str">
        <f ca="1">IFERROR(__xludf.DUMMYFUNCTION("GOOGLETRANSLATE($B234,""en"",I$3)"),"Descarta tots els canvis i sortir?")</f>
        <v>Descarta tots els canvis i sortir?</v>
      </c>
      <c r="J234" s="12" t="str">
        <f ca="1">IFERROR(__xludf.DUMMYFUNCTION("GOOGLETRANSLATE($B234,""en"",J$3)"),"Zahodit všechny změny a Konec?")</f>
        <v>Zahodit všechny změny a Konec?</v>
      </c>
      <c r="K234" s="12" t="str">
        <f ca="1">IFERROR(__xludf.DUMMYFUNCTION("GOOGLETRANSLATE($B234,""en"",K$3)"),"放弃所有更改并退出？")</f>
        <v>放弃所有更改并退出？</v>
      </c>
      <c r="L234" s="12" t="str">
        <f ca="1">IFERROR(__xludf.DUMMYFUNCTION("GOOGLETRANSLATE($B234,""en"",L$3)"),"放棄所有更改並退出？")</f>
        <v>放棄所有更改並退出？</v>
      </c>
      <c r="M234" s="12" t="str">
        <f ca="1">IFERROR(__xludf.DUMMYFUNCTION("GOOGLETRANSLATE($B234,""en"",M$3)"),"Gooi alle wijzigingen en Exit?")</f>
        <v>Gooi alle wijzigingen en Exit?</v>
      </c>
      <c r="N234" s="12" t="str">
        <f ca="1">IFERROR(__xludf.DUMMYFUNCTION("GOOGLETRANSLATE($B234,""en"",N$3)"),"Απορρίψτε όλες τις αλλαγές και Έξοδος;")</f>
        <v>Απορρίψτε όλες τις αλλαγές και Έξοδος;</v>
      </c>
      <c r="O234" s="12" t="str">
        <f ca="1">IFERROR(__xludf.DUMMYFUNCTION("GOOGLETRANSLATE($B234,""en"",O$3)"),"Hylätä kaikki muutokset ja lopeta?")</f>
        <v>Hylätä kaikki muutokset ja lopeta?</v>
      </c>
      <c r="P234" s="12" t="str">
        <f ca="1">IFERROR(__xludf.DUMMYFUNCTION("GOOGLETRANSLATE($B234,""en"",P$3)"),"Caith amach gach athrú agus Scoir?")</f>
        <v>Caith amach gach athrú agus Scoir?</v>
      </c>
      <c r="Q234" s="12" t="str">
        <f ca="1">IFERROR(__xludf.DUMMYFUNCTION("GOOGLETRANSLATE($B234,""en"",Q$3)"),"دور انداختن تمام تغییرات و خروج؟")</f>
        <v>دور انداختن تمام تغییرات و خروج؟</v>
      </c>
      <c r="R234" s="12" t="str">
        <f ca="1">IFERROR(__xludf.DUMMYFUNCTION("GOOGLETRANSLATE($B234,""en"",R$3)"),"בטל את כל השינויים ויציאה?")</f>
        <v>בטל את כל השינויים ויציאה?</v>
      </c>
      <c r="S234" s="12" t="str">
        <f ca="1">IFERROR(__xludf.DUMMYFUNCTION("GOOGLETRANSLATE($B234,""en"",S$3)"),"Hætta við allar breytingar og Hætta?")</f>
        <v>Hætta við allar breytingar og Hætta?</v>
      </c>
      <c r="T234" s="12" t="str">
        <f ca="1">IFERROR(__xludf.DUMMYFUNCTION("GOOGLETRANSLATE($B234,""en"",T$3)"),"Forkaste alle endringer og Exit?")</f>
        <v>Forkaste alle endringer og Exit?</v>
      </c>
      <c r="U234" s="12" t="str">
        <f ca="1">IFERROR(__xludf.DUMMYFUNCTION("GOOGLETRANSLATE($B234,""en"",U$3)"),"تجاهل كل التغييرات والخروج؟")</f>
        <v>تجاهل كل التغييرات والخروج؟</v>
      </c>
      <c r="V234" s="12" t="str">
        <f ca="1">IFERROR(__xludf.DUMMYFUNCTION("GOOGLETRANSLATE($B234,""en"",V$3)"),"Odrzucić wszystkie zmiany i wyjść?")</f>
        <v>Odrzucić wszystkie zmiany i wyjść?</v>
      </c>
      <c r="W234" s="12" t="str">
        <f ca="1">IFERROR(__xludf.DUMMYFUNCTION("GOOGLETRANSLATE($B234,""en"",W$3)"),"Отменить все изменения и выйти?")</f>
        <v>Отменить все изменения и выйти?</v>
      </c>
      <c r="X234" s="12" t="str">
        <f ca="1">IFERROR(__xludf.DUMMYFUNCTION("GOOGLETRANSLATE($B234,""en"",X$3)"),"Descartar todos los cambios y salir?")</f>
        <v>Descartar todos los cambios y salir?</v>
      </c>
      <c r="Y234" s="12"/>
      <c r="Z234" s="12"/>
    </row>
    <row r="235" spans="1:26" ht="32.25" customHeight="1" x14ac:dyDescent="0.2">
      <c r="A235" s="17" t="s">
        <v>589</v>
      </c>
      <c r="B235" s="17" t="s">
        <v>590</v>
      </c>
      <c r="C235" s="11" t="str">
        <f ca="1">IFERROR(__xludf.DUMMYFUNCTION("GOOGLETRANSLATE($B235,""en"",C$3)"),"Diva-Panel")</f>
        <v>Diva-Panel</v>
      </c>
      <c r="D235" s="12" t="str">
        <f ca="1">IFERROR(__xludf.DUMMYFUNCTION("GOOGLETRANSLATE($B235,""en"",D$3)"),"Diva Panel")</f>
        <v>Diva Panel</v>
      </c>
      <c r="E235" s="12" t="str">
        <f ca="1">IFERROR(__xludf.DUMMYFUNCTION("GOOGLETRANSLATE($B235,""en"",E$3)"),"Painel de diva")</f>
        <v>Painel de diva</v>
      </c>
      <c r="F235" s="12" t="str">
        <f ca="1">IFERROR(__xludf.DUMMYFUNCTION("GOOGLETRANSLATE($B235,""en"",F$3)"),"Painel de diva")</f>
        <v>Painel de diva</v>
      </c>
      <c r="G235" s="12" t="str">
        <f ca="1">IFERROR(__xludf.DUMMYFUNCTION("GOOGLETRANSLATE($B235,""en"",G$3)"),"Panneau Diva")</f>
        <v>Panneau Diva</v>
      </c>
      <c r="H235" s="12" t="str">
        <f ca="1">IFERROR(__xludf.DUMMYFUNCTION("GOOGLETRANSLATE($B235,""en"",H$3)"),"Diva Panel")</f>
        <v>Diva Panel</v>
      </c>
      <c r="I235" s="12" t="str">
        <f ca="1">IFERROR(__xludf.DUMMYFUNCTION("GOOGLETRANSLATE($B235,""en"",I$3)"),"Panell de la diva")</f>
        <v>Panell de la diva</v>
      </c>
      <c r="J235" s="12" t="str">
        <f ca="1">IFERROR(__xludf.DUMMYFUNCTION("GOOGLETRANSLATE($B235,""en"",J$3)"),"Diva Panel")</f>
        <v>Diva Panel</v>
      </c>
      <c r="K235" s="12" t="str">
        <f ca="1">IFERROR(__xludf.DUMMYFUNCTION("GOOGLETRANSLATE($B235,""en"",K$3)"),"女神面板")</f>
        <v>女神面板</v>
      </c>
      <c r="L235" s="12" t="str">
        <f ca="1">IFERROR(__xludf.DUMMYFUNCTION("GOOGLETRANSLATE($B235,""en"",L$3)"),"女神面板")</f>
        <v>女神面板</v>
      </c>
      <c r="M235" s="12" t="str">
        <f ca="1">IFERROR(__xludf.DUMMYFUNCTION("GOOGLETRANSLATE($B235,""en"",M$3)"),"Diva Panel")</f>
        <v>Diva Panel</v>
      </c>
      <c r="N235" s="12" t="str">
        <f ca="1">IFERROR(__xludf.DUMMYFUNCTION("GOOGLETRANSLATE($B235,""en"",N$3)"),"Diva Panel")</f>
        <v>Diva Panel</v>
      </c>
      <c r="O235" s="12" t="str">
        <f ca="1">IFERROR(__xludf.DUMMYFUNCTION("GOOGLETRANSLATE($B235,""en"",O$3)"),"Diva Panel")</f>
        <v>Diva Panel</v>
      </c>
      <c r="P235" s="12" t="str">
        <f ca="1">IFERROR(__xludf.DUMMYFUNCTION("GOOGLETRANSLATE($B235,""en"",P$3)"),"Painéal Diva")</f>
        <v>Painéal Diva</v>
      </c>
      <c r="Q235" s="12" t="str">
        <f ca="1">IFERROR(__xludf.DUMMYFUNCTION("GOOGLETRANSLATE($B235,""en"",Q$3)"),"سردستهزنان خواننده اپرا پنل")</f>
        <v>سردستهزنان خواننده اپرا پنل</v>
      </c>
      <c r="R235" s="12" t="str">
        <f ca="1">IFERROR(__xludf.DUMMYFUNCTION("GOOGLETRANSLATE($B235,""en"",R$3)"),"לוח דיווה")</f>
        <v>לוח דיווה</v>
      </c>
      <c r="S235" s="12" t="str">
        <f ca="1">IFERROR(__xludf.DUMMYFUNCTION("GOOGLETRANSLATE($B235,""en"",S$3)"),"diva Panel")</f>
        <v>diva Panel</v>
      </c>
      <c r="T235" s="12" t="str">
        <f ca="1">IFERROR(__xludf.DUMMYFUNCTION("GOOGLETRANSLATE($B235,""en"",T$3)"),"Diva Panel")</f>
        <v>Diva Panel</v>
      </c>
      <c r="U235" s="12" t="str">
        <f ca="1">IFERROR(__xludf.DUMMYFUNCTION("GOOGLETRANSLATE($B235,""en"",U$3)"),"لوحة مغنية")</f>
        <v>لوحة مغنية</v>
      </c>
      <c r="V235" s="12" t="str">
        <f ca="1">IFERROR(__xludf.DUMMYFUNCTION("GOOGLETRANSLATE($B235,""en"",V$3)"),"Diva panel")</f>
        <v>Diva panel</v>
      </c>
      <c r="W235" s="12" t="str">
        <f ca="1">IFERROR(__xludf.DUMMYFUNCTION("GOOGLETRANSLATE($B235,""en"",W$3)"),"Diva панель")</f>
        <v>Diva панель</v>
      </c>
      <c r="X235" s="12" t="str">
        <f ca="1">IFERROR(__xludf.DUMMYFUNCTION("GOOGLETRANSLATE($B235,""en"",X$3)"),"Panel de la diva")</f>
        <v>Panel de la diva</v>
      </c>
      <c r="Y235" s="12"/>
      <c r="Z235" s="12"/>
    </row>
    <row r="236" spans="1:26" ht="32.25" customHeight="1" x14ac:dyDescent="0.2">
      <c r="A236" s="17" t="s">
        <v>591</v>
      </c>
      <c r="B236" s="17" t="s">
        <v>592</v>
      </c>
      <c r="C236" s="11" t="str">
        <f ca="1">IFERROR(__xludf.DUMMYFUNCTION("GOOGLETRANSLATE($B236,""en"",C$3)"),"Diva Wifi Aktiviert")</f>
        <v>Diva Wifi Aktiviert</v>
      </c>
      <c r="D236" s="12" t="str">
        <f ca="1">IFERROR(__xludf.DUMMYFUNCTION("GOOGLETRANSLATE($B236,""en"",D$3)"),"Diva WiFi aktiverat")</f>
        <v>Diva WiFi aktiverat</v>
      </c>
      <c r="E236" s="13" t="s">
        <v>593</v>
      </c>
      <c r="F236" s="13" t="s">
        <v>593</v>
      </c>
      <c r="G236" s="12" t="str">
        <f ca="1">IFERROR(__xludf.DUMMYFUNCTION("GOOGLETRANSLATE($B236,""en"",G$3)"),"Diva Wifi activé")</f>
        <v>Diva Wifi activé</v>
      </c>
      <c r="H236" s="12" t="str">
        <f ca="1">IFERROR(__xludf.DUMMYFUNCTION("GOOGLETRANSLATE($B236,""en"",H$3)"),"Diva Wifi gaituta")</f>
        <v>Diva Wifi gaituta</v>
      </c>
      <c r="I236" s="12" t="str">
        <f ca="1">IFERROR(__xludf.DUMMYFUNCTION("GOOGLETRANSLATE($B236,""en"",I$3)"),"Diva Targeta de xarxa sense fils")</f>
        <v>Diva Targeta de xarxa sense fils</v>
      </c>
      <c r="J236" s="12" t="str">
        <f ca="1">IFERROR(__xludf.DUMMYFUNCTION("GOOGLETRANSLATE($B236,""en"",J$3)"),"Diva Wifi Povoleno")</f>
        <v>Diva Wifi Povoleno</v>
      </c>
      <c r="K236" s="12" t="str">
        <f ca="1">IFERROR(__xludf.DUMMYFUNCTION("GOOGLETRANSLATE($B236,""en"",K$3)"),"Diva的WiFi功能")</f>
        <v>Diva的WiFi功能</v>
      </c>
      <c r="L236" s="12" t="str">
        <f ca="1">IFERROR(__xludf.DUMMYFUNCTION("GOOGLETRANSLATE($B236,""en"",L$3)"),"Diva的WiFi功能")</f>
        <v>Diva的WiFi功能</v>
      </c>
      <c r="M236" s="12" t="str">
        <f ca="1">IFERROR(__xludf.DUMMYFUNCTION("GOOGLETRANSLATE($B236,""en"",M$3)"),"Diva Wifi Enabled")</f>
        <v>Diva Wifi Enabled</v>
      </c>
      <c r="N236" s="12" t="str">
        <f ca="1">IFERROR(__xludf.DUMMYFUNCTION("GOOGLETRANSLATE($B236,""en"",N$3)"),"Diva Wifi ενεργοποιημένη")</f>
        <v>Diva Wifi ενεργοποιημένη</v>
      </c>
      <c r="O236" s="12" t="str">
        <f ca="1">IFERROR(__xludf.DUMMYFUNCTION("GOOGLETRANSLATE($B236,""en"",O$3)"),"Diva WiFi-")</f>
        <v>Diva WiFi-</v>
      </c>
      <c r="P236" s="12" t="str">
        <f ca="1">IFERROR(__xludf.DUMMYFUNCTION("GOOGLETRANSLATE($B236,""en"",P$3)"),"Diva Wifi Cumasaithe")</f>
        <v>Diva Wifi Cumasaithe</v>
      </c>
      <c r="Q236" s="12" t="str">
        <f ca="1">IFERROR(__xludf.DUMMYFUNCTION("GOOGLETRANSLATE($B236,""en"",Q$3)"),"سردستهزنان خواننده اپرا فای را فعال کنید")</f>
        <v>سردستهزنان خواننده اپرا فای را فعال کنید</v>
      </c>
      <c r="R236" s="12" t="str">
        <f ca="1">IFERROR(__xludf.DUMMYFUNCTION("GOOGLETRANSLATE($B236,""en"",R$3)"),"מופעל דיווה Wifi")</f>
        <v>מופעל דיווה Wifi</v>
      </c>
      <c r="S236" s="12" t="str">
        <f ca="1">IFERROR(__xludf.DUMMYFUNCTION("GOOGLETRANSLATE($B236,""en"",S$3)"),"Diva Wifi virkt")</f>
        <v>Diva Wifi virkt</v>
      </c>
      <c r="T236" s="12" t="str">
        <f ca="1">IFERROR(__xludf.DUMMYFUNCTION("GOOGLETRANSLATE($B236,""en"",T$3)"),"Diva Wifi aktivert")</f>
        <v>Diva Wifi aktivert</v>
      </c>
      <c r="U236" s="12" t="str">
        <f ca="1">IFERROR(__xludf.DUMMYFUNCTION("GOOGLETRANSLATE($B236,""en"",U$3)"),"المغنية واي فاي تمكين")</f>
        <v>المغنية واي فاي تمكين</v>
      </c>
      <c r="V236" s="12" t="str">
        <f ca="1">IFERROR(__xludf.DUMMYFUNCTION("GOOGLETRANSLATE($B236,""en"",V$3)"),"Diva Wifi Enabled")</f>
        <v>Diva Wifi Enabled</v>
      </c>
      <c r="W236" s="12" t="str">
        <f ca="1">IFERROR(__xludf.DUMMYFUNCTION("GOOGLETRANSLATE($B236,""en"",W$3)"),"Diva Wifi Enabled")</f>
        <v>Diva Wifi Enabled</v>
      </c>
      <c r="X236" s="12" t="str">
        <f ca="1">IFERROR(__xludf.DUMMYFUNCTION("GOOGLETRANSLATE($B236,""en"",X$3)"),"Diva Tarjeta de red inalámbrica")</f>
        <v>Diva Tarjeta de red inalámbrica</v>
      </c>
      <c r="Y236" s="12"/>
      <c r="Z236" s="12"/>
    </row>
    <row r="237" spans="1:26" ht="32.25" customHeight="1" x14ac:dyDescent="0.2">
      <c r="A237" s="17" t="s">
        <v>594</v>
      </c>
      <c r="B237" s="17" t="s">
        <v>595</v>
      </c>
      <c r="C237" s="11" t="str">
        <f ca="1">IFERROR(__xludf.DUMMYFUNCTION("GOOGLETRANSLATE($B237,""en"",C$3)"),"DNS-Name &amp; Hypergrid")</f>
        <v>DNS-Name &amp; Hypergrid</v>
      </c>
      <c r="D237" s="12" t="str">
        <f ca="1">IFERROR(__xludf.DUMMYFUNCTION("GOOGLETRANSLATE($B237,""en"",D$3)"),"DNS-namn &amp; Hypergrid")</f>
        <v>DNS-namn &amp; Hypergrid</v>
      </c>
      <c r="E237" s="12" t="str">
        <f ca="1">IFERROR(__xludf.DUMMYFUNCTION("GOOGLETRANSLATE($B237,""en"",E$3)"),"Nome &amp; Hypergrid DNS")</f>
        <v>Nome &amp; Hypergrid DNS</v>
      </c>
      <c r="F237" s="12" t="str">
        <f ca="1">IFERROR(__xludf.DUMMYFUNCTION("GOOGLETRANSLATE($B237,""en"",F$3)"),"Nome &amp; Hypergrid DNS")</f>
        <v>Nome &amp; Hypergrid DNS</v>
      </c>
      <c r="G237" s="12" t="str">
        <f ca="1">IFERROR(__xludf.DUMMYFUNCTION("GOOGLETRANSLATE($B237,""en"",G$3)"),"Nom DNS &amp; Hypergrid")</f>
        <v>Nom DNS &amp; Hypergrid</v>
      </c>
      <c r="H237" s="12" t="str">
        <f ca="1">IFERROR(__xludf.DUMMYFUNCTION("GOOGLETRANSLATE($B237,""en"",H$3)"),"DNS izena &amp; Hypergrid")</f>
        <v>DNS izena &amp; Hypergrid</v>
      </c>
      <c r="I237" s="12" t="str">
        <f ca="1">IFERROR(__xludf.DUMMYFUNCTION("GOOGLETRANSLATE($B237,""en"",I$3)"),"Nom DNS i Hypergrid")</f>
        <v>Nom DNS i Hypergrid</v>
      </c>
      <c r="J237" s="12" t="str">
        <f ca="1">IFERROR(__xludf.DUMMYFUNCTION("GOOGLETRANSLATE($B237,""en"",J$3)"),"DNS Name &amp; Hypergrid")</f>
        <v>DNS Name &amp; Hypergrid</v>
      </c>
      <c r="K237" s="12" t="str">
        <f ca="1">IFERROR(__xludf.DUMMYFUNCTION("GOOGLETRANSLATE($B237,""en"",K$3)"),"DNS名称和Hypergrid")</f>
        <v>DNS名称和Hypergrid</v>
      </c>
      <c r="L237" s="12" t="str">
        <f ca="1">IFERROR(__xludf.DUMMYFUNCTION("GOOGLETRANSLATE($B237,""en"",L$3)"),"DNS名稱和Hypergrid")</f>
        <v>DNS名稱和Hypergrid</v>
      </c>
      <c r="M237" s="12" t="str">
        <f ca="1">IFERROR(__xludf.DUMMYFUNCTION("GOOGLETRANSLATE($B237,""en"",M$3)"),"DNS Name &amp; HyperGrid")</f>
        <v>DNS Name &amp; HyperGrid</v>
      </c>
      <c r="N237" s="12" t="str">
        <f ca="1">IFERROR(__xludf.DUMMYFUNCTION("GOOGLETRANSLATE($B237,""en"",N$3)"),"DNS Name &amp; Hypergrid")</f>
        <v>DNS Name &amp; Hypergrid</v>
      </c>
      <c r="O237" s="12" t="str">
        <f ca="1">IFERROR(__xludf.DUMMYFUNCTION("GOOGLETRANSLATE($B237,""en"",O$3)"),"DNS nimi &amp; Hypergrid")</f>
        <v>DNS nimi &amp; Hypergrid</v>
      </c>
      <c r="P237" s="12" t="str">
        <f ca="1">IFERROR(__xludf.DUMMYFUNCTION("GOOGLETRANSLATE($B237,""en"",P$3)"),"DNS Ainm &amp; Hypergrid")</f>
        <v>DNS Ainm &amp; Hypergrid</v>
      </c>
      <c r="Q237" s="12" t="str">
        <f ca="1">IFERROR(__xludf.DUMMYFUNCTION("GOOGLETRANSLATE($B237,""en"",Q$3)"),"نام DNS و Hypergrid")</f>
        <v>نام DNS و Hypergrid</v>
      </c>
      <c r="R237" s="12" t="str">
        <f ca="1">IFERROR(__xludf.DUMMYFUNCTION("GOOGLETRANSLATE($B237,""en"",R$3)"),"שם DNS &amp; Hypergrid")</f>
        <v>שם DNS &amp; Hypergrid</v>
      </c>
      <c r="S237" s="12" t="str">
        <f ca="1">IFERROR(__xludf.DUMMYFUNCTION("GOOGLETRANSLATE($B237,""en"",S$3)"),"DNS nafn og Hypergrid")</f>
        <v>DNS nafn og Hypergrid</v>
      </c>
      <c r="T237" s="12" t="str">
        <f ca="1">IFERROR(__xludf.DUMMYFUNCTION("GOOGLETRANSLATE($B237,""en"",T$3)"),"DNS Name &amp; Hypergrid")</f>
        <v>DNS Name &amp; Hypergrid</v>
      </c>
      <c r="U237" s="12" t="str">
        <f ca="1">IFERROR(__xludf.DUMMYFUNCTION("GOOGLETRANSLATE($B237,""en"",U$3)"),"اسم DNS وHypergrid")</f>
        <v>اسم DNS وHypergrid</v>
      </c>
      <c r="V237" s="12" t="str">
        <f ca="1">IFERROR(__xludf.DUMMYFUNCTION("GOOGLETRANSLATE($B237,""en"",V$3)"),"Nazwa DNS i Hypergrid")</f>
        <v>Nazwa DNS i Hypergrid</v>
      </c>
      <c r="W237" s="12" t="str">
        <f ca="1">IFERROR(__xludf.DUMMYFUNCTION("GOOGLETRANSLATE($B237,""en"",W$3)"),"Имя и Hypergrid DNS")</f>
        <v>Имя и Hypergrid DNS</v>
      </c>
      <c r="X237" s="12" t="str">
        <f ca="1">IFERROR(__xludf.DUMMYFUNCTION("GOOGLETRANSLATE($B237,""en"",X$3)"),"Nombre DNS y Hypergrid")</f>
        <v>Nombre DNS y Hypergrid</v>
      </c>
      <c r="Y237" s="12"/>
      <c r="Z237" s="12"/>
    </row>
    <row r="238" spans="1:26" ht="32.25" customHeight="1" x14ac:dyDescent="0.2">
      <c r="A238" s="17" t="s">
        <v>596</v>
      </c>
      <c r="B238" s="17" t="s">
        <v>597</v>
      </c>
      <c r="C238" s="18" t="s">
        <v>598</v>
      </c>
      <c r="D238" s="12" t="str">
        <f ca="1">IFERROR(__xludf.DUMMYFUNCTION("GOOGLETRANSLATE($B238,""en"",D$3)"),"DNS-namn eller SomeName.Outworldz.net eller IP")</f>
        <v>DNS-namn eller SomeName.Outworldz.net eller IP</v>
      </c>
      <c r="E238" s="12" t="str">
        <f ca="1">IFERROR(__xludf.DUMMYFUNCTION("GOOGLETRANSLATE($B238,""en"",E$3)"),"Nome DNS ou SomeName.Outworldz.net ou IP")</f>
        <v>Nome DNS ou SomeName.Outworldz.net ou IP</v>
      </c>
      <c r="F238" s="12" t="str">
        <f ca="1">IFERROR(__xludf.DUMMYFUNCTION("GOOGLETRANSLATE($B238,""en"",F$3)"),"Nome DNS ou SomeName.Outworldz.net ou IP")</f>
        <v>Nome DNS ou SomeName.Outworldz.net ou IP</v>
      </c>
      <c r="G238" s="12" t="str">
        <f ca="1">IFERROR(__xludf.DUMMYFUNCTION("GOOGLETRANSLATE($B238,""en"",G$3)"),"Nom DNS ou IP ou SomeName.Outworldz.net")</f>
        <v>Nom DNS ou IP ou SomeName.Outworldz.net</v>
      </c>
      <c r="H238" s="12" t="str">
        <f ca="1">IFERROR(__xludf.DUMMYFUNCTION("GOOGLETRANSLATE($B238,""en"",H$3)"),"DNS izena edo SomeName.Outworldz.net edo IP")</f>
        <v>DNS izena edo SomeName.Outworldz.net edo IP</v>
      </c>
      <c r="I238" s="12" t="str">
        <f ca="1">IFERROR(__xludf.DUMMYFUNCTION("GOOGLETRANSLATE($B238,""en"",I$3)"),"Nom DNS o SomeName.Outworldz.net o IP")</f>
        <v>Nom DNS o SomeName.Outworldz.net o IP</v>
      </c>
      <c r="J238" s="12" t="str">
        <f ca="1">IFERROR(__xludf.DUMMYFUNCTION("GOOGLETRANSLATE($B238,""en"",J$3)"),"DNS jméno nebo SomeName.Outworldz.net nebo IP")</f>
        <v>DNS jméno nebo SomeName.Outworldz.net nebo IP</v>
      </c>
      <c r="K238" s="12" t="str">
        <f ca="1">IFERROR(__xludf.DUMMYFUNCTION("GOOGLETRANSLATE($B238,""en"",K$3)"),"DNS名称或SomeName.Outworldz.net或IP")</f>
        <v>DNS名称或SomeName.Outworldz.net或IP</v>
      </c>
      <c r="L238" s="12" t="str">
        <f ca="1">IFERROR(__xludf.DUMMYFUNCTION("GOOGLETRANSLATE($B238,""en"",L$3)"),"DNS名稱或SomeName.Outworldz.net或IP")</f>
        <v>DNS名稱或SomeName.Outworldz.net或IP</v>
      </c>
      <c r="M238" s="12" t="str">
        <f ca="1">IFERROR(__xludf.DUMMYFUNCTION("GOOGLETRANSLATE($B238,""en"",M$3)"),"DNS-naam of SomeName.Outworldz.net of IP")</f>
        <v>DNS-naam of SomeName.Outworldz.net of IP</v>
      </c>
      <c r="N238" s="12" t="str">
        <f ca="1">IFERROR(__xludf.DUMMYFUNCTION("GOOGLETRANSLATE($B238,""en"",N$3)"),"DNS Όνομα ή SomeName.Outworldz.net ή IP")</f>
        <v>DNS Όνομα ή SomeName.Outworldz.net ή IP</v>
      </c>
      <c r="O238" s="12" t="str">
        <f ca="1">IFERROR(__xludf.DUMMYFUNCTION("GOOGLETRANSLATE($B238,""en"",O$3)"),"DNS-nimi tai SomeName.Outworldz.net tai IP")</f>
        <v>DNS-nimi tai SomeName.Outworldz.net tai IP</v>
      </c>
      <c r="P238" s="12" t="str">
        <f ca="1">IFERROR(__xludf.DUMMYFUNCTION("GOOGLETRANSLATE($B238,""en"",P$3)"),"DNS Ainm nó SomeName.Outworldz.net nó IP")</f>
        <v>DNS Ainm nó SomeName.Outworldz.net nó IP</v>
      </c>
      <c r="Q238" s="12" t="str">
        <f ca="1">IFERROR(__xludf.DUMMYFUNCTION("GOOGLETRANSLATE($B238,""en"",Q$3)"),"نام DNS یا SomeName.Outworldz.net یا IP")</f>
        <v>نام DNS یا SomeName.Outworldz.net یا IP</v>
      </c>
      <c r="R238" s="12" t="str">
        <f ca="1">IFERROR(__xludf.DUMMYFUNCTION("GOOGLETRANSLATE($B238,""en"",R$3)"),"שם DNS או SomeName.Outworldz.net או IP")</f>
        <v>שם DNS או SomeName.Outworldz.net או IP</v>
      </c>
      <c r="S238" s="12" t="str">
        <f ca="1">IFERROR(__xludf.DUMMYFUNCTION("GOOGLETRANSLATE($B238,""en"",S$3)"),"DNS Nafn eða SomeName.Outworldz.net eða IP")</f>
        <v>DNS Nafn eða SomeName.Outworldz.net eða IP</v>
      </c>
      <c r="T238" s="12" t="str">
        <f ca="1">IFERROR(__xludf.DUMMYFUNCTION("GOOGLETRANSLATE($B238,""en"",T$3)"),"DNS-navn eller SomeName.Outworldz.net eller IP")</f>
        <v>DNS-navn eller SomeName.Outworldz.net eller IP</v>
      </c>
      <c r="U238" s="12" t="str">
        <f ca="1">IFERROR(__xludf.DUMMYFUNCTION("GOOGLETRANSLATE($B238,""en"",U$3)"),"اسم DNS أو SomeName.Outworldz.net أو IP")</f>
        <v>اسم DNS أو SomeName.Outworldz.net أو IP</v>
      </c>
      <c r="V238" s="12" t="str">
        <f ca="1">IFERROR(__xludf.DUMMYFUNCTION("GOOGLETRANSLATE($B238,""en"",V$3)"),"Nazwa DNS lub IP lub SomeName.Outworldz.net")</f>
        <v>Nazwa DNS lub IP lub SomeName.Outworldz.net</v>
      </c>
      <c r="W238" s="12" t="str">
        <f ca="1">IFERROR(__xludf.DUMMYFUNCTION("GOOGLETRANSLATE($B238,""en"",W$3)"),"Имя DNS или SomeName.Outworldz.net или IP")</f>
        <v>Имя DNS или SomeName.Outworldz.net или IP</v>
      </c>
      <c r="X238" s="12" t="str">
        <f ca="1">IFERROR(__xludf.DUMMYFUNCTION("GOOGLETRANSLATE($B238,""en"",X$3)"),"Nombre DNS o SomeName.Outworldz.net o IP")</f>
        <v>Nombre DNS o SomeName.Outworldz.net o IP</v>
      </c>
      <c r="Y238" s="12"/>
      <c r="Z238" s="12"/>
    </row>
    <row r="239" spans="1:26" ht="32.25" customHeight="1" x14ac:dyDescent="0.2">
      <c r="A239" s="17" t="s">
        <v>599</v>
      </c>
      <c r="B239" s="17" t="s">
        <v>600</v>
      </c>
      <c r="C239" s="11" t="str">
        <f ca="1">IFERROR(__xludf.DUMMYFUNCTION("GOOGLETRANSLATE($B239,""en"",C$3)"),"Nicht unterbrechen!")</f>
        <v>Nicht unterbrechen!</v>
      </c>
      <c r="D239" s="12" t="str">
        <f ca="1">IFERROR(__xludf.DUMMYFUNCTION("GOOGLETRANSLATE($B239,""en"",D$3)"),"Stör inte!")</f>
        <v>Stör inte!</v>
      </c>
      <c r="E239" s="12" t="str">
        <f ca="1">IFERROR(__xludf.DUMMYFUNCTION("GOOGLETRANSLATE($B239,""en"",E$3)"),"Não interrompa!")</f>
        <v>Não interrompa!</v>
      </c>
      <c r="F239" s="12" t="str">
        <f ca="1">IFERROR(__xludf.DUMMYFUNCTION("GOOGLETRANSLATE($B239,""en"",F$3)"),"Não interrompa!")</f>
        <v>Não interrompa!</v>
      </c>
      <c r="G239" s="12" t="str">
        <f ca="1">IFERROR(__xludf.DUMMYFUNCTION("GOOGLETRANSLATE($B239,""en"",G$3)"),"Ne pas interrompre!")</f>
        <v>Ne pas interrompre!</v>
      </c>
      <c r="H239" s="12" t="str">
        <f ca="1">IFERROR(__xludf.DUMMYFUNCTION("GOOGLETRANSLATE($B239,""en"",H$3)"),"Ez eten!")</f>
        <v>Ez eten!</v>
      </c>
      <c r="I239" s="12" t="str">
        <f ca="1">IFERROR(__xludf.DUMMYFUNCTION("GOOGLETRANSLATE($B239,""en"",I$3)"),"No interrompi!")</f>
        <v>No interrompi!</v>
      </c>
      <c r="J239" s="12" t="str">
        <f ca="1">IFERROR(__xludf.DUMMYFUNCTION("GOOGLETRANSLATE($B239,""en"",J$3)"),"Nepřerušuj!")</f>
        <v>Nepřerušuj!</v>
      </c>
      <c r="K239" s="12" t="str">
        <f ca="1">IFERROR(__xludf.DUMMYFUNCTION("GOOGLETRANSLATE($B239,""en"",K$3)"),"别打岔！")</f>
        <v>别打岔！</v>
      </c>
      <c r="L239" s="12" t="str">
        <f ca="1">IFERROR(__xludf.DUMMYFUNCTION("GOOGLETRANSLATE($B239,""en"",L$3)"),"別打岔！")</f>
        <v>別打岔！</v>
      </c>
      <c r="M239" s="12" t="str">
        <f ca="1">IFERROR(__xludf.DUMMYFUNCTION("GOOGLETRANSLATE($B239,""en"",M$3)"),"Niet storen!")</f>
        <v>Niet storen!</v>
      </c>
      <c r="N239" s="12" t="str">
        <f ca="1">IFERROR(__xludf.DUMMYFUNCTION("GOOGLETRANSLATE($B239,""en"",N$3)"),"Μην διακόπτετε!")</f>
        <v>Μην διακόπτετε!</v>
      </c>
      <c r="O239" s="12" t="str">
        <f ca="1">IFERROR(__xludf.DUMMYFUNCTION("GOOGLETRANSLATE($B239,""en"",O$3)"),"Älä keskeytä!")</f>
        <v>Älä keskeytä!</v>
      </c>
      <c r="P239" s="12" t="str">
        <f ca="1">IFERROR(__xludf.DUMMYFUNCTION("GOOGLETRANSLATE($B239,""en"",P$3)"),"Ná ní cur isteach!")</f>
        <v>Ná ní cur isteach!</v>
      </c>
      <c r="Q239" s="12" t="str">
        <f ca="1">IFERROR(__xludf.DUMMYFUNCTION("GOOGLETRANSLATE($B239,""en"",Q$3)"),"آیا قطع نکنید!")</f>
        <v>آیا قطع نکنید!</v>
      </c>
      <c r="R239" s="12" t="str">
        <f ca="1">IFERROR(__xludf.DUMMYFUNCTION("GOOGLETRANSLATE($B239,""en"",R$3)"),"אל תפריע!")</f>
        <v>אל תפריע!</v>
      </c>
      <c r="S239" s="12" t="str">
        <f ca="1">IFERROR(__xludf.DUMMYFUNCTION("GOOGLETRANSLATE($B239,""en"",S$3)"),"Ekki trufla!")</f>
        <v>Ekki trufla!</v>
      </c>
      <c r="T239" s="12" t="str">
        <f ca="1">IFERROR(__xludf.DUMMYFUNCTION("GOOGLETRANSLATE($B239,""en"",T$3)"),"Ikke forstyrr!")</f>
        <v>Ikke forstyrr!</v>
      </c>
      <c r="U239" s="12" t="str">
        <f ca="1">IFERROR(__xludf.DUMMYFUNCTION("GOOGLETRANSLATE($B239,""en"",U$3)"),"لا تقم بالمقاطعة!")</f>
        <v>لا تقم بالمقاطعة!</v>
      </c>
      <c r="V239" s="12" t="str">
        <f ca="1">IFERROR(__xludf.DUMMYFUNCTION("GOOGLETRANSLATE($B239,""en"",V$3)"),"Nie przeszkadzać!")</f>
        <v>Nie przeszkadzać!</v>
      </c>
      <c r="W239" s="12" t="str">
        <f ca="1">IFERROR(__xludf.DUMMYFUNCTION("GOOGLETRANSLATE($B239,""en"",W$3)"),"Не прерывайте!")</f>
        <v>Не прерывайте!</v>
      </c>
      <c r="X239" s="12" t="str">
        <f ca="1">IFERROR(__xludf.DUMMYFUNCTION("GOOGLETRANSLATE($B239,""en"",X$3)"),"¡No interrumpas!")</f>
        <v>¡No interrumpas!</v>
      </c>
      <c r="Y239" s="12"/>
      <c r="Z239" s="12"/>
    </row>
    <row r="240" spans="1:26" ht="32.25" customHeight="1" x14ac:dyDescent="0.2">
      <c r="A240" s="17" t="s">
        <v>601</v>
      </c>
      <c r="B240" s="17" t="s">
        <v>602</v>
      </c>
      <c r="C240" s="11" t="str">
        <f ca="1">IFERROR(__xludf.DUMMYFUNCTION("GOOGLETRANSLATE($B240,""en"",C$3)"),"Ändern Sie nicht, wenn die Datenbank bereits erstellt wurde")</f>
        <v>Ändern Sie nicht, wenn die Datenbank bereits erstellt wurde</v>
      </c>
      <c r="D240" s="12" t="str">
        <f ca="1">IFERROR(__xludf.DUMMYFUNCTION("GOOGLETRANSLATE($B240,""en"",D$3)"),"Ändra inte om databasen har redan skapats")</f>
        <v>Ändra inte om databasen har redan skapats</v>
      </c>
      <c r="E240" s="12" t="str">
        <f ca="1">IFERROR(__xludf.DUMMYFUNCTION("GOOGLETRANSLATE($B240,""en"",E$3)"),"Não mude a menos que o banco de dados já foi criado")</f>
        <v>Não mude a menos que o banco de dados já foi criado</v>
      </c>
      <c r="F240" s="12" t="str">
        <f ca="1">IFERROR(__xludf.DUMMYFUNCTION("GOOGLETRANSLATE($B240,""en"",F$3)"),"Não mude a menos que o banco de dados já foi criado")</f>
        <v>Não mude a menos que o banco de dados já foi criado</v>
      </c>
      <c r="G240" s="12" t="str">
        <f ca="1">IFERROR(__xludf.DUMMYFUNCTION("GOOGLETRANSLATE($B240,""en"",G$3)"),"Ne pas changer à moins que la base de données a déjà été créée")</f>
        <v>Ne pas changer à moins que la base de données a déjà été créée</v>
      </c>
      <c r="H240" s="12" t="str">
        <f ca="1">IFERROR(__xludf.DUMMYFUNCTION("GOOGLETRANSLATE($B240,""en"",H$3)"),"Ez aldatu, datu-basea dagoeneko sortu ezean ditu")</f>
        <v>Ez aldatu, datu-basea dagoeneko sortu ezean ditu</v>
      </c>
      <c r="I240" s="12" t="str">
        <f ca="1">IFERROR(__xludf.DUMMYFUNCTION("GOOGLETRANSLATE($B240,""en"",I$3)"),"No canvieu a menys que ja s'ha creat la base de dades")</f>
        <v>No canvieu a menys que ja s'ha creat la base de dades</v>
      </c>
      <c r="J240" s="12" t="str">
        <f ca="1">IFERROR(__xludf.DUMMYFUNCTION("GOOGLETRANSLATE($B240,""en"",J$3)"),"Neměňte, pokud již byla vytvořena databáze")</f>
        <v>Neměňte, pokud již byla vytvořena databáze</v>
      </c>
      <c r="K240" s="12" t="str">
        <f ca="1">IFERROR(__xludf.DUMMYFUNCTION("GOOGLETRANSLATE($B240,""en"",K$3)"),"不要更改，除非该数据库已创建")</f>
        <v>不要更改，除非该数据库已创建</v>
      </c>
      <c r="L240" s="12" t="str">
        <f ca="1">IFERROR(__xludf.DUMMYFUNCTION("GOOGLETRANSLATE($B240,""en"",L$3)"),"不要更改，除非該數據庫已創建")</f>
        <v>不要更改，除非該數據庫已創建</v>
      </c>
      <c r="M240" s="12" t="str">
        <f ca="1">IFERROR(__xludf.DUMMYFUNCTION("GOOGLETRANSLATE($B240,""en"",M$3)"),"Niet veranderen, tenzij de database is al gemaakt")</f>
        <v>Niet veranderen, tenzij de database is al gemaakt</v>
      </c>
      <c r="N240" s="12" t="str">
        <f ca="1">IFERROR(__xludf.DUMMYFUNCTION("GOOGLETRANSLATE($B240,""en"",N$3)"),"Μην αλλάζετε εκτός αν έχει ήδη δημιουργηθεί η βάση δεδομένων")</f>
        <v>Μην αλλάζετε εκτός αν έχει ήδη δημιουργηθεί η βάση δεδομένων</v>
      </c>
      <c r="O240" s="12" t="str">
        <f ca="1">IFERROR(__xludf.DUMMYFUNCTION("GOOGLETRANSLATE($B240,""en"",O$3)"),"Älä muuta ellei tietokanta on jo luotu")</f>
        <v>Älä muuta ellei tietokanta on jo luotu</v>
      </c>
      <c r="P240" s="12" t="str">
        <f ca="1">IFERROR(__xludf.DUMMYFUNCTION("GOOGLETRANSLATE($B240,""en"",P$3)"),"Ná athrú mura bhfuil an bunachar sonraí cruthaithe cheana")</f>
        <v>Ná athrú mura bhfuil an bunachar sonraí cruthaithe cheana</v>
      </c>
      <c r="Q240" s="12" t="str">
        <f ca="1">IFERROR(__xludf.DUMMYFUNCTION("GOOGLETRANSLATE($B240,""en"",Q$3)"),"آنها را تغییر ندهید مگر اینکه پایگاه داده ایجاد شده است")</f>
        <v>آنها را تغییر ندهید مگر اینکه پایگاه داده ایجاد شده است</v>
      </c>
      <c r="R240" s="12" t="str">
        <f ca="1">IFERROR(__xludf.DUMMYFUNCTION("GOOGLETRANSLATE($B240,""en"",R$3)"),"אין לשנות אלא אם הנתונים כבר נוצר")</f>
        <v>אין לשנות אלא אם הנתונים כבר נוצר</v>
      </c>
      <c r="S240" s="12" t="str">
        <f ca="1">IFERROR(__xludf.DUMMYFUNCTION("GOOGLETRANSLATE($B240,""en"",S$3)"),"Ekki breyta nema gagnagrunnur hafi þegar verið búin")</f>
        <v>Ekki breyta nema gagnagrunnur hafi þegar verið búin</v>
      </c>
      <c r="T240" s="12" t="str">
        <f ca="1">IFERROR(__xludf.DUMMYFUNCTION("GOOGLETRANSLATE($B240,""en"",T$3)"),"Ikke endre dersom databasen allerede er opprettet")</f>
        <v>Ikke endre dersom databasen allerede er opprettet</v>
      </c>
      <c r="U240" s="12" t="str">
        <f ca="1">IFERROR(__xludf.DUMMYFUNCTION("GOOGLETRANSLATE($B240,""en"",U$3)"),"لا تتغير إلا إذا تم بالفعل إنشاء قاعدة البيانات")</f>
        <v>لا تتغير إلا إذا تم بالفعل إنشاء قاعدة البيانات</v>
      </c>
      <c r="V240" s="12" t="str">
        <f ca="1">IFERROR(__xludf.DUMMYFUNCTION("GOOGLETRANSLATE($B240,""en"",V$3)"),"Nie należy zmieniać, chyba że została już utworzona baza danych")</f>
        <v>Nie należy zmieniać, chyba że została już utworzona baza danych</v>
      </c>
      <c r="W240" s="12" t="str">
        <f ca="1">IFERROR(__xludf.DUMMYFUNCTION("GOOGLETRANSLATE($B240,""en"",W$3)"),"Не изменяйте, если база данных не уже создана")</f>
        <v>Не изменяйте, если база данных не уже создана</v>
      </c>
      <c r="X240" s="12" t="str">
        <f ca="1">IFERROR(__xludf.DUMMYFUNCTION("GOOGLETRANSLATE($B240,""en"",X$3)"),"No cambie a menos que ya se ha creado la base de datos")</f>
        <v>No cambie a menos que ya se ha creado la base de datos</v>
      </c>
      <c r="Y240" s="12"/>
      <c r="Z240" s="12"/>
    </row>
    <row r="241" spans="1:26" ht="32.25" customHeight="1" x14ac:dyDescent="0.2">
      <c r="A241" s="17" t="s">
        <v>603</v>
      </c>
      <c r="B241" s="17" t="s">
        <v>604</v>
      </c>
      <c r="C241" s="18" t="s">
        <v>605</v>
      </c>
      <c r="D241" s="12" t="str">
        <f ca="1">IFERROR(__xludf.DUMMYFUNCTION("GOOGLETRANSLATE($B241,""en"",D$3)"),"Har du fortfarande vill sluta?")</f>
        <v>Har du fortfarande vill sluta?</v>
      </c>
      <c r="E241" s="12" t="str">
        <f ca="1">IFERROR(__xludf.DUMMYFUNCTION("GOOGLETRANSLATE($B241,""en"",E$3)"),"Você ainda quer parar?")</f>
        <v>Você ainda quer parar?</v>
      </c>
      <c r="F241" s="12" t="str">
        <f ca="1">IFERROR(__xludf.DUMMYFUNCTION("GOOGLETRANSLATE($B241,""en"",F$3)"),"Você ainda quer parar?")</f>
        <v>Você ainda quer parar?</v>
      </c>
      <c r="G241" s="12" t="str">
        <f ca="1">IFERROR(__xludf.DUMMYFUNCTION("GOOGLETRANSLATE($B241,""en"",G$3)"),"Voulez-vous toujours arrêter?")</f>
        <v>Voulez-vous toujours arrêter?</v>
      </c>
      <c r="H241" s="12" t="str">
        <f ca="1">IFERROR(__xludf.DUMMYFUNCTION("GOOGLETRANSLATE($B241,""en"",H$3)"),"Oraindik gelditu nahi duzula?")</f>
        <v>Oraindik gelditu nahi duzula?</v>
      </c>
      <c r="I241" s="12" t="str">
        <f ca="1">IFERROR(__xludf.DUMMYFUNCTION("GOOGLETRANSLATE($B241,""en"",I$3)"),"Encara vols parar?")</f>
        <v>Encara vols parar?</v>
      </c>
      <c r="J241" s="12" t="str">
        <f ca="1">IFERROR(__xludf.DUMMYFUNCTION("GOOGLETRANSLATE($B241,""en"",J$3)"),"Myslíte si přesto chcete zastavit?")</f>
        <v>Myslíte si přesto chcete zastavit?</v>
      </c>
      <c r="K241" s="12" t="str">
        <f ca="1">IFERROR(__xludf.DUMMYFUNCTION("GOOGLETRANSLATE($B241,""en"",K$3)"),"你还是要停下来？")</f>
        <v>你还是要停下来？</v>
      </c>
      <c r="L241" s="12" t="str">
        <f ca="1">IFERROR(__xludf.DUMMYFUNCTION("GOOGLETRANSLATE($B241,""en"",L$3)"),"你還是要停下來？")</f>
        <v>你還是要停下來？</v>
      </c>
      <c r="M241" s="12" t="str">
        <f ca="1">IFERROR(__xludf.DUMMYFUNCTION("GOOGLETRANSLATE($B241,""en"",M$3)"),"Wil je nog steeds om te stoppen?")</f>
        <v>Wil je nog steeds om te stoppen?</v>
      </c>
      <c r="N241" s="12" t="str">
        <f ca="1">IFERROR(__xludf.DUMMYFUNCTION("GOOGLETRANSLATE($B241,""en"",N$3)"),"Εξακολουθείτε να θέλετε να σταματήσετε;")</f>
        <v>Εξακολουθείτε να θέλετε να σταματήσετε;</v>
      </c>
      <c r="O241" s="12" t="str">
        <f ca="1">IFERROR(__xludf.DUMMYFUNCTION("GOOGLETRANSLATE($B241,""en"",O$3)"),"Haluatko silti lopettaa?")</f>
        <v>Haluatko silti lopettaa?</v>
      </c>
      <c r="P241" s="12" t="str">
        <f ca="1">IFERROR(__xludf.DUMMYFUNCTION("GOOGLETRANSLATE($B241,""en"",P$3)"),"Ar mhaith leat go fóill a stopadh?")</f>
        <v>Ar mhaith leat go fóill a stopadh?</v>
      </c>
      <c r="Q241" s="12" t="str">
        <f ca="1">IFERROR(__xludf.DUMMYFUNCTION("GOOGLETRANSLATE($B241,""en"",Q$3)"),"آیا شما هنوز هم می خواهید برای متوقف کردن؟")</f>
        <v>آیا شما هنوز هم می خواهید برای متوقف کردن؟</v>
      </c>
      <c r="R241" s="12" t="str">
        <f ca="1">IFERROR(__xludf.DUMMYFUNCTION("GOOGLETRANSLATE($B241,""en"",R$3)"),"האם אתה עדיין רוצה להפסיק?")</f>
        <v>האם אתה עדיין רוצה להפסיק?</v>
      </c>
      <c r="S241" s="12" t="str">
        <f ca="1">IFERROR(__xludf.DUMMYFUNCTION("GOOGLETRANSLATE($B241,""en"",S$3)"),"Viltu samt hætta?")</f>
        <v>Viltu samt hætta?</v>
      </c>
      <c r="T241" s="12" t="str">
        <f ca="1">IFERROR(__xludf.DUMMYFUNCTION("GOOGLETRANSLATE($B241,""en"",T$3)"),"Har du fortsatt ønsker å slutte?")</f>
        <v>Har du fortsatt ønsker å slutte?</v>
      </c>
      <c r="U241" s="12" t="str">
        <f ca="1">IFERROR(__xludf.DUMMYFUNCTION("GOOGLETRANSLATE($B241,""en"",U$3)"),"هل ما زلت تريد أن تتوقف؟")</f>
        <v>هل ما زلت تريد أن تتوقف؟</v>
      </c>
      <c r="V241" s="12" t="str">
        <f ca="1">IFERROR(__xludf.DUMMYFUNCTION("GOOGLETRANSLATE($B241,""en"",V$3)"),"Czy nadal chcesz się zatrzymać?")</f>
        <v>Czy nadal chcesz się zatrzymać?</v>
      </c>
      <c r="W241" s="12" t="str">
        <f ca="1">IFERROR(__xludf.DUMMYFUNCTION("GOOGLETRANSLATE($B241,""en"",W$3)"),"Вы все еще хотите, чтобы остановить?")</f>
        <v>Вы все еще хотите, чтобы остановить?</v>
      </c>
      <c r="X241" s="12" t="str">
        <f ca="1">IFERROR(__xludf.DUMMYFUNCTION("GOOGLETRANSLATE($B241,""en"",X$3)"),"¿Todavía quieres parar?")</f>
        <v>¿Todavía quieres parar?</v>
      </c>
      <c r="Y241" s="12"/>
      <c r="Z241" s="12"/>
    </row>
    <row r="242" spans="1:26" ht="32.25" customHeight="1" x14ac:dyDescent="0.2">
      <c r="A242" s="17" t="s">
        <v>606</v>
      </c>
      <c r="B242" s="17" t="s">
        <v>607</v>
      </c>
      <c r="C242" s="11" t="str">
        <f ca="1">IFERROR(__xludf.DUMMYFUNCTION("GOOGLETRANSLATE($B242,""en"",C$3)"),"DOS Box")</f>
        <v>DOS Box</v>
      </c>
      <c r="D242" s="12" t="str">
        <f ca="1">IFERROR(__xludf.DUMMYFUNCTION("GOOGLETRANSLATE($B242,""en"",D$3)"),"DOS Box")</f>
        <v>DOS Box</v>
      </c>
      <c r="E242" s="12" t="str">
        <f ca="1">IFERROR(__xludf.DUMMYFUNCTION("GOOGLETRANSLATE($B242,""en"",E$3)"),"Box DOS")</f>
        <v>Box DOS</v>
      </c>
      <c r="F242" s="12" t="str">
        <f ca="1">IFERROR(__xludf.DUMMYFUNCTION("GOOGLETRANSLATE($B242,""en"",F$3)"),"Box DOS")</f>
        <v>Box DOS</v>
      </c>
      <c r="G242" s="12" t="str">
        <f ca="1">IFERROR(__xludf.DUMMYFUNCTION("GOOGLETRANSLATE($B242,""en"",G$3)"),"DOS Box")</f>
        <v>DOS Box</v>
      </c>
      <c r="H242" s="12" t="str">
        <f ca="1">IFERROR(__xludf.DUMMYFUNCTION("GOOGLETRANSLATE($B242,""en"",H$3)"),"DOS Box")</f>
        <v>DOS Box</v>
      </c>
      <c r="I242" s="12" t="str">
        <f ca="1">IFERROR(__xludf.DUMMYFUNCTION("GOOGLETRANSLATE($B242,""en"",I$3)"),"Caixa DOS")</f>
        <v>Caixa DOS</v>
      </c>
      <c r="J242" s="12" t="str">
        <f ca="1">IFERROR(__xludf.DUMMYFUNCTION("GOOGLETRANSLATE($B242,""en"",J$3)"),"DOS Box")</f>
        <v>DOS Box</v>
      </c>
      <c r="K242" s="12" t="str">
        <f ca="1">IFERROR(__xludf.DUMMYFUNCTION("GOOGLETRANSLATE($B242,""en"",K$3)"),"DOS箱")</f>
        <v>DOS箱</v>
      </c>
      <c r="L242" s="12" t="str">
        <f ca="1">IFERROR(__xludf.DUMMYFUNCTION("GOOGLETRANSLATE($B242,""en"",L$3)"),"DOS箱")</f>
        <v>DOS箱</v>
      </c>
      <c r="M242" s="12" t="str">
        <f ca="1">IFERROR(__xludf.DUMMYFUNCTION("GOOGLETRANSLATE($B242,""en"",M$3)"),"DOS Box")</f>
        <v>DOS Box</v>
      </c>
      <c r="N242" s="12" t="str">
        <f ca="1">IFERROR(__xludf.DUMMYFUNCTION("GOOGLETRANSLATE($B242,""en"",N$3)"),"DOS Box")</f>
        <v>DOS Box</v>
      </c>
      <c r="O242" s="12" t="str">
        <f ca="1">IFERROR(__xludf.DUMMYFUNCTION("GOOGLETRANSLATE($B242,""en"",O$3)"),"DOS Box")</f>
        <v>DOS Box</v>
      </c>
      <c r="P242" s="12" t="str">
        <f ca="1">IFERROR(__xludf.DUMMYFUNCTION("GOOGLETRANSLATE($B242,""en"",P$3)"),"DOS Box")</f>
        <v>DOS Box</v>
      </c>
      <c r="Q242" s="12" t="str">
        <f ca="1">IFERROR(__xludf.DUMMYFUNCTION("GOOGLETRANSLATE($B242,""en"",Q$3)"),"DOS جعبه")</f>
        <v>DOS جعبه</v>
      </c>
      <c r="R242" s="12" t="str">
        <f ca="1">IFERROR(__xludf.DUMMYFUNCTION("GOOGLETRANSLATE($B242,""en"",R$3)"),"תיבת DOS")</f>
        <v>תיבת DOS</v>
      </c>
      <c r="S242" s="12" t="str">
        <f ca="1">IFERROR(__xludf.DUMMYFUNCTION("GOOGLETRANSLATE($B242,""en"",S$3)"),"DOS Box")</f>
        <v>DOS Box</v>
      </c>
      <c r="T242" s="12" t="str">
        <f ca="1">IFERROR(__xludf.DUMMYFUNCTION("GOOGLETRANSLATE($B242,""en"",T$3)"),"DOS Box")</f>
        <v>DOS Box</v>
      </c>
      <c r="U242" s="12" t="str">
        <f ca="1">IFERROR(__xludf.DUMMYFUNCTION("GOOGLETRANSLATE($B242,""en"",U$3)"),"صندوق DOS")</f>
        <v>صندوق DOS</v>
      </c>
      <c r="V242" s="12" t="str">
        <f ca="1">IFERROR(__xludf.DUMMYFUNCTION("GOOGLETRANSLATE($B242,""en"",V$3)"),"DOS Box")</f>
        <v>DOS Box</v>
      </c>
      <c r="W242" s="12" t="str">
        <f ca="1">IFERROR(__xludf.DUMMYFUNCTION("GOOGLETRANSLATE($B242,""en"",W$3)"),"DOS Box")</f>
        <v>DOS Box</v>
      </c>
      <c r="X242" s="12" t="str">
        <f ca="1">IFERROR(__xludf.DUMMYFUNCTION("GOOGLETRANSLATE($B242,""en"",X$3)"),"Caja DOS")</f>
        <v>Caja DOS</v>
      </c>
      <c r="Y242" s="12"/>
      <c r="Z242" s="12"/>
    </row>
    <row r="243" spans="1:26" ht="32.25" customHeight="1" x14ac:dyDescent="0.2">
      <c r="A243" s="17" t="s">
        <v>608</v>
      </c>
      <c r="B243" s="17" t="s">
        <v>609</v>
      </c>
      <c r="C243" s="11" t="str">
        <f ca="1">IFERROR(__xludf.DUMMYFUNCTION("GOOGLETRANSLATE($B243,""en"",C$3)"),"Ein DOS-Box namens Robust läuft bereits")</f>
        <v>Ein DOS-Box namens Robust läuft bereits</v>
      </c>
      <c r="D243" s="12" t="str">
        <f ca="1">IFERROR(__xludf.DUMMYFUNCTION("GOOGLETRANSLATE($B243,""en"",D$3)"),"En DOS Box som heter Robust redan är igång")</f>
        <v>En DOS Box som heter Robust redan är igång</v>
      </c>
      <c r="E243" s="12" t="str">
        <f ca="1">IFERROR(__xludf.DUMMYFUNCTION("GOOGLETRANSLATE($B243,""en"",E$3)"),"A Caixa DOS chamado Robust já está em execução")</f>
        <v>A Caixa DOS chamado Robust já está em execução</v>
      </c>
      <c r="F243" s="12" t="str">
        <f ca="1">IFERROR(__xludf.DUMMYFUNCTION("GOOGLETRANSLATE($B243,""en"",F$3)"),"A Caixa DOS chamado Robust já está em execução")</f>
        <v>A Caixa DOS chamado Robust já está em execução</v>
      </c>
      <c r="G243" s="12" t="str">
        <f ca="1">IFERROR(__xludf.DUMMYFUNCTION("GOOGLETRANSLATE($B243,""en"",G$3)"),"Une fenêtre DOS nommé robuste est en cours d'exécution")</f>
        <v>Une fenêtre DOS nommé robuste est en cours d'exécution</v>
      </c>
      <c r="H243" s="12" t="str">
        <f ca="1">IFERROR(__xludf.DUMMYFUNCTION("GOOGLETRANSLATE($B243,""en"",H$3)"),"A DOS Box izeneko Sendoa dagoeneko abian da")</f>
        <v>A DOS Box izeneko Sendoa dagoeneko abian da</v>
      </c>
      <c r="I243" s="12" t="str">
        <f ca="1">IFERROR(__xludf.DUMMYFUNCTION("GOOGLETRANSLATE($B243,""en"",I$3)"),"Una finestra de DOS nomenat robusta ja s'està executant")</f>
        <v>Una finestra de DOS nomenat robusta ja s'està executant</v>
      </c>
      <c r="J243" s="12" t="str">
        <f ca="1">IFERROR(__xludf.DUMMYFUNCTION("GOOGLETRANSLATE($B243,""en"",J$3)"),"DOS Box s názvem Robust je již spuštěn")</f>
        <v>DOS Box s názvem Robust je již spuštěn</v>
      </c>
      <c r="K243" s="12" t="str">
        <f ca="1">IFERROR(__xludf.DUMMYFUNCTION("GOOGLETRANSLATE($B243,""en"",K$3)"),"DOS框名为稳健已经运行")</f>
        <v>DOS框名为稳健已经运行</v>
      </c>
      <c r="L243" s="12" t="str">
        <f ca="1">IFERROR(__xludf.DUMMYFUNCTION("GOOGLETRANSLATE($B243,""en"",L$3)"),"DOS框名為穩健已經運行")</f>
        <v>DOS框名為穩健已經運行</v>
      </c>
      <c r="M243" s="12" t="str">
        <f ca="1">IFERROR(__xludf.DUMMYFUNCTION("GOOGLETRANSLATE($B243,""en"",M$3)"),"Een DOS Box genaamd Robust wordt al uitgevoerd")</f>
        <v>Een DOS Box genaamd Robust wordt al uitgevoerd</v>
      </c>
      <c r="N243" s="12" t="str">
        <f ca="1">IFERROR(__xludf.DUMMYFUNCTION("GOOGLETRANSLATE($B243,""en"",N$3)"),"Μια DOS Box που ονομάζεται Στιβαρή εκτελείται ήδη")</f>
        <v>Μια DOS Box που ονομάζεται Στιβαρή εκτελείται ήδη</v>
      </c>
      <c r="O243" s="12" t="str">
        <f ca="1">IFERROR(__xludf.DUMMYFUNCTION("GOOGLETRANSLATE($B243,""en"",O$3)"),"DOS-nimeltään Kestävä on jo käynnissä")</f>
        <v>DOS-nimeltään Kestävä on jo käynnissä</v>
      </c>
      <c r="P243" s="12" t="str">
        <f ca="1">IFERROR(__xludf.DUMMYFUNCTION("GOOGLETRANSLATE($B243,""en"",P$3)"),"A DOS Box ainmnithe Láidir ag rith cheana")</f>
        <v>A DOS Box ainmnithe Láidir ag rith cheana</v>
      </c>
      <c r="Q243" s="12" t="str">
        <f ca="1">IFERROR(__xludf.DUMMYFUNCTION("GOOGLETRANSLATE($B243,""en"",Q$3)"),"یک حمله انکار سرویس جعبه به نام مقاوم در حال اجرا است")</f>
        <v>یک حمله انکار سرویس جعبه به نام مقاوم در حال اجرا است</v>
      </c>
      <c r="R243" s="12" t="str">
        <f ca="1">IFERROR(__xludf.DUMMYFUNCTION("GOOGLETRANSLATE($B243,""en"",R$3)"),"דוס Box בשם חזק כבר פועל")</f>
        <v>דוס Box בשם חזק כבר פועל</v>
      </c>
      <c r="S243" s="12" t="str">
        <f ca="1">IFERROR(__xludf.DUMMYFUNCTION("GOOGLETRANSLATE($B243,""en"",S$3)"),"A DOS Box nafni Sterkur er þegar í gangi")</f>
        <v>A DOS Box nafni Sterkur er þegar í gangi</v>
      </c>
      <c r="T243" s="12" t="str">
        <f ca="1">IFERROR(__xludf.DUMMYFUNCTION("GOOGLETRANSLATE($B243,""en"",T$3)"),"En DOS Box heter Robust allerede kjører")</f>
        <v>En DOS Box heter Robust allerede kjører</v>
      </c>
      <c r="U243" s="12" t="str">
        <f ca="1">IFERROR(__xludf.DUMMYFUNCTION("GOOGLETRANSLATE($B243,""en"",U$3)"),"مربع DOS اسمه قوية بالفعل قيد التشغيل")</f>
        <v>مربع DOS اسمه قوية بالفعل قيد التشغيل</v>
      </c>
      <c r="V243" s="12" t="str">
        <f ca="1">IFERROR(__xludf.DUMMYFUNCTION("GOOGLETRANSLATE($B243,""en"",V$3)"),"DOS Box nazwie Solidna już działa")</f>
        <v>DOS Box nazwie Solidna już działa</v>
      </c>
      <c r="W243" s="12" t="str">
        <f ca="1">IFERROR(__xludf.DUMMYFUNCTION("GOOGLETRANSLATE($B243,""en"",W$3)"),"Для DOS Box имени Robust уже работает")</f>
        <v>Для DOS Box имени Robust уже работает</v>
      </c>
      <c r="X243" s="12" t="str">
        <f ca="1">IFERROR(__xludf.DUMMYFUNCTION("GOOGLETRANSLATE($B243,""en"",X$3)"),"Una ventana de DOS nombrado robusta ya se está ejecutando")</f>
        <v>Una ventana de DOS nombrado robusta ya se está ejecutando</v>
      </c>
      <c r="Y243" s="12"/>
      <c r="Z243" s="12"/>
    </row>
    <row r="244" spans="1:26" ht="32.25" customHeight="1" x14ac:dyDescent="0.2">
      <c r="A244" s="17" t="s">
        <v>610</v>
      </c>
      <c r="B244" s="17" t="s">
        <v>611</v>
      </c>
      <c r="C244" s="11" t="str">
        <f ca="1">IFERROR(__xludf.DUMMYFUNCTION("GOOGLETRANSLATE($B244,""en"",C$3)"),"DreamGrid")</f>
        <v>DreamGrid</v>
      </c>
      <c r="D244" s="12" t="str">
        <f ca="1">IFERROR(__xludf.DUMMYFUNCTION("GOOGLETRANSLATE($B244,""en"",D$3)"),"DreamGrid")</f>
        <v>DreamGrid</v>
      </c>
      <c r="E244" s="12" t="str">
        <f ca="1">IFERROR(__xludf.DUMMYFUNCTION("GOOGLETRANSLATE($B244,""en"",E$3)"),"DreamGrid")</f>
        <v>DreamGrid</v>
      </c>
      <c r="F244" s="12" t="str">
        <f ca="1">IFERROR(__xludf.DUMMYFUNCTION("GOOGLETRANSLATE($B244,""en"",F$3)"),"DreamGrid")</f>
        <v>DreamGrid</v>
      </c>
      <c r="G244" s="12" t="str">
        <f ca="1">IFERROR(__xludf.DUMMYFUNCTION("GOOGLETRANSLATE($B244,""en"",G$3)"),"DreamGrid")</f>
        <v>DreamGrid</v>
      </c>
      <c r="H244" s="12" t="str">
        <f ca="1">IFERROR(__xludf.DUMMYFUNCTION("GOOGLETRANSLATE($B244,""en"",H$3)"),"DreamGrid")</f>
        <v>DreamGrid</v>
      </c>
      <c r="I244" s="12" t="str">
        <f ca="1">IFERROR(__xludf.DUMMYFUNCTION("GOOGLETRANSLATE($B244,""en"",I$3)"),"DreamGrid")</f>
        <v>DreamGrid</v>
      </c>
      <c r="J244" s="12" t="str">
        <f ca="1">IFERROR(__xludf.DUMMYFUNCTION("GOOGLETRANSLATE($B244,""en"",J$3)"),"DreamGrid")</f>
        <v>DreamGrid</v>
      </c>
      <c r="K244" s="12" t="str">
        <f ca="1">IFERROR(__xludf.DUMMYFUNCTION("GOOGLETRANSLATE($B244,""en"",K$3)"),"DreamGrid")</f>
        <v>DreamGrid</v>
      </c>
      <c r="L244" s="12" t="str">
        <f ca="1">IFERROR(__xludf.DUMMYFUNCTION("GOOGLETRANSLATE($B244,""en"",L$3)"),"DreamGrid")</f>
        <v>DreamGrid</v>
      </c>
      <c r="M244" s="12" t="str">
        <f ca="1">IFERROR(__xludf.DUMMYFUNCTION("GOOGLETRANSLATE($B244,""en"",M$3)"),"DreamGrid")</f>
        <v>DreamGrid</v>
      </c>
      <c r="N244" s="12" t="str">
        <f ca="1">IFERROR(__xludf.DUMMYFUNCTION("GOOGLETRANSLATE($B244,""en"",N$3)"),"DreamGrid")</f>
        <v>DreamGrid</v>
      </c>
      <c r="O244" s="12" t="str">
        <f ca="1">IFERROR(__xludf.DUMMYFUNCTION("GOOGLETRANSLATE($B244,""en"",O$3)"),"DreamGrid")</f>
        <v>DreamGrid</v>
      </c>
      <c r="P244" s="12" t="str">
        <f ca="1">IFERROR(__xludf.DUMMYFUNCTION("GOOGLETRANSLATE($B244,""en"",P$3)"),"DreamGrid")</f>
        <v>DreamGrid</v>
      </c>
      <c r="Q244" s="12" t="str">
        <f ca="1">IFERROR(__xludf.DUMMYFUNCTION("GOOGLETRANSLATE($B244,""en"",Q$3)"),"DreamGrid")</f>
        <v>DreamGrid</v>
      </c>
      <c r="R244" s="12" t="str">
        <f ca="1">IFERROR(__xludf.DUMMYFUNCTION("GOOGLETRANSLATE($B244,""en"",R$3)"),"DreamGrid")</f>
        <v>DreamGrid</v>
      </c>
      <c r="S244" s="12" t="str">
        <f ca="1">IFERROR(__xludf.DUMMYFUNCTION("GOOGLETRANSLATE($B244,""en"",S$3)"),"DreamGrid")</f>
        <v>DreamGrid</v>
      </c>
      <c r="T244" s="12" t="str">
        <f ca="1">IFERROR(__xludf.DUMMYFUNCTION("GOOGLETRANSLATE($B244,""en"",T$3)"),"DreamGrid")</f>
        <v>DreamGrid</v>
      </c>
      <c r="U244" s="12" t="str">
        <f ca="1">IFERROR(__xludf.DUMMYFUNCTION("GOOGLETRANSLATE($B244,""en"",U$3)"),"DreamGrid")</f>
        <v>DreamGrid</v>
      </c>
      <c r="V244" s="12" t="str">
        <f ca="1">IFERROR(__xludf.DUMMYFUNCTION("GOOGLETRANSLATE($B244,""en"",V$3)"),"DreamGrid")</f>
        <v>DreamGrid</v>
      </c>
      <c r="W244" s="12" t="str">
        <f ca="1">IFERROR(__xludf.DUMMYFUNCTION("GOOGLETRANSLATE($B244,""en"",W$3)"),"DreamGrid")</f>
        <v>DreamGrid</v>
      </c>
      <c r="X244" s="12" t="str">
        <f ca="1">IFERROR(__xludf.DUMMYFUNCTION("GOOGLETRANSLATE($B244,""en"",X$3)"),"DreamGrid")</f>
        <v>DreamGrid</v>
      </c>
      <c r="Y244" s="12"/>
      <c r="Z244" s="12"/>
    </row>
    <row r="245" spans="1:26" ht="32.25" customHeight="1" x14ac:dyDescent="0.2">
      <c r="A245" s="10" t="s">
        <v>11</v>
      </c>
      <c r="B245" s="10" t="s">
        <v>11</v>
      </c>
      <c r="C245" s="11" t="str">
        <f ca="1">IFERROR(__xludf.DUMMYFUNCTION("GOOGLETRANSLATE($B245,""en"",C$3)"),"Niederländisch")</f>
        <v>Niederländisch</v>
      </c>
      <c r="D245" s="11" t="str">
        <f ca="1">IFERROR(__xludf.DUMMYFUNCTION("GOOGLETRANSLATE($B245,""en"",D$3)"),"Dutch")</f>
        <v>Dutch</v>
      </c>
      <c r="E245" s="11" t="str">
        <f ca="1">IFERROR(__xludf.DUMMYFUNCTION("GOOGLETRANSLATE($B245,""en"",E$3)"),"holandês")</f>
        <v>holandês</v>
      </c>
      <c r="F245" s="11" t="str">
        <f ca="1">IFERROR(__xludf.DUMMYFUNCTION("GOOGLETRANSLATE($B245,""en"",F$3)"),"holandês")</f>
        <v>holandês</v>
      </c>
      <c r="G245" s="11" t="str">
        <f ca="1">IFERROR(__xludf.DUMMYFUNCTION("GOOGLETRANSLATE($B245,""en"",G$3)"),"néerlandais")</f>
        <v>néerlandais</v>
      </c>
      <c r="H245" s="11" t="str">
        <f ca="1">IFERROR(__xludf.DUMMYFUNCTION("GOOGLETRANSLATE($B245,""en"",H$3)"),"Holandako")</f>
        <v>Holandako</v>
      </c>
      <c r="I245" s="11" t="str">
        <f ca="1">IFERROR(__xludf.DUMMYFUNCTION("GOOGLETRANSLATE($B245,""en"",I$3)"),"holandès")</f>
        <v>holandès</v>
      </c>
      <c r="J245" s="11" t="str">
        <f ca="1">IFERROR(__xludf.DUMMYFUNCTION("GOOGLETRANSLATE($B245,""en"",J$3)"),"holandský")</f>
        <v>holandský</v>
      </c>
      <c r="K245" s="11" t="str">
        <f ca="1">IFERROR(__xludf.DUMMYFUNCTION("GOOGLETRANSLATE($B245,""en"",K$3)"),"荷兰人")</f>
        <v>荷兰人</v>
      </c>
      <c r="L245" s="11" t="str">
        <f ca="1">IFERROR(__xludf.DUMMYFUNCTION("GOOGLETRANSLATE($B245,""en"",L$3)"),"荷蘭人")</f>
        <v>荷蘭人</v>
      </c>
      <c r="M245" s="11" t="str">
        <f ca="1">IFERROR(__xludf.DUMMYFUNCTION("GOOGLETRANSLATE($B245,""en"",M$3)"),"Nederlands")</f>
        <v>Nederlands</v>
      </c>
      <c r="N245" s="11" t="str">
        <f ca="1">IFERROR(__xludf.DUMMYFUNCTION("GOOGLETRANSLATE($B245,""en"",N$3)"),"Ολλανδός")</f>
        <v>Ολλανδός</v>
      </c>
      <c r="O245" s="11" t="str">
        <f ca="1">IFERROR(__xludf.DUMMYFUNCTION("GOOGLETRANSLATE($B245,""en"",O$3)"),"Hollannin kieli")</f>
        <v>Hollannin kieli</v>
      </c>
      <c r="P245" s="11" t="str">
        <f ca="1">IFERROR(__xludf.DUMMYFUNCTION("GOOGLETRANSLATE($B245,""en"",P$3)"),"Ollainnis")</f>
        <v>Ollainnis</v>
      </c>
      <c r="Q245" s="11" t="str">
        <f ca="1">IFERROR(__xludf.DUMMYFUNCTION("GOOGLETRANSLATE($B245,""en"",Q$3)"),"هلندی")</f>
        <v>هلندی</v>
      </c>
      <c r="R245" s="11" t="str">
        <f ca="1">IFERROR(__xludf.DUMMYFUNCTION("GOOGLETRANSLATE($B245,""en"",R$3)"),"הוֹלַנדִי")</f>
        <v>הוֹלַנדִי</v>
      </c>
      <c r="S245" s="11" t="str">
        <f ca="1">IFERROR(__xludf.DUMMYFUNCTION("GOOGLETRANSLATE($B245,""en"",S$3)"),"Hollenska")</f>
        <v>Hollenska</v>
      </c>
      <c r="T245" s="11" t="str">
        <f ca="1">IFERROR(__xludf.DUMMYFUNCTION("GOOGLETRANSLATE($B245,""en"",T$3)"),"nederlandsk")</f>
        <v>nederlandsk</v>
      </c>
      <c r="U245" s="11" t="str">
        <f ca="1">IFERROR(__xludf.DUMMYFUNCTION("GOOGLETRANSLATE($B245,""en"",U$3)"),"هولندي")</f>
        <v>هولندي</v>
      </c>
      <c r="V245" s="11" t="str">
        <f ca="1">IFERROR(__xludf.DUMMYFUNCTION("GOOGLETRANSLATE($B245,""en"",V$3)"),"holenderski")</f>
        <v>holenderski</v>
      </c>
      <c r="W245" s="11" t="str">
        <f ca="1">IFERROR(__xludf.DUMMYFUNCTION("GOOGLETRANSLATE($B245,""en"",W$3)"),"нидерландский язык")</f>
        <v>нидерландский язык</v>
      </c>
      <c r="X245" s="11" t="str">
        <f ca="1">IFERROR(__xludf.DUMMYFUNCTION("GOOGLETRANSLATE($B245,""en"",X$3)"),"holandés")</f>
        <v>holandés</v>
      </c>
    </row>
    <row r="246" spans="1:26" ht="32.25" customHeight="1" x14ac:dyDescent="0.2">
      <c r="A246" s="17" t="s">
        <v>612</v>
      </c>
      <c r="B246" s="17" t="s">
        <v>613</v>
      </c>
      <c r="C246" s="11" t="str">
        <f ca="1">IFERROR(__xludf.DUMMYFUNCTION("GOOGLETRANSLATE($B246,""en"",C$3)"),"Dynamic DNS")</f>
        <v>Dynamic DNS</v>
      </c>
      <c r="D246" s="12" t="str">
        <f ca="1">IFERROR(__xludf.DUMMYFUNCTION("GOOGLETRANSLATE($B246,""en"",D$3)"),"dynamisk DNS")</f>
        <v>dynamisk DNS</v>
      </c>
      <c r="E246" s="12" t="str">
        <f ca="1">IFERROR(__xludf.DUMMYFUNCTION("GOOGLETRANSLATE($B246,""en"",E$3)"),"DNS dinâmico")</f>
        <v>DNS dinâmico</v>
      </c>
      <c r="F246" s="12" t="str">
        <f ca="1">IFERROR(__xludf.DUMMYFUNCTION("GOOGLETRANSLATE($B246,""en"",F$3)"),"DNS dinâmico")</f>
        <v>DNS dinâmico</v>
      </c>
      <c r="G246" s="12" t="str">
        <f ca="1">IFERROR(__xludf.DUMMYFUNCTION("GOOGLETRANSLATE($B246,""en"",G$3)"),"DNS dynamique")</f>
        <v>DNS dynamique</v>
      </c>
      <c r="H246" s="12" t="str">
        <f ca="1">IFERROR(__xludf.DUMMYFUNCTION("GOOGLETRANSLATE($B246,""en"",H$3)"),"Dynamic DNS")</f>
        <v>Dynamic DNS</v>
      </c>
      <c r="I246" s="12" t="str">
        <f ca="1">IFERROR(__xludf.DUMMYFUNCTION("GOOGLETRANSLATE($B246,""en"",I$3)"),"DNS dinàmic")</f>
        <v>DNS dinàmic</v>
      </c>
      <c r="J246" s="12" t="str">
        <f ca="1">IFERROR(__xludf.DUMMYFUNCTION("GOOGLETRANSLATE($B246,""en"",J$3)"),"Dynamic DNS")</f>
        <v>Dynamic DNS</v>
      </c>
      <c r="K246" s="12" t="str">
        <f ca="1">IFERROR(__xludf.DUMMYFUNCTION("GOOGLETRANSLATE($B246,""en"",K$3)"),"动态DNS")</f>
        <v>动态DNS</v>
      </c>
      <c r="L246" s="12" t="str">
        <f ca="1">IFERROR(__xludf.DUMMYFUNCTION("GOOGLETRANSLATE($B246,""en"",L$3)"),"動態DNS")</f>
        <v>動態DNS</v>
      </c>
      <c r="M246" s="12" t="str">
        <f ca="1">IFERROR(__xludf.DUMMYFUNCTION("GOOGLETRANSLATE($B246,""en"",M$3)"),"Dynamic DNS")</f>
        <v>Dynamic DNS</v>
      </c>
      <c r="N246" s="12" t="str">
        <f ca="1">IFERROR(__xludf.DUMMYFUNCTION("GOOGLETRANSLATE($B246,""en"",N$3)"),"Dynamic DNS")</f>
        <v>Dynamic DNS</v>
      </c>
      <c r="O246" s="12" t="str">
        <f ca="1">IFERROR(__xludf.DUMMYFUNCTION("GOOGLETRANSLATE($B246,""en"",O$3)"),"dynaaminen DNS")</f>
        <v>dynaaminen DNS</v>
      </c>
      <c r="P246" s="12" t="str">
        <f ca="1">IFERROR(__xludf.DUMMYFUNCTION("GOOGLETRANSLATE($B246,""en"",P$3)"),"Dinimiciúla DNS")</f>
        <v>Dinimiciúla DNS</v>
      </c>
      <c r="Q246" s="12" t="str">
        <f ca="1">IFERROR(__xludf.DUMMYFUNCTION("GOOGLETRANSLATE($B246,""en"",Q$3)"),"DNS پویا")</f>
        <v>DNS پویا</v>
      </c>
      <c r="R246" s="12" t="str">
        <f ca="1">IFERROR(__xludf.DUMMYFUNCTION("GOOGLETRANSLATE($B246,""en"",R$3)"),"Dynamic DNS")</f>
        <v>Dynamic DNS</v>
      </c>
      <c r="S246" s="12" t="str">
        <f ca="1">IFERROR(__xludf.DUMMYFUNCTION("GOOGLETRANSLATE($B246,""en"",S$3)"),"dynamic DNS")</f>
        <v>dynamic DNS</v>
      </c>
      <c r="T246" s="12" t="str">
        <f ca="1">IFERROR(__xludf.DUMMYFUNCTION("GOOGLETRANSLATE($B246,""en"",T$3)"),"dynamisk DNS")</f>
        <v>dynamisk DNS</v>
      </c>
      <c r="U246" s="12" t="str">
        <f ca="1">IFERROR(__xludf.DUMMYFUNCTION("GOOGLETRANSLATE($B246,""en"",U$3)"),"نظام أسماء النطاقات الديناميكية")</f>
        <v>نظام أسماء النطاقات الديناميكية</v>
      </c>
      <c r="V246" s="12" t="str">
        <f ca="1">IFERROR(__xludf.DUMMYFUNCTION("GOOGLETRANSLATE($B246,""en"",V$3)"),"Dynamiczny DNS")</f>
        <v>Dynamiczny DNS</v>
      </c>
      <c r="W246" s="12" t="str">
        <f ca="1">IFERROR(__xludf.DUMMYFUNCTION("GOOGLETRANSLATE($B246,""en"",W$3)"),"Динамический DNS")</f>
        <v>Динамический DNS</v>
      </c>
      <c r="X246" s="12" t="str">
        <f ca="1">IFERROR(__xludf.DUMMYFUNCTION("GOOGLETRANSLATE($B246,""en"",X$3)"),"DNS Dinámico")</f>
        <v>DNS Dinámico</v>
      </c>
      <c r="Y246" s="12"/>
      <c r="Z246" s="12"/>
    </row>
    <row r="247" spans="1:26" ht="32.25" customHeight="1" x14ac:dyDescent="0.2">
      <c r="A247" s="17" t="s">
        <v>614</v>
      </c>
      <c r="B247" s="17" t="s">
        <v>615</v>
      </c>
      <c r="C247" s="11" t="str">
        <f ca="1">IFERROR(__xludf.DUMMYFUNCTION("GOOGLETRANSLATE($B247,""en"",C$3)"),"Registrieren von DynDNS-Adresse")</f>
        <v>Registrieren von DynDNS-Adresse</v>
      </c>
      <c r="D247" s="12" t="str">
        <f ca="1">IFERROR(__xludf.DUMMYFUNCTION("GOOGLETRANSLATE($B247,""en"",D$3)"),"Registrera DynDNS adress")</f>
        <v>Registrera DynDNS adress</v>
      </c>
      <c r="E247" s="12" t="str">
        <f ca="1">IFERROR(__xludf.DUMMYFUNCTION("GOOGLETRANSLATE($B247,""en"",E$3)"),"endereço DynDNS Registrando")</f>
        <v>endereço DynDNS Registrando</v>
      </c>
      <c r="F247" s="12" t="str">
        <f ca="1">IFERROR(__xludf.DUMMYFUNCTION("GOOGLETRANSLATE($B247,""en"",F$3)"),"endereço DynDNS Registrando")</f>
        <v>endereço DynDNS Registrando</v>
      </c>
      <c r="G247" s="12" t="str">
        <f ca="1">IFERROR(__xludf.DUMMYFUNCTION("GOOGLETRANSLATE($B247,""en"",G$3)"),"DynDNS adresse Enregistrement")</f>
        <v>DynDNS adresse Enregistrement</v>
      </c>
      <c r="H247" s="12" t="str">
        <f ca="1">IFERROR(__xludf.DUMMYFUNCTION("GOOGLETRANSLATE($B247,""en"",H$3)"),"Erregistratzen DynDNS helbidea")</f>
        <v>Erregistratzen DynDNS helbidea</v>
      </c>
      <c r="I247" s="12" t="str">
        <f ca="1">IFERROR(__xludf.DUMMYFUNCTION("GOOGLETRANSLATE($B247,""en"",I$3)"),"Registre de direcció de DynDNS")</f>
        <v>Registre de direcció de DynDNS</v>
      </c>
      <c r="J247" s="12" t="str">
        <f ca="1">IFERROR(__xludf.DUMMYFUNCTION("GOOGLETRANSLATE($B247,""en"",J$3)"),"Registrace DynDNS adresa")</f>
        <v>Registrace DynDNS adresa</v>
      </c>
      <c r="K247" s="12" t="str">
        <f ca="1">IFERROR(__xludf.DUMMYFUNCTION("GOOGLETRANSLATE($B247,""en"",K$3)"),"注册DynDNS的地址")</f>
        <v>注册DynDNS的地址</v>
      </c>
      <c r="L247" s="12" t="str">
        <f ca="1">IFERROR(__xludf.DUMMYFUNCTION("GOOGLETRANSLATE($B247,""en"",L$3)"),"註冊DynDNS的地址")</f>
        <v>註冊DynDNS的地址</v>
      </c>
      <c r="M247" s="12" t="str">
        <f ca="1">IFERROR(__xludf.DUMMYFUNCTION("GOOGLETRANSLATE($B247,""en"",M$3)"),"Het registreren van DynDNS-adres")</f>
        <v>Het registreren van DynDNS-adres</v>
      </c>
      <c r="N247" s="12" t="str">
        <f ca="1">IFERROR(__xludf.DUMMYFUNCTION("GOOGLETRANSLATE($B247,""en"",N$3)"),"διεύθυνση Εγγραφή DynDNS")</f>
        <v>διεύθυνση Εγγραφή DynDNS</v>
      </c>
      <c r="O247" s="12" t="str">
        <f ca="1">IFERROR(__xludf.DUMMYFUNCTION("GOOGLETRANSLATE($B247,""en"",O$3)"),"Rekisteröityminen DynDNS osoite")</f>
        <v>Rekisteröityminen DynDNS osoite</v>
      </c>
      <c r="P247" s="12" t="str">
        <f ca="1">IFERROR(__xludf.DUMMYFUNCTION("GOOGLETRANSLATE($B247,""en"",P$3)"),"DynDNS chlárú seoladh")</f>
        <v>DynDNS chlárú seoladh</v>
      </c>
      <c r="Q247" s="12" t="str">
        <f ca="1">IFERROR(__xludf.DUMMYFUNCTION("GOOGLETRANSLATE($B247,""en"",Q$3)"),"آدرس DynDNS ثبت")</f>
        <v>آدرس DynDNS ثبت</v>
      </c>
      <c r="R247" s="12" t="str">
        <f ca="1">IFERROR(__xludf.DUMMYFUNCTION("GOOGLETRANSLATE($B247,""en"",R$3)"),"DynDNS רישום כתובת")</f>
        <v>DynDNS רישום כתובת</v>
      </c>
      <c r="S247" s="12" t="str">
        <f ca="1">IFERROR(__xludf.DUMMYFUNCTION("GOOGLETRANSLATE($B247,""en"",S$3)"),"Sem skrá DynDNS netfang")</f>
        <v>Sem skrá DynDNS netfang</v>
      </c>
      <c r="T247" s="12" t="str">
        <f ca="1">IFERROR(__xludf.DUMMYFUNCTION("GOOGLETRANSLATE($B247,""en"",T$3)"),"Registrere DynDNS adresse")</f>
        <v>Registrere DynDNS adresse</v>
      </c>
      <c r="U247" s="12" t="str">
        <f ca="1">IFERROR(__xludf.DUMMYFUNCTION("GOOGLETRANSLATE($B247,""en"",U$3)"),"عنوان تسجيل DynDNS")</f>
        <v>عنوان تسجيل DynDNS</v>
      </c>
      <c r="V247" s="12" t="str">
        <f ca="1">IFERROR(__xludf.DUMMYFUNCTION("GOOGLETRANSLATE($B247,""en"",V$3)"),"Rejestrowanie adres DynDNS")</f>
        <v>Rejestrowanie adres DynDNS</v>
      </c>
      <c r="W247" s="12" t="str">
        <f ca="1">IFERROR(__xludf.DUMMYFUNCTION("GOOGLETRANSLATE($B247,""en"",W$3)"),"Регистрирующий DynDNS адрес")</f>
        <v>Регистрирующий DynDNS адрес</v>
      </c>
      <c r="X247" s="12" t="str">
        <f ca="1">IFERROR(__xludf.DUMMYFUNCTION("GOOGLETRANSLATE($B247,""en"",X$3)"),"Registro de dirección de DynDNS")</f>
        <v>Registro de dirección de DynDNS</v>
      </c>
      <c r="Y247" s="12"/>
      <c r="Z247" s="12"/>
    </row>
    <row r="248" spans="1:26" ht="32.25" customHeight="1" x14ac:dyDescent="0.2">
      <c r="A248" s="17" t="s">
        <v>616</v>
      </c>
      <c r="B248" s="17" t="s">
        <v>617</v>
      </c>
      <c r="C248" s="11" t="str">
        <f ca="1">IFERROR(__xludf.DUMMYFUNCTION("GOOGLETRANSLATE($B248,""en"",C$3)"),"DynDNS Passwort")</f>
        <v>DynDNS Passwort</v>
      </c>
      <c r="D248" s="12" t="str">
        <f ca="1">IFERROR(__xludf.DUMMYFUNCTION("GOOGLETRANSLATE($B248,""en"",D$3)"),"DynDNS lösenord")</f>
        <v>DynDNS lösenord</v>
      </c>
      <c r="E248" s="12" t="str">
        <f ca="1">IFERROR(__xludf.DUMMYFUNCTION("GOOGLETRANSLATE($B248,""en"",E$3)"),"password DynDNS")</f>
        <v>password DynDNS</v>
      </c>
      <c r="F248" s="12" t="str">
        <f ca="1">IFERROR(__xludf.DUMMYFUNCTION("GOOGLETRANSLATE($B248,""en"",F$3)"),"password DynDNS")</f>
        <v>password DynDNS</v>
      </c>
      <c r="G248" s="12" t="str">
        <f ca="1">IFERROR(__xludf.DUMMYFUNCTION("GOOGLETRANSLATE($B248,""en"",G$3)"),"Mot de passe DynDNS")</f>
        <v>Mot de passe DynDNS</v>
      </c>
      <c r="H248" s="12" t="str">
        <f ca="1">IFERROR(__xludf.DUMMYFUNCTION("GOOGLETRANSLATE($B248,""en"",H$3)"),"DynDNS pasahitza")</f>
        <v>DynDNS pasahitza</v>
      </c>
      <c r="I248" s="12" t="str">
        <f ca="1">IFERROR(__xludf.DUMMYFUNCTION("GOOGLETRANSLATE($B248,""en"",I$3)"),"contrasenya DynDNS")</f>
        <v>contrasenya DynDNS</v>
      </c>
      <c r="J248" s="12" t="str">
        <f ca="1">IFERROR(__xludf.DUMMYFUNCTION("GOOGLETRANSLATE($B248,""en"",J$3)"),"DynDNS heslo")</f>
        <v>DynDNS heslo</v>
      </c>
      <c r="K248" s="12" t="str">
        <f ca="1">IFERROR(__xludf.DUMMYFUNCTION("GOOGLETRANSLATE($B248,""en"",K$3)"),"DynDNS的密码")</f>
        <v>DynDNS的密码</v>
      </c>
      <c r="L248" s="12" t="str">
        <f ca="1">IFERROR(__xludf.DUMMYFUNCTION("GOOGLETRANSLATE($B248,""en"",L$3)"),"DynDNS的密碼")</f>
        <v>DynDNS的密碼</v>
      </c>
      <c r="M248" s="12" t="str">
        <f ca="1">IFERROR(__xludf.DUMMYFUNCTION("GOOGLETRANSLATE($B248,""en"",M$3)"),"DynDNS wachtwoord")</f>
        <v>DynDNS wachtwoord</v>
      </c>
      <c r="N248" s="12" t="str">
        <f ca="1">IFERROR(__xludf.DUMMYFUNCTION("GOOGLETRANSLATE($B248,""en"",N$3)"),"κωδικό DynDNS")</f>
        <v>κωδικό DynDNS</v>
      </c>
      <c r="O248" s="12" t="str">
        <f ca="1">IFERROR(__xludf.DUMMYFUNCTION("GOOGLETRANSLATE($B248,""en"",O$3)"),"DynDNS salasana")</f>
        <v>DynDNS salasana</v>
      </c>
      <c r="P248" s="12" t="str">
        <f ca="1">IFERROR(__xludf.DUMMYFUNCTION("GOOGLETRANSLATE($B248,""en"",P$3)"),"DynDNS phasfhocal")</f>
        <v>DynDNS phasfhocal</v>
      </c>
      <c r="Q248" s="12" t="str">
        <f ca="1">IFERROR(__xludf.DUMMYFUNCTION("GOOGLETRANSLATE($B248,""en"",Q$3)"),"رمز عبور DynDNS به")</f>
        <v>رمز عبور DynDNS به</v>
      </c>
      <c r="R248" s="12" t="str">
        <f ca="1">IFERROR(__xludf.DUMMYFUNCTION("GOOGLETRANSLATE($B248,""en"",R$3)"),"הסיסמה DynDNS")</f>
        <v>הסיסמה DynDNS</v>
      </c>
      <c r="S248" s="12" t="str">
        <f ca="1">IFERROR(__xludf.DUMMYFUNCTION("GOOGLETRANSLATE($B248,""en"",S$3)"),"DynDNS lykilorð")</f>
        <v>DynDNS lykilorð</v>
      </c>
      <c r="T248" s="12" t="str">
        <f ca="1">IFERROR(__xludf.DUMMYFUNCTION("GOOGLETRANSLATE($B248,""en"",T$3)"),"DynDNS passord")</f>
        <v>DynDNS passord</v>
      </c>
      <c r="U248" s="12" t="str">
        <f ca="1">IFERROR(__xludf.DUMMYFUNCTION("GOOGLETRANSLATE($B248,""en"",U$3)"),"كلمة DynDNS")</f>
        <v>كلمة DynDNS</v>
      </c>
      <c r="V248" s="12" t="str">
        <f ca="1">IFERROR(__xludf.DUMMYFUNCTION("GOOGLETRANSLATE($B248,""en"",V$3)"),"hasło DynDNS")</f>
        <v>hasło DynDNS</v>
      </c>
      <c r="W248" s="12" t="str">
        <f ca="1">IFERROR(__xludf.DUMMYFUNCTION("GOOGLETRANSLATE($B248,""en"",W$3)"),"DynDNS пароль")</f>
        <v>DynDNS пароль</v>
      </c>
      <c r="X248" s="12" t="str">
        <f ca="1">IFERROR(__xludf.DUMMYFUNCTION("GOOGLETRANSLATE($B248,""en"",X$3)"),"contraseña DynDNS")</f>
        <v>contraseña DynDNS</v>
      </c>
      <c r="Y248" s="12"/>
      <c r="Z248" s="12"/>
    </row>
    <row r="249" spans="1:26" ht="32.25" customHeight="1" x14ac:dyDescent="0.2">
      <c r="A249" s="17" t="s">
        <v>618</v>
      </c>
      <c r="B249" s="17" t="s">
        <v>619</v>
      </c>
      <c r="C249" s="11" t="str">
        <f ca="1">IFERROR(__xludf.DUMMYFUNCTION("GOOGLETRANSLATE($B250,""en"",C$3)"),"Bereich bearbeiten")</f>
        <v>Bereich bearbeiten</v>
      </c>
      <c r="D249" s="12" t="str">
        <f ca="1">IFERROR(__xludf.DUMMYFUNCTION("GOOGLETRANSLATE($B249,""en"",D$3)"),"Redigera")</f>
        <v>Redigera</v>
      </c>
      <c r="E249" s="12" t="str">
        <f ca="1">IFERROR(__xludf.DUMMYFUNCTION("GOOGLETRANSLATE($B249,""en"",E$3)"),"Editar")</f>
        <v>Editar</v>
      </c>
      <c r="F249" s="12" t="str">
        <f ca="1">IFERROR(__xludf.DUMMYFUNCTION("GOOGLETRANSLATE($B249,""en"",F$3)"),"Editar")</f>
        <v>Editar</v>
      </c>
      <c r="G249" s="12" t="str">
        <f ca="1">IFERROR(__xludf.DUMMYFUNCTION("GOOGLETRANSLATE($B249,""en"",G$3)"),"Éditer")</f>
        <v>Éditer</v>
      </c>
      <c r="H249" s="12" t="str">
        <f ca="1">IFERROR(__xludf.DUMMYFUNCTION("GOOGLETRANSLATE($B249,""en"",H$3)"),"Editatu")</f>
        <v>Editatu</v>
      </c>
      <c r="I249" s="12" t="str">
        <f ca="1">IFERROR(__xludf.DUMMYFUNCTION("GOOGLETRANSLATE($B249,""en"",I$3)"),"editar")</f>
        <v>editar</v>
      </c>
      <c r="J249" s="12" t="str">
        <f ca="1">IFERROR(__xludf.DUMMYFUNCTION("GOOGLETRANSLATE($B249,""en"",J$3)"),"Upravit")</f>
        <v>Upravit</v>
      </c>
      <c r="K249" s="12" t="str">
        <f ca="1">IFERROR(__xludf.DUMMYFUNCTION("GOOGLETRANSLATE($B249,""en"",K$3)"),"编辑")</f>
        <v>编辑</v>
      </c>
      <c r="L249" s="12" t="str">
        <f ca="1">IFERROR(__xludf.DUMMYFUNCTION("GOOGLETRANSLATE($B249,""en"",L$3)"),"編輯")</f>
        <v>編輯</v>
      </c>
      <c r="M249" s="12" t="str">
        <f ca="1">IFERROR(__xludf.DUMMYFUNCTION("GOOGLETRANSLATE($B249,""en"",M$3)"),"Bewerk")</f>
        <v>Bewerk</v>
      </c>
      <c r="N249" s="12" t="str">
        <f ca="1">IFERROR(__xludf.DUMMYFUNCTION("GOOGLETRANSLATE($B249,""en"",N$3)"),"Επεξεργασία")</f>
        <v>Επεξεργασία</v>
      </c>
      <c r="O249" s="12" t="str">
        <f ca="1">IFERROR(__xludf.DUMMYFUNCTION("GOOGLETRANSLATE($B249,""en"",O$3)"),"Muokata")</f>
        <v>Muokata</v>
      </c>
      <c r="P249" s="12" t="str">
        <f ca="1">IFERROR(__xludf.DUMMYFUNCTION("GOOGLETRANSLATE($B249,""en"",P$3)"),"Edit")</f>
        <v>Edit</v>
      </c>
      <c r="Q249" s="12" t="str">
        <f ca="1">IFERROR(__xludf.DUMMYFUNCTION("GOOGLETRANSLATE($B249,""en"",Q$3)"),"ویرایش")</f>
        <v>ویرایش</v>
      </c>
      <c r="R249" s="12" t="str">
        <f ca="1">IFERROR(__xludf.DUMMYFUNCTION("GOOGLETRANSLATE($B249,""en"",R$3)"),"לַעֲרוֹך")</f>
        <v>לַעֲרוֹך</v>
      </c>
      <c r="S249" s="12" t="str">
        <f ca="1">IFERROR(__xludf.DUMMYFUNCTION("GOOGLETRANSLATE($B249,""en"",S$3)"),"Breyta")</f>
        <v>Breyta</v>
      </c>
      <c r="T249" s="12" t="str">
        <f ca="1">IFERROR(__xludf.DUMMYFUNCTION("GOOGLETRANSLATE($B249,""en"",T$3)"),"Redigere")</f>
        <v>Redigere</v>
      </c>
      <c r="U249" s="12" t="str">
        <f ca="1">IFERROR(__xludf.DUMMYFUNCTION("GOOGLETRANSLATE($B249,""en"",U$3)"),"تعديل")</f>
        <v>تعديل</v>
      </c>
      <c r="V249" s="12" t="str">
        <f ca="1">IFERROR(__xludf.DUMMYFUNCTION("GOOGLETRANSLATE($B249,""en"",V$3)"),"Edytować")</f>
        <v>Edytować</v>
      </c>
      <c r="W249" s="12" t="str">
        <f ca="1">IFERROR(__xludf.DUMMYFUNCTION("GOOGLETRANSLATE($B249,""en"",W$3)"),"редактировать")</f>
        <v>редактировать</v>
      </c>
      <c r="X249" s="12" t="str">
        <f ca="1">IFERROR(__xludf.DUMMYFUNCTION("GOOGLETRANSLATE($B249,""en"",X$3)"),"Editar")</f>
        <v>Editar</v>
      </c>
      <c r="Y249" s="12"/>
      <c r="Z249" s="12"/>
    </row>
    <row r="250" spans="1:26" ht="32.25" customHeight="1" x14ac:dyDescent="0.2">
      <c r="A250" s="17" t="s">
        <v>620</v>
      </c>
      <c r="B250" s="17" t="s">
        <v>621</v>
      </c>
      <c r="C250" s="11" t="str">
        <f ca="1">IFERROR(__xludf.DUMMYFUNCTION("GOOGLETRANSLATE($B252,""en"",C$3)"),"Email")</f>
        <v>Email</v>
      </c>
      <c r="D250" s="12" t="str">
        <f ca="1">IFERROR(__xludf.DUMMYFUNCTION("GOOGLETRANSLATE($B250,""en"",D$3)"),"Edit Region")</f>
        <v>Edit Region</v>
      </c>
      <c r="E250" s="12" t="str">
        <f ca="1">IFERROR(__xludf.DUMMYFUNCTION("GOOGLETRANSLATE($B250,""en"",E$3)"),"Editar Região")</f>
        <v>Editar Região</v>
      </c>
      <c r="F250" s="12" t="str">
        <f ca="1">IFERROR(__xludf.DUMMYFUNCTION("GOOGLETRANSLATE($B250,""en"",F$3)"),"Editar Região")</f>
        <v>Editar Região</v>
      </c>
      <c r="G250" s="12" t="str">
        <f ca="1">IFERROR(__xludf.DUMMYFUNCTION("GOOGLETRANSLATE($B250,""en"",G$3)"),"Modifier la région")</f>
        <v>Modifier la région</v>
      </c>
      <c r="H250" s="12" t="str">
        <f ca="1">IFERROR(__xludf.DUMMYFUNCTION("GOOGLETRANSLATE($B250,""en"",H$3)"),"Edizio eskualdea")</f>
        <v>Edizio eskualdea</v>
      </c>
      <c r="I250" s="12" t="str">
        <f ca="1">IFERROR(__xludf.DUMMYFUNCTION("GOOGLETRANSLATE($B250,""en"",I$3)"),"Edita Regió")</f>
        <v>Edita Regió</v>
      </c>
      <c r="J250" s="12" t="str">
        <f ca="1">IFERROR(__xludf.DUMMYFUNCTION("GOOGLETRANSLATE($B250,""en"",J$3)"),"Upravit oblast")</f>
        <v>Upravit oblast</v>
      </c>
      <c r="K250" s="12" t="str">
        <f ca="1">IFERROR(__xludf.DUMMYFUNCTION("GOOGLETRANSLATE($B250,""en"",K$3)"),"编辑区域")</f>
        <v>编辑区域</v>
      </c>
      <c r="L250" s="12" t="str">
        <f ca="1">IFERROR(__xludf.DUMMYFUNCTION("GOOGLETRANSLATE($B250,""en"",L$3)"),"編輯區域")</f>
        <v>編輯區域</v>
      </c>
      <c r="M250" s="12" t="str">
        <f ca="1">IFERROR(__xludf.DUMMYFUNCTION("GOOGLETRANSLATE($B250,""en"",M$3)"),"Gebied bewerken")</f>
        <v>Gebied bewerken</v>
      </c>
      <c r="N250" s="12" t="str">
        <f ca="1">IFERROR(__xludf.DUMMYFUNCTION("GOOGLETRANSLATE($B250,""en"",N$3)"),"Επεξεργασία περιοχής")</f>
        <v>Επεξεργασία περιοχής</v>
      </c>
      <c r="O250" s="12" t="str">
        <f ca="1">IFERROR(__xludf.DUMMYFUNCTION("GOOGLETRANSLATE($B250,""en"",O$3)"),"alueen muokkaus")</f>
        <v>alueen muokkaus</v>
      </c>
      <c r="P250" s="12" t="str">
        <f ca="1">IFERROR(__xludf.DUMMYFUNCTION("GOOGLETRANSLATE($B250,""en"",P$3)"),"Edit Réigiún")</f>
        <v>Edit Réigiún</v>
      </c>
      <c r="Q250" s="12" t="str">
        <f ca="1">IFERROR(__xludf.DUMMYFUNCTION("GOOGLETRANSLATE($B250,""en"",Q$3)"),"ویرایش منطقه")</f>
        <v>ویرایش منطقه</v>
      </c>
      <c r="R250" s="12" t="str">
        <f ca="1">IFERROR(__xludf.DUMMYFUNCTION("GOOGLETRANSLATE($B250,""en"",R$3)"),"אזור ערוך")</f>
        <v>אזור ערוך</v>
      </c>
      <c r="S250" s="12" t="str">
        <f ca="1">IFERROR(__xludf.DUMMYFUNCTION("GOOGLETRANSLATE($B250,""en"",S$3)"),"Breyta Region")</f>
        <v>Breyta Region</v>
      </c>
      <c r="T250" s="12" t="str">
        <f ca="1">IFERROR(__xludf.DUMMYFUNCTION("GOOGLETRANSLATE($B250,""en"",T$3)"),"Rediger Region")</f>
        <v>Rediger Region</v>
      </c>
      <c r="U250" s="12" t="str">
        <f ca="1">IFERROR(__xludf.DUMMYFUNCTION("GOOGLETRANSLATE($B250,""en"",U$3)"),"تحرير المنطقة")</f>
        <v>تحرير المنطقة</v>
      </c>
      <c r="V250" s="12" t="str">
        <f ca="1">IFERROR(__xludf.DUMMYFUNCTION("GOOGLETRANSLATE($B250,""en"",V$3)"),"Edycja Region")</f>
        <v>Edycja Region</v>
      </c>
      <c r="W250" s="12" t="str">
        <f ca="1">IFERROR(__xludf.DUMMYFUNCTION("GOOGLETRANSLATE($B250,""en"",W$3)"),"Редактировать область")</f>
        <v>Редактировать область</v>
      </c>
      <c r="X250" s="12" t="str">
        <f ca="1">IFERROR(__xludf.DUMMYFUNCTION("GOOGLETRANSLATE($B250,""en"",X$3)"),"Editar Región")</f>
        <v>Editar Región</v>
      </c>
      <c r="Y250" s="12"/>
      <c r="Z250" s="12"/>
    </row>
    <row r="251" spans="1:26" ht="32.25" customHeight="1" x14ac:dyDescent="0.2">
      <c r="A251" s="17" t="s">
        <v>622</v>
      </c>
      <c r="B251" s="17" t="s">
        <v>623</v>
      </c>
      <c r="C251" s="21" t="str">
        <f ca="1">IFERROR(__xludf.DUMMYFUNCTION("GOOGLETRANSLATE($B251,""en"",C$3)"),"Email")</f>
        <v>Email</v>
      </c>
      <c r="D251" s="21" t="str">
        <f ca="1">IFERROR(__xludf.DUMMYFUNCTION("GOOGLETRANSLATE($B251,""en"",D$3)"),"E-post")</f>
        <v>E-post</v>
      </c>
      <c r="E251" s="21" t="str">
        <f ca="1">IFERROR(__xludf.DUMMYFUNCTION("GOOGLETRANSLATE($B251,""en"",E$3)"),"O email")</f>
        <v>O email</v>
      </c>
      <c r="F251" s="21" t="str">
        <f ca="1">IFERROR(__xludf.DUMMYFUNCTION("GOOGLETRANSLATE($B251,""en"",F$3)"),"O email")</f>
        <v>O email</v>
      </c>
      <c r="G251" s="21" t="str">
        <f ca="1">IFERROR(__xludf.DUMMYFUNCTION("GOOGLETRANSLATE($B251,""en"",G$3)"),"Email")</f>
        <v>Email</v>
      </c>
      <c r="H251" s="21" t="str">
        <f ca="1">IFERROR(__xludf.DUMMYFUNCTION("GOOGLETRANSLATE($B251,""en"",H$3)"),"Emaila")</f>
        <v>Emaila</v>
      </c>
      <c r="I251" s="21" t="str">
        <f ca="1">IFERROR(__xludf.DUMMYFUNCTION("GOOGLETRANSLATE($B251,""en"",I$3)"),"e-mail")</f>
        <v>e-mail</v>
      </c>
      <c r="J251" s="21" t="str">
        <f ca="1">IFERROR(__xludf.DUMMYFUNCTION("GOOGLETRANSLATE($B251,""en"",J$3)"),"E-mailem")</f>
        <v>E-mailem</v>
      </c>
      <c r="K251" s="21" t="str">
        <f ca="1">IFERROR(__xludf.DUMMYFUNCTION("GOOGLETRANSLATE($B251,""en"",K$3)"),"电子邮件")</f>
        <v>电子邮件</v>
      </c>
      <c r="L251" s="21" t="str">
        <f ca="1">IFERROR(__xludf.DUMMYFUNCTION("GOOGLETRANSLATE($B251,""en"",L$3)"),"電子郵件")</f>
        <v>電子郵件</v>
      </c>
      <c r="M251" s="21" t="str">
        <f ca="1">IFERROR(__xludf.DUMMYFUNCTION("GOOGLETRANSLATE($B251,""en"",M$3)"),"E-mail")</f>
        <v>E-mail</v>
      </c>
      <c r="N251" s="21" t="str">
        <f ca="1">IFERROR(__xludf.DUMMYFUNCTION("GOOGLETRANSLATE($B251,""en"",N$3)"),"ΗΛΕΚΤΡΟΝΙΚΗ ΔΙΕΥΘΥΝΣΗ")</f>
        <v>ΗΛΕΚΤΡΟΝΙΚΗ ΔΙΕΥΘΥΝΣΗ</v>
      </c>
      <c r="O251" s="21" t="str">
        <f ca="1">IFERROR(__xludf.DUMMYFUNCTION("GOOGLETRANSLATE($B251,""en"",O$3)"),"Sähköposti")</f>
        <v>Sähköposti</v>
      </c>
      <c r="P251" s="21" t="str">
        <f ca="1">IFERROR(__xludf.DUMMYFUNCTION("GOOGLETRANSLATE($B251,""en"",P$3)"),"Ríomhphost")</f>
        <v>Ríomhphost</v>
      </c>
      <c r="Q251" s="21" t="str">
        <f ca="1">IFERROR(__xludf.DUMMYFUNCTION("GOOGLETRANSLATE($B251,""en"",Q$3)"),"پست الکترونیک")</f>
        <v>پست الکترونیک</v>
      </c>
      <c r="R251" s="21" t="str">
        <f ca="1">IFERROR(__xludf.DUMMYFUNCTION("GOOGLETRANSLATE($B251,""en"",R$3)"),"אימייל")</f>
        <v>אימייל</v>
      </c>
      <c r="S251" s="21" t="str">
        <f ca="1">IFERROR(__xludf.DUMMYFUNCTION("GOOGLETRANSLATE($B251,""en"",S$3)"),"Tölvupóstur")</f>
        <v>Tölvupóstur</v>
      </c>
      <c r="T251" s="21" t="str">
        <f ca="1">IFERROR(__xludf.DUMMYFUNCTION("GOOGLETRANSLATE($B251,""en"",T$3)"),"e-post")</f>
        <v>e-post</v>
      </c>
      <c r="U251" s="21" t="str">
        <f ca="1">IFERROR(__xludf.DUMMYFUNCTION("GOOGLETRANSLATE($B251,""en"",U$3)"),"البريد الإلكتروني")</f>
        <v>البريد الإلكتروني</v>
      </c>
      <c r="V251" s="21" t="str">
        <f ca="1">IFERROR(__xludf.DUMMYFUNCTION("GOOGLETRANSLATE($B251,""en"",V$3)"),"E-mail")</f>
        <v>E-mail</v>
      </c>
      <c r="W251" s="21" t="str">
        <f ca="1">IFERROR(__xludf.DUMMYFUNCTION("GOOGLETRANSLATE($B251,""en"",W$3)"),"Эл. адрес")</f>
        <v>Эл. адрес</v>
      </c>
      <c r="X251" s="21" t="str">
        <f ca="1">IFERROR(__xludf.DUMMYFUNCTION("GOOGLETRANSLATE($B251,""en"",X$3)"),"Email")</f>
        <v>Email</v>
      </c>
      <c r="Y251" s="21"/>
      <c r="Z251" s="21"/>
    </row>
    <row r="252" spans="1:26" ht="32.25" customHeight="1" x14ac:dyDescent="0.2">
      <c r="A252" s="10" t="s">
        <v>622</v>
      </c>
      <c r="B252" s="10" t="s">
        <v>623</v>
      </c>
      <c r="C252" s="11" t="str">
        <f ca="1">IFERROR(__xludf.DUMMYFUNCTION("GOOGLETRANSLATE($B252,""en"",C$3)"),"Email")</f>
        <v>Email</v>
      </c>
      <c r="D252" s="11" t="str">
        <f ca="1">IFERROR(__xludf.DUMMYFUNCTION("GOOGLETRANSLATE($B252,""en"",D$3)"),"E-post")</f>
        <v>E-post</v>
      </c>
      <c r="E252" s="11" t="str">
        <f ca="1">IFERROR(__xludf.DUMMYFUNCTION("GOOGLETRANSLATE($B252,""en"",E$3)"),"O email")</f>
        <v>O email</v>
      </c>
      <c r="F252" s="11" t="str">
        <f ca="1">IFERROR(__xludf.DUMMYFUNCTION("GOOGLETRANSLATE($B252,""en"",F$3)"),"O email")</f>
        <v>O email</v>
      </c>
      <c r="G252" s="11" t="str">
        <f ca="1">IFERROR(__xludf.DUMMYFUNCTION("GOOGLETRANSLATE($B252,""en"",G$3)"),"Email")</f>
        <v>Email</v>
      </c>
      <c r="H252" s="11" t="str">
        <f ca="1">IFERROR(__xludf.DUMMYFUNCTION("GOOGLETRANSLATE($B252,""en"",H$3)"),"Emaila")</f>
        <v>Emaila</v>
      </c>
      <c r="I252" s="11" t="str">
        <f ca="1">IFERROR(__xludf.DUMMYFUNCTION("GOOGLETRANSLATE($B252,""en"",I$3)"),"e-mail")</f>
        <v>e-mail</v>
      </c>
      <c r="J252" s="11" t="str">
        <f ca="1">IFERROR(__xludf.DUMMYFUNCTION("GOOGLETRANSLATE($B252,""en"",J$3)"),"E-mailem")</f>
        <v>E-mailem</v>
      </c>
      <c r="K252" s="11" t="str">
        <f ca="1">IFERROR(__xludf.DUMMYFUNCTION("GOOGLETRANSLATE($B252,""en"",K$3)"),"电子邮件")</f>
        <v>电子邮件</v>
      </c>
      <c r="L252" s="11" t="str">
        <f ca="1">IFERROR(__xludf.DUMMYFUNCTION("GOOGLETRANSLATE($B252,""en"",L$3)"),"電子郵件")</f>
        <v>電子郵件</v>
      </c>
      <c r="M252" s="11" t="str">
        <f ca="1">IFERROR(__xludf.DUMMYFUNCTION("GOOGLETRANSLATE($B252,""en"",M$3)"),"E-mail")</f>
        <v>E-mail</v>
      </c>
      <c r="N252" s="11" t="str">
        <f ca="1">IFERROR(__xludf.DUMMYFUNCTION("GOOGLETRANSLATE($B252,""en"",N$3)"),"ΗΛΕΚΤΡΟΝΙΚΗ ΔΙΕΥΘΥΝΣΗ")</f>
        <v>ΗΛΕΚΤΡΟΝΙΚΗ ΔΙΕΥΘΥΝΣΗ</v>
      </c>
      <c r="O252" s="11" t="str">
        <f ca="1">IFERROR(__xludf.DUMMYFUNCTION("GOOGLETRANSLATE($B252,""en"",O$3)"),"Sähköposti")</f>
        <v>Sähköposti</v>
      </c>
      <c r="P252" s="11" t="str">
        <f ca="1">IFERROR(__xludf.DUMMYFUNCTION("GOOGLETRANSLATE($B252,""en"",P$3)"),"Ríomhphost")</f>
        <v>Ríomhphost</v>
      </c>
      <c r="Q252" s="11" t="str">
        <f ca="1">IFERROR(__xludf.DUMMYFUNCTION("GOOGLETRANSLATE($B252,""en"",Q$3)"),"پست الکترونیک")</f>
        <v>پست الکترونیک</v>
      </c>
      <c r="R252" s="11" t="str">
        <f ca="1">IFERROR(__xludf.DUMMYFUNCTION("GOOGLETRANSLATE($B252,""en"",R$3)"),"אימייל")</f>
        <v>אימייל</v>
      </c>
      <c r="S252" s="11" t="str">
        <f ca="1">IFERROR(__xludf.DUMMYFUNCTION("GOOGLETRANSLATE($B252,""en"",S$3)"),"Tölvupóstur")</f>
        <v>Tölvupóstur</v>
      </c>
      <c r="T252" s="11" t="str">
        <f ca="1">IFERROR(__xludf.DUMMYFUNCTION("GOOGLETRANSLATE($B252,""en"",T$3)"),"e-post")</f>
        <v>e-post</v>
      </c>
      <c r="U252" s="11" t="str">
        <f ca="1">IFERROR(__xludf.DUMMYFUNCTION("GOOGLETRANSLATE($B252,""en"",U$3)"),"البريد الإلكتروني")</f>
        <v>البريد الإلكتروني</v>
      </c>
      <c r="V252" s="11" t="str">
        <f ca="1">IFERROR(__xludf.DUMMYFUNCTION("GOOGLETRANSLATE($B252,""en"",V$3)"),"E-mail")</f>
        <v>E-mail</v>
      </c>
      <c r="W252" s="11" t="str">
        <f ca="1">IFERROR(__xludf.DUMMYFUNCTION("GOOGLETRANSLATE($B252,""en"",W$3)"),"Эл. адрес")</f>
        <v>Эл. адрес</v>
      </c>
      <c r="X252" s="11" t="str">
        <f ca="1">IFERROR(__xludf.DUMMYFUNCTION("GOOGLETRANSLATE($B252,""en"",X$3)"),"Email")</f>
        <v>Email</v>
      </c>
    </row>
    <row r="253" spans="1:26" ht="32.25" customHeight="1" x14ac:dyDescent="0.2">
      <c r="A253" s="17" t="s">
        <v>624</v>
      </c>
      <c r="B253" s="17" t="s">
        <v>625</v>
      </c>
      <c r="C253" s="11" t="str">
        <f ca="1">IFERROR(__xludf.DUMMYFUNCTION("GOOGLETRANSLATE($B255,""en"",C$3)"),"Aktivieren Veranstaltungen")</f>
        <v>Aktivieren Veranstaltungen</v>
      </c>
      <c r="D253" s="12" t="str">
        <f ca="1">IFERROR(__xludf.DUMMYFUNCTION("GOOGLETRANSLATE($B253,""en"",D$3)"),"Estate Manager är Gud - Estate chefer kan bli gudar, men bara för denna egendom")</f>
        <v>Estate Manager är Gud - Estate chefer kan bli gudar, men bara för denna egendom</v>
      </c>
      <c r="E253" s="12" t="str">
        <f ca="1">IFERROR(__xludf.DUMMYFUNCTION("GOOGLETRANSLATE($B253,""en"",E$3)"),"Estate Manager é Deus - gestores Estate pode se tornar deuses, mas apenas para esta propriedade")</f>
        <v>Estate Manager é Deus - gestores Estate pode se tornar deuses, mas apenas para esta propriedade</v>
      </c>
      <c r="F253" s="12" t="str">
        <f ca="1">IFERROR(__xludf.DUMMYFUNCTION("GOOGLETRANSLATE($B253,""en"",F$3)"),"Estate Manager é Deus - gestores Estate pode se tornar deuses, mas apenas para esta propriedade")</f>
        <v>Estate Manager é Deus - gestores Estate pode se tornar deuses, mas apenas para esta propriedade</v>
      </c>
      <c r="G253" s="12" t="str">
        <f ca="1">IFERROR(__xludf.DUMMYFUNCTION("GOOGLETRANSLATE($B253,""en"",G$3)"),"Directeur Estate est Dieu - les gestionnaires immobiliers peuvent devenir des dieux, mais seulement pour ce domaine")</f>
        <v>Directeur Estate est Dieu - les gestionnaires immobiliers peuvent devenir des dieux, mais seulement pour ce domaine</v>
      </c>
      <c r="H253" s="12" t="str">
        <f ca="1">IFERROR(__xludf.DUMMYFUNCTION("GOOGLETRANSLATE($B253,""en"",H$3)"),"Higiezinen Kudeatzaile God da - Higiezinen kudeatzaile jainko bihur daiteke, baina higiezinen horretarako")</f>
        <v>Higiezinen Kudeatzaile God da - Higiezinen kudeatzaile jainko bihur daiteke, baina higiezinen horretarako</v>
      </c>
      <c r="I253" s="12" t="str">
        <f ca="1">IFERROR(__xludf.DUMMYFUNCTION("GOOGLETRANSLATE($B253,""en"",I$3)"),"Estigues Manager és Déu - els administradors d'arrels poden convertir-se en déus, però només per aquesta finca")</f>
        <v>Estigues Manager és Déu - els administradors d'arrels poden convertir-se en déus, però només per aquesta finca</v>
      </c>
      <c r="J253" s="12" t="str">
        <f ca="1">IFERROR(__xludf.DUMMYFUNCTION("GOOGLETRANSLATE($B253,""en"",J$3)"),"Estate Manager je Bůh - Estate manažeři mohou stát bohy, ale právě pro tento majetek")</f>
        <v>Estate Manager je Bůh - Estate manažeři mohou stát bohy, ale právě pro tento majetek</v>
      </c>
      <c r="K253" s="12" t="str">
        <f ca="1">IFERROR(__xludf.DUMMYFUNCTION("GOOGLETRANSLATE($B253,""en"",K$3)"),"地产经理是上帝 - 房地产经理人可以成为神，而只是对这个楼盘")</f>
        <v>地产经理是上帝 - 房地产经理人可以成为神，而只是对这个楼盘</v>
      </c>
      <c r="L253" s="12" t="str">
        <f ca="1">IFERROR(__xludf.DUMMYFUNCTION("GOOGLETRANSLATE($B253,""en"",L$3)"),"地產經理是上帝 - 房地產經理人可以成為神，而只是對這個樓盤")</f>
        <v>地產經理是上帝 - 房地產經理人可以成為神，而只是對這個樓盤</v>
      </c>
      <c r="M253" s="12" t="str">
        <f ca="1">IFERROR(__xludf.DUMMYFUNCTION("GOOGLETRANSLATE($B253,""en"",M$3)"),"Estate Manager is God - Estate managers kunnen goden te worden, maar alleen voor deze landgoed")</f>
        <v>Estate Manager is God - Estate managers kunnen goden te worden, maar alleen voor deze landgoed</v>
      </c>
      <c r="N253" s="12" t="str">
        <f ca="1">IFERROR(__xludf.DUMMYFUNCTION("GOOGLETRANSLATE($B253,""en"",N$3)"),"Estate Manager είναι ο Θεός - διαχειριστές ακινήτων μπορούν να γίνουν θεοί, αλλά ακριβώς γι 'αυτό το κτήμα")</f>
        <v>Estate Manager είναι ο Θεός - διαχειριστές ακινήτων μπορούν να γίνουν θεοί, αλλά ακριβώς γι 'αυτό το κτήμα</v>
      </c>
      <c r="O253" s="12" t="str">
        <f ca="1">IFERROR(__xludf.DUMMYFUNCTION("GOOGLETRANSLATE($B253,""en"",O$3)"),"Estate Manager on Jumala - isännöitsijät voivat tulla jumalia, mutta juuri tämän kartanon")</f>
        <v>Estate Manager on Jumala - isännöitsijät voivat tulla jumalia, mutta juuri tämän kartanon</v>
      </c>
      <c r="P253" s="12" t="str">
        <f ca="1">IFERROR(__xludf.DUMMYFUNCTION("GOOGLETRANSLATE($B253,""en"",P$3)"),"Is Bainisteoir Eastát Dia - Is féidir le bainisteoirí Eastáit bheith gods, ach amháin le haghaidh an eastáit")</f>
        <v>Is Bainisteoir Eastát Dia - Is féidir le bainisteoirí Eastáit bheith gods, ach amháin le haghaidh an eastáit</v>
      </c>
      <c r="Q253" s="12" t="str">
        <f ca="1">IFERROR(__xludf.DUMMYFUNCTION("GOOGLETRANSLATE($B253,""en"",Q$3)"),"املاک و مدیر خداوند است - مدیران و مستغلات می تواند تبدیل شدن به خدایان، اما فقط برای این املاک")</f>
        <v>املاک و مدیر خداوند است - مدیران و مستغلات می تواند تبدیل شدن به خدایان، اما فقط برای این املاک</v>
      </c>
      <c r="R253" s="12" t="str">
        <f ca="1">IFERROR(__xludf.DUMMYFUNCTION("GOOGLETRANSLATE($B253,""en"",R$3)"),"מנהל העזבון הוא אלוהים - מנהלי נדל""ן יכולים להיות אלימים, אבל רק עבור אחוזה זו")</f>
        <v>מנהל העזבון הוא אלוהים - מנהלי נדל"ן יכולים להיות אלימים, אבל רק עבור אחוזה זו</v>
      </c>
      <c r="S253" s="12" t="str">
        <f ca="1">IFERROR(__xludf.DUMMYFUNCTION("GOOGLETRANSLATE($B253,""en"",S$3)"),"Bú Manager er Guð - Estate stjórnendur geta orðið guðir, heldur bara fyrir búinu")</f>
        <v>Bú Manager er Guð - Estate stjórnendur geta orðið guðir, heldur bara fyrir búinu</v>
      </c>
      <c r="T253" s="12" t="str">
        <f ca="1">IFERROR(__xludf.DUMMYFUNCTION("GOOGLETRANSLATE($B253,""en"",T$3)"),"Estate Manager er Gud - eiendom ledere kan bli guder, men bare for denne eiendom")</f>
        <v>Estate Manager er Gud - eiendom ledere kan bli guder, men bare for denne eiendom</v>
      </c>
      <c r="U253" s="12" t="str">
        <f ca="1">IFERROR(__xludf.DUMMYFUNCTION("GOOGLETRANSLATE($B253,""en"",U$3)"),"مدير العقارات هو الله - ويمكن لمديري العقارات تصبح الآلهة، ولكن فقط لهذا العقار")</f>
        <v>مدير العقارات هو الله - ويمكن لمديري العقارات تصبح الآلهة، ولكن فقط لهذا العقار</v>
      </c>
      <c r="V253" s="12" t="str">
        <f ca="1">IFERROR(__xludf.DUMMYFUNCTION("GOOGLETRANSLATE($B253,""en"",V$3)"),"Estate Manager jest Bóg - zarządcy nieruchomości może stać się bogami, ale tylko dla tej nieruchomości")</f>
        <v>Estate Manager jest Bóg - zarządcy nieruchomości może stać się bogami, ale tylko dla tej nieruchomości</v>
      </c>
      <c r="W253" s="12" t="str">
        <f ca="1">IFERROR(__xludf.DUMMYFUNCTION("GOOGLETRANSLATE($B253,""en"",W$3)"),"Недвижимость менеджер Бог - менеджеры по недвижимости могут стать богами, но только для этого имущества")</f>
        <v>Недвижимость менеджер Бог - менеджеры по недвижимости могут стать богами, но только для этого имущества</v>
      </c>
      <c r="X253" s="12" t="str">
        <f ca="1">IFERROR(__xludf.DUMMYFUNCTION("GOOGLETRANSLATE($B253,""en"",X$3)"),"Estate Manager es Dios - los administradores de raíces pueden convertirse en dioses, pero sólo por esta finca")</f>
        <v>Estate Manager es Dios - los administradores de raíces pueden convertirse en dioses, pero sólo por esta finca</v>
      </c>
      <c r="Y253" s="12"/>
      <c r="Z253" s="12"/>
    </row>
    <row r="254" spans="1:26" ht="32.25" customHeight="1" x14ac:dyDescent="0.2">
      <c r="A254" s="17" t="s">
        <v>626</v>
      </c>
      <c r="B254" s="17" t="s">
        <v>627</v>
      </c>
      <c r="C254" s="11" t="str">
        <f ca="1">IFERROR(__xludf.DUMMYFUNCTION("GOOGLETRANSLATE($B256,""en"",C$3)"),"Aktivieren Hypergrid")</f>
        <v>Aktivieren Hypergrid</v>
      </c>
      <c r="D254" s="12" t="str">
        <f ca="1">IFERROR(__xludf.DUMMYFUNCTION("GOOGLETRANSLATE($B254,""en"",D$3)"),"Aktivera Bird Module")</f>
        <v>Aktivera Bird Module</v>
      </c>
      <c r="E254" s="13" t="s">
        <v>628</v>
      </c>
      <c r="F254" s="13" t="s">
        <v>628</v>
      </c>
      <c r="G254" s="12" t="str">
        <f ca="1">IFERROR(__xludf.DUMMYFUNCTION("GOOGLETRANSLATE($B254,""en"",G$3)"),"Activer le module d'oiseaux")</f>
        <v>Activer le module d'oiseaux</v>
      </c>
      <c r="H254" s="12" t="str">
        <f ca="1">IFERROR(__xludf.DUMMYFUNCTION("GOOGLETRANSLATE($B254,""en"",H$3)"),"Gaitu Bird modulua")</f>
        <v>Gaitu Bird modulua</v>
      </c>
      <c r="I254" s="12" t="str">
        <f ca="1">IFERROR(__xludf.DUMMYFUNCTION("GOOGLETRANSLATE($B254,""en"",I$3)"),"Habilitar el mòdul d'aus")</f>
        <v>Habilitar el mòdul d'aus</v>
      </c>
      <c r="J254" s="12" t="str">
        <f ca="1">IFERROR(__xludf.DUMMYFUNCTION("GOOGLETRANSLATE($B254,""en"",J$3)"),"Aktivovat Bird Module")</f>
        <v>Aktivovat Bird Module</v>
      </c>
      <c r="K254" s="12" t="str">
        <f ca="1">IFERROR(__xludf.DUMMYFUNCTION("GOOGLETRANSLATE($B254,""en"",K$3)"),"启用伯德模块")</f>
        <v>启用伯德模块</v>
      </c>
      <c r="L254" s="12" t="str">
        <f ca="1">IFERROR(__xludf.DUMMYFUNCTION("GOOGLETRANSLATE($B254,""en"",L$3)"),"啟用伯德模塊")</f>
        <v>啟用伯德模塊</v>
      </c>
      <c r="M254" s="12" t="str">
        <f ca="1">IFERROR(__xludf.DUMMYFUNCTION("GOOGLETRANSLATE($B254,""en"",M$3)"),"Inschakelen Bird Module")</f>
        <v>Inschakelen Bird Module</v>
      </c>
      <c r="N254" s="12" t="str">
        <f ca="1">IFERROR(__xludf.DUMMYFUNCTION("GOOGLETRANSLATE($B254,""en"",N$3)"),"Ενεργοποίηση μονάδας Πουλί")</f>
        <v>Ενεργοποίηση μονάδας Πουλί</v>
      </c>
      <c r="O254" s="12" t="str">
        <f ca="1">IFERROR(__xludf.DUMMYFUNCTION("GOOGLETRANSLATE($B254,""en"",O$3)"),"Ota Bird Module")</f>
        <v>Ota Bird Module</v>
      </c>
      <c r="P254" s="12" t="str">
        <f ca="1">IFERROR(__xludf.DUMMYFUNCTION("GOOGLETRANSLATE($B254,""en"",P$3)"),"Cumasaigh Modúl Bird")</f>
        <v>Cumasaigh Modúl Bird</v>
      </c>
      <c r="Q254" s="12" t="str">
        <f ca="1">IFERROR(__xludf.DUMMYFUNCTION("GOOGLETRANSLATE($B254,""en"",Q$3)"),"فعال کردن پرنده ماژول")</f>
        <v>فعال کردن پرنده ماژول</v>
      </c>
      <c r="R254" s="12" t="str">
        <f ca="1">IFERROR(__xludf.DUMMYFUNCTION("GOOGLETRANSLATE($B254,""en"",R$3)"),"אפשר בירד מודול")</f>
        <v>אפשר בירד מודול</v>
      </c>
      <c r="S254" s="12" t="str">
        <f ca="1">IFERROR(__xludf.DUMMYFUNCTION("GOOGLETRANSLATE($B254,""en"",S$3)"),"Virkja Bird Module")</f>
        <v>Virkja Bird Module</v>
      </c>
      <c r="T254" s="12" t="str">
        <f ca="1">IFERROR(__xludf.DUMMYFUNCTION("GOOGLETRANSLATE($B254,""en"",T$3)"),"Aktiver Bird Module")</f>
        <v>Aktiver Bird Module</v>
      </c>
      <c r="U254" s="12" t="str">
        <f ca="1">IFERROR(__xludf.DUMMYFUNCTION("GOOGLETRANSLATE($B254,""en"",U$3)"),"تمكين الطيور وحدة")</f>
        <v>تمكين الطيور وحدة</v>
      </c>
      <c r="V254" s="12" t="str">
        <f ca="1">IFERROR(__xludf.DUMMYFUNCTION("GOOGLETRANSLATE($B254,""en"",V$3)"),"Włącz moduł ptak")</f>
        <v>Włącz moduł ptak</v>
      </c>
      <c r="W254" s="12" t="str">
        <f ca="1">IFERROR(__xludf.DUMMYFUNCTION("GOOGLETRANSLATE($B254,""en"",W$3)"),"Включить модуль Bird")</f>
        <v>Включить модуль Bird</v>
      </c>
      <c r="X254" s="12" t="str">
        <f ca="1">IFERROR(__xludf.DUMMYFUNCTION("GOOGLETRANSLATE($B254,""en"",X$3)"),"Habilitar el módulo de aves")</f>
        <v>Habilitar el módulo de aves</v>
      </c>
      <c r="Y254" s="12"/>
      <c r="Z254" s="12"/>
    </row>
    <row r="255" spans="1:26" ht="32.25" customHeight="1" x14ac:dyDescent="0.2">
      <c r="A255" s="17" t="s">
        <v>629</v>
      </c>
      <c r="B255" s="17" t="s">
        <v>630</v>
      </c>
      <c r="C255" s="11" t="str">
        <f ca="1">IFERROR(__xludf.DUMMYFUNCTION("GOOGLETRANSLATE($B257,""en"",C$3)"),"Aktivieren Suche")</f>
        <v>Aktivieren Suche</v>
      </c>
      <c r="D255" s="12" t="str">
        <f ca="1">IFERROR(__xludf.DUMMYFUNCTION("GOOGLETRANSLATE($B255,""en"",D$3)"),"aktivera händelser")</f>
        <v>aktivera händelser</v>
      </c>
      <c r="E255" s="12" t="str">
        <f ca="1">IFERROR(__xludf.DUMMYFUNCTION("GOOGLETRANSLATE($B255,""en"",E$3)"),"Ativar Eventos")</f>
        <v>Ativar Eventos</v>
      </c>
      <c r="F255" s="12" t="str">
        <f ca="1">IFERROR(__xludf.DUMMYFUNCTION("GOOGLETRANSLATE($B255,""en"",F$3)"),"Ativar Eventos")</f>
        <v>Ativar Eventos</v>
      </c>
      <c r="G255" s="12" t="str">
        <f ca="1">IFERROR(__xludf.DUMMYFUNCTION("GOOGLETRANSLATE($B255,""en"",G$3)"),"activer les événements")</f>
        <v>activer les événements</v>
      </c>
      <c r="H255" s="12" t="str">
        <f ca="1">IFERROR(__xludf.DUMMYFUNCTION("GOOGLETRANSLATE($B255,""en"",H$3)"),"Gaitu Events")</f>
        <v>Gaitu Events</v>
      </c>
      <c r="I255" s="12" t="str">
        <f ca="1">IFERROR(__xludf.DUMMYFUNCTION("GOOGLETRANSLATE($B255,""en"",I$3)"),"habilitar Esdeveniments")</f>
        <v>habilitar Esdeveniments</v>
      </c>
      <c r="J255" s="12" t="str">
        <f ca="1">IFERROR(__xludf.DUMMYFUNCTION("GOOGLETRANSLATE($B255,""en"",J$3)"),"povolit akce")</f>
        <v>povolit akce</v>
      </c>
      <c r="K255" s="12" t="str">
        <f ca="1">IFERROR(__xludf.DUMMYFUNCTION("GOOGLETRANSLATE($B255,""en"",K$3)"),"启用活动")</f>
        <v>启用活动</v>
      </c>
      <c r="L255" s="12" t="str">
        <f ca="1">IFERROR(__xludf.DUMMYFUNCTION("GOOGLETRANSLATE($B255,""en"",L$3)"),"啟用活動")</f>
        <v>啟用活動</v>
      </c>
      <c r="M255" s="12" t="str">
        <f ca="1">IFERROR(__xludf.DUMMYFUNCTION("GOOGLETRANSLATE($B255,""en"",M$3)"),"inschakelen Events")</f>
        <v>inschakelen Events</v>
      </c>
      <c r="N255" s="12" t="str">
        <f ca="1">IFERROR(__xludf.DUMMYFUNCTION("GOOGLETRANSLATE($B255,""en"",N$3)"),"Ενεργοποίηση Εκδηλώσεις")</f>
        <v>Ενεργοποίηση Εκδηλώσεις</v>
      </c>
      <c r="O255" s="12" t="str">
        <f ca="1">IFERROR(__xludf.DUMMYFUNCTION("GOOGLETRANSLATE($B255,""en"",O$3)"),"Ota Tapahtumat")</f>
        <v>Ota Tapahtumat</v>
      </c>
      <c r="P255" s="12" t="str">
        <f ca="1">IFERROR(__xludf.DUMMYFUNCTION("GOOGLETRANSLATE($B255,""en"",P$3)"),"Imeachtaí Cumasaigh")</f>
        <v>Imeachtaí Cumasaigh</v>
      </c>
      <c r="Q255" s="12" t="str">
        <f ca="1">IFERROR(__xludf.DUMMYFUNCTION("GOOGLETRANSLATE($B255,""en"",Q$3)"),"فعال کردن رویدادهای")</f>
        <v>فعال کردن رویدادهای</v>
      </c>
      <c r="R255" s="12" t="str">
        <f ca="1">IFERROR(__xludf.DUMMYFUNCTION("GOOGLETRANSLATE($B255,""en"",R$3)"),"אפשר אירועים")</f>
        <v>אפשר אירועים</v>
      </c>
      <c r="S255" s="12" t="str">
        <f ca="1">IFERROR(__xludf.DUMMYFUNCTION("GOOGLETRANSLATE($B255,""en"",S$3)"),"virkja Viðburðir")</f>
        <v>virkja Viðburðir</v>
      </c>
      <c r="T255" s="12" t="str">
        <f ca="1">IFERROR(__xludf.DUMMYFUNCTION("GOOGLETRANSLATE($B255,""en"",T$3)"),"aktiver Hendelser")</f>
        <v>aktiver Hendelser</v>
      </c>
      <c r="U255" s="12" t="str">
        <f ca="1">IFERROR(__xludf.DUMMYFUNCTION("GOOGLETRANSLATE($B255,""en"",U$3)"),"تمكين الأحداث")</f>
        <v>تمكين الأحداث</v>
      </c>
      <c r="V255" s="12" t="str">
        <f ca="1">IFERROR(__xludf.DUMMYFUNCTION("GOOGLETRANSLATE($B255,""en"",V$3)"),"Włącz pakietowe")</f>
        <v>Włącz pakietowe</v>
      </c>
      <c r="W255" s="12" t="str">
        <f ca="1">IFERROR(__xludf.DUMMYFUNCTION("GOOGLETRANSLATE($B255,""en"",W$3)"),"Включение событий")</f>
        <v>Включение событий</v>
      </c>
      <c r="X255" s="12" t="str">
        <f ca="1">IFERROR(__xludf.DUMMYFUNCTION("GOOGLETRANSLATE($B255,""en"",X$3)"),"Habilitar Eventos")</f>
        <v>Habilitar Eventos</v>
      </c>
      <c r="Y255" s="12"/>
      <c r="Z255" s="12"/>
    </row>
    <row r="256" spans="1:26" ht="32.25" customHeight="1" x14ac:dyDescent="0.2">
      <c r="A256" s="17" t="s">
        <v>631</v>
      </c>
      <c r="B256" s="17" t="s">
        <v>632</v>
      </c>
      <c r="C256" s="11" t="str">
        <f ca="1">IFERROR(__xludf.DUMMYFUNCTION("GOOGLETRANSLATE($B258,""en"",C$3)"),"Aktivieren")</f>
        <v>Aktivieren</v>
      </c>
      <c r="D256" s="12" t="str">
        <f ca="1">IFERROR(__xludf.DUMMYFUNCTION("GOOGLETRANSLATE($B256,""en"",D$3)"),"aktivera Hypergrid")</f>
        <v>aktivera Hypergrid</v>
      </c>
      <c r="E256" s="12" t="str">
        <f ca="1">IFERROR(__xludf.DUMMYFUNCTION("GOOGLETRANSLATE($B256,""en"",E$3)"),"Ativar Hypergrid")</f>
        <v>Ativar Hypergrid</v>
      </c>
      <c r="F256" s="12" t="str">
        <f ca="1">IFERROR(__xludf.DUMMYFUNCTION("GOOGLETRANSLATE($B256,""en"",F$3)"),"Ativar Hypergrid")</f>
        <v>Ativar Hypergrid</v>
      </c>
      <c r="G256" s="12" t="str">
        <f ca="1">IFERROR(__xludf.DUMMYFUNCTION("GOOGLETRANSLATE($B256,""en"",G$3)"),"activer Hypergrid")</f>
        <v>activer Hypergrid</v>
      </c>
      <c r="H256" s="12" t="str">
        <f ca="1">IFERROR(__xludf.DUMMYFUNCTION("GOOGLETRANSLATE($B256,""en"",H$3)"),"Gaitu Hypergrid")</f>
        <v>Gaitu Hypergrid</v>
      </c>
      <c r="I256" s="12" t="str">
        <f ca="1">IFERROR(__xludf.DUMMYFUNCTION("GOOGLETRANSLATE($B256,""en"",I$3)"),"habilitar Hypergrid")</f>
        <v>habilitar Hypergrid</v>
      </c>
      <c r="J256" s="12" t="str">
        <f ca="1">IFERROR(__xludf.DUMMYFUNCTION("GOOGLETRANSLATE($B256,""en"",J$3)"),"aktivovat Hypergrid")</f>
        <v>aktivovat Hypergrid</v>
      </c>
      <c r="K256" s="12" t="str">
        <f ca="1">IFERROR(__xludf.DUMMYFUNCTION("GOOGLETRANSLATE($B256,""en"",K$3)"),"启用Hypergrid")</f>
        <v>启用Hypergrid</v>
      </c>
      <c r="L256" s="12" t="str">
        <f ca="1">IFERROR(__xludf.DUMMYFUNCTION("GOOGLETRANSLATE($B256,""en"",L$3)"),"啟用Hypergrid")</f>
        <v>啟用Hypergrid</v>
      </c>
      <c r="M256" s="12" t="str">
        <f ca="1">IFERROR(__xludf.DUMMYFUNCTION("GOOGLETRANSLATE($B256,""en"",M$3)"),"inschakelen HyperGrid")</f>
        <v>inschakelen HyperGrid</v>
      </c>
      <c r="N256" s="12" t="str">
        <f ca="1">IFERROR(__xludf.DUMMYFUNCTION("GOOGLETRANSLATE($B256,""en"",N$3)"),"Ενεργοποίηση Hypergrid")</f>
        <v>Ενεργοποίηση Hypergrid</v>
      </c>
      <c r="O256" s="12" t="str">
        <f ca="1">IFERROR(__xludf.DUMMYFUNCTION("GOOGLETRANSLATE($B256,""en"",O$3)"),"Ota Hypergrid")</f>
        <v>Ota Hypergrid</v>
      </c>
      <c r="P256" s="12" t="str">
        <f ca="1">IFERROR(__xludf.DUMMYFUNCTION("GOOGLETRANSLATE($B256,""en"",P$3)"),"Cumasaigh Hypergrid")</f>
        <v>Cumasaigh Hypergrid</v>
      </c>
      <c r="Q256" s="12" t="str">
        <f ca="1">IFERROR(__xludf.DUMMYFUNCTION("GOOGLETRANSLATE($B256,""en"",Q$3)"),"فعال کردن Hypergrid")</f>
        <v>فعال کردن Hypergrid</v>
      </c>
      <c r="R256" s="12" t="str">
        <f ca="1">IFERROR(__xludf.DUMMYFUNCTION("GOOGLETRANSLATE($B256,""en"",R$3)"),"אפשר Hypergrid")</f>
        <v>אפשר Hypergrid</v>
      </c>
      <c r="S256" s="12" t="str">
        <f ca="1">IFERROR(__xludf.DUMMYFUNCTION("GOOGLETRANSLATE($B256,""en"",S$3)"),"virkja Hypergrid")</f>
        <v>virkja Hypergrid</v>
      </c>
      <c r="T256" s="12" t="str">
        <f ca="1">IFERROR(__xludf.DUMMYFUNCTION("GOOGLETRANSLATE($B256,""en"",T$3)"),"aktiver Hypergrid")</f>
        <v>aktiver Hypergrid</v>
      </c>
      <c r="U256" s="12" t="str">
        <f ca="1">IFERROR(__xludf.DUMMYFUNCTION("GOOGLETRANSLATE($B256,""en"",U$3)"),"تمكين Hypergrid")</f>
        <v>تمكين Hypergrid</v>
      </c>
      <c r="V256" s="12" t="str">
        <f ca="1">IFERROR(__xludf.DUMMYFUNCTION("GOOGLETRANSLATE($B256,""en"",V$3)"),"Włącz Hypergrid")</f>
        <v>Włącz Hypergrid</v>
      </c>
      <c r="W256" s="12" t="str">
        <f ca="1">IFERROR(__xludf.DUMMYFUNCTION("GOOGLETRANSLATE($B256,""en"",W$3)"),"Включить Hypergrid")</f>
        <v>Включить Hypergrid</v>
      </c>
      <c r="X256" s="12" t="str">
        <f ca="1">IFERROR(__xludf.DUMMYFUNCTION("GOOGLETRANSLATE($B256,""en"",X$3)"),"Habilitar Hypergrid")</f>
        <v>Habilitar Hypergrid</v>
      </c>
      <c r="Y256" s="12"/>
      <c r="Z256" s="12"/>
    </row>
    <row r="257" spans="1:26" ht="32.25" customHeight="1" x14ac:dyDescent="0.2">
      <c r="A257" s="17" t="s">
        <v>633</v>
      </c>
      <c r="B257" s="17" t="s">
        <v>634</v>
      </c>
      <c r="C257" s="11" t="str">
        <f ca="1">IFERROR(__xludf.DUMMYFUNCTION("GOOGLETRANSLATE($B257,""en"",C$3)"),"Aktivieren Suche")</f>
        <v>Aktivieren Suche</v>
      </c>
      <c r="D257" s="12" t="str">
        <f ca="1">IFERROR(__xludf.DUMMYFUNCTION("GOOGLETRANSLATE($B257,""en"",D$3)"),"aktivera Sök")</f>
        <v>aktivera Sök</v>
      </c>
      <c r="E257" s="12" t="str">
        <f ca="1">IFERROR(__xludf.DUMMYFUNCTION("GOOGLETRANSLATE($B257,""en"",E$3)"),"Busca Habilite")</f>
        <v>Busca Habilite</v>
      </c>
      <c r="F257" s="12" t="str">
        <f ca="1">IFERROR(__xludf.DUMMYFUNCTION("GOOGLETRANSLATE($B257,""en"",F$3)"),"Busca Habilite")</f>
        <v>Busca Habilite</v>
      </c>
      <c r="G257" s="12" t="str">
        <f ca="1">IFERROR(__xludf.DUMMYFUNCTION("GOOGLETRANSLATE($B257,""en"",G$3)"),"activer la recherche")</f>
        <v>activer la recherche</v>
      </c>
      <c r="H257" s="12" t="str">
        <f ca="1">IFERROR(__xludf.DUMMYFUNCTION("GOOGLETRANSLATE($B257,""en"",H$3)"),"Gaitu Search")</f>
        <v>Gaitu Search</v>
      </c>
      <c r="I257" s="12" t="str">
        <f ca="1">IFERROR(__xludf.DUMMYFUNCTION("GOOGLETRANSLATE($B257,""en"",I$3)"),"Habilitar la recerca")</f>
        <v>Habilitar la recerca</v>
      </c>
      <c r="J257" s="12" t="str">
        <f ca="1">IFERROR(__xludf.DUMMYFUNCTION("GOOGLETRANSLATE($B257,""en"",J$3)"),"povolit vyhledávání")</f>
        <v>povolit vyhledávání</v>
      </c>
      <c r="K257" s="12" t="str">
        <f ca="1">IFERROR(__xludf.DUMMYFUNCTION("GOOGLETRANSLATE($B257,""en"",K$3)"),"启用搜索")</f>
        <v>启用搜索</v>
      </c>
      <c r="L257" s="12" t="str">
        <f ca="1">IFERROR(__xludf.DUMMYFUNCTION("GOOGLETRANSLATE($B257,""en"",L$3)"),"啟用搜索")</f>
        <v>啟用搜索</v>
      </c>
      <c r="M257" s="12" t="str">
        <f ca="1">IFERROR(__xludf.DUMMYFUNCTION("GOOGLETRANSLATE($B257,""en"",M$3)"),"Activeer Zoeken")</f>
        <v>Activeer Zoeken</v>
      </c>
      <c r="N257" s="12" t="str">
        <f ca="1">IFERROR(__xludf.DUMMYFUNCTION("GOOGLETRANSLATE($B257,""en"",N$3)"),"Ενεργοποίηση αναζήτησης")</f>
        <v>Ενεργοποίηση αναζήτησης</v>
      </c>
      <c r="O257" s="12" t="str">
        <f ca="1">IFERROR(__xludf.DUMMYFUNCTION("GOOGLETRANSLATE($B257,""en"",O$3)"),"Ota Search")</f>
        <v>Ota Search</v>
      </c>
      <c r="P257" s="12" t="str">
        <f ca="1">IFERROR(__xludf.DUMMYFUNCTION("GOOGLETRANSLATE($B257,""en"",P$3)"),"Cumasaigh Cuardach")</f>
        <v>Cumasaigh Cuardach</v>
      </c>
      <c r="Q257" s="12" t="str">
        <f ca="1">IFERROR(__xludf.DUMMYFUNCTION("GOOGLETRANSLATE($B257,""en"",Q$3)"),"فعال کردن جستجو")</f>
        <v>فعال کردن جستجو</v>
      </c>
      <c r="R257" s="12" t="str">
        <f ca="1">IFERROR(__xludf.DUMMYFUNCTION("GOOGLETRANSLATE($B257,""en"",R$3)"),"אפשר חיפוש")</f>
        <v>אפשר חיפוש</v>
      </c>
      <c r="S257" s="12" t="str">
        <f ca="1">IFERROR(__xludf.DUMMYFUNCTION("GOOGLETRANSLATE($B257,""en"",S$3)"),"virkja Leita")</f>
        <v>virkja Leita</v>
      </c>
      <c r="T257" s="12" t="str">
        <f ca="1">IFERROR(__xludf.DUMMYFUNCTION("GOOGLETRANSLATE($B257,""en"",T$3)"),"aktiver søk")</f>
        <v>aktiver søk</v>
      </c>
      <c r="U257" s="12" t="str">
        <f ca="1">IFERROR(__xludf.DUMMYFUNCTION("GOOGLETRANSLATE($B257,""en"",U$3)"),"تمكين البحث")</f>
        <v>تمكين البحث</v>
      </c>
      <c r="V257" s="12" t="str">
        <f ca="1">IFERROR(__xludf.DUMMYFUNCTION("GOOGLETRANSLATE($B257,""en"",V$3)"),"Szukaj Włącz")</f>
        <v>Szukaj Włącz</v>
      </c>
      <c r="W257" s="12" t="str">
        <f ca="1">IFERROR(__xludf.DUMMYFUNCTION("GOOGLETRANSLATE($B257,""en"",W$3)"),"Включить поиск")</f>
        <v>Включить поиск</v>
      </c>
      <c r="X257" s="12" t="str">
        <f ca="1">IFERROR(__xludf.DUMMYFUNCTION("GOOGLETRANSLATE($B257,""en"",X$3)"),"Habilitar la búsqueda")</f>
        <v>Habilitar la búsqueda</v>
      </c>
      <c r="Y257" s="12"/>
      <c r="Z257" s="12"/>
    </row>
    <row r="258" spans="1:26" ht="32.25" customHeight="1" x14ac:dyDescent="0.2">
      <c r="A258" s="17" t="s">
        <v>635</v>
      </c>
      <c r="B258" s="17" t="s">
        <v>636</v>
      </c>
      <c r="C258" s="11" t="str">
        <f ca="1">IFERROR(__xludf.DUMMYFUNCTION("GOOGLETRANSLATE($B258,""en"",C$3)"),"Aktivieren")</f>
        <v>Aktivieren</v>
      </c>
      <c r="D258" s="12" t="str">
        <f ca="1">IFERROR(__xludf.DUMMYFUNCTION("GOOGLETRANSLATE($B258,""en"",D$3)"),"Gör det möjligt")</f>
        <v>Gör det möjligt</v>
      </c>
      <c r="E258" s="13" t="s">
        <v>637</v>
      </c>
      <c r="F258" s="13" t="s">
        <v>637</v>
      </c>
      <c r="G258" s="12" t="str">
        <f ca="1">IFERROR(__xludf.DUMMYFUNCTION("GOOGLETRANSLATE($B258,""en"",G$3)"),"Activer")</f>
        <v>Activer</v>
      </c>
      <c r="H258" s="12" t="str">
        <f ca="1">IFERROR(__xludf.DUMMYFUNCTION("GOOGLETRANSLATE($B258,""en"",H$3)"),"gaitu")</f>
        <v>gaitu</v>
      </c>
      <c r="I258" s="12" t="str">
        <f ca="1">IFERROR(__xludf.DUMMYFUNCTION("GOOGLETRANSLATE($B258,""en"",I$3)"),"permetre")</f>
        <v>permetre</v>
      </c>
      <c r="J258" s="12" t="str">
        <f ca="1">IFERROR(__xludf.DUMMYFUNCTION("GOOGLETRANSLATE($B258,""en"",J$3)"),"Umožnit")</f>
        <v>Umožnit</v>
      </c>
      <c r="K258" s="12" t="str">
        <f ca="1">IFERROR(__xludf.DUMMYFUNCTION("GOOGLETRANSLATE($B258,""en"",K$3)"),"启用")</f>
        <v>启用</v>
      </c>
      <c r="L258" s="12" t="str">
        <f ca="1">IFERROR(__xludf.DUMMYFUNCTION("GOOGLETRANSLATE($B258,""en"",L$3)"),"啟用")</f>
        <v>啟用</v>
      </c>
      <c r="M258" s="12" t="str">
        <f ca="1">IFERROR(__xludf.DUMMYFUNCTION("GOOGLETRANSLATE($B258,""en"",M$3)"),"Inschakelen")</f>
        <v>Inschakelen</v>
      </c>
      <c r="N258" s="12" t="str">
        <f ca="1">IFERROR(__xludf.DUMMYFUNCTION("GOOGLETRANSLATE($B258,""en"",N$3)"),"επιτρέπω")</f>
        <v>επιτρέπω</v>
      </c>
      <c r="O258" s="12" t="str">
        <f ca="1">IFERROR(__xludf.DUMMYFUNCTION("GOOGLETRANSLATE($B258,""en"",O$3)"),"ota käyttöön")</f>
        <v>ota käyttöön</v>
      </c>
      <c r="P258" s="12" t="str">
        <f ca="1">IFERROR(__xludf.DUMMYFUNCTION("GOOGLETRANSLATE($B258,""en"",P$3)"),"Cumasaigh")</f>
        <v>Cumasaigh</v>
      </c>
      <c r="Q258" s="12" t="str">
        <f ca="1">IFERROR(__xludf.DUMMYFUNCTION("GOOGLETRANSLATE($B258,""en"",Q$3)"),"قادر ساختن")</f>
        <v>قادر ساختن</v>
      </c>
      <c r="R258" s="12" t="str">
        <f ca="1">IFERROR(__xludf.DUMMYFUNCTION("GOOGLETRANSLATE($B258,""en"",R$3)"),"לְאַפשֵׁר")</f>
        <v>לְאַפשֵׁר</v>
      </c>
      <c r="S258" s="12" t="str">
        <f ca="1">IFERROR(__xludf.DUMMYFUNCTION("GOOGLETRANSLATE($B258,""en"",S$3)"),"virkja")</f>
        <v>virkja</v>
      </c>
      <c r="T258" s="12" t="str">
        <f ca="1">IFERROR(__xludf.DUMMYFUNCTION("GOOGLETRANSLATE($B258,""en"",T$3)"),"Muliggjøre")</f>
        <v>Muliggjøre</v>
      </c>
      <c r="U258" s="12" t="str">
        <f ca="1">IFERROR(__xludf.DUMMYFUNCTION("GOOGLETRANSLATE($B258,""en"",U$3)"),"ممكن")</f>
        <v>ممكن</v>
      </c>
      <c r="V258" s="12" t="str">
        <f ca="1">IFERROR(__xludf.DUMMYFUNCTION("GOOGLETRANSLATE($B258,""en"",V$3)"),"Włączyć")</f>
        <v>Włączyć</v>
      </c>
      <c r="W258" s="12" t="str">
        <f ca="1">IFERROR(__xludf.DUMMYFUNCTION("GOOGLETRANSLATE($B258,""en"",W$3)"),"включить")</f>
        <v>включить</v>
      </c>
      <c r="X258" s="12" t="str">
        <f ca="1">IFERROR(__xludf.DUMMYFUNCTION("GOOGLETRANSLATE($B258,""en"",X$3)"),"Habilitar")</f>
        <v>Habilitar</v>
      </c>
      <c r="Y258" s="12"/>
      <c r="Z258" s="12"/>
    </row>
    <row r="259" spans="1:26" ht="32.25" customHeight="1" x14ac:dyDescent="0.2">
      <c r="A259" s="17" t="s">
        <v>638</v>
      </c>
      <c r="B259" s="17" t="s">
        <v>639</v>
      </c>
      <c r="C259" s="11" t="str">
        <f ca="1">IFERROR(__xludf.DUMMYFUNCTION("GOOGLETRANSLATE($B260,""en"",C$3)"),"aktiviert")</f>
        <v>aktiviert</v>
      </c>
      <c r="D259" s="12" t="str">
        <f ca="1">IFERROR(__xludf.DUMMYFUNCTION("GOOGLETRANSLATE($B259,""en"",D$3)"),"Aktivera webbservern Apache")</f>
        <v>Aktivera webbservern Apache</v>
      </c>
      <c r="E259" s="12" t="str">
        <f ca="1">IFERROR(__xludf.DUMMYFUNCTION("GOOGLETRANSLATE($B259,""en"",E$3)"),"Ativar servidor Apache Web")</f>
        <v>Ativar servidor Apache Web</v>
      </c>
      <c r="F259" s="12" t="str">
        <f ca="1">IFERROR(__xludf.DUMMYFUNCTION("GOOGLETRANSLATE($B259,""en"",F$3)"),"Ativar servidor Apache Web")</f>
        <v>Ativar servidor Apache Web</v>
      </c>
      <c r="G259" s="12" t="str">
        <f ca="1">IFERROR(__xludf.DUMMYFUNCTION("GOOGLETRANSLATE($B259,""en"",G$3)"),"Activer le serveur Web Apache")</f>
        <v>Activer le serveur Web Apache</v>
      </c>
      <c r="H259" s="12" t="str">
        <f ca="1">IFERROR(__xludf.DUMMYFUNCTION("GOOGLETRANSLATE($B259,""en"",H$3)"),"Gaitu Apache Web zerbitzaria")</f>
        <v>Gaitu Apache Web zerbitzaria</v>
      </c>
      <c r="I259" s="12" t="str">
        <f ca="1">IFERROR(__xludf.DUMMYFUNCTION("GOOGLETRANSLATE($B259,""en"",I$3)"),"Habilitació del servidor web Apache")</f>
        <v>Habilitació del servidor web Apache</v>
      </c>
      <c r="J259" s="12" t="str">
        <f ca="1">IFERROR(__xludf.DUMMYFUNCTION("GOOGLETRANSLATE($B259,""en"",J$3)"),"Povolit webový server Apache")</f>
        <v>Povolit webový server Apache</v>
      </c>
      <c r="K259" s="12" t="str">
        <f ca="1">IFERROR(__xludf.DUMMYFUNCTION("GOOGLETRANSLATE($B259,""en"",K$3)"),"启动Apache Web服务器")</f>
        <v>启动Apache Web服务器</v>
      </c>
      <c r="L259" s="12" t="str">
        <f ca="1">IFERROR(__xludf.DUMMYFUNCTION("GOOGLETRANSLATE($B259,""en"",L$3)"),"啟動Apache Web服務器")</f>
        <v>啟動Apache Web服務器</v>
      </c>
      <c r="M259" s="12" t="str">
        <f ca="1">IFERROR(__xludf.DUMMYFUNCTION("GOOGLETRANSLATE($B259,""en"",M$3)"),"Enable Apache webserver")</f>
        <v>Enable Apache webserver</v>
      </c>
      <c r="N259" s="12" t="str">
        <f ca="1">IFERROR(__xludf.DUMMYFUNCTION("GOOGLETRANSLATE($B259,""en"",N$3)"),"Ενεργοποίηση του server Apache Web")</f>
        <v>Ενεργοποίηση του server Apache Web</v>
      </c>
      <c r="O259" s="12" t="str">
        <f ca="1">IFERROR(__xludf.DUMMYFUNCTION("GOOGLETRANSLATE($B259,""en"",O$3)"),"Ota Apache Web Server")</f>
        <v>Ota Apache Web Server</v>
      </c>
      <c r="P259" s="12" t="str">
        <f ca="1">IFERROR(__xludf.DUMMYFUNCTION("GOOGLETRANSLATE($B259,""en"",P$3)"),"Cumasaigh freastalaí Apache gréasáin")</f>
        <v>Cumasaigh freastalaí Apache gréasáin</v>
      </c>
      <c r="Q259" s="12" t="str">
        <f ca="1">IFERROR(__xludf.DUMMYFUNCTION("GOOGLETRANSLATE($B259,""en"",Q$3)"),"فعال کردن وب سرور آپاچی")</f>
        <v>فعال کردن وب سرور آپاچی</v>
      </c>
      <c r="R259" s="12" t="str">
        <f ca="1">IFERROR(__xludf.DUMMYFUNCTION("GOOGLETRANSLATE($B259,""en"",R$3)"),"אפשר שרת Apache Web")</f>
        <v>אפשר שרת Apache Web</v>
      </c>
      <c r="S259" s="12" t="str">
        <f ca="1">IFERROR(__xludf.DUMMYFUNCTION("GOOGLETRANSLATE($B259,""en"",S$3)"),"Virkja Apache vefþjóninn")</f>
        <v>Virkja Apache vefþjóninn</v>
      </c>
      <c r="T259" s="12" t="str">
        <f ca="1">IFERROR(__xludf.DUMMYFUNCTION("GOOGLETRANSLATE($B259,""en"",T$3)"),"Aktiver Apache webserver")</f>
        <v>Aktiver Apache webserver</v>
      </c>
      <c r="U259" s="12" t="str">
        <f ca="1">IFERROR(__xludf.DUMMYFUNCTION("GOOGLETRANSLATE($B259,""en"",U$3)"),"تمكين الخادم ويب Apache")</f>
        <v>تمكين الخادم ويب Apache</v>
      </c>
      <c r="V259" s="12" t="str">
        <f ca="1">IFERROR(__xludf.DUMMYFUNCTION("GOOGLETRANSLATE($B259,""en"",V$3)"),"Włącz serwer WWW Apache")</f>
        <v>Włącz serwer WWW Apache</v>
      </c>
      <c r="W259" s="12" t="str">
        <f ca="1">IFERROR(__xludf.DUMMYFUNCTION("GOOGLETRANSLATE($B259,""en"",W$3)"),"Включение веб-сервера Apache")</f>
        <v>Включение веб-сервера Apache</v>
      </c>
      <c r="X259" s="12" t="str">
        <f ca="1">IFERROR(__xludf.DUMMYFUNCTION("GOOGLETRANSLATE($B259,""en"",X$3)"),"Habilitar el servidor Web Apache")</f>
        <v>Habilitar el servidor Web Apache</v>
      </c>
      <c r="Y259" s="12"/>
      <c r="Z259" s="12"/>
    </row>
    <row r="260" spans="1:26" ht="32.25" customHeight="1" x14ac:dyDescent="0.2">
      <c r="A260" s="17" t="s">
        <v>640</v>
      </c>
      <c r="B260" s="17" t="s">
        <v>641</v>
      </c>
      <c r="C260" s="11" t="str">
        <f ca="1">IFERROR(__xludf.DUMMYFUNCTION("GOOGLETRANSLATE($B261,""en"",C$3)"),"Aktivieren Ein-Klicken Sie auf Start")</f>
        <v>Aktivieren Ein-Klicken Sie auf Start</v>
      </c>
      <c r="D260" s="12" t="str">
        <f ca="1">IFERROR(__xludf.DUMMYFUNCTION("GOOGLETRANSLATE($B260,""en"",D$3)"),"Aktiverad")</f>
        <v>Aktiverad</v>
      </c>
      <c r="E260" s="13" t="s">
        <v>642</v>
      </c>
      <c r="F260" s="13" t="s">
        <v>642</v>
      </c>
      <c r="G260" s="12" t="str">
        <f ca="1">IFERROR(__xludf.DUMMYFUNCTION("GOOGLETRANSLATE($B260,""en"",G$3)"),"Activée")</f>
        <v>Activée</v>
      </c>
      <c r="H260" s="12" t="str">
        <f ca="1">IFERROR(__xludf.DUMMYFUNCTION("GOOGLETRANSLATE($B260,""en"",H$3)"),"Gaituta")</f>
        <v>Gaituta</v>
      </c>
      <c r="I260" s="12" t="str">
        <f ca="1">IFERROR(__xludf.DUMMYFUNCTION("GOOGLETRANSLATE($B260,""en"",I$3)"),"activat")</f>
        <v>activat</v>
      </c>
      <c r="J260" s="12" t="str">
        <f ca="1">IFERROR(__xludf.DUMMYFUNCTION("GOOGLETRANSLATE($B260,""en"",J$3)"),"povoleno")</f>
        <v>povoleno</v>
      </c>
      <c r="K260" s="12" t="str">
        <f ca="1">IFERROR(__xludf.DUMMYFUNCTION("GOOGLETRANSLATE($B260,""en"",K$3)"),"启用")</f>
        <v>启用</v>
      </c>
      <c r="L260" s="12" t="str">
        <f ca="1">IFERROR(__xludf.DUMMYFUNCTION("GOOGLETRANSLATE($B260,""en"",L$3)"),"啟用")</f>
        <v>啟用</v>
      </c>
      <c r="M260" s="12" t="str">
        <f ca="1">IFERROR(__xludf.DUMMYFUNCTION("GOOGLETRANSLATE($B260,""en"",M$3)"),"Ingeschakeld")</f>
        <v>Ingeschakeld</v>
      </c>
      <c r="N260" s="12" t="str">
        <f ca="1">IFERROR(__xludf.DUMMYFUNCTION("GOOGLETRANSLATE($B260,""en"",N$3)"),"Ενεργοποιήθηκε")</f>
        <v>Ενεργοποιήθηκε</v>
      </c>
      <c r="O260" s="12" t="str">
        <f ca="1">IFERROR(__xludf.DUMMYFUNCTION("GOOGLETRANSLATE($B260,""en"",O$3)"),"käytössä")</f>
        <v>käytössä</v>
      </c>
      <c r="P260" s="12" t="str">
        <f ca="1">IFERROR(__xludf.DUMMYFUNCTION("GOOGLETRANSLATE($B260,""en"",P$3)"),"cumasaithe")</f>
        <v>cumasaithe</v>
      </c>
      <c r="Q260" s="12" t="str">
        <f ca="1">IFERROR(__xludf.DUMMYFUNCTION("GOOGLETRANSLATE($B260,""en"",Q$3)"),"فعال")</f>
        <v>فعال</v>
      </c>
      <c r="R260" s="12" t="str">
        <f ca="1">IFERROR(__xludf.DUMMYFUNCTION("GOOGLETRANSLATE($B260,""en"",R$3)"),"מופעל")</f>
        <v>מופעל</v>
      </c>
      <c r="S260" s="12" t="str">
        <f ca="1">IFERROR(__xludf.DUMMYFUNCTION("GOOGLETRANSLATE($B260,""en"",S$3)"),"virkt")</f>
        <v>virkt</v>
      </c>
      <c r="T260" s="12" t="str">
        <f ca="1">IFERROR(__xludf.DUMMYFUNCTION("GOOGLETRANSLATE($B260,""en"",T$3)"),"aktivert")</f>
        <v>aktivert</v>
      </c>
      <c r="U260" s="12" t="str">
        <f ca="1">IFERROR(__xludf.DUMMYFUNCTION("GOOGLETRANSLATE($B260,""en"",U$3)"),"تمكين")</f>
        <v>تمكين</v>
      </c>
      <c r="V260" s="12" t="str">
        <f ca="1">IFERROR(__xludf.DUMMYFUNCTION("GOOGLETRANSLATE($B260,""en"",V$3)"),"włączone")</f>
        <v>włączone</v>
      </c>
      <c r="W260" s="12" t="str">
        <f ca="1">IFERROR(__xludf.DUMMYFUNCTION("GOOGLETRANSLATE($B260,""en"",W$3)"),"Включено")</f>
        <v>Включено</v>
      </c>
      <c r="X260" s="12" t="str">
        <f ca="1">IFERROR(__xludf.DUMMYFUNCTION("GOOGLETRANSLATE($B260,""en"",X$3)"),"Activado")</f>
        <v>Activado</v>
      </c>
      <c r="Y260" s="12"/>
      <c r="Z260" s="12"/>
    </row>
    <row r="261" spans="1:26" ht="32.25" customHeight="1" x14ac:dyDescent="0.2">
      <c r="A261" s="17" t="s">
        <v>643</v>
      </c>
      <c r="B261" s="17" t="s">
        <v>644</v>
      </c>
      <c r="C261" s="11" t="str">
        <f ca="1">IFERROR(__xludf.DUMMYFUNCTION("GOOGLETRANSLATE($B262,""en"",C$3)"),"Aktivieren Andere")</f>
        <v>Aktivieren Andere</v>
      </c>
      <c r="D261" s="12" t="str">
        <f ca="1">IFERROR(__xludf.DUMMYFUNCTION("GOOGLETRANSLATE($B261,""en"",D$3)"),"Aktivera One-Klicka på Start")</f>
        <v>Aktivera One-Klicka på Start</v>
      </c>
      <c r="E261" s="13" t="s">
        <v>645</v>
      </c>
      <c r="F261" s="13" t="s">
        <v>645</v>
      </c>
      <c r="G261" s="12" t="str">
        <f ca="1">IFERROR(__xludf.DUMMYFUNCTION("GOOGLETRANSLATE($B261,""en"",G$3)"),"Activer un clic Démarrer")</f>
        <v>Activer un clic Démarrer</v>
      </c>
      <c r="H261" s="12" t="str">
        <f ca="1">IFERROR(__xludf.DUMMYFUNCTION("GOOGLETRANSLATE($B261,""en"",H$3)"),"Gaitu klik Start")</f>
        <v>Gaitu klik Start</v>
      </c>
      <c r="I261" s="12" t="str">
        <f ca="1">IFERROR(__xludf.DUMMYFUNCTION("GOOGLETRANSLATE($B261,""en"",I$3)"),"Habilitar un clic a Inici")</f>
        <v>Habilitar un clic a Inici</v>
      </c>
      <c r="J261" s="12" t="str">
        <f ca="1">IFERROR(__xludf.DUMMYFUNCTION("GOOGLETRANSLATE($B261,""en"",J$3)"),"Umožňují jedním kliknutím na Start")</f>
        <v>Umožňují jedním kliknutím na Start</v>
      </c>
      <c r="K261" s="12" t="str">
        <f ca="1">IFERROR(__xludf.DUMMYFUNCTION("GOOGLETRANSLATE($B261,""en"",K$3)"),"启用一键式启动")</f>
        <v>启用一键式启动</v>
      </c>
      <c r="L261" s="12" t="str">
        <f ca="1">IFERROR(__xludf.DUMMYFUNCTION("GOOGLETRANSLATE($B261,""en"",L$3)"),"啟用一鍵式啟動")</f>
        <v>啟用一鍵式啟動</v>
      </c>
      <c r="M261" s="12" t="str">
        <f ca="1">IFERROR(__xludf.DUMMYFUNCTION("GOOGLETRANSLATE($B261,""en"",M$3)"),"Inschakelen One-Click Start")</f>
        <v>Inschakelen One-Click Start</v>
      </c>
      <c r="N261" s="12" t="str">
        <f ca="1">IFERROR(__xludf.DUMMYFUNCTION("GOOGLETRANSLATE($B261,""en"",N$3)"),"Ενεργοποίηση με ένα κλικ Έναρξη")</f>
        <v>Ενεργοποίηση με ένα κλικ Έναρξη</v>
      </c>
      <c r="O261" s="12" t="str">
        <f ca="1">IFERROR(__xludf.DUMMYFUNCTION("GOOGLETRANSLATE($B261,""en"",O$3)"),"Ota Yhden Napsauta Käynnistä")</f>
        <v>Ota Yhden Napsauta Käynnistä</v>
      </c>
      <c r="P261" s="12" t="str">
        <f ca="1">IFERROR(__xludf.DUMMYFUNCTION("GOOGLETRANSLATE($B261,""en"",P$3)"),"Cumasaigh One-Cliceáil Tosaigh")</f>
        <v>Cumasaigh One-Cliceáil Tosaigh</v>
      </c>
      <c r="Q261" s="12" t="str">
        <f ca="1">IFERROR(__xludf.DUMMYFUNCTION("GOOGLETRANSLATE($B261,""en"",Q$3)"),"فعال کردن شروع با یک کلیک")</f>
        <v>فعال کردن شروع با یک کلیک</v>
      </c>
      <c r="R261" s="12" t="str">
        <f ca="1">IFERROR(__xludf.DUMMYFUNCTION("GOOGLETRANSLATE($B261,""en"",R$3)"),"אפשר בלחיצה אחת התחל")</f>
        <v>אפשר בלחיצה אחת התחל</v>
      </c>
      <c r="S261" s="12" t="str">
        <f ca="1">IFERROR(__xludf.DUMMYFUNCTION("GOOGLETRANSLATE($B261,""en"",S$3)"),"Virkja One-Click Start")</f>
        <v>Virkja One-Click Start</v>
      </c>
      <c r="T261" s="12" t="str">
        <f ca="1">IFERROR(__xludf.DUMMYFUNCTION("GOOGLETRANSLATE($B261,""en"",T$3)"),"Aktiver ett klikk på Start")</f>
        <v>Aktiver ett klikk på Start</v>
      </c>
      <c r="U261" s="12" t="str">
        <f ca="1">IFERROR(__xludf.DUMMYFUNCTION("GOOGLETRANSLATE($B261,""en"",U$3)"),"تمكين واحدة انقر فوق ابدأ")</f>
        <v>تمكين واحدة انقر فوق ابدأ</v>
      </c>
      <c r="V261" s="12" t="str">
        <f ca="1">IFERROR(__xludf.DUMMYFUNCTION("GOOGLETRANSLATE($B261,""en"",V$3)"),"Włącz jednego kliknięcia Start,")</f>
        <v>Włącz jednego kliknięcia Start,</v>
      </c>
      <c r="W261" s="12" t="str">
        <f ca="1">IFERROR(__xludf.DUMMYFUNCTION("GOOGLETRANSLATE($B261,""en"",W$3)"),"Включить One-Click Start")</f>
        <v>Включить One-Click Start</v>
      </c>
      <c r="X261" s="12" t="str">
        <f ca="1">IFERROR(__xludf.DUMMYFUNCTION("GOOGLETRANSLATE($B261,""en"",X$3)"),"Habilitar un clic en Inicio")</f>
        <v>Habilitar un clic en Inicio</v>
      </c>
      <c r="Y261" s="12"/>
      <c r="Z261" s="12"/>
    </row>
    <row r="262" spans="1:26" ht="32.25" customHeight="1" x14ac:dyDescent="0.2">
      <c r="A262" s="17" t="s">
        <v>646</v>
      </c>
      <c r="B262" s="17" t="s">
        <v>647</v>
      </c>
      <c r="C262" s="11" t="str">
        <f ca="1">IFERROR(__xludf.DUMMYFUNCTION("GOOGLETRANSLATE($B265,""en"",C$3)"),"Geben Sie den neuen Dos Boxname")</f>
        <v>Geben Sie den neuen Dos Boxname</v>
      </c>
      <c r="D262" s="12" t="str">
        <f ca="1">IFERROR(__xludf.DUMMYFUNCTION("GOOGLETRANSLATE($B262,""en"",D$3)"),"aktivera Other")</f>
        <v>aktivera Other</v>
      </c>
      <c r="E262" s="11" t="str">
        <f ca="1">IFERROR(__xludf.DUMMYFUNCTION("GOOGLETRANSLATE($B263,""en"",E$3)"),"Inglês")</f>
        <v>Inglês</v>
      </c>
      <c r="F262" s="11" t="str">
        <f ca="1">IFERROR(__xludf.DUMMYFUNCTION("GOOGLETRANSLATE($B263,""en"",F$3)"),"Inglês")</f>
        <v>Inglês</v>
      </c>
      <c r="G262" s="12" t="str">
        <f ca="1">IFERROR(__xludf.DUMMYFUNCTION("GOOGLETRANSLATE($B262,""en"",G$3)"),"activer Autre")</f>
        <v>activer Autre</v>
      </c>
      <c r="H262" s="12" t="str">
        <f ca="1">IFERROR(__xludf.DUMMYFUNCTION("GOOGLETRANSLATE($B262,""en"",H$3)"),"Gaitu Beste")</f>
        <v>Gaitu Beste</v>
      </c>
      <c r="I262" s="12" t="str">
        <f ca="1">IFERROR(__xludf.DUMMYFUNCTION("GOOGLETRANSLATE($B262,""en"",I$3)"),"habilitar Altres")</f>
        <v>habilitar Altres</v>
      </c>
      <c r="J262" s="12" t="str">
        <f ca="1">IFERROR(__xludf.DUMMYFUNCTION("GOOGLETRANSLATE($B262,""en"",J$3)"),"aktivovat Other")</f>
        <v>aktivovat Other</v>
      </c>
      <c r="K262" s="12" t="str">
        <f ca="1">IFERROR(__xludf.DUMMYFUNCTION("GOOGLETRANSLATE($B262,""en"",K$3)"),"使其他")</f>
        <v>使其他</v>
      </c>
      <c r="L262" s="12" t="str">
        <f ca="1">IFERROR(__xludf.DUMMYFUNCTION("GOOGLETRANSLATE($B262,""en"",L$3)"),"使其他")</f>
        <v>使其他</v>
      </c>
      <c r="M262" s="12" t="str">
        <f ca="1">IFERROR(__xludf.DUMMYFUNCTION("GOOGLETRANSLATE($B262,""en"",M$3)"),"inschakelen Andere")</f>
        <v>inschakelen Andere</v>
      </c>
      <c r="N262" s="12" t="str">
        <f ca="1">IFERROR(__xludf.DUMMYFUNCTION("GOOGLETRANSLATE($B262,""en"",N$3)"),"Ενεργοποίηση Άλλα")</f>
        <v>Ενεργοποίηση Άλλα</v>
      </c>
      <c r="O262" s="12" t="str">
        <f ca="1">IFERROR(__xludf.DUMMYFUNCTION("GOOGLETRANSLATE($B262,""en"",O$3)"),"Ota muut")</f>
        <v>Ota muut</v>
      </c>
      <c r="P262" s="12" t="str">
        <f ca="1">IFERROR(__xludf.DUMMYFUNCTION("GOOGLETRANSLATE($B262,""en"",P$3)"),"Cumasaigh Eile")</f>
        <v>Cumasaigh Eile</v>
      </c>
      <c r="Q262" s="12" t="str">
        <f ca="1">IFERROR(__xludf.DUMMYFUNCTION("GOOGLETRANSLATE($B262,""en"",Q$3)"),"فعال کردن دیگر")</f>
        <v>فعال کردن دیگر</v>
      </c>
      <c r="R262" s="12" t="str">
        <f ca="1">IFERROR(__xludf.DUMMYFUNCTION("GOOGLETRANSLATE($B262,""en"",R$3)"),"אפשר אחרים")</f>
        <v>אפשר אחרים</v>
      </c>
      <c r="S262" s="12" t="str">
        <f ca="1">IFERROR(__xludf.DUMMYFUNCTION("GOOGLETRANSLATE($B262,""en"",S$3)"),"virkja Annað")</f>
        <v>virkja Annað</v>
      </c>
      <c r="T262" s="12" t="str">
        <f ca="1">IFERROR(__xludf.DUMMYFUNCTION("GOOGLETRANSLATE($B262,""en"",T$3)"),"aktiver Annen")</f>
        <v>aktiver Annen</v>
      </c>
      <c r="U262" s="12" t="str">
        <f ca="1">IFERROR(__xludf.DUMMYFUNCTION("GOOGLETRANSLATE($B262,""en"",U$3)"),"تمكين أخرى")</f>
        <v>تمكين أخرى</v>
      </c>
      <c r="V262" s="12" t="str">
        <f ca="1">IFERROR(__xludf.DUMMYFUNCTION("GOOGLETRANSLATE($B262,""en"",V$3)"),"Włącz Inne")</f>
        <v>Włącz Inne</v>
      </c>
      <c r="W262" s="12" t="str">
        <f ca="1">IFERROR(__xludf.DUMMYFUNCTION("GOOGLETRANSLATE($B262,""en"",W$3)"),"Включить Другое")</f>
        <v>Включить Другое</v>
      </c>
      <c r="X262" s="12" t="str">
        <f ca="1">IFERROR(__xludf.DUMMYFUNCTION("GOOGLETRANSLATE($B262,""en"",X$3)"),"Habilitar Otros")</f>
        <v>Habilitar Otros</v>
      </c>
      <c r="Y262" s="12"/>
      <c r="Z262" s="12"/>
    </row>
    <row r="263" spans="1:26" ht="32.25" customHeight="1" x14ac:dyDescent="0.2">
      <c r="A263" s="10" t="s">
        <v>648</v>
      </c>
      <c r="B263" s="10" t="s">
        <v>648</v>
      </c>
      <c r="C263" s="11" t="str">
        <f ca="1">IFERROR(__xludf.DUMMYFUNCTION("GOOGLETRANSLATE($B263,""en"",C$3)"),"Englisch")</f>
        <v>Englisch</v>
      </c>
      <c r="D263" s="11" t="str">
        <f ca="1">IFERROR(__xludf.DUMMYFUNCTION("GOOGLETRANSLATE($B263,""en"",D$3)"),"engelsk")</f>
        <v>engelsk</v>
      </c>
      <c r="E263" s="11" t="str">
        <f ca="1">IFERROR(__xludf.DUMMYFUNCTION("GOOGLETRANSLATE($B263,""en"",E$3)"),"Inglês")</f>
        <v>Inglês</v>
      </c>
      <c r="F263" s="11" t="str">
        <f ca="1">IFERROR(__xludf.DUMMYFUNCTION("GOOGLETRANSLATE($B263,""en"",F$3)"),"Inglês")</f>
        <v>Inglês</v>
      </c>
      <c r="G263" s="11" t="str">
        <f ca="1">IFERROR(__xludf.DUMMYFUNCTION("GOOGLETRANSLATE($B263,""en"",G$3)"),"Anglais")</f>
        <v>Anglais</v>
      </c>
      <c r="H263" s="11" t="str">
        <f ca="1">IFERROR(__xludf.DUMMYFUNCTION("GOOGLETRANSLATE($B263,""en"",H$3)"),"English")</f>
        <v>English</v>
      </c>
      <c r="I263" s="11" t="str">
        <f ca="1">IFERROR(__xludf.DUMMYFUNCTION("GOOGLETRANSLATE($B263,""en"",I$3)"),"Anglès")</f>
        <v>Anglès</v>
      </c>
      <c r="J263" s="11" t="str">
        <f ca="1">IFERROR(__xludf.DUMMYFUNCTION("GOOGLETRANSLATE($B263,""en"",J$3)"),"Angličtina")</f>
        <v>Angličtina</v>
      </c>
      <c r="K263" s="11" t="str">
        <f ca="1">IFERROR(__xludf.DUMMYFUNCTION("GOOGLETRANSLATE($B263,""en"",K$3)"),"英语")</f>
        <v>英语</v>
      </c>
      <c r="L263" s="11" t="str">
        <f ca="1">IFERROR(__xludf.DUMMYFUNCTION("GOOGLETRANSLATE($B263,""en"",L$3)"),"英語")</f>
        <v>英語</v>
      </c>
      <c r="M263" s="11" t="str">
        <f ca="1">IFERROR(__xludf.DUMMYFUNCTION("GOOGLETRANSLATE($B263,""en"",M$3)"),"Engels")</f>
        <v>Engels</v>
      </c>
      <c r="N263" s="11" t="str">
        <f ca="1">IFERROR(__xludf.DUMMYFUNCTION("GOOGLETRANSLATE($B263,""en"",N$3)"),"Αγγλικά")</f>
        <v>Αγγλικά</v>
      </c>
      <c r="O263" s="11" t="str">
        <f ca="1">IFERROR(__xludf.DUMMYFUNCTION("GOOGLETRANSLATE($B263,""en"",O$3)"),"Englanti")</f>
        <v>Englanti</v>
      </c>
      <c r="P263" s="11" t="str">
        <f ca="1">IFERROR(__xludf.DUMMYFUNCTION("GOOGLETRANSLATE($B263,""en"",P$3)"),"Béarla")</f>
        <v>Béarla</v>
      </c>
      <c r="Q263" s="11" t="str">
        <f ca="1">IFERROR(__xludf.DUMMYFUNCTION("GOOGLETRANSLATE($B263,""en"",Q$3)"),"انگلیسی")</f>
        <v>انگلیسی</v>
      </c>
      <c r="R263" s="11" t="str">
        <f ca="1">IFERROR(__xludf.DUMMYFUNCTION("GOOGLETRANSLATE($B263,""en"",R$3)"),"אנגלית")</f>
        <v>אנגלית</v>
      </c>
      <c r="S263" s="11" t="str">
        <f ca="1">IFERROR(__xludf.DUMMYFUNCTION("GOOGLETRANSLATE($B263,""en"",S$3)"),"Enska")</f>
        <v>Enska</v>
      </c>
      <c r="T263" s="11" t="str">
        <f ca="1">IFERROR(__xludf.DUMMYFUNCTION("GOOGLETRANSLATE($B263,""en"",T$3)"),"Engelsk")</f>
        <v>Engelsk</v>
      </c>
      <c r="U263" s="11" t="str">
        <f ca="1">IFERROR(__xludf.DUMMYFUNCTION("GOOGLETRANSLATE($B263,""en"",U$3)"),"الإنجليزية")</f>
        <v>الإنجليزية</v>
      </c>
      <c r="V263" s="11" t="str">
        <f ca="1">IFERROR(__xludf.DUMMYFUNCTION("GOOGLETRANSLATE($B263,""en"",V$3)"),"język angielski")</f>
        <v>język angielski</v>
      </c>
      <c r="W263" s="11" t="str">
        <f ca="1">IFERROR(__xludf.DUMMYFUNCTION("GOOGLETRANSLATE($B263,""en"",W$3)"),"английский")</f>
        <v>английский</v>
      </c>
      <c r="X263" s="11" t="str">
        <f ca="1">IFERROR(__xludf.DUMMYFUNCTION("GOOGLETRANSLATE($B263,""en"",X$3)"),"Inglés")</f>
        <v>Inglés</v>
      </c>
    </row>
    <row r="264" spans="1:26" ht="32.25" customHeight="1" x14ac:dyDescent="0.2">
      <c r="A264" s="10" t="s">
        <v>649</v>
      </c>
      <c r="B264" s="10" t="s">
        <v>650</v>
      </c>
      <c r="C264" s="11" t="str">
        <f ca="1">IFERROR(__xludf.DUMMYFUNCTION("GOOGLETRANSLATE($B264,""en"",C$3)"),"Geben Sie den Vor- und Nachnamen des Benutzers")</f>
        <v>Geben Sie den Vor- und Nachnamen des Benutzers</v>
      </c>
      <c r="D264" s="11" t="str">
        <f ca="1">IFERROR(__xludf.DUMMYFUNCTION("GOOGLETRANSLATE($B264,""en"",D$3)"),"Ange det första och sista namnet på användaren")</f>
        <v>Ange det första och sista namnet på användaren</v>
      </c>
      <c r="E264" s="11" t="str">
        <f ca="1">IFERROR(__xludf.DUMMYFUNCTION("GOOGLETRANSLATE($B264,""en"",E$3)"),"Digite o primeiro e último nome do usuário")</f>
        <v>Digite o primeiro e último nome do usuário</v>
      </c>
      <c r="F264" s="11" t="str">
        <f ca="1">IFERROR(__xludf.DUMMYFUNCTION("GOOGLETRANSLATE($B264,""en"",F$3)"),"Digite o primeiro e último nome do usuário")</f>
        <v>Digite o primeiro e último nome do usuário</v>
      </c>
      <c r="G264" s="11" t="str">
        <f ca="1">IFERROR(__xludf.DUMMYFUNCTION("GOOGLETRANSLATE($B264,""en"",G$3)"),"Entrez le nom et prénom de l'utilisateur")</f>
        <v>Entrez le nom et prénom de l'utilisateur</v>
      </c>
      <c r="H264" s="11" t="str">
        <f ca="1">IFERROR(__xludf.DUMMYFUNCTION("GOOGLETRANSLATE($B264,""en"",H$3)"),"Idatzi Lehenik eta Azken erabiltzaile-izena")</f>
        <v>Idatzi Lehenik eta Azken erabiltzaile-izena</v>
      </c>
      <c r="I264" s="11" t="str">
        <f ca="1">IFERROR(__xludf.DUMMYFUNCTION("GOOGLETRANSLATE($B264,""en"",I$3)"),"Introduïu el nom i cognom de l'usuari")</f>
        <v>Introduïu el nom i cognom de l'usuari</v>
      </c>
      <c r="J264" s="11" t="str">
        <f ca="1">IFERROR(__xludf.DUMMYFUNCTION("GOOGLETRANSLATE($B264,""en"",J$3)"),"Zadejte jméno a příjmení uživatele")</f>
        <v>Zadejte jméno a příjmení uživatele</v>
      </c>
      <c r="K264" s="11" t="str">
        <f ca="1">IFERROR(__xludf.DUMMYFUNCTION("GOOGLETRANSLATE($B264,""en"",K$3)"),"输入用户的名字和姓氏")</f>
        <v>输入用户的名字和姓氏</v>
      </c>
      <c r="L264" s="11" t="str">
        <f ca="1">IFERROR(__xludf.DUMMYFUNCTION("GOOGLETRANSLATE($B264,""en"",L$3)"),"輸入用戶的名字和姓氏")</f>
        <v>輸入用戶的名字和姓氏</v>
      </c>
      <c r="M264" s="11" t="str">
        <f ca="1">IFERROR(__xludf.DUMMYFUNCTION("GOOGLETRANSLATE($B264,""en"",M$3)"),"Voer de voor- en achternaam van de gebruiker")</f>
        <v>Voer de voor- en achternaam van de gebruiker</v>
      </c>
      <c r="N264" s="11" t="str">
        <f ca="1">IFERROR(__xludf.DUMMYFUNCTION("GOOGLETRANSLATE($B264,""en"",N$3)"),"Πληκτρολογήστε το όνομα και το επώνυμο του χρήστη")</f>
        <v>Πληκτρολογήστε το όνομα και το επώνυμο του χρήστη</v>
      </c>
      <c r="O264" s="11" t="str">
        <f ca="1">IFERROR(__xludf.DUMMYFUNCTION("GOOGLETRANSLATE($B264,""en"",O$3)"),"Anna etu- ja sukunimi käyttäjän")</f>
        <v>Anna etu- ja sukunimi käyttäjän</v>
      </c>
      <c r="P264" s="11" t="str">
        <f ca="1">IFERROR(__xludf.DUMMYFUNCTION("GOOGLETRANSLATE($B264,""en"",P$3)"),"Cuir isteach an chéad agus an Last ainm an úsáideora")</f>
        <v>Cuir isteach an chéad agus an Last ainm an úsáideora</v>
      </c>
      <c r="Q264" s="11" t="str">
        <f ca="1">IFERROR(__xludf.DUMMYFUNCTION("GOOGLETRANSLATE($B264,""en"",Q$3)"),"اولین و آخرین نام کاربری را وارد کنید")</f>
        <v>اولین و آخرین نام کاربری را وارد کنید</v>
      </c>
      <c r="R264" s="11" t="str">
        <f ca="1">IFERROR(__xludf.DUMMYFUNCTION("GOOGLETRANSLATE($B264,""en"",R$3)"),"הזן את השם הפרטי ושם המשפחה של המשתמש")</f>
        <v>הזן את השם הפרטי ושם המשפחה של המשתמש</v>
      </c>
      <c r="S264" s="11" t="str">
        <f ca="1">IFERROR(__xludf.DUMMYFUNCTION("GOOGLETRANSLATE($B264,""en"",S$3)"),"Sláðu inn fyrst og síðast nafn notandans")</f>
        <v>Sláðu inn fyrst og síðast nafn notandans</v>
      </c>
      <c r="T264" s="11" t="str">
        <f ca="1">IFERROR(__xludf.DUMMYFUNCTION("GOOGLETRANSLATE($B264,""en"",T$3)"),"Skriv inn fornavn og etternavn på brukeren")</f>
        <v>Skriv inn fornavn og etternavn på brukeren</v>
      </c>
      <c r="U264" s="11" t="str">
        <f ca="1">IFERROR(__xludf.DUMMYFUNCTION("GOOGLETRANSLATE($B264,""en"",U$3)"),"أدخل الاسم الأول والأخير للمستخدم")</f>
        <v>أدخل الاسم الأول والأخير للمستخدم</v>
      </c>
      <c r="V264" s="11" t="str">
        <f ca="1">IFERROR(__xludf.DUMMYFUNCTION("GOOGLETRANSLATE($B264,""en"",V$3)"),"Wprowadź nazwę pierwszego i ostatniego użytkownika")</f>
        <v>Wprowadź nazwę pierwszego i ostatniego użytkownika</v>
      </c>
      <c r="W264" s="11" t="str">
        <f ca="1">IFERROR(__xludf.DUMMYFUNCTION("GOOGLETRANSLATE($B264,""en"",W$3)"),"Введите имя первого и последнего пользователя")</f>
        <v>Введите имя первого и последнего пользователя</v>
      </c>
      <c r="X264" s="11" t="str">
        <f ca="1">IFERROR(__xludf.DUMMYFUNCTION("GOOGLETRANSLATE($B264,""en"",X$3)"),"Introduzca el nombre y apellido del usuario")</f>
        <v>Introduzca el nombre y apellido del usuario</v>
      </c>
    </row>
    <row r="265" spans="1:26" ht="32.25" customHeight="1" x14ac:dyDescent="0.2">
      <c r="A265" s="17" t="s">
        <v>651</v>
      </c>
      <c r="B265" s="17" t="s">
        <v>652</v>
      </c>
      <c r="C265" s="11" t="str">
        <f ca="1">IFERROR(__xludf.DUMMYFUNCTION("GOOGLETRANSLATE($B269,""en"",C$3)"),"Geben Sie einen Namen für die Sicherungs")</f>
        <v>Geben Sie einen Namen für die Sicherungs</v>
      </c>
      <c r="D265" s="12" t="str">
        <f ca="1">IFERROR(__xludf.DUMMYFUNCTION("GOOGLETRANSLATE($B265,""en"",D$3)"),"Skriv in det nya Dos Box namn")</f>
        <v>Skriv in det nya Dos Box namn</v>
      </c>
      <c r="E265" s="12" t="str">
        <f ca="1">IFERROR(__xludf.DUMMYFUNCTION("GOOGLETRANSLATE($B265,""en"",E$3)"),"Digite o novo nome Dos Box")</f>
        <v>Digite o novo nome Dos Box</v>
      </c>
      <c r="F265" s="12" t="str">
        <f ca="1">IFERROR(__xludf.DUMMYFUNCTION("GOOGLETRANSLATE($B265,""en"",F$3)"),"Digite o novo nome Dos Box")</f>
        <v>Digite o novo nome Dos Box</v>
      </c>
      <c r="G265" s="12" t="str">
        <f ca="1">IFERROR(__xludf.DUMMYFUNCTION("GOOGLETRANSLATE($B265,""en"",G$3)"),"Entrez le nouveau nom de la boîte Dos")</f>
        <v>Entrez le nouveau nom de la boîte Dos</v>
      </c>
      <c r="H265" s="12" t="str">
        <f ca="1">IFERROR(__xludf.DUMMYFUNCTION("GOOGLETRANSLATE($B265,""en"",H$3)"),"Sartu new Dos Box-izena")</f>
        <v>Sartu new Dos Box-izena</v>
      </c>
      <c r="I265" s="12" t="str">
        <f ca="1">IFERROR(__xludf.DUMMYFUNCTION("GOOGLETRANSLATE($B265,""en"",I$3)"),"Introduïu el nou nom Dues Box")</f>
        <v>Introduïu el nou nom Dues Box</v>
      </c>
      <c r="J265" s="12" t="str">
        <f ca="1">IFERROR(__xludf.DUMMYFUNCTION("GOOGLETRANSLATE($B265,""en"",J$3)"),"Zadejte nový název Dos Box")</f>
        <v>Zadejte nový název Dos Box</v>
      </c>
      <c r="K265" s="12" t="str">
        <f ca="1">IFERROR(__xludf.DUMMYFUNCTION("GOOGLETRANSLATE($B265,""en"",K$3)"),"输入新的DOS窗口名称")</f>
        <v>输入新的DOS窗口名称</v>
      </c>
      <c r="L265" s="12" t="str">
        <f ca="1">IFERROR(__xludf.DUMMYFUNCTION("GOOGLETRANSLATE($B265,""en"",L$3)"),"輸入新的DOS窗口名稱")</f>
        <v>輸入新的DOS窗口名稱</v>
      </c>
      <c r="M265" s="12" t="str">
        <f ca="1">IFERROR(__xludf.DUMMYFUNCTION("GOOGLETRANSLATE($B265,""en"",M$3)"),"Voer de nieuwe Dos Boxnaam")</f>
        <v>Voer de nieuwe Dos Boxnaam</v>
      </c>
      <c r="N265" s="12" t="str">
        <f ca="1">IFERROR(__xludf.DUMMYFUNCTION("GOOGLETRANSLATE($B265,""en"",N$3)"),"Πληκτρολογήστε το νέο όνομα Dos ασφαλείας")</f>
        <v>Πληκτρολογήστε το νέο όνομα Dos ασφαλείας</v>
      </c>
      <c r="O265" s="12" t="str">
        <f ca="1">IFERROR(__xludf.DUMMYFUNCTION("GOOGLETRANSLATE($B265,""en"",O$3)"),"Anna uusi DOS-nimi")</f>
        <v>Anna uusi DOS-nimi</v>
      </c>
      <c r="P265" s="12" t="str">
        <f ca="1">IFERROR(__xludf.DUMMYFUNCTION("GOOGLETRANSLATE($B265,""en"",P$3)"),"Iontráil ainm nua Dos Bosca")</f>
        <v>Iontráil ainm nua Dos Bosca</v>
      </c>
      <c r="Q265" s="12" t="str">
        <f ca="1">IFERROR(__xludf.DUMMYFUNCTION("GOOGLETRANSLATE($B265,""en"",Q$3)"),"نام جدید دوس جعبه را وارد کنید")</f>
        <v>نام جدید دوس جعبه را وارد کنید</v>
      </c>
      <c r="R265" s="12" t="str">
        <f ca="1">IFERROR(__xludf.DUMMYFUNCTION("GOOGLETRANSLATE($B265,""en"",R$3)"),"הזן את שם דוס Box החדש")</f>
        <v>הזן את שם דוס Box החדש</v>
      </c>
      <c r="S265" s="12" t="str">
        <f ca="1">IFERROR(__xludf.DUMMYFUNCTION("GOOGLETRANSLATE($B265,""en"",S$3)"),"Sláðu inn nýja Dos Box nafnið")</f>
        <v>Sláðu inn nýja Dos Box nafnið</v>
      </c>
      <c r="T265" s="12" t="str">
        <f ca="1">IFERROR(__xludf.DUMMYFUNCTION("GOOGLETRANSLATE($B265,""en"",T$3)"),"Skriv inn det nye Dos Box navn")</f>
        <v>Skriv inn det nye Dos Box navn</v>
      </c>
      <c r="U265" s="12" t="str">
        <f ca="1">IFERROR(__xludf.DUMMYFUNCTION("GOOGLETRANSLATE($B265,""en"",U$3)"),"أدخل اسم دوس صندوق جديد")</f>
        <v>أدخل اسم دوس صندوق جديد</v>
      </c>
      <c r="V265" s="12" t="str">
        <f ca="1">IFERROR(__xludf.DUMMYFUNCTION("GOOGLETRANSLATE($B265,""en"",V$3)"),"Wprowadź nową nazwę Dos Box")</f>
        <v>Wprowadź nową nazwę Dos Box</v>
      </c>
      <c r="W265" s="12" t="str">
        <f ca="1">IFERROR(__xludf.DUMMYFUNCTION("GOOGLETRANSLATE($B265,""en"",W$3)"),"Введите новое имя Dos Box")</f>
        <v>Введите новое имя Dos Box</v>
      </c>
      <c r="X265" s="12" t="str">
        <f ca="1">IFERROR(__xludf.DUMMYFUNCTION("GOOGLETRANSLATE($B265,""en"",X$3)"),"Introduzca el nuevo nombre Dos Box")</f>
        <v>Introduzca el nuevo nombre Dos Box</v>
      </c>
      <c r="Y265" s="12"/>
      <c r="Z265" s="12"/>
    </row>
    <row r="266" spans="1:26" ht="32.25" customHeight="1" x14ac:dyDescent="0.2">
      <c r="A266" s="17" t="s">
        <v>653</v>
      </c>
      <c r="B266" s="17" t="s">
        <v>654</v>
      </c>
      <c r="C266" s="11" t="str">
        <f ca="1">IFERROR(__xludf.DUMMYFUNCTION("GOOGLETRANSLATE($B270,""en"",C$3)"),"Fehler: Konnte nicht starten DreamGridInstaller.exe.")</f>
        <v>Fehler: Konnte nicht starten DreamGridInstaller.exe.</v>
      </c>
      <c r="D266" s="12" t="str">
        <f ca="1">IFERROR(__xludf.DUMMYFUNCTION("GOOGLETRANSLATE($B266,""en"",D$3)"),"Ange det objektnamn ( '/' kommer säkerhetskopiera allt, och '/ objekt / box' kommer att backa upp 'box' i mapp Objects")</f>
        <v>Ange det objektnamn ( '/' kommer säkerhetskopiera allt, och '/ objekt / box' kommer att backa upp 'box' i mapp Objects</v>
      </c>
      <c r="E266" s="12" t="str">
        <f ca="1">IFERROR(__xludf.DUMMYFUNCTION("GOOGLETRANSLATE($B266,""en"",E$3)"),"Digite o nome do objeto ( '/' irá backup de tudo, e '/ Objetos / caixa de' back-up 'caixa' na pasta Objetos")</f>
        <v>Digite o nome do objeto ( '/' irá backup de tudo, e '/ Objetos / caixa de' back-up 'caixa' na pasta Objetos</v>
      </c>
      <c r="F266" s="12" t="str">
        <f ca="1">IFERROR(__xludf.DUMMYFUNCTION("GOOGLETRANSLATE($B266,""en"",F$3)"),"Digite o nome do objeto ( '/' irá backup de tudo, e '/ Objetos / caixa de' back-up 'caixa' na pasta Objetos")</f>
        <v>Digite o nome do objeto ( '/' irá backup de tudo, e '/ Objetos / caixa de' back-up 'caixa' na pasta Objetos</v>
      </c>
      <c r="G266" s="12" t="str">
        <f ca="1">IFERROR(__xludf.DUMMYFUNCTION("GOOGLETRANSLATE($B266,""en"",G$3)"),"Entrez le nom de l'objet ( « / » sera tout de sauvegarde, et « / objets / boîte » sauvegardera « boîte » dans les objets de dossier")</f>
        <v>Entrez le nom de l'objet ( « / » sera tout de sauvegarde, et « / objets / boîte » sauvegardera « boîte » dans les objets de dossier</v>
      </c>
      <c r="H266" s="12" t="str">
        <f ca="1">IFERROR(__xludf.DUMMYFUNCTION("GOOGLETRANSLATE($B266,""en"",H$3)"),"Idatzi Objektu izenarekin ( '/' izango backup guztia, eta '/ objektuak / kutxa' babeskopia egingo 'box' karpeta Objektuak in")</f>
        <v>Idatzi Objektu izenarekin ( '/' izango backup guztia, eta '/ objektuak / kutxa' babeskopia egingo 'box' karpeta Objektuak in</v>
      </c>
      <c r="I266" s="12" t="str">
        <f ca="1">IFERROR(__xludf.DUMMYFUNCTION("GOOGLETRANSLATE($B266,""en"",I$3)"),"Introdueix el nom de l'objecte ( '/' es copia de seguretat de tot, i '/ Objectes / caixa' serà una còpia de seguretat 'caixa' a la carpeta Objectes")</f>
        <v>Introdueix el nom de l'objecte ( '/' es copia de seguretat de tot, i '/ Objectes / caixa' serà una còpia de seguretat 'caixa' a la carpeta Objectes</v>
      </c>
      <c r="J266" s="12" t="str">
        <f ca="1">IFERROR(__xludf.DUMMYFUNCTION("GOOGLETRANSLATE($B266,""en"",J$3)"),"Zadejte název objektu ( ‚/‘ bude zálohovat všechno, a ‚/ objekty / box‘ zálohuje ‚okno‘ ve složce objektů")</f>
        <v>Zadejte název objektu ( ‚/‘ bude zálohovat všechno, a ‚/ objekty / box‘ zálohuje ‚okno‘ ve složce objektů</v>
      </c>
      <c r="K266" s="12" t="str">
        <f ca="1">IFERROR(__xludf.DUMMYFUNCTION("GOOGLETRANSLATE($B266,""en"",K$3)"),"输入对象名称（“/”将备份一切，和“/对象/箱”将备份“盒子”文件夹中对象")</f>
        <v>输入对象名称（“/”将备份一切，和“/对象/箱”将备份“盒子”文件夹中对象</v>
      </c>
      <c r="L266" s="12" t="str">
        <f ca="1">IFERROR(__xludf.DUMMYFUNCTION("GOOGLETRANSLATE($B266,""en"",L$3)"),"輸入對象名稱（'/'將備份一切，和'/對象/箱“將備份”盒子“文件夾中對象")</f>
        <v>輸入對象名稱（'/'將備份一切，和'/對象/箱“將備份”盒子“文件夾中對象</v>
      </c>
      <c r="M266" s="12" t="str">
        <f ca="1">IFERROR(__xludf.DUMMYFUNCTION("GOOGLETRANSLATE($B266,""en"",M$3)"),"Geef de naam Object ( '/' zal back-up alles, en '/ Objecten / box' maakt een back-up 'box' in de map Objects")</f>
        <v>Geef de naam Object ( '/' zal back-up alles, en '/ Objecten / box' maakt een back-up 'box' in de map Objects</v>
      </c>
      <c r="N266" s="12" t="str">
        <f ca="1">IFERROR(__xludf.DUMMYFUNCTION("GOOGLETRANSLATE($B266,""en"",N$3)"),"Πληκτρολογήστε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f>
        <v>Πληκτρολογήστε το όνομα του αντικειμένου ( «/» θα δημιουργίας αντιγράφων ασφαλείας τα πάντα, και «/ αντικείμενα / κουτί» θα δημιουργήσετε αντίγραφα ασφαλείας των «κουτί» στο φάκελο Αντικείμενα</v>
      </c>
      <c r="O266" s="12" t="str">
        <f ca="1">IFERROR(__xludf.DUMMYFUNCTION("GOOGLETRANSLATE($B266,""en"",O$3)"),"Anna objektin nimi ( '/' varmuuskopioi kaiken, ja '/ Objects / laatikko' varmuuskopioi laatikkomaisen kansiossa Esineet")</f>
        <v>Anna objektin nimi ( '/' varmuuskopioi kaiken, ja '/ Objects / laatikko' varmuuskopioi laatikkomaisen kansiossa Esineet</v>
      </c>
      <c r="P266" s="12" t="str">
        <f ca="1">IFERROR(__xludf.DUMMYFUNCTION("GOOGLETRANSLATE($B266,""en"",P$3)"),"Cuir isteach ainm Réad ( '/' Beidh gach rud cúltaca, agus '/ Cuspóirí / bosca' Beidh ar ais go dtí 'bosca' in Réada bhfillteán")</f>
        <v>Cuir isteach ainm Réad ( '/' Beidh gach rud cúltaca, agus '/ Cuspóirí / bosca' Beidh ar ais go dtí 'bosca' in Réada bhfillteán</v>
      </c>
      <c r="Q266" s="12" t="str">
        <f ca="1">IFERROR(__xludf.DUMMYFUNCTION("GOOGLETRANSLATE($B266,""en"",Q$3)"),"نام شی را وارد کنید ( '/' همه چیز پشتیبان گیری، و '/ اشیاء / جعبه خواهد تا از جعبه در اشیاء پوشه")</f>
        <v>نام شی را وارد کنید ( '/' همه چیز پشتیبان گیری، و '/ اشیاء / جعبه خواهد تا از جعبه در اشیاء پوشه</v>
      </c>
      <c r="R266" s="12" t="str">
        <f ca="1">IFERROR(__xludf.DUMMYFUNCTION("GOOGLETRANSLATE($B266,""en"",R$3)"),"הזן את שם האובייקט ( ""/"" יהיה הכל גיבוי, ו ""/ אובייקטים / התיבה"" יהיה לגבות ה""תבניות"" ב אובייקטי תיקייה")</f>
        <v>הזן את שם האובייקט ( "/" יהיה הכל גיבוי, ו "/ אובייקטים / התיבה" יהיה לגבות ה"תבניות" ב אובייקטי תיקייה</v>
      </c>
      <c r="S266" s="12" t="str">
        <f ca="1">IFERROR(__xludf.DUMMYFUNCTION("GOOGLETRANSLATE($B266,""en"",S$3)"),"Sláðu inn Object nafn ( '/' munu öryggisafrit allt, og '/ Objects / kassi vilja taka upp' kassi 'í möppu Objects")</f>
        <v>Sláðu inn Object nafn ( '/' munu öryggisafrit allt, og '/ Objects / kassi vilja taka upp' kassi 'í möppu Objects</v>
      </c>
      <c r="T266" s="12" t="str">
        <f ca="1">IFERROR(__xludf.DUMMYFUNCTION("GOOGLETRANSLATE($B266,""en"",T$3)"),"Skriv inn objektnavnet ( '/' vil sikkerhetskopiere alt, og '/ objekter / box' vil sikkerhetskopiere 'boks' i mappeobjekter")</f>
        <v>Skriv inn objektnavnet ( '/' vil sikkerhetskopiere alt, og '/ objekter / box' vil sikkerhetskopiere 'boks' i mappeobjekter</v>
      </c>
      <c r="U266" s="12" t="str">
        <f ca="1">IFERROR(__xludf.DUMMYFUNCTION("GOOGLETRANSLATE($B266,""en"",U$3)"),"أدخل اسم كائن ( '/' سيكون كل شيء النسخ الاحتياطي، و'/ كائنات / مربع ""سيتم إجراء نسخ احتياطي"" مربع ""في كائنات مجلد")</f>
        <v>أدخل اسم كائن ( '/' سيكون كل شيء النسخ الاحتياطي، و'/ كائنات / مربع "سيتم إجراء نسخ احتياطي" مربع "في كائنات مجلد</v>
      </c>
      <c r="V266" s="12" t="str">
        <f ca="1">IFERROR(__xludf.DUMMYFUNCTION("GOOGLETRANSLATE($B266,""en"",V$3)"),"Wprowadź nazwę obiektu ( „/” będzie backup wszystko, a „/ Przedmioty / box” kopię zapasową „okno” w folderze obiektów")</f>
        <v>Wprowadź nazwę obiektu ( „/” będzie backup wszystko, a „/ Przedmioty / box” kopię zapasową „okno” w folderze obiektów</v>
      </c>
      <c r="W266" s="12" t="str">
        <f ca="1">IFERROR(__xludf.DUMMYFUNCTION("GOOGLETRANSLATE($B266,""en"",W$3)"),"Введите имя объекта ( «/» будет резервное копирование все, и «/ Объекты / ящик» будет создавать резервные копии «окно» в папке объектов")</f>
        <v>Введите имя объекта ( «/» будет резервное копирование все, и «/ Объекты / ящик» будет создавать резервные копии «окно» в папке объектов</v>
      </c>
      <c r="X266" s="12" t="str">
        <f ca="1">IFERROR(__xludf.DUMMYFUNCTION("GOOGLETRANSLATE($B266,""en"",X$3)"),"Introduce el nombre del objeto ( '/' se copia de seguridad de todo, y '/ Objetos / caja' será una copia de seguridad 'caja' en la carpeta Objetos")</f>
        <v>Introduce el nombre del objeto ( '/' se copia de seguridad de todo, y '/ Objetos / caja' será una copia de seguridad 'caja' en la carpeta Objetos</v>
      </c>
      <c r="Y266" s="12"/>
      <c r="Z266" s="12"/>
    </row>
    <row r="267" spans="1:26" ht="32.25" customHeight="1" x14ac:dyDescent="0.2">
      <c r="A267" s="10" t="s">
        <v>655</v>
      </c>
      <c r="B267" s="10" t="s">
        <v>656</v>
      </c>
      <c r="C267" s="21" t="str">
        <f ca="1">IFERROR(__xludf.DUMMYFUNCTION("GOOGLETRANSLATE($B267,""en"",C$3)"),"Geben Sie die Grid Eigentümerinformation")</f>
        <v>Geben Sie die Grid Eigentümerinformation</v>
      </c>
      <c r="D267" s="21" t="str">
        <f ca="1">IFERROR(__xludf.DUMMYFUNCTION("GOOGLETRANSLATE($B267,""en"",D$3)"),"Ange nätägare Information")</f>
        <v>Ange nätägare Information</v>
      </c>
      <c r="E267" s="21" t="str">
        <f ca="1">IFERROR(__xludf.DUMMYFUNCTION("GOOGLETRANSLATE($B267,""en"",E$3)"),"Enter the Grid Informações do proprietário")</f>
        <v>Enter the Grid Informações do proprietário</v>
      </c>
      <c r="F267" s="21" t="str">
        <f ca="1">IFERROR(__xludf.DUMMYFUNCTION("GOOGLETRANSLATE($B267,""en"",F$3)"),"Enter the Grid Informações do proprietário")</f>
        <v>Enter the Grid Informações do proprietário</v>
      </c>
      <c r="G267" s="21" t="str">
        <f ca="1">IFERROR(__xludf.DUMMYFUNCTION("GOOGLETRANSLATE($B267,""en"",G$3)"),"Entrez les informations relatives Grille propriétaire")</f>
        <v>Entrez les informations relatives Grille propriétaire</v>
      </c>
      <c r="H267" s="21" t="str">
        <f ca="1">IFERROR(__xludf.DUMMYFUNCTION("GOOGLETRANSLATE($B267,""en"",H$3)"),"Sartu Grid jabearen informazioa")</f>
        <v>Sartu Grid jabearen informazioa</v>
      </c>
      <c r="I267" s="21" t="str">
        <f ca="1">IFERROR(__xludf.DUMMYFUNCTION("GOOGLETRANSLATE($B267,""en"",I$3)"),"Introduïu la Xarxa d'Informació de l'propietari")</f>
        <v>Introduïu la Xarxa d'Informació de l'propietari</v>
      </c>
      <c r="J267" s="21" t="str">
        <f ca="1">IFERROR(__xludf.DUMMYFUNCTION("GOOGLETRANSLATE($B267,""en"",J$3)"),"Zadejte Grid Informace o vlastníkovi")</f>
        <v>Zadejte Grid Informace o vlastníkovi</v>
      </c>
      <c r="K267" s="21" t="str">
        <f ca="1">IFERROR(__xludf.DUMMYFUNCTION("GOOGLETRANSLATE($B267,""en"",K$3)"),"输入电网所有者信息")</f>
        <v>输入电网所有者信息</v>
      </c>
      <c r="L267" s="21" t="str">
        <f ca="1">IFERROR(__xludf.DUMMYFUNCTION("GOOGLETRANSLATE($B267,""en"",L$3)"),"輸入電網所有者信息")</f>
        <v>輸入電網所有者信息</v>
      </c>
      <c r="M267" s="21" t="str">
        <f ca="1">IFERROR(__xludf.DUMMYFUNCTION("GOOGLETRANSLATE($B267,""en"",M$3)"),"Voer de Grid Owner Information")</f>
        <v>Voer de Grid Owner Information</v>
      </c>
      <c r="N267" s="21" t="str">
        <f ca="1">IFERROR(__xludf.DUMMYFUNCTION("GOOGLETRANSLATE($B267,""en"",N$3)"),"Πληκτρολογήστε το Grid Πληροφορίες Ιδιοκτήτη")</f>
        <v>Πληκτρολογήστε το Grid Πληροφορίες Ιδιοκτήτη</v>
      </c>
      <c r="O267" s="21" t="str">
        <f ca="1">IFERROR(__xludf.DUMMYFUNCTION("GOOGLETRANSLATE($B267,""en"",O$3)"),"Anna Grid Omistajan tiedot")</f>
        <v>Anna Grid Omistajan tiedot</v>
      </c>
      <c r="P267" s="21" t="str">
        <f ca="1">IFERROR(__xludf.DUMMYFUNCTION("GOOGLETRANSLATE($B267,""en"",P$3)"),"Cuir isteach an Úinéir Grid Faisnéise")</f>
        <v>Cuir isteach an Úinéir Grid Faisnéise</v>
      </c>
      <c r="Q267" s="21" t="str">
        <f ca="1">IFERROR(__xludf.DUMMYFUNCTION("GOOGLETRANSLATE($B267,""en"",Q$3)"),"وارد شبکه اطلاعات مالک")</f>
        <v>وارد شبکه اطلاعات مالک</v>
      </c>
      <c r="R267" s="21" t="str">
        <f ca="1">IFERROR(__xludf.DUMMYFUNCTION("GOOGLETRANSLATE($B267,""en"",R$3)"),"הזן את פרטי בעלי Grid")</f>
        <v>הזן את פרטי בעלי Grid</v>
      </c>
      <c r="S267" s="21" t="str">
        <f ca="1">IFERROR(__xludf.DUMMYFUNCTION("GOOGLETRANSLATE($B267,""en"",S$3)"),"Sláðu inn Grid Owner Upplýsingar")</f>
        <v>Sláðu inn Grid Owner Upplýsingar</v>
      </c>
      <c r="T267" s="21" t="str">
        <f ca="1">IFERROR(__xludf.DUMMYFUNCTION("GOOGLETRANSLATE($B267,""en"",T$3)"),"Skriv inn Grid Eierinformasjon")</f>
        <v>Skriv inn Grid Eierinformasjon</v>
      </c>
      <c r="U267" s="21" t="str">
        <f ca="1">IFERROR(__xludf.DUMMYFUNCTION("GOOGLETRANSLATE($B267,""en"",U$3)"),"أدخل الشبكة معلومات عن المالك")</f>
        <v>أدخل الشبكة معلومات عن المالك</v>
      </c>
      <c r="V267" s="21" t="str">
        <f ca="1">IFERROR(__xludf.DUMMYFUNCTION("GOOGLETRANSLATE($B267,""en"",V$3)"),"Wprowadź siatki Informacje o właścicielu")</f>
        <v>Wprowadź siatki Informacje o właścicielu</v>
      </c>
      <c r="W267" s="21" t="str">
        <f ca="1">IFERROR(__xludf.DUMMYFUNCTION("GOOGLETRANSLATE($B267,""en"",W$3)"),"Введите сетки Данные о владельце")</f>
        <v>Введите сетки Данные о владельце</v>
      </c>
      <c r="X267" s="21" t="str">
        <f ca="1">IFERROR(__xludf.DUMMYFUNCTION("GOOGLETRANSLATE($B267,""en"",X$3)"),"Introduzca la Red de Información del propietario")</f>
        <v>Introduzca la Red de Información del propietario</v>
      </c>
      <c r="Y267" s="21"/>
      <c r="Z267" s="21"/>
    </row>
    <row r="268" spans="1:26" ht="32.25" customHeight="1" x14ac:dyDescent="0.2">
      <c r="A268" s="10" t="s">
        <v>655</v>
      </c>
      <c r="B268" s="10" t="s">
        <v>656</v>
      </c>
      <c r="C268" s="11" t="str">
        <f ca="1">IFERROR(__xludf.DUMMYFUNCTION("GOOGLETRANSLATE($B268,""en"",C$3)"),"Geben Sie die Grid Eigentümerinformation")</f>
        <v>Geben Sie die Grid Eigentümerinformation</v>
      </c>
      <c r="D268" s="11" t="str">
        <f ca="1">IFERROR(__xludf.DUMMYFUNCTION("GOOGLETRANSLATE($B268,""en"",D$3)"),"Ange nätägare Information")</f>
        <v>Ange nätägare Information</v>
      </c>
      <c r="E268" s="11" t="str">
        <f ca="1">IFERROR(__xludf.DUMMYFUNCTION("GOOGLETRANSLATE($B268,""en"",E$3)"),"Enter the Grid Informações do proprietário")</f>
        <v>Enter the Grid Informações do proprietário</v>
      </c>
      <c r="F268" s="11" t="str">
        <f ca="1">IFERROR(__xludf.DUMMYFUNCTION("GOOGLETRANSLATE($B268,""en"",F$3)"),"Enter the Grid Informações do proprietário")</f>
        <v>Enter the Grid Informações do proprietário</v>
      </c>
      <c r="G268" s="11" t="str">
        <f ca="1">IFERROR(__xludf.DUMMYFUNCTION("GOOGLETRANSLATE($B268,""en"",G$3)"),"Entrez les informations relatives Grille propriétaire")</f>
        <v>Entrez les informations relatives Grille propriétaire</v>
      </c>
      <c r="H268" s="11" t="str">
        <f ca="1">IFERROR(__xludf.DUMMYFUNCTION("GOOGLETRANSLATE($B268,""en"",H$3)"),"Sartu Grid jabearen informazioa")</f>
        <v>Sartu Grid jabearen informazioa</v>
      </c>
      <c r="I268" s="11" t="str">
        <f ca="1">IFERROR(__xludf.DUMMYFUNCTION("GOOGLETRANSLATE($B268,""en"",I$3)"),"Introduïu la Xarxa d'Informació de l'propietari")</f>
        <v>Introduïu la Xarxa d'Informació de l'propietari</v>
      </c>
      <c r="J268" s="11" t="str">
        <f ca="1">IFERROR(__xludf.DUMMYFUNCTION("GOOGLETRANSLATE($B268,""en"",J$3)"),"Zadejte Grid Informace o vlastníkovi")</f>
        <v>Zadejte Grid Informace o vlastníkovi</v>
      </c>
      <c r="K268" s="11" t="str">
        <f ca="1">IFERROR(__xludf.DUMMYFUNCTION("GOOGLETRANSLATE($B268,""en"",K$3)"),"输入电网所有者信息")</f>
        <v>输入电网所有者信息</v>
      </c>
      <c r="L268" s="11" t="str">
        <f ca="1">IFERROR(__xludf.DUMMYFUNCTION("GOOGLETRANSLATE($B268,""en"",L$3)"),"輸入電網所有者信息")</f>
        <v>輸入電網所有者信息</v>
      </c>
      <c r="M268" s="11" t="str">
        <f ca="1">IFERROR(__xludf.DUMMYFUNCTION("GOOGLETRANSLATE($B268,""en"",M$3)"),"Voer de Grid Owner Information")</f>
        <v>Voer de Grid Owner Information</v>
      </c>
      <c r="N268" s="11" t="str">
        <f ca="1">IFERROR(__xludf.DUMMYFUNCTION("GOOGLETRANSLATE($B268,""en"",N$3)"),"Πληκτρολογήστε το Grid Πληροφορίες Ιδιοκτήτη")</f>
        <v>Πληκτρολογήστε το Grid Πληροφορίες Ιδιοκτήτη</v>
      </c>
      <c r="O268" s="11" t="str">
        <f ca="1">IFERROR(__xludf.DUMMYFUNCTION("GOOGLETRANSLATE($B268,""en"",O$3)"),"Anna Grid Omistajan tiedot")</f>
        <v>Anna Grid Omistajan tiedot</v>
      </c>
      <c r="P268" s="11" t="str">
        <f ca="1">IFERROR(__xludf.DUMMYFUNCTION("GOOGLETRANSLATE($B268,""en"",P$3)"),"Cuir isteach an Úinéir Grid Faisnéise")</f>
        <v>Cuir isteach an Úinéir Grid Faisnéise</v>
      </c>
      <c r="Q268" s="11" t="str">
        <f ca="1">IFERROR(__xludf.DUMMYFUNCTION("GOOGLETRANSLATE($B268,""en"",Q$3)"),"وارد شبکه اطلاعات مالک")</f>
        <v>وارد شبکه اطلاعات مالک</v>
      </c>
      <c r="R268" s="11" t="str">
        <f ca="1">IFERROR(__xludf.DUMMYFUNCTION("GOOGLETRANSLATE($B268,""en"",R$3)"),"הזן את פרטי בעלי Grid")</f>
        <v>הזן את פרטי בעלי Grid</v>
      </c>
      <c r="S268" s="11" t="str">
        <f ca="1">IFERROR(__xludf.DUMMYFUNCTION("GOOGLETRANSLATE($B268,""en"",S$3)"),"Sláðu inn Grid Owner Upplýsingar")</f>
        <v>Sláðu inn Grid Owner Upplýsingar</v>
      </c>
      <c r="T268" s="11" t="str">
        <f ca="1">IFERROR(__xludf.DUMMYFUNCTION("GOOGLETRANSLATE($B268,""en"",T$3)"),"Skriv inn Grid Eierinformasjon")</f>
        <v>Skriv inn Grid Eierinformasjon</v>
      </c>
      <c r="U268" s="11" t="str">
        <f ca="1">IFERROR(__xludf.DUMMYFUNCTION("GOOGLETRANSLATE($B268,""en"",U$3)"),"أدخل الشبكة معلومات عن المالك")</f>
        <v>أدخل الشبكة معلومات عن المالك</v>
      </c>
      <c r="V268" s="11" t="str">
        <f ca="1">IFERROR(__xludf.DUMMYFUNCTION("GOOGLETRANSLATE($B268,""en"",V$3)"),"Wprowadź siatki Informacje o właścicielu")</f>
        <v>Wprowadź siatki Informacje o właścicielu</v>
      </c>
      <c r="W268" s="11" t="str">
        <f ca="1">IFERROR(__xludf.DUMMYFUNCTION("GOOGLETRANSLATE($B268,""en"",W$3)"),"Введите сетки Данные о владельце")</f>
        <v>Введите сетки Данные о владельце</v>
      </c>
      <c r="X268" s="11" t="str">
        <f ca="1">IFERROR(__xludf.DUMMYFUNCTION("GOOGLETRANSLATE($B268,""en"",X$3)"),"Introduzca la Red de Información del propietario")</f>
        <v>Introduzca la Red de Información del propietario</v>
      </c>
    </row>
    <row r="269" spans="1:26" ht="32.25" customHeight="1" x14ac:dyDescent="0.2">
      <c r="A269" s="17" t="s">
        <v>657</v>
      </c>
      <c r="B269" s="17" t="s">
        <v>658</v>
      </c>
      <c r="C269" s="11" t="str">
        <f ca="1">IFERROR(__xludf.DUMMYFUNCTION("GOOGLETRANSLATE($B273,""en"",C$3)"),"0 - (Fehler) Nur Fehler, Neustart erforderlich")</f>
        <v>0 - (Fehler) Nur Fehler, Neustart erforderlich</v>
      </c>
      <c r="D269" s="12" t="str">
        <f ca="1">IFERROR(__xludf.DUMMYFUNCTION("GOOGLETRANSLATE($B269,""en"",D$3)"),"Ange ett namn för säkerhetskopian")</f>
        <v>Ange ett namn för säkerhetskopian</v>
      </c>
      <c r="E269" s="12" t="str">
        <f ca="1">IFERROR(__xludf.DUMMYFUNCTION("GOOGLETRANSLATE($B269,""en"",E$3)"),"Digite um nome para seu backup")</f>
        <v>Digite um nome para seu backup</v>
      </c>
      <c r="F269" s="12" t="str">
        <f ca="1">IFERROR(__xludf.DUMMYFUNCTION("GOOGLETRANSLATE($B269,""en"",F$3)"),"Digite um nome para seu backup")</f>
        <v>Digite um nome para seu backup</v>
      </c>
      <c r="G269" s="12" t="str">
        <f ca="1">IFERROR(__xludf.DUMMYFUNCTION("GOOGLETRANSLATE($B269,""en"",G$3)"),"Entrez un nom pour votre sauvegarde")</f>
        <v>Entrez un nom pour votre sauvegarde</v>
      </c>
      <c r="H269" s="12" t="str">
        <f ca="1">IFERROR(__xludf.DUMMYFUNCTION("GOOGLETRANSLATE($B269,""en"",H$3)"),"Idatzi izen bat zure backup for")</f>
        <v>Idatzi izen bat zure backup for</v>
      </c>
      <c r="I269" s="12" t="str">
        <f ca="1">IFERROR(__xludf.DUMMYFUNCTION("GOOGLETRANSLATE($B269,""en"",I$3)"),"Introduïu un nom per a la còpia de seguretat")</f>
        <v>Introduïu un nom per a la còpia de seguretat</v>
      </c>
      <c r="J269" s="12" t="str">
        <f ca="1">IFERROR(__xludf.DUMMYFUNCTION("GOOGLETRANSLATE($B269,""en"",J$3)"),"Zadejte název pro zálohování")</f>
        <v>Zadejte název pro zálohování</v>
      </c>
      <c r="K269" s="12" t="str">
        <f ca="1">IFERROR(__xludf.DUMMYFUNCTION("GOOGLETRANSLATE($B269,""en"",K$3)"),"为您的备份输入一个名称")</f>
        <v>为您的备份输入一个名称</v>
      </c>
      <c r="L269" s="12" t="str">
        <f ca="1">IFERROR(__xludf.DUMMYFUNCTION("GOOGLETRANSLATE($B269,""en"",L$3)"),"為您的備份輸入一個名稱")</f>
        <v>為您的備份輸入一個名稱</v>
      </c>
      <c r="M269" s="12" t="str">
        <f ca="1">IFERROR(__xludf.DUMMYFUNCTION("GOOGLETRANSLATE($B269,""en"",M$3)"),"Voer een naam voor uw back-up")</f>
        <v>Voer een naam voor uw back-up</v>
      </c>
      <c r="N269" s="12" t="str">
        <f ca="1">IFERROR(__xludf.DUMMYFUNCTION("GOOGLETRANSLATE($B269,""en"",N$3)"),"Πληκτρολογήστε ένα όνομα για το αντίγραφο ασφαλείας")</f>
        <v>Πληκτρολογήστε ένα όνομα για το αντίγραφο ασφαλείας</v>
      </c>
      <c r="O269" s="12" t="str">
        <f ca="1">IFERROR(__xludf.DUMMYFUNCTION("GOOGLETRANSLATE($B269,""en"",O$3)"),"Anna nimi varmuuskopio")</f>
        <v>Anna nimi varmuuskopio</v>
      </c>
      <c r="P269" s="12" t="str">
        <f ca="1">IFERROR(__xludf.DUMMYFUNCTION("GOOGLETRANSLATE($B269,""en"",P$3)"),"Iontráil ainm do do cúltaca")</f>
        <v>Iontráil ainm do do cúltaca</v>
      </c>
      <c r="Q269" s="12" t="str">
        <f ca="1">IFERROR(__xludf.DUMMYFUNCTION("GOOGLETRANSLATE($B269,""en"",Q$3)"),"یک نام وارد کنید برای تهیه پشتیبان خود")</f>
        <v>یک نام وارد کنید برای تهیه پشتیبان خود</v>
      </c>
      <c r="R269" s="12" t="str">
        <f ca="1">IFERROR(__xludf.DUMMYFUNCTION("GOOGLETRANSLATE($B269,""en"",R$3)"),"הזן שם עבור הגיבוי שלך")</f>
        <v>הזן שם עבור הגיבוי שלך</v>
      </c>
      <c r="S269" s="12" t="str">
        <f ca="1">IFERROR(__xludf.DUMMYFUNCTION("GOOGLETRANSLATE($B269,""en"",S$3)"),"Sláðu inn heiti fyrir varabúnaður þinn")</f>
        <v>Sláðu inn heiti fyrir varabúnaður þinn</v>
      </c>
      <c r="T269" s="12" t="str">
        <f ca="1">IFERROR(__xludf.DUMMYFUNCTION("GOOGLETRANSLATE($B269,""en"",T$3)"),"Skriv inn et navn for sikkerhetskopi")</f>
        <v>Skriv inn et navn for sikkerhetskopi</v>
      </c>
      <c r="U269" s="12" t="str">
        <f ca="1">IFERROR(__xludf.DUMMYFUNCTION("GOOGLETRANSLATE($B269,""en"",U$3)"),"أدخل اسما للنسخ الاحتياطي الخاص")</f>
        <v>أدخل اسما للنسخ الاحتياطي الخاص</v>
      </c>
      <c r="V269" s="12" t="str">
        <f ca="1">IFERROR(__xludf.DUMMYFUNCTION("GOOGLETRANSLATE($B269,""en"",V$3)"),"Wprowadź nazwę kopii zapasowej")</f>
        <v>Wprowadź nazwę kopii zapasowej</v>
      </c>
      <c r="W269" s="12" t="str">
        <f ca="1">IFERROR(__xludf.DUMMYFUNCTION("GOOGLETRANSLATE($B269,""en"",W$3)"),"Введите имя для резервного копирования")</f>
        <v>Введите имя для резервного копирования</v>
      </c>
      <c r="X269" s="12" t="str">
        <f ca="1">IFERROR(__xludf.DUMMYFUNCTION("GOOGLETRANSLATE($B269,""en"",X$3)"),"Introduzca un nombre para la copia de seguridad")</f>
        <v>Introduzca un nombre para la copia de seguridad</v>
      </c>
      <c r="Y269" s="12"/>
      <c r="Z269" s="12"/>
    </row>
    <row r="270" spans="1:26" ht="32.25" customHeight="1" x14ac:dyDescent="0.2">
      <c r="A270" s="17" t="s">
        <v>659</v>
      </c>
      <c r="B270" s="17" t="s">
        <v>660</v>
      </c>
      <c r="C270" s="11" t="str">
        <f ca="1">IFERROR(__xludf.DUMMYFUNCTION("GOOGLETRANSLATE($B274,""en"",C$3)"),"1 - (Info) Trefferrate Stats, Neustart erforderlich")</f>
        <v>1 - (Info) Trefferrate Stats, Neustart erforderlich</v>
      </c>
      <c r="D270" s="12" t="str">
        <f ca="1">IFERROR(__xludf.DUMMYFUNCTION("GOOGLETRANSLATE($B270,""en"",D$3)"),"Fel: Det gick inte att starta DreamGridInstaller.exe.")</f>
        <v>Fel: Det gick inte att starta DreamGridInstaller.exe.</v>
      </c>
      <c r="E270" s="12" t="str">
        <f ca="1">IFERROR(__xludf.DUMMYFUNCTION("GOOGLETRANSLATE($B270,""en"",E$3)"),"Erro: Não foi possível iniciar DreamGridInstaller.exe.")</f>
        <v>Erro: Não foi possível iniciar DreamGridInstaller.exe.</v>
      </c>
      <c r="F270" s="12" t="str">
        <f ca="1">IFERROR(__xludf.DUMMYFUNCTION("GOOGLETRANSLATE($B270,""en"",F$3)"),"Erro: Não foi possível iniciar DreamGridInstaller.exe.")</f>
        <v>Erro: Não foi possível iniciar DreamGridInstaller.exe.</v>
      </c>
      <c r="G270" s="12" t="str">
        <f ca="1">IFERROR(__xludf.DUMMYFUNCTION("GOOGLETRANSLATE($B270,""en"",G$3)"),"Erreur: Impossible de lancer DreamGridInstaller.exe.")</f>
        <v>Erreur: Impossible de lancer DreamGridInstaller.exe.</v>
      </c>
      <c r="H270" s="12" t="str">
        <f ca="1">IFERROR(__xludf.DUMMYFUNCTION("GOOGLETRANSLATE($B270,""en"",H$3)"),"Ezin da abiaraziko DreamGridInstaller.exe.")</f>
        <v>Ezin da abiaraziko DreamGridInstaller.exe.</v>
      </c>
      <c r="I270" s="12" t="str">
        <f ca="1">IFERROR(__xludf.DUMMYFUNCTION("GOOGLETRANSLATE($B270,""en"",I$3)"),"Error: No s'ha pogut iniciar DreamGridInstaller.exe.")</f>
        <v>Error: No s'ha pogut iniciar DreamGridInstaller.exe.</v>
      </c>
      <c r="J270" s="12" t="str">
        <f ca="1">IFERROR(__xludf.DUMMYFUNCTION("GOOGLETRANSLATE($B270,""en"",J$3)"),"Chyba: Nelze spustit DreamGridInstaller.exe.")</f>
        <v>Chyba: Nelze spustit DreamGridInstaller.exe.</v>
      </c>
      <c r="K270" s="12" t="str">
        <f ca="1">IFERROR(__xludf.DUMMYFUNCTION("GOOGLETRANSLATE($B270,""en"",K$3)"),"错误：无法启动DreamGridInstaller.exe。")</f>
        <v>错误：无法启动DreamGridInstaller.exe。</v>
      </c>
      <c r="L270" s="12" t="str">
        <f ca="1">IFERROR(__xludf.DUMMYFUNCTION("GOOGLETRANSLATE($B270,""en"",L$3)"),"錯誤：無法啟動DreamGridInstaller.exe。")</f>
        <v>錯誤：無法啟動DreamGridInstaller.exe。</v>
      </c>
      <c r="M270" s="12" t="str">
        <f ca="1">IFERROR(__xludf.DUMMYFUNCTION("GOOGLETRANSLATE($B270,""en"",M$3)"),"Fout: kan niet starten DreamGridInstaller.exe.")</f>
        <v>Fout: kan niet starten DreamGridInstaller.exe.</v>
      </c>
      <c r="N270" s="12" t="str">
        <f ca="1">IFERROR(__xludf.DUMMYFUNCTION("GOOGLETRANSLATE($B270,""en"",N$3)"),"Σφάλμα: Δεν ήταν δυνατή η εκκίνηση DreamGridInstaller.exe.")</f>
        <v>Σφάλμα: Δεν ήταν δυνατή η εκκίνηση DreamGridInstaller.exe.</v>
      </c>
      <c r="O270" s="12" t="str">
        <f ca="1">IFERROR(__xludf.DUMMYFUNCTION("GOOGLETRANSLATE($B270,""en"",O$3)"),"Virhe: ei voitu käynnistää DreamGridInstaller.exe.")</f>
        <v>Virhe: ei voitu käynnistää DreamGridInstaller.exe.</v>
      </c>
      <c r="P270" s="12" t="str">
        <f ca="1">IFERROR(__xludf.DUMMYFUNCTION("GOOGLETRANSLATE($B270,""en"",P$3)"),"Earráid: Níorbh fhéidir seoladh DreamGridInstaller.exe.")</f>
        <v>Earráid: Níorbh fhéidir seoladh DreamGridInstaller.exe.</v>
      </c>
      <c r="Q270" s="12" t="str">
        <f ca="1">IFERROR(__xludf.DUMMYFUNCTION("GOOGLETRANSLATE($B270,""en"",Q$3)"),"خطا: DreamGridInstaller.exe نیست راه اندازی.")</f>
        <v>خطا: DreamGridInstaller.exe نیست راه اندازی.</v>
      </c>
      <c r="R270" s="12" t="str">
        <f ca="1">IFERROR(__xludf.DUMMYFUNCTION("GOOGLETRANSLATE($B270,""en"",R$3)"),"שגיאה: אין אפשרות להפעיל DreamGridInstaller.exe.")</f>
        <v>שגיאה: אין אפשרות להפעיל DreamGridInstaller.exe.</v>
      </c>
      <c r="S270" s="12" t="str">
        <f ca="1">IFERROR(__xludf.DUMMYFUNCTION("GOOGLETRANSLATE($B270,""en"",S$3)"),"Villa: Gat ekki ræst DreamGridInstaller.exe.")</f>
        <v>Villa: Gat ekki ræst DreamGridInstaller.exe.</v>
      </c>
      <c r="T270" s="12" t="str">
        <f ca="1">IFERROR(__xludf.DUMMYFUNCTION("GOOGLETRANSLATE($B270,""en"",T$3)"),"Feil: Klarte ikke å starte DreamGridInstaller.exe.")</f>
        <v>Feil: Klarte ikke å starte DreamGridInstaller.exe.</v>
      </c>
      <c r="U270" s="12" t="str">
        <f ca="1">IFERROR(__xludf.DUMMYFUNCTION("GOOGLETRANSLATE($B270,""en"",U$3)"),"خطأ: لا يمكن إطلاق DreamGridInstaller.exe.")</f>
        <v>خطأ: لا يمكن إطلاق DreamGridInstaller.exe.</v>
      </c>
      <c r="V270" s="12" t="str">
        <f ca="1">IFERROR(__xludf.DUMMYFUNCTION("GOOGLETRANSLATE($B270,""en"",V$3)"),"Błąd: Nie można uruchomić DreamGridInstaller.exe.")</f>
        <v>Błąd: Nie można uruchomić DreamGridInstaller.exe.</v>
      </c>
      <c r="W270" s="12" t="str">
        <f ca="1">IFERROR(__xludf.DUMMYFUNCTION("GOOGLETRANSLATE($B270,""en"",W$3)"),"Ошибка: не удалось запустить DreamGridInstaller.exe.")</f>
        <v>Ошибка: не удалось запустить DreamGridInstaller.exe.</v>
      </c>
      <c r="X270" s="12" t="str">
        <f ca="1">IFERROR(__xludf.DUMMYFUNCTION("GOOGLETRANSLATE($B270,""en"",X$3)"),"Error: No se pudo iniciar DreamGridInstaller.exe.")</f>
        <v>Error: No se pudo iniciar DreamGridInstaller.exe.</v>
      </c>
      <c r="Y270" s="12"/>
      <c r="Z270" s="12"/>
    </row>
    <row r="271" spans="1:26" ht="32.25" customHeight="1" x14ac:dyDescent="0.2">
      <c r="A271" s="17" t="s">
        <v>661</v>
      </c>
      <c r="B271" s="17" t="s">
        <v>662</v>
      </c>
      <c r="C271" s="18" t="s">
        <v>521</v>
      </c>
      <c r="D271" s="12" t="str">
        <f ca="1">IFERROR(__xludf.DUMMYFUNCTION("GOOGLETRANSLATE($B271,""en"",D$3)"),"Fel: Kan inte förstå innehållet i region fil:")</f>
        <v>Fel: Kan inte förstå innehållet i region fil:</v>
      </c>
      <c r="E271" s="12" t="str">
        <f ca="1">IFERROR(__xludf.DUMMYFUNCTION("GOOGLETRANSLATE($B271,""en"",E$3)"),"Erro: Não é possível compreender o conteúdo do arquivo de região:")</f>
        <v>Erro: Não é possível compreender o conteúdo do arquivo de região:</v>
      </c>
      <c r="F271" s="12" t="str">
        <f ca="1">IFERROR(__xludf.DUMMYFUNCTION("GOOGLETRANSLATE($B271,""en"",F$3)"),"Erro: Não é possível compreender o conteúdo do arquivo de região:")</f>
        <v>Erro: Não é possível compreender o conteúdo do arquivo de região:</v>
      </c>
      <c r="G271" s="12" t="str">
        <f ca="1">IFERROR(__xludf.DUMMYFUNCTION("GOOGLETRANSLATE($B271,""en"",G$3)"),"Erreur: Impossible de comprendre le contenu du fichier de région:")</f>
        <v>Erreur: Impossible de comprendre le contenu du fichier de région:</v>
      </c>
      <c r="H271" s="12" t="str">
        <f ca="1">IFERROR(__xludf.DUMMYFUNCTION("GOOGLETRANSLATE($B271,""en"",H$3)"),"Akatsa: ezin eskualdean fitxategiaren edukia ulertu:")</f>
        <v>Akatsa: ezin eskualdean fitxategiaren edukia ulertu:</v>
      </c>
      <c r="I271" s="12" t="str">
        <f ca="1">IFERROR(__xludf.DUMMYFUNCTION("GOOGLETRANSLATE($B271,""en"",I$3)"),"Error: No es pot entendre el contingut de l'arxiu de regions:")</f>
        <v>Error: No es pot entendre el contingut de l'arxiu de regions:</v>
      </c>
      <c r="J271" s="12" t="str">
        <f ca="1">IFERROR(__xludf.DUMMYFUNCTION("GOOGLETRANSLATE($B271,""en"",J$3)"),"Chyba: Nelze pochopit obsah souboru regionu:")</f>
        <v>Chyba: Nelze pochopit obsah souboru regionu:</v>
      </c>
      <c r="K271" s="12" t="str">
        <f ca="1">IFERROR(__xludf.DUMMYFUNCTION("GOOGLETRANSLATE($B271,""en"",K$3)"),"错误：无法了解区域文件的内容：")</f>
        <v>错误：无法了解区域文件的内容：</v>
      </c>
      <c r="L271" s="12" t="str">
        <f ca="1">IFERROR(__xludf.DUMMYFUNCTION("GOOGLETRANSLATE($B271,""en"",L$3)"),"錯誤：無法了解區域文件的內容：")</f>
        <v>錯誤：無法了解區域文件的內容：</v>
      </c>
      <c r="M271" s="12" t="str">
        <f ca="1">IFERROR(__xludf.DUMMYFUNCTION("GOOGLETRANSLATE($B271,""en"",M$3)"),"Fout: Kan niet de inhoud van regio file te begrijpen:")</f>
        <v>Fout: Kan niet de inhoud van regio file te begrijpen:</v>
      </c>
      <c r="N271" s="12" t="str">
        <f ca="1">IFERROR(__xludf.DUMMYFUNCTION("GOOGLETRANSLATE($B271,""en"",N$3)"),"Σφάλμα: Δεν μπορώ να καταλάβω το περιεχόμενο των αρχείων περιοχής:")</f>
        <v>Σφάλμα: Δεν μπορώ να καταλάβω το περιεχόμενο των αρχείων περιοχής:</v>
      </c>
      <c r="O271" s="12" t="str">
        <f ca="1">IFERROR(__xludf.DUMMYFUNCTION("GOOGLETRANSLATE($B271,""en"",O$3)"),"Virhe: Ei voi ymmärtää sisällön alueen file:")</f>
        <v>Virhe: Ei voi ymmärtää sisällön alueen file:</v>
      </c>
      <c r="P271" s="12" t="str">
        <f ca="1">IFERROR(__xludf.DUMMYFUNCTION("GOOGLETRANSLATE($B271,""en"",P$3)"),"Earráid: Ní féidir tuiscint a fháil ar an t-ábhar chomhaid réigiúin:")</f>
        <v>Earráid: Ní féidir tuiscint a fháil ar an t-ábhar chomhaid réigiúin:</v>
      </c>
      <c r="Q271" s="12" t="str">
        <f ca="1">IFERROR(__xludf.DUMMYFUNCTION("GOOGLETRANSLATE($B271,""en"",Q$3)"),"خطا: محتویات فایل منطقه درک نمی کنند:")</f>
        <v>خطا: محتویات فایل منطقه درک نمی کنند:</v>
      </c>
      <c r="R271" s="12" t="str">
        <f ca="1">IFERROR(__xludf.DUMMYFUNCTION("GOOGLETRANSLATE($B271,""en"",R$3)"),"שגיאה: לא ניתן להבין את תוכנו של קובץ באזור:")</f>
        <v>שגיאה: לא ניתן להבין את תוכנו של קובץ באזור:</v>
      </c>
      <c r="S271" s="12" t="str">
        <f ca="1">IFERROR(__xludf.DUMMYFUNCTION("GOOGLETRANSLATE($B271,""en"",S$3)"),"Villa: Ekki er hægt að skilja innihald svæðinu skrá:")</f>
        <v>Villa: Ekki er hægt að skilja innihald svæðinu skrá:</v>
      </c>
      <c r="T271" s="12" t="str">
        <f ca="1">IFERROR(__xludf.DUMMYFUNCTION("GOOGLETRANSLATE($B271,""en"",T$3)"),"Feil: Kan ikke forstå innholdet i regionen fil:")</f>
        <v>Feil: Kan ikke forstå innholdet i regionen fil:</v>
      </c>
      <c r="U271" s="12" t="str">
        <f ca="1">IFERROR(__xludf.DUMMYFUNCTION("GOOGLETRANSLATE($B271,""en"",U$3)"),"خطأ: لا يمكن فهم محتويات ملف المنطقة:")</f>
        <v>خطأ: لا يمكن فهم محتويات ملف المنطقة:</v>
      </c>
      <c r="V271" s="12" t="str">
        <f ca="1">IFERROR(__xludf.DUMMYFUNCTION("GOOGLETRANSLATE($B271,""en"",V$3)"),"Błąd: Nie można zrozumieć zawartość pliku regionu:")</f>
        <v>Błąd: Nie można zrozumieć zawartość pliku regionu:</v>
      </c>
      <c r="W271" s="12" t="str">
        <f ca="1">IFERROR(__xludf.DUMMYFUNCTION("GOOGLETRANSLATE($B271,""en"",W$3)"),"Ошибка: Не могу понять содержимое файла области:")</f>
        <v>Ошибка: Не могу понять содержимое файла области:</v>
      </c>
      <c r="X271" s="12" t="str">
        <f ca="1">IFERROR(__xludf.DUMMYFUNCTION("GOOGLETRANSLATE($B271,""en"",X$3)"),"Error: No se puede entender el contenido del archivo de regiones:")</f>
        <v>Error: No se puede entender el contenido del archivo de regiones:</v>
      </c>
      <c r="Y271" s="12"/>
      <c r="Z271" s="12"/>
    </row>
    <row r="272" spans="1:26" ht="32.25" customHeight="1" x14ac:dyDescent="0.2">
      <c r="A272" s="17" t="s">
        <v>663</v>
      </c>
      <c r="B272" s="17" t="s">
        <v>664</v>
      </c>
      <c r="C272" s="11" t="str">
        <f ca="1">IFERROR(__xludf.DUMMYFUNCTION("GOOGLETRANSLATE($B273,""en"",C$3)"),"0 - (Fehler) Nur Fehler, Neustart erforderlich")</f>
        <v>0 - (Fehler) Nur Fehler, Neustart erforderlich</v>
      </c>
      <c r="D272" s="12" t="str">
        <f ca="1">IFERROR(__xludf.DUMMYFUNCTION("GOOGLETRANSLATE($B272,""en"",D$3)"),"Fel")</f>
        <v>Fel</v>
      </c>
      <c r="E272" s="12" t="str">
        <f ca="1">IFERROR(__xludf.DUMMYFUNCTION("GOOGLETRANSLATE($B272,""en"",E$3)"),"Erro")</f>
        <v>Erro</v>
      </c>
      <c r="F272" s="12" t="str">
        <f ca="1">IFERROR(__xludf.DUMMYFUNCTION("GOOGLETRANSLATE($B272,""en"",F$3)"),"Erro")</f>
        <v>Erro</v>
      </c>
      <c r="G272" s="12" t="str">
        <f ca="1">IFERROR(__xludf.DUMMYFUNCTION("GOOGLETRANSLATE($B272,""en"",G$3)"),"Erreur")</f>
        <v>Erreur</v>
      </c>
      <c r="H272" s="12" t="str">
        <f ca="1">IFERROR(__xludf.DUMMYFUNCTION("GOOGLETRANSLATE($B272,""en"",H$3)"),"Akatsa")</f>
        <v>Akatsa</v>
      </c>
      <c r="I272" s="12" t="str">
        <f ca="1">IFERROR(__xludf.DUMMYFUNCTION("GOOGLETRANSLATE($B272,""en"",I$3)"),"error")</f>
        <v>error</v>
      </c>
      <c r="J272" s="12" t="str">
        <f ca="1">IFERROR(__xludf.DUMMYFUNCTION("GOOGLETRANSLATE($B272,""en"",J$3)"),"Chyba")</f>
        <v>Chyba</v>
      </c>
      <c r="K272" s="12" t="str">
        <f ca="1">IFERROR(__xludf.DUMMYFUNCTION("GOOGLETRANSLATE($B272,""en"",K$3)"),"错误")</f>
        <v>错误</v>
      </c>
      <c r="L272" s="12" t="str">
        <f ca="1">IFERROR(__xludf.DUMMYFUNCTION("GOOGLETRANSLATE($B272,""en"",L$3)"),"錯誤")</f>
        <v>錯誤</v>
      </c>
      <c r="M272" s="12" t="str">
        <f ca="1">IFERROR(__xludf.DUMMYFUNCTION("GOOGLETRANSLATE($B272,""en"",M$3)"),"Fout")</f>
        <v>Fout</v>
      </c>
      <c r="N272" s="12" t="str">
        <f ca="1">IFERROR(__xludf.DUMMYFUNCTION("GOOGLETRANSLATE($B272,""en"",N$3)"),"Λάθος")</f>
        <v>Λάθος</v>
      </c>
      <c r="O272" s="12" t="str">
        <f ca="1">IFERROR(__xludf.DUMMYFUNCTION("GOOGLETRANSLATE($B272,""en"",O$3)"),"Virhe")</f>
        <v>Virhe</v>
      </c>
      <c r="P272" s="12" t="str">
        <f ca="1">IFERROR(__xludf.DUMMYFUNCTION("GOOGLETRANSLATE($B272,""en"",P$3)"),"earráid")</f>
        <v>earráid</v>
      </c>
      <c r="Q272" s="12" t="str">
        <f ca="1">IFERROR(__xludf.DUMMYFUNCTION("GOOGLETRANSLATE($B272,""en"",Q$3)"),"خطا")</f>
        <v>خطا</v>
      </c>
      <c r="R272" s="12" t="str">
        <f ca="1">IFERROR(__xludf.DUMMYFUNCTION("GOOGLETRANSLATE($B272,""en"",R$3)"),"שְׁגִיאָה")</f>
        <v>שְׁגִיאָה</v>
      </c>
      <c r="S272" s="12" t="str">
        <f ca="1">IFERROR(__xludf.DUMMYFUNCTION("GOOGLETRANSLATE($B272,""en"",S$3)"),"villa")</f>
        <v>villa</v>
      </c>
      <c r="T272" s="12" t="str">
        <f ca="1">IFERROR(__xludf.DUMMYFUNCTION("GOOGLETRANSLATE($B272,""en"",T$3)"),"Feil")</f>
        <v>Feil</v>
      </c>
      <c r="U272" s="12" t="str">
        <f ca="1">IFERROR(__xludf.DUMMYFUNCTION("GOOGLETRANSLATE($B272,""en"",U$3)"),"خطأ")</f>
        <v>خطأ</v>
      </c>
      <c r="V272" s="12" t="str">
        <f ca="1">IFERROR(__xludf.DUMMYFUNCTION("GOOGLETRANSLATE($B272,""en"",V$3)"),"Błąd")</f>
        <v>Błąd</v>
      </c>
      <c r="W272" s="12" t="str">
        <f ca="1">IFERROR(__xludf.DUMMYFUNCTION("GOOGLETRANSLATE($B272,""en"",W$3)"),"ошибка")</f>
        <v>ошибка</v>
      </c>
      <c r="X272" s="12" t="str">
        <f ca="1">IFERROR(__xludf.DUMMYFUNCTION("GOOGLETRANSLATE($B272,""en"",X$3)"),"Error")</f>
        <v>Error</v>
      </c>
      <c r="Y272" s="12"/>
      <c r="Z272" s="12"/>
    </row>
    <row r="273" spans="1:26" ht="32.25" customHeight="1" x14ac:dyDescent="0.2">
      <c r="A273" s="17" t="s">
        <v>665</v>
      </c>
      <c r="B273" s="17" t="s">
        <v>666</v>
      </c>
      <c r="C273" s="11" t="str">
        <f ca="1">IFERROR(__xludf.DUMMYFUNCTION("GOOGLETRANSLATE($B274,""en"",C$3)"),"1 - (Info) Trefferrate Stats, Neustart erforderlich")</f>
        <v>1 - (Info) Trefferrate Stats, Neustart erforderlich</v>
      </c>
      <c r="D273" s="12" t="str">
        <f ca="1">IFERROR(__xludf.DUMMYFUNCTION("GOOGLETRANSLATE($B273,""en"",D$3)"),"0 - (Error) endast fel, kräver omstart")</f>
        <v>0 - (Error) endast fel, kräver omstart</v>
      </c>
      <c r="E273" s="12" t="str">
        <f ca="1">IFERROR(__xludf.DUMMYFUNCTION("GOOGLETRANSLATE($B273,""en"",E$3)"),"0 - (erro) apenas erros, Requer Restart")</f>
        <v>0 - (erro) apenas erros, Requer Restart</v>
      </c>
      <c r="F273" s="12" t="str">
        <f ca="1">IFERROR(__xludf.DUMMYFUNCTION("GOOGLETRANSLATE($B273,""en"",F$3)"),"0 - (erro) apenas erros, Requer Restart")</f>
        <v>0 - (erro) apenas erros, Requer Restart</v>
      </c>
      <c r="G273" s="12" t="str">
        <f ca="1">IFERROR(__xludf.DUMMYFUNCTION("GOOGLETRANSLATE($B273,""en"",G$3)"),"0 - (erreur) Erreurs uniquement, nécessite un redémarrage")</f>
        <v>0 - (erreur) Erreurs uniquement, nécessite un redémarrage</v>
      </c>
      <c r="H273" s="12" t="str">
        <f ca="1">IFERROR(__xludf.DUMMYFUNCTION("GOOGLETRANSLATE($B273,""en"",H$3)"),"0 - (Akatsa) Akatsak bakarrik eskatzen Berrabiarazterik")</f>
        <v>0 - (Akatsa) Akatsak bakarrik eskatzen Berrabiarazterik</v>
      </c>
      <c r="I273" s="12" t="str">
        <f ca="1">IFERROR(__xludf.DUMMYFUNCTION("GOOGLETRANSLATE($B273,""en"",I$3)"),"0 - (error) només els errors, cal reiniciar")</f>
        <v>0 - (error) només els errors, cal reiniciar</v>
      </c>
      <c r="J273" s="12" t="str">
        <f ca="1">IFERROR(__xludf.DUMMYFUNCTION("GOOGLETRANSLATE($B273,""en"",J$3)"),"0 - pouze (Error) Chyby, vyžaduje restart")</f>
        <v>0 - pouze (Error) Chyby, vyžaduje restart</v>
      </c>
      <c r="K273" s="12" t="str">
        <f ca="1">IFERROR(__xludf.DUMMYFUNCTION("GOOGLETRANSLATE($B273,""en"",K$3)"),"0  - （错误）仅错误，需要重新启动")</f>
        <v>0  - （错误）仅错误，需要重新启动</v>
      </c>
      <c r="L273" s="12" t="str">
        <f ca="1">IFERROR(__xludf.DUMMYFUNCTION("GOOGLETRANSLATE($B273,""en"",L$3)"),"0  - （錯誤）僅錯誤，需要重新啟動")</f>
        <v>0  - （錯誤）僅錯誤，需要重新啟動</v>
      </c>
      <c r="M273" s="12" t="str">
        <f ca="1">IFERROR(__xludf.DUMMYFUNCTION("GOOGLETRANSLATE($B273,""en"",M$3)"),"0 - (Error) alleen fouten, Vereist Restart")</f>
        <v>0 - (Error) alleen fouten, Vereist Restart</v>
      </c>
      <c r="N273" s="12" t="str">
        <f ca="1">IFERROR(__xludf.DUMMYFUNCTION("GOOGLETRANSLATE($B273,""en"",N$3)"),"0 - (Error) μόνο Λάθη, απαιτείται επανεκκίνηση")</f>
        <v>0 - (Error) μόνο Λάθη, απαιτείται επανεκκίνηση</v>
      </c>
      <c r="O273" s="12" t="str">
        <f ca="1">IFERROR(__xludf.DUMMYFUNCTION("GOOGLETRANSLATE($B273,""en"",O$3)"),"0 - (Virhe) Vain virheet, vaatii uudelleenkäynnistyksen")</f>
        <v>0 - (Virhe) Vain virheet, vaatii uudelleenkäynnistyksen</v>
      </c>
      <c r="P273" s="12" t="str">
        <f ca="1">IFERROR(__xludf.DUMMYFUNCTION("GOOGLETRANSLATE($B273,""en"",P$3)"),"0 - (Earráid) Earráidí ach Éilíonn, Atosaigh")</f>
        <v>0 - (Earráid) Earráidí ach Éilíonn, Atosaigh</v>
      </c>
      <c r="Q273" s="12" t="str">
        <f ca="1">IFERROR(__xludf.DUMMYFUNCTION("GOOGLETRANSLATE($B273,""en"",Q$3)"),"0 - (خطا) خطاها تنها، نیاز به راه اندازی مجدد")</f>
        <v>0 - (خطا) خطاها تنها، نیاز به راه اندازی مجدد</v>
      </c>
      <c r="R273" s="12" t="str">
        <f ca="1">IFERROR(__xludf.DUMMYFUNCTION("GOOGLETRANSLATE($B273,""en"",R$3)"),"0 - (שגיאה) שגיאות בלבד, דורש איתחול")</f>
        <v>0 - (שגיאה) שגיאות בלבד, דורש איתחול</v>
      </c>
      <c r="S273" s="12" t="str">
        <f ca="1">IFERROR(__xludf.DUMMYFUNCTION("GOOGLETRANSLATE($B273,""en"",S$3)"),"0 - (Villa) Villa aðeins, þarfnast endurræsingar")</f>
        <v>0 - (Villa) Villa aðeins, þarfnast endurræsingar</v>
      </c>
      <c r="T273" s="12" t="str">
        <f ca="1">IFERROR(__xludf.DUMMYFUNCTION("GOOGLETRANSLATE($B273,""en"",T$3)"),"0 - (feil) bare feil, krever omstart")</f>
        <v>0 - (feil) bare feil, krever omstart</v>
      </c>
      <c r="U273" s="12" t="str">
        <f ca="1">IFERROR(__xludf.DUMMYFUNCTION("GOOGLETRANSLATE($B273,""en"",U$3)"),"0 - (خطأ) أخطاء فقط، يتطلب إعادة تشغيل")</f>
        <v>0 - (خطأ) أخطاء فقط، يتطلب إعادة تشغيل</v>
      </c>
      <c r="V273" s="12" t="str">
        <f ca="1">IFERROR(__xludf.DUMMYFUNCTION("GOOGLETRANSLATE($B273,""en"",V$3)"),"0 - (błąd) tylko błędy, wymaga ponownego uruchomienia")</f>
        <v>0 - (błąd) tylko błędy, wymaga ponownego uruchomienia</v>
      </c>
      <c r="W273" s="12" t="str">
        <f ca="1">IFERROR(__xludf.DUMMYFUNCTION("GOOGLETRANSLATE($B273,""en"",W$3)"),"0 - только (Error) Ошибки, Требуется перезагрузка")</f>
        <v>0 - только (Error) Ошибки, Требуется перезагрузка</v>
      </c>
      <c r="X273" s="12" t="str">
        <f ca="1">IFERROR(__xludf.DUMMYFUNCTION("GOOGLETRANSLATE($B273,""en"",X$3)"),"0 - (error) sólo los errores, es necesario reiniciar")</f>
        <v>0 - (error) sólo los errores, es necesario reiniciar</v>
      </c>
      <c r="Y273" s="12"/>
      <c r="Z273" s="12"/>
    </row>
    <row r="274" spans="1:26" ht="32.25" customHeight="1" x14ac:dyDescent="0.2">
      <c r="A274" s="17" t="s">
        <v>667</v>
      </c>
      <c r="B274" s="17" t="s">
        <v>668</v>
      </c>
      <c r="C274" s="11" t="str">
        <f ca="1">IFERROR(__xludf.DUMMYFUNCTION("GOOGLETRANSLATE($B275,""en"",C$3)"),"2 - (Debug) Cache Aktivität Neustart erforderlich")</f>
        <v>2 - (Debug) Cache Aktivität Neustart erforderlich</v>
      </c>
      <c r="D274" s="12" t="str">
        <f ca="1">IFERROR(__xludf.DUMMYFUNCTION("GOOGLETRANSLATE($B274,""en"",D$3)"),"1 - (info) träff Stats, kräver omstart")</f>
        <v>1 - (info) träff Stats, kräver omstart</v>
      </c>
      <c r="E274" s="12" t="str">
        <f ca="1">IFERROR(__xludf.DUMMYFUNCTION("GOOGLETRANSLATE($B274,""en"",E$3)"),"1 - (Info) Hit Rate Stats, Requer Restart")</f>
        <v>1 - (Info) Hit Rate Stats, Requer Restart</v>
      </c>
      <c r="F274" s="12" t="str">
        <f ca="1">IFERROR(__xludf.DUMMYFUNCTION("GOOGLETRANSLATE($B274,""en"",F$3)"),"1 - (Info) Hit Rate Stats, Requer Restart")</f>
        <v>1 - (Info) Hit Rate Stats, Requer Restart</v>
      </c>
      <c r="G274" s="12" t="str">
        <f ca="1">IFERROR(__xludf.DUMMYFUNCTION("GOOGLETRANSLATE($B274,""en"",G$3)"),"1 - (Info) Taux de réussite Stats, redémarrage requis")</f>
        <v>1 - (Info) Taux de réussite Stats, redémarrage requis</v>
      </c>
      <c r="H274" s="12" t="str">
        <f ca="1">IFERROR(__xludf.DUMMYFUNCTION("GOOGLETRANSLATE($B274,""en"",H$3)"),"1 - (Info) Asmatu baloratu estatistikak, berrabiarazi beharra")</f>
        <v>1 - (Info) Asmatu baloratu estatistikak, berrabiarazi beharra</v>
      </c>
      <c r="I274" s="12" t="str">
        <f ca="1">IFERROR(__xludf.DUMMYFUNCTION("GOOGLETRANSLATE($B274,""en"",I$3)"),"1 - (Informació) la taxa d'èxit Estadístiques, requereix el reinici")</f>
        <v>1 - (Informació) la taxa d'èxit Estadístiques, requereix el reinici</v>
      </c>
      <c r="J274" s="12" t="str">
        <f ca="1">IFERROR(__xludf.DUMMYFUNCTION("GOOGLETRANSLATE($B274,""en"",J$3)"),"1 - (Info) Hit Rate Stats, vyžaduje restart")</f>
        <v>1 - (Info) Hit Rate Stats, vyžaduje restart</v>
      </c>
      <c r="K274" s="12" t="str">
        <f ca="1">IFERROR(__xludf.DUMMYFUNCTION("GOOGLETRANSLATE($B274,""en"",K$3)"),"1  - （信息）命中率的统计，需要重新启动")</f>
        <v>1  - （信息）命中率的统计，需要重新启动</v>
      </c>
      <c r="L274" s="12" t="str">
        <f ca="1">IFERROR(__xludf.DUMMYFUNCTION("GOOGLETRANSLATE($B274,""en"",L$3)"),"1  - （信息）命中率的統計，需要重新啟動")</f>
        <v>1  - （信息）命中率的統計，需要重新啟動</v>
      </c>
      <c r="M274" s="12" t="str">
        <f ca="1">IFERROR(__xludf.DUMMYFUNCTION("GOOGLETRANSLATE($B274,""en"",M$3)"),"1 - (Informatie) Hit Rate Stats, Vereist Restart")</f>
        <v>1 - (Informatie) Hit Rate Stats, Vereist Restart</v>
      </c>
      <c r="N274" s="12" t="str">
        <f ca="1">IFERROR(__xludf.DUMMYFUNCTION("GOOGLETRANSLATE($B274,""en"",N$3)"),"1 - (Πληροφορίες) ποσοστό επιτυχίας Στατιστικά, απαιτείται επανεκκίνηση")</f>
        <v>1 - (Πληροφορίες) ποσοστό επιτυχίας Στατιστικά, απαιτείται επανεκκίνηση</v>
      </c>
      <c r="O274" s="12" t="str">
        <f ca="1">IFERROR(__xludf.DUMMYFUNCTION("GOOGLETRANSLATE($B274,""en"",O$3)"),"1 - (Info) osumatarkkuus tilastot, vaatii uudelleenkäynnistyksen")</f>
        <v>1 - (Info) osumatarkkuus tilastot, vaatii uudelleenkäynnistyksen</v>
      </c>
      <c r="P274" s="12" t="str">
        <f ca="1">IFERROR(__xludf.DUMMYFUNCTION("GOOGLETRANSLATE($B274,""en"",P$3)"),"1 - (info) Hit Ráta Stats Éilíonn, Atosaigh")</f>
        <v>1 - (info) Hit Ráta Stats Éilíonn, Atosaigh</v>
      </c>
      <c r="Q274" s="12" t="str">
        <f ca="1">IFERROR(__xludf.DUMMYFUNCTION("GOOGLETRANSLATE($B274,""en"",Q$3)"),"1 - (اطلاعات) آمار نرخ آمار، نیاز به راه اندازی مجدد")</f>
        <v>1 - (اطلاعات) آمار نرخ آمار، نیاز به راه اندازی مجدد</v>
      </c>
      <c r="R274" s="12" t="str">
        <f ca="1">IFERROR(__xludf.DUMMYFUNCTION("GOOGLETRANSLATE($B274,""en"",R$3)"),"1 - (מידע) Hit סטטיסטיקות שיעור, דורשת אתחול")</f>
        <v>1 - (מידע) Hit סטטיסטיקות שיעור, דורשת אתחול</v>
      </c>
      <c r="S274" s="12" t="str">
        <f ca="1">IFERROR(__xludf.DUMMYFUNCTION("GOOGLETRANSLATE($B274,""en"",S$3)"),"1 - (Upplýsingar) Hit Rate Stats, þarfnast endurræsingar")</f>
        <v>1 - (Upplýsingar) Hit Rate Stats, þarfnast endurræsingar</v>
      </c>
      <c r="T274" s="12" t="str">
        <f ca="1">IFERROR(__xludf.DUMMYFUNCTION("GOOGLETRANSLATE($B274,""en"",T$3)"),"1 - (Info) treffet Stats, krever omstart")</f>
        <v>1 - (Info) treffet Stats, krever omstart</v>
      </c>
      <c r="U274" s="12" t="str">
        <f ca="1">IFERROR(__xludf.DUMMYFUNCTION("GOOGLETRANSLATE($B274,""en"",U$3)"),"1 - (معلومات) بلغ معدل الإحصائيات، يتطلب إعادة تشغيل")</f>
        <v>1 - (معلومات) بلغ معدل الإحصائيات، يتطلب إعادة تشغيل</v>
      </c>
      <c r="V274" s="12" t="str">
        <f ca="1">IFERROR(__xludf.DUMMYFUNCTION("GOOGLETRANSLATE($B274,""en"",V$3)"),"1 - (Info) Hit rate Stats, wymaga ponownego uruchomienia")</f>
        <v>1 - (Info) Hit rate Stats, wymaga ponownego uruchomienia</v>
      </c>
      <c r="W274" s="12" t="str">
        <f ca="1">IFERROR(__xludf.DUMMYFUNCTION("GOOGLETRANSLATE($B274,""en"",W$3)"),"1 - (Info) Hit Rate Статистика, Требуется перезагрузка")</f>
        <v>1 - (Info) Hit Rate Статистика, Требуется перезагрузка</v>
      </c>
      <c r="X274" s="12" t="str">
        <f ca="1">IFERROR(__xludf.DUMMYFUNCTION("GOOGLETRANSLATE($B274,""en"",X$3)"),"1 - (Info) la tasa de éxito Estadísticas, requiere el reinicio")</f>
        <v>1 - (Info) la tasa de éxito Estadísticas, requiere el reinicio</v>
      </c>
      <c r="Y274" s="12"/>
      <c r="Z274" s="12"/>
    </row>
    <row r="275" spans="1:26" ht="32.25" customHeight="1" x14ac:dyDescent="0.2">
      <c r="A275" s="17" t="s">
        <v>669</v>
      </c>
      <c r="B275" s="17" t="s">
        <v>670</v>
      </c>
      <c r="C275" s="11" t="str">
        <f ca="1">IFERROR(__xludf.DUMMYFUNCTION("GOOGLETRANSLATE($B276,""en"",C$3)"),"Fehler: Fehler der Opensim.ini für Region einstellen")</f>
        <v>Fehler: Fehler der Opensim.ini für Region einstellen</v>
      </c>
      <c r="D275" s="12" t="str">
        <f ca="1">IFERROR(__xludf.DUMMYFUNCTION("GOOGLETRANSLATE($B275,""en"",D$3)"),"2 - (Debug) Cache Aktivitet, kräver omstart")</f>
        <v>2 - (Debug) Cache Aktivitet, kräver omstart</v>
      </c>
      <c r="E275" s="12" t="str">
        <f ca="1">IFERROR(__xludf.DUMMYFUNCTION("GOOGLETRANSLATE($B275,""en"",E$3)"),"2 - (Debug) Atividade Cache, Requer Restart")</f>
        <v>2 - (Debug) Atividade Cache, Requer Restart</v>
      </c>
      <c r="F275" s="12" t="str">
        <f ca="1">IFERROR(__xludf.DUMMYFUNCTION("GOOGLETRANSLATE($B275,""en"",F$3)"),"2 - (Debug) Atividade Cache, Requer Restart")</f>
        <v>2 - (Debug) Atividade Cache, Requer Restart</v>
      </c>
      <c r="G275" s="12" t="str">
        <f ca="1">IFERROR(__xludf.DUMMYFUNCTION("GOOGLETRANSLATE($B275,""en"",G$3)"),"2 - (Mise au point) Activité Cache, nécessite Restart")</f>
        <v>2 - (Mise au point) Activité Cache, nécessite Restart</v>
      </c>
      <c r="H275" s="12" t="str">
        <f ca="1">IFERROR(__xludf.DUMMYFUNCTION("GOOGLETRANSLATE($B275,""en"",H$3)"),"2 - (arazketa) Cache Jarduera, berrabiarazi beharra")</f>
        <v>2 - (arazketa) Cache Jarduera, berrabiarazi beharra</v>
      </c>
      <c r="I275" s="12" t="str">
        <f ca="1">IFERROR(__xludf.DUMMYFUNCTION("GOOGLETRANSLATE($B275,""en"",I$3)"),"2 - (depuració) Activitat memòria cau, requereix reinici")</f>
        <v>2 - (depuració) Activitat memòria cau, requereix reinici</v>
      </c>
      <c r="J275" s="12" t="str">
        <f ca="1">IFERROR(__xludf.DUMMYFUNCTION("GOOGLETRANSLATE($B275,""en"",J$3)"),"2 - (ladění) Cache činnost, vyžaduje restart")</f>
        <v>2 - (ladění) Cache činnost, vyžaduje restart</v>
      </c>
      <c r="K275" s="12" t="str">
        <f ca="1">IFERROR(__xludf.DUMMYFUNCTION("GOOGLETRANSLATE($B275,""en"",K$3)"),"2  - （调试）高速缓存活动，需要重新启动")</f>
        <v>2  - （调试）高速缓存活动，需要重新启动</v>
      </c>
      <c r="L275" s="12" t="str">
        <f ca="1">IFERROR(__xludf.DUMMYFUNCTION("GOOGLETRANSLATE($B275,""en"",L$3)"),"2  - （調試）高速緩存活動，需要重新啟動")</f>
        <v>2  - （調試）高速緩存活動，需要重新啟動</v>
      </c>
      <c r="M275" s="12" t="str">
        <f ca="1">IFERROR(__xludf.DUMMYFUNCTION("GOOGLETRANSLATE($B275,""en"",M$3)"),"2 - (Debug) Cache tijd, vereist Opnieuw")</f>
        <v>2 - (Debug) Cache tijd, vereist Opnieuw</v>
      </c>
      <c r="N275" s="12" t="str">
        <f ca="1">IFERROR(__xludf.DUMMYFUNCTION("GOOGLETRANSLATE($B275,""en"",N$3)"),"2 - (Debug) Cache Δραστηριότητα, απαιτείται επανεκκίνηση")</f>
        <v>2 - (Debug) Cache Δραστηριότητα, απαιτείται επανεκκίνηση</v>
      </c>
      <c r="O275" s="12" t="str">
        <f ca="1">IFERROR(__xludf.DUMMYFUNCTION("GOOGLETRANSLATE($B275,""en"",O$3)"),"2 - (Debug) Cache Aktiviteetti, vaatii uudelleenkäynnistyksen")</f>
        <v>2 - (Debug) Cache Aktiviteetti, vaatii uudelleenkäynnistyksen</v>
      </c>
      <c r="P275" s="12" t="str">
        <f ca="1">IFERROR(__xludf.DUMMYFUNCTION("GOOGLETRANSLATE($B275,""en"",P$3)"),"2 - (Debug) Cache Gníomhaíocht Éilíonn, Atosaigh")</f>
        <v>2 - (Debug) Cache Gníomhaíocht Éilíonn, Atosaigh</v>
      </c>
      <c r="Q275" s="12" t="str">
        <f ca="1">IFERROR(__xludf.DUMMYFUNCTION("GOOGLETRANSLATE($B275,""en"",Q$3)"),"2 - (اشکالزدایی) کش فعالیت، نیاز به راه اندازی مجدد")</f>
        <v>2 - (اشکالزدایی) کش فعالیت، نیاز به راه اندازی مجدد</v>
      </c>
      <c r="R275" s="12" t="str">
        <f ca="1">IFERROR(__xludf.DUMMYFUNCTION("GOOGLETRANSLATE($B275,""en"",R$3)"),"2 - (Debug) מטמון פעילות, דורש איתחול")</f>
        <v>2 - (Debug) מטמון פעילות, דורש איתחול</v>
      </c>
      <c r="S275" s="12" t="str">
        <f ca="1">IFERROR(__xludf.DUMMYFUNCTION("GOOGLETRANSLATE($B275,""en"",S$3)"),"2 - (Debug) Cache Activity, þarfnast endurræsingar")</f>
        <v>2 - (Debug) Cache Activity, þarfnast endurræsingar</v>
      </c>
      <c r="T275" s="12" t="str">
        <f ca="1">IFERROR(__xludf.DUMMYFUNCTION("GOOGLETRANSLATE($B275,""en"",T$3)"),"2 - (Debug) Cache aktivitet, krever omstart")</f>
        <v>2 - (Debug) Cache aktivitet, krever omstart</v>
      </c>
      <c r="U275" s="12" t="str">
        <f ca="1">IFERROR(__xludf.DUMMYFUNCTION("GOOGLETRANSLATE($B275,""en"",U$3)"),"2 - (تصحيح) مخبأ آخر، يتطلب إعادة تشغيل")</f>
        <v>2 - (تصحيح) مخبأ آخر، يتطلب إعادة تشغيل</v>
      </c>
      <c r="V275" s="12" t="str">
        <f ca="1">IFERROR(__xludf.DUMMYFUNCTION("GOOGLETRANSLATE($B275,""en"",V$3)"),"2 - (debugowania) Aktywność Cache wymaga ponownego uruchomienia")</f>
        <v>2 - (debugowania) Aktywność Cache wymaga ponownego uruchomienia</v>
      </c>
      <c r="W275" s="12" t="str">
        <f ca="1">IFERROR(__xludf.DUMMYFUNCTION("GOOGLETRANSLATE($B275,""en"",W$3)"),"2 - (Debug) Cache активность, Требуется перезагрузка")</f>
        <v>2 - (Debug) Cache активность, Требуется перезагрузка</v>
      </c>
      <c r="X275" s="12" t="str">
        <f ca="1">IFERROR(__xludf.DUMMYFUNCTION("GOOGLETRANSLATE($B275,""en"",X$3)"),"2 - (depuración) Actividad caché, requiere reinicio")</f>
        <v>2 - (depuración) Actividad caché, requiere reinicio</v>
      </c>
      <c r="Y275" s="12"/>
      <c r="Z275" s="12"/>
    </row>
    <row r="276" spans="1:26" ht="32.25" customHeight="1" x14ac:dyDescent="0.2">
      <c r="A276" s="17" t="s">
        <v>671</v>
      </c>
      <c r="B276" s="17" t="s">
        <v>672</v>
      </c>
      <c r="C276" s="11" t="str">
        <f ca="1">IFERROR(__xludf.DUMMYFUNCTION("GOOGLETRANSLATE($B277,""en"",C$3)"),"Fehler: Konnte nicht Downloader.exe starten. Vielleicht können Sie es manuell starten.")</f>
        <v>Fehler: Konnte nicht Downloader.exe starten. Vielleicht können Sie es manuell starten.</v>
      </c>
      <c r="D276" s="12" t="str">
        <f ca="1">IFERROR(__xludf.DUMMYFUNCTION("GOOGLETRANSLATE($B276,""en"",D$3)"),"Fel: Det gick inte att ställa in Opensim.ini för regionen")</f>
        <v>Fel: Det gick inte att ställa in Opensim.ini för regionen</v>
      </c>
      <c r="E276" s="12" t="str">
        <f ca="1">IFERROR(__xludf.DUMMYFUNCTION("GOOGLETRANSLATE($B276,""en"",E$3)"),"Erro: Não foi possível definir o Opensim.ini para a região")</f>
        <v>Erro: Não foi possível definir o Opensim.ini para a região</v>
      </c>
      <c r="F276" s="12" t="str">
        <f ca="1">IFERROR(__xludf.DUMMYFUNCTION("GOOGLETRANSLATE($B276,""en"",F$3)"),"Erro: Não foi possível definir o Opensim.ini para a região")</f>
        <v>Erro: Não foi possível definir o Opensim.ini para a região</v>
      </c>
      <c r="G276" s="12" t="str">
        <f ca="1">IFERROR(__xludf.DUMMYFUNCTION("GOOGLETRANSLATE($B276,""en"",G$3)"),"Erreur: Impossible de définir la OpenSim.ini pour la région")</f>
        <v>Erreur: Impossible de définir la OpenSim.ini pour la région</v>
      </c>
      <c r="H276" s="12" t="str">
        <f ca="1">IFERROR(__xludf.DUMMYFUNCTION("GOOGLETRANSLATE($B276,""en"",H$3)"),"Errorea: Huts Opensim.ini ezartzeko lurraldean")</f>
        <v>Errorea: Huts Opensim.ini ezartzeko lurraldean</v>
      </c>
      <c r="I276" s="12" t="str">
        <f ca="1">IFERROR(__xludf.DUMMYFUNCTION("GOOGLETRANSLATE($B276,""en"",I$3)"),"Error: No s'ha pogut establir la Opensim.ini per a la regió")</f>
        <v>Error: No s'ha pogut establir la Opensim.ini per a la regió</v>
      </c>
      <c r="J276" s="12" t="str">
        <f ca="1">IFERROR(__xludf.DUMMYFUNCTION("GOOGLETRANSLATE($B276,""en"",J$3)"),"Chyba: Nelze nastavit Opensim.ini pro region")</f>
        <v>Chyba: Nelze nastavit Opensim.ini pro region</v>
      </c>
      <c r="K276" s="12" t="str">
        <f ca="1">IFERROR(__xludf.DUMMYFUNCTION("GOOGLETRANSLATE($B276,""en"",K$3)"),"错误：无法设置为Opensim.ini区域")</f>
        <v>错误：无法设置为Opensim.ini区域</v>
      </c>
      <c r="L276" s="12" t="str">
        <f ca="1">IFERROR(__xludf.DUMMYFUNCTION("GOOGLETRANSLATE($B276,""en"",L$3)"),"錯誤：無法設置為Opensim.ini區域")</f>
        <v>錯誤：無法設置為Opensim.ini區域</v>
      </c>
      <c r="M276" s="12" t="str">
        <f ca="1">IFERROR(__xludf.DUMMYFUNCTION("GOOGLETRANSLATE($B276,""en"",M$3)"),"Fout: kan de Opensim.ini te stellen voor regio")</f>
        <v>Fout: kan de Opensim.ini te stellen voor regio</v>
      </c>
      <c r="N276" s="12" t="str">
        <f ca="1">IFERROR(__xludf.DUMMYFUNCTION("GOOGLETRANSLATE($B276,""en"",N$3)"),"Σφάλμα: Αποτυχία ορισμού της Opensim.ini για την περιοχή")</f>
        <v>Σφάλμα: Αποτυχία ορισμού της Opensim.ini για την περιοχή</v>
      </c>
      <c r="O276" s="12" t="str">
        <f ca="1">IFERROR(__xludf.DUMMYFUNCTION("GOOGLETRANSLATE($B276,""en"",O$3)"),"Virhe: asettaa Opensim.ini varten alueelle")</f>
        <v>Virhe: asettaa Opensim.ini varten alueelle</v>
      </c>
      <c r="P276" s="12" t="str">
        <f ca="1">IFERROR(__xludf.DUMMYFUNCTION("GOOGLETRANSLATE($B276,""en"",P$3)"),"Earráid: Theip ar a shocrú ar an Opensim.ini do réigiún")</f>
        <v>Earráid: Theip ar a shocrú ar an Opensim.ini do réigiún</v>
      </c>
      <c r="Q276" s="12" t="str">
        <f ca="1">IFERROR(__xludf.DUMMYFUNCTION("GOOGLETRANSLATE($B276,""en"",Q$3)"),"خطا: به مجموعه ای از Opensim.ini برای منطقه شکست خورد")</f>
        <v>خطا: به مجموعه ای از Opensim.ini برای منطقه شکست خورد</v>
      </c>
      <c r="R276" s="12" t="str">
        <f ca="1">IFERROR(__xludf.DUMMYFUNCTION("GOOGLETRANSLATE($B276,""en"",R$3)"),"שגיאה: נכשל ניסיון להגדיר את Opensim.ini עבור אזור")</f>
        <v>שגיאה: נכשל ניסיון להגדיר את Opensim.ini עבור אזור</v>
      </c>
      <c r="S276" s="12" t="str">
        <f ca="1">IFERROR(__xludf.DUMMYFUNCTION("GOOGLETRANSLATE($B276,""en"",S$3)"),"Villa: Tókst ekki að setja Opensim.ini fyrir svæðið")</f>
        <v>Villa: Tókst ekki að setja Opensim.ini fyrir svæðið</v>
      </c>
      <c r="T276" s="12" t="str">
        <f ca="1">IFERROR(__xludf.DUMMYFUNCTION("GOOGLETRANSLATE($B276,""en"",T$3)"),"Feil: Klarte ikke å sette Opensim.ini for regionen")</f>
        <v>Feil: Klarte ikke å sette Opensim.ini for regionen</v>
      </c>
      <c r="U276" s="12" t="str">
        <f ca="1">IFERROR(__xludf.DUMMYFUNCTION("GOOGLETRANSLATE($B276,""en"",U$3)"),"خطأ: فشل في تعيين Opensim.ini لمنطقة")</f>
        <v>خطأ: فشل في تعيين Opensim.ini لمنطقة</v>
      </c>
      <c r="V276" s="12" t="str">
        <f ca="1">IFERROR(__xludf.DUMMYFUNCTION("GOOGLETRANSLATE($B276,""en"",V$3)"),"Błąd: Nie udało się ustawić Opensim.ini dla regionu")</f>
        <v>Błąd: Nie udało się ustawić Opensim.ini dla regionu</v>
      </c>
      <c r="W276" s="12" t="str">
        <f ca="1">IFERROR(__xludf.DUMMYFUNCTION("GOOGLETRANSLATE($B276,""en"",W$3)"),"Ошибка: Не удалось установить Opensim.ini для региона")</f>
        <v>Ошибка: Не удалось установить Opensim.ini для региона</v>
      </c>
      <c r="X276" s="12" t="str">
        <f ca="1">IFERROR(__xludf.DUMMYFUNCTION("GOOGLETRANSLATE($B276,""en"",X$3)"),"Error: No se pudo establecer la Opensim.ini para la región")</f>
        <v>Error: No se pudo establecer la Opensim.ini para la región</v>
      </c>
      <c r="Y276" s="12"/>
      <c r="Z276" s="12"/>
    </row>
    <row r="277" spans="1:26" ht="32.25" customHeight="1" x14ac:dyDescent="0.2">
      <c r="A277" s="17" t="s">
        <v>673</v>
      </c>
      <c r="B277" s="17" t="s">
        <v>674</v>
      </c>
      <c r="C277" s="18" t="s">
        <v>675</v>
      </c>
      <c r="D277" s="12" t="str">
        <f ca="1">IFERROR(__xludf.DUMMYFUNCTION("GOOGLETRANSLATE($B277,""en"",D$3)"),"Fel: Det gick inte att starta Downloader.exe. Kanske kan du starta den manuellt.")</f>
        <v>Fel: Det gick inte att starta Downloader.exe. Kanske kan du starta den manuellt.</v>
      </c>
      <c r="E277" s="12" t="str">
        <f ca="1">IFERROR(__xludf.DUMMYFUNCTION("GOOGLETRANSLATE($B277,""en"",E$3)"),"Erro: Não foi possível lançar downloader.exe. Talvez você pode iniciá-lo manualmente.")</f>
        <v>Erro: Não foi possível lançar downloader.exe. Talvez você pode iniciá-lo manualmente.</v>
      </c>
      <c r="F277" s="12" t="str">
        <f ca="1">IFERROR(__xludf.DUMMYFUNCTION("GOOGLETRANSLATE($B277,""en"",F$3)"),"Erro: Não foi possível lançar downloader.exe. Talvez você pode iniciá-lo manualmente.")</f>
        <v>Erro: Não foi possível lançar downloader.exe. Talvez você pode iniciá-lo manualmente.</v>
      </c>
      <c r="G277" s="12" t="str">
        <f ca="1">IFERROR(__xludf.DUMMYFUNCTION("GOOGLETRANSLATE($B277,""en"",G$3)"),"Erreur: Impossible de lancer Downloader.exe. Peut-être que vous pouvez le lancer manuellement.")</f>
        <v>Erreur: Impossible de lancer Downloader.exe. Peut-être que vous pouvez le lancer manuellement.</v>
      </c>
      <c r="H277" s="12" t="str">
        <f ca="1">IFERROR(__xludf.DUMMYFUNCTION("GOOGLETRANSLATE($B277,""en"",H$3)"),"Errorea: ezin Abiarazi Downloader.exe. Beharbada eskuz abiarazi dezakezu.")</f>
        <v>Errorea: ezin Abiarazi Downloader.exe. Beharbada eskuz abiarazi dezakezu.</v>
      </c>
      <c r="I277" s="12" t="str">
        <f ca="1">IFERROR(__xludf.DUMMYFUNCTION("GOOGLETRANSLATE($B277,""en"",I$3)"),"Error: No podria Lance Downloader.exe. Potser es pot posar en marxa de forma manual.")</f>
        <v>Error: No podria Lance Downloader.exe. Potser es pot posar en marxa de forma manual.</v>
      </c>
      <c r="J277" s="12" t="str">
        <f ca="1">IFERROR(__xludf.DUMMYFUNCTION("GOOGLETRANSLATE($B277,""en"",J$3)"),"Chyba: Nelze spustit Downloader.exe. Možná, že si můžete spustit manuálně.")</f>
        <v>Chyba: Nelze spustit Downloader.exe. Možná, že si můžete spustit manuálně.</v>
      </c>
      <c r="K277" s="12" t="str">
        <f ca="1">IFERROR(__xludf.DUMMYFUNCTION("GOOGLETRANSLATE($B277,""en"",K$3)"),"错误：无法启动Downloader.exe。也许你可以手动启动它。")</f>
        <v>错误：无法启动Downloader.exe。也许你可以手动启动它。</v>
      </c>
      <c r="L277" s="12" t="str">
        <f ca="1">IFERROR(__xludf.DUMMYFUNCTION("GOOGLETRANSLATE($B277,""en"",L$3)"),"錯誤：無法啟動Downloader.exe。也許你可以手動啟動它。")</f>
        <v>錯誤：無法啟動Downloader.exe。也許你可以手動啟動它。</v>
      </c>
      <c r="M277" s="12" t="str">
        <f ca="1">IFERROR(__xludf.DUMMYFUNCTION("GOOGLETRANSLATE($B277,""en"",M$3)"),"Fout: kan niet starten downloader.exe. Misschien kunt u deze handmatig starten.")</f>
        <v>Fout: kan niet starten downloader.exe. Misschien kunt u deze handmatig starten.</v>
      </c>
      <c r="N277" s="12" t="str">
        <f ca="1">IFERROR(__xludf.DUMMYFUNCTION("GOOGLETRANSLATE($B277,""en"",N$3)"),"Σφάλμα: Δεν ήταν δυνατή η Ξεκινήστε Downloader.exe. Ίσως μπορείτε να ξεκινήσει χειροκίνητα.")</f>
        <v>Σφάλμα: Δεν ήταν δυνατή η Ξεκινήστε Downloader.exe. Ίσως μπορείτε να ξεκινήσει χειροκίνητα.</v>
      </c>
      <c r="O277" s="12" t="str">
        <f ca="1">IFERROR(__xludf.DUMMYFUNCTION("GOOGLETRANSLATE($B277,""en"",O$3)"),"Virhe: ei voitu käynnistää Downloader.exe. Ehkä voit käynnistää sen manuaalisesti.")</f>
        <v>Virhe: ei voitu käynnistää Downloader.exe. Ehkä voit käynnistää sen manuaalisesti.</v>
      </c>
      <c r="P277" s="12" t="str">
        <f ca="1">IFERROR(__xludf.DUMMYFUNCTION("GOOGLETRANSLATE($B277,""en"",P$3)"),"Earráid: Níorbh fhéidir Seoladh Downloader.exe. B'fhéidir gur féidir leat a sheoladh de láimh.")</f>
        <v>Earráid: Níorbh fhéidir Seoladh Downloader.exe. B'fhéidir gur féidir leat a sheoladh de láimh.</v>
      </c>
      <c r="Q277" s="12" t="str">
        <f ca="1">IFERROR(__xludf.DUMMYFUNCTION("GOOGLETRANSLATE($B277,""en"",Q$3)"),"خطا: یافت نشد راه اندازی Downloader.exe. شاید شما می توانید آن را به صورت دستی راه اندازی.")</f>
        <v>خطا: یافت نشد راه اندازی Downloader.exe. شاید شما می توانید آن را به صورت دستی راه اندازی.</v>
      </c>
      <c r="R277" s="12" t="str">
        <f ca="1">IFERROR(__xludf.DUMMYFUNCTION("GOOGLETRANSLATE($B277,""en"",R$3)"),"שגיאה: אין אפשרות להפעיל Downloader.exe. אולי אתה יכול להפעיל אותו באופן ידני.")</f>
        <v>שגיאה: אין אפשרות להפעיל Downloader.exe. אולי אתה יכול להפעיל אותו באופן ידני.</v>
      </c>
      <c r="S277" s="12" t="str">
        <f ca="1">IFERROR(__xludf.DUMMYFUNCTION("GOOGLETRANSLATE($B277,""en"",S$3)"),"Villa: Gat ekki ræst Downloader.exe. Kannski þú getur ræst það handvirkt.")</f>
        <v>Villa: Gat ekki ræst Downloader.exe. Kannski þú getur ræst það handvirkt.</v>
      </c>
      <c r="T277" s="12" t="str">
        <f ca="1">IFERROR(__xludf.DUMMYFUNCTION("GOOGLETRANSLATE($B277,""en"",T$3)"),"Feil: Klarte ikke å starte Downloader.exe. Kanskje du kan starte det manuelt.")</f>
        <v>Feil: Klarte ikke å starte Downloader.exe. Kanskje du kan starte det manuelt.</v>
      </c>
      <c r="U277" s="12" t="str">
        <f ca="1">IFERROR(__xludf.DUMMYFUNCTION("GOOGLETRANSLATE($B277,""en"",U$3)"),"خطأ: لا يمكن إطلاق Downloader.exe. ربما يمكنك تشغيله يدويا.")</f>
        <v>خطأ: لا يمكن إطلاق Downloader.exe. ربما يمكنك تشغيله يدويا.</v>
      </c>
      <c r="V277" s="12" t="str">
        <f ca="1">IFERROR(__xludf.DUMMYFUNCTION("GOOGLETRANSLATE($B277,""en"",V$3)"),"Błąd: Nie można uruchomić downloader.exe. Być może można uruchomić go ręcznie.")</f>
        <v>Błąd: Nie można uruchomić downloader.exe. Być może można uruchomić go ręcznie.</v>
      </c>
      <c r="W277" s="12" t="str">
        <f ca="1">IFERROR(__xludf.DUMMYFUNCTION("GOOGLETRANSLATE($B277,""en"",W$3)"),"Ошибка: Не удалось запустить Downloader.exe. Может быть, вы можете запустить его вручную.")</f>
        <v>Ошибка: Не удалось запустить Downloader.exe. Может быть, вы можете запустить его вручную.</v>
      </c>
      <c r="X277" s="12" t="str">
        <f ca="1">IFERROR(__xludf.DUMMYFUNCTION("GOOGLETRANSLATE($B277,""en"",X$3)"),"Error: No podría Lance Downloader.exe. Tal vez se puede poner en marcha de forma manual.")</f>
        <v>Error: No podría Lance Downloader.exe. Tal vez se puede poner en marcha de forma manual.</v>
      </c>
      <c r="Y277" s="12"/>
      <c r="Z277" s="12"/>
    </row>
    <row r="278" spans="1:26" ht="32.25" customHeight="1" x14ac:dyDescent="0.2">
      <c r="A278" s="17" t="s">
        <v>676</v>
      </c>
      <c r="B278" s="17" t="s">
        <v>677</v>
      </c>
      <c r="C278" s="18" t="s">
        <v>678</v>
      </c>
      <c r="D278" s="12" t="str">
        <f ca="1">IFERROR(__xludf.DUMMYFUNCTION("GOOGLETRANSLATE($B278,""en"",D$3)"),"Egendom")</f>
        <v>Egendom</v>
      </c>
      <c r="E278" s="12" t="str">
        <f ca="1">IFERROR(__xludf.DUMMYFUNCTION("GOOGLETRANSLATE($B278,""en"",E$3)"),"Estado")</f>
        <v>Estado</v>
      </c>
      <c r="F278" s="12" t="str">
        <f ca="1">IFERROR(__xludf.DUMMYFUNCTION("GOOGLETRANSLATE($B278,""en"",F$3)"),"Estado")</f>
        <v>Estado</v>
      </c>
      <c r="G278" s="12" t="str">
        <f ca="1">IFERROR(__xludf.DUMMYFUNCTION("GOOGLETRANSLATE($B278,""en"",G$3)"),"Biens")</f>
        <v>Biens</v>
      </c>
      <c r="H278" s="12" t="str">
        <f ca="1">IFERROR(__xludf.DUMMYFUNCTION("GOOGLETRANSLATE($B278,""en"",H$3)"),"Higiezinen")</f>
        <v>Higiezinen</v>
      </c>
      <c r="I278" s="12" t="str">
        <f ca="1">IFERROR(__xludf.DUMMYFUNCTION("GOOGLETRANSLATE($B278,""en"",I$3)"),"finca")</f>
        <v>finca</v>
      </c>
      <c r="J278" s="12" t="str">
        <f ca="1">IFERROR(__xludf.DUMMYFUNCTION("GOOGLETRANSLATE($B278,""en"",J$3)"),"Majetek")</f>
        <v>Majetek</v>
      </c>
      <c r="K278" s="12" t="str">
        <f ca="1">IFERROR(__xludf.DUMMYFUNCTION("GOOGLETRANSLATE($B278,""en"",K$3)"),"房地产")</f>
        <v>房地产</v>
      </c>
      <c r="L278" s="12" t="str">
        <f ca="1">IFERROR(__xludf.DUMMYFUNCTION("GOOGLETRANSLATE($B278,""en"",L$3)"),"房地產")</f>
        <v>房地產</v>
      </c>
      <c r="M278" s="12" t="str">
        <f ca="1">IFERROR(__xludf.DUMMYFUNCTION("GOOGLETRANSLATE($B278,""en"",M$3)"),"Landgoed")</f>
        <v>Landgoed</v>
      </c>
      <c r="N278" s="12" t="str">
        <f ca="1">IFERROR(__xludf.DUMMYFUNCTION("GOOGLETRANSLATE($B278,""en"",N$3)"),"Περιουσία")</f>
        <v>Περιουσία</v>
      </c>
      <c r="O278" s="12" t="str">
        <f ca="1">IFERROR(__xludf.DUMMYFUNCTION("GOOGLETRANSLATE($B278,""en"",O$3)"),"omaisuus")</f>
        <v>omaisuus</v>
      </c>
      <c r="P278" s="12" t="str">
        <f ca="1">IFERROR(__xludf.DUMMYFUNCTION("GOOGLETRANSLATE($B278,""en"",P$3)"),"eastát")</f>
        <v>eastát</v>
      </c>
      <c r="Q278" s="12" t="str">
        <f ca="1">IFERROR(__xludf.DUMMYFUNCTION("GOOGLETRANSLATE($B278,""en"",Q$3)"),"ملک")</f>
        <v>ملک</v>
      </c>
      <c r="R278" s="12" t="str">
        <f ca="1">IFERROR(__xludf.DUMMYFUNCTION("GOOGLETRANSLATE($B278,""en"",R$3)"),"נכס")</f>
        <v>נכס</v>
      </c>
      <c r="S278" s="12" t="str">
        <f ca="1">IFERROR(__xludf.DUMMYFUNCTION("GOOGLETRANSLATE($B278,""en"",S$3)"),"bú")</f>
        <v>bú</v>
      </c>
      <c r="T278" s="12" t="str">
        <f ca="1">IFERROR(__xludf.DUMMYFUNCTION("GOOGLETRANSLATE($B278,""en"",T$3)"),"Estate")</f>
        <v>Estate</v>
      </c>
      <c r="U278" s="12" t="str">
        <f ca="1">IFERROR(__xludf.DUMMYFUNCTION("GOOGLETRANSLATE($B278,""en"",U$3)"),"ملكية")</f>
        <v>ملكية</v>
      </c>
      <c r="V278" s="12" t="str">
        <f ca="1">IFERROR(__xludf.DUMMYFUNCTION("GOOGLETRANSLATE($B278,""en"",V$3)"),"Osiedle")</f>
        <v>Osiedle</v>
      </c>
      <c r="W278" s="12" t="str">
        <f ca="1">IFERROR(__xludf.DUMMYFUNCTION("GOOGLETRANSLATE($B278,""en"",W$3)"),"имущество")</f>
        <v>имущество</v>
      </c>
      <c r="X278" s="12" t="str">
        <f ca="1">IFERROR(__xludf.DUMMYFUNCTION("GOOGLETRANSLATE($B278,""en"",X$3)"),"Inmuebles")</f>
        <v>Inmuebles</v>
      </c>
      <c r="Y278" s="12"/>
      <c r="Z278" s="12"/>
    </row>
    <row r="279" spans="1:26" ht="32.25" customHeight="1" x14ac:dyDescent="0.2">
      <c r="A279" s="17" t="s">
        <v>679</v>
      </c>
      <c r="B279" s="17" t="s">
        <v>680</v>
      </c>
      <c r="C279" s="11" t="str">
        <f ca="1">IFERROR(__xludf.DUMMYFUNCTION("GOOGLETRANSLATE($B280,""en"",C$3)"),"Ausgang")</f>
        <v>Ausgang</v>
      </c>
      <c r="D279" s="12" t="str">
        <f ca="1">IFERROR(__xludf.DUMMYFUNCTION("GOOGLETRANSLATE($B279,""en"",D$3)"),"Estate Manager är gud")</f>
        <v>Estate Manager är gud</v>
      </c>
      <c r="E279" s="12" t="str">
        <f ca="1">IFERROR(__xludf.DUMMYFUNCTION("GOOGLETRANSLATE($B279,""en"",E$3)"),"Estate Manager é deus")</f>
        <v>Estate Manager é deus</v>
      </c>
      <c r="F279" s="12" t="str">
        <f ca="1">IFERROR(__xludf.DUMMYFUNCTION("GOOGLETRANSLATE($B279,""en"",F$3)"),"Estate Manager é deus")</f>
        <v>Estate Manager é deus</v>
      </c>
      <c r="G279" s="12" t="str">
        <f ca="1">IFERROR(__xludf.DUMMYFUNCTION("GOOGLETRANSLATE($B279,""en"",G$3)"),"Directeur immobilier est dieu")</f>
        <v>Directeur immobilier est dieu</v>
      </c>
      <c r="H279" s="12" t="str">
        <f ca="1">IFERROR(__xludf.DUMMYFUNCTION("GOOGLETRANSLATE($B279,""en"",H$3)"),"Higiezinen Kudeatzaile jainkoa da")</f>
        <v>Higiezinen Kudeatzaile jainkoa da</v>
      </c>
      <c r="I279" s="12" t="str">
        <f ca="1">IFERROR(__xludf.DUMMYFUNCTION("GOOGLETRANSLATE($B279,""en"",I$3)"),"Estigues Manager és déu")</f>
        <v>Estigues Manager és déu</v>
      </c>
      <c r="J279" s="12" t="str">
        <f ca="1">IFERROR(__xludf.DUMMYFUNCTION("GOOGLETRANSLATE($B279,""en"",J$3)"),"Estate Manager je bůh")</f>
        <v>Estate Manager je bůh</v>
      </c>
      <c r="K279" s="12" t="str">
        <f ca="1">IFERROR(__xludf.DUMMYFUNCTION("GOOGLETRANSLATE($B279,""en"",K$3)"),"地产经理是上帝")</f>
        <v>地产经理是上帝</v>
      </c>
      <c r="L279" s="12" t="str">
        <f ca="1">IFERROR(__xludf.DUMMYFUNCTION("GOOGLETRANSLATE($B279,""en"",L$3)"),"地產經理是上帝")</f>
        <v>地產經理是上帝</v>
      </c>
      <c r="M279" s="12" t="str">
        <f ca="1">IFERROR(__xludf.DUMMYFUNCTION("GOOGLETRANSLATE($B279,""en"",M$3)"),"Estate Manager is god")</f>
        <v>Estate Manager is god</v>
      </c>
      <c r="N279" s="12" t="str">
        <f ca="1">IFERROR(__xludf.DUMMYFUNCTION("GOOGLETRANSLATE($B279,""en"",N$3)"),"Estate Manager είναι θεός")</f>
        <v>Estate Manager είναι θεός</v>
      </c>
      <c r="O279" s="12" t="str">
        <f ca="1">IFERROR(__xludf.DUMMYFUNCTION("GOOGLETRANSLATE($B279,""en"",O$3)"),"Estate Manager on jumala")</f>
        <v>Estate Manager on jumala</v>
      </c>
      <c r="P279" s="12" t="str">
        <f ca="1">IFERROR(__xludf.DUMMYFUNCTION("GOOGLETRANSLATE($B279,""en"",P$3)"),"Is Bainisteoir Eastát dia")</f>
        <v>Is Bainisteoir Eastát dia</v>
      </c>
      <c r="Q279" s="12" t="str">
        <f ca="1">IFERROR(__xludf.DUMMYFUNCTION("GOOGLETRANSLATE($B279,""en"",Q$3)"),"املاک و مدیر خدا است")</f>
        <v>املاک و مدیر خدا است</v>
      </c>
      <c r="R279" s="12" t="str">
        <f ca="1">IFERROR(__xludf.DUMMYFUNCTION("GOOGLETRANSLATE($B279,""en"",R$3)"),"נדל""ן Manager הוא אלוהים")</f>
        <v>נדל"ן Manager הוא אלוהים</v>
      </c>
      <c r="S279" s="12" t="str">
        <f ca="1">IFERROR(__xludf.DUMMYFUNCTION("GOOGLETRANSLATE($B279,""en"",S$3)"),"Bú Manager er guð")</f>
        <v>Bú Manager er guð</v>
      </c>
      <c r="T279" s="12" t="str">
        <f ca="1">IFERROR(__xludf.DUMMYFUNCTION("GOOGLETRANSLATE($B279,""en"",T$3)"),"Estate Manager er gud")</f>
        <v>Estate Manager er gud</v>
      </c>
      <c r="U279" s="12" t="str">
        <f ca="1">IFERROR(__xludf.DUMMYFUNCTION("GOOGLETRANSLATE($B279,""en"",U$3)"),"مدير العقارات هو الله")</f>
        <v>مدير العقارات هو الله</v>
      </c>
      <c r="V279" s="12" t="str">
        <f ca="1">IFERROR(__xludf.DUMMYFUNCTION("GOOGLETRANSLATE($B279,""en"",V$3)"),"Estate Manager jest bogiem")</f>
        <v>Estate Manager jest bogiem</v>
      </c>
      <c r="W279" s="12" t="str">
        <f ca="1">IFERROR(__xludf.DUMMYFUNCTION("GOOGLETRANSLATE($B279,""en"",W$3)"),"Недвижимость менеджер бог")</f>
        <v>Недвижимость менеджер бог</v>
      </c>
      <c r="X279" s="12" t="str">
        <f ca="1">IFERROR(__xludf.DUMMYFUNCTION("GOOGLETRANSLATE($B279,""en"",X$3)"),"Estate Manager es dios")</f>
        <v>Estate Manager es dios</v>
      </c>
      <c r="Y279" s="12"/>
      <c r="Z279" s="12"/>
    </row>
    <row r="280" spans="1:26" ht="32.25" customHeight="1" x14ac:dyDescent="0.2">
      <c r="A280" s="17" t="s">
        <v>681</v>
      </c>
      <c r="B280" s="17" t="s">
        <v>682</v>
      </c>
      <c r="C280" s="11" t="str">
        <f ca="1">IFERROR(__xludf.DUMMYFUNCTION("GOOGLETRANSLATE($B281,""en"",C$3)"),"Export Sicherungsdatei")</f>
        <v>Export Sicherungsdatei</v>
      </c>
      <c r="D280" s="12" t="str">
        <f ca="1">IFERROR(__xludf.DUMMYFUNCTION("GOOGLETRANSLATE($B280,""en"",D$3)"),"Utgång")</f>
        <v>Utgång</v>
      </c>
      <c r="E280" s="12" t="str">
        <f ca="1">IFERROR(__xludf.DUMMYFUNCTION("GOOGLETRANSLATE($B280,""en"",E$3)"),"Saída")</f>
        <v>Saída</v>
      </c>
      <c r="F280" s="12" t="str">
        <f ca="1">IFERROR(__xludf.DUMMYFUNCTION("GOOGLETRANSLATE($B280,""en"",F$3)"),"Saída")</f>
        <v>Saída</v>
      </c>
      <c r="G280" s="12" t="str">
        <f ca="1">IFERROR(__xludf.DUMMYFUNCTION("GOOGLETRANSLATE($B280,""en"",G$3)"),"Sortie")</f>
        <v>Sortie</v>
      </c>
      <c r="H280" s="12" t="str">
        <f ca="1">IFERROR(__xludf.DUMMYFUNCTION("GOOGLETRANSLATE($B280,""en"",H$3)"),"Irten")</f>
        <v>Irten</v>
      </c>
      <c r="I280" s="12" t="str">
        <f ca="1">IFERROR(__xludf.DUMMYFUNCTION("GOOGLETRANSLATE($B280,""en"",I$3)"),"sortida")</f>
        <v>sortida</v>
      </c>
      <c r="J280" s="12" t="str">
        <f ca="1">IFERROR(__xludf.DUMMYFUNCTION("GOOGLETRANSLATE($B280,""en"",J$3)"),"Výstup")</f>
        <v>Výstup</v>
      </c>
      <c r="K280" s="12" t="str">
        <f ca="1">IFERROR(__xludf.DUMMYFUNCTION("GOOGLETRANSLATE($B280,""en"",K$3)"),"出口")</f>
        <v>出口</v>
      </c>
      <c r="L280" s="12" t="str">
        <f ca="1">IFERROR(__xludf.DUMMYFUNCTION("GOOGLETRANSLATE($B280,""en"",L$3)"),"出口")</f>
        <v>出口</v>
      </c>
      <c r="M280" s="12" t="str">
        <f ca="1">IFERROR(__xludf.DUMMYFUNCTION("GOOGLETRANSLATE($B280,""en"",M$3)"),"Uitgang")</f>
        <v>Uitgang</v>
      </c>
      <c r="N280" s="12" t="str">
        <f ca="1">IFERROR(__xludf.DUMMYFUNCTION("GOOGLETRANSLATE($B280,""en"",N$3)"),"Εξοδος")</f>
        <v>Εξοδος</v>
      </c>
      <c r="O280" s="12" t="str">
        <f ca="1">IFERROR(__xludf.DUMMYFUNCTION("GOOGLETRANSLATE($B280,""en"",O$3)"),"poistuminen")</f>
        <v>poistuminen</v>
      </c>
      <c r="P280" s="12" t="str">
        <f ca="1">IFERROR(__xludf.DUMMYFUNCTION("GOOGLETRANSLATE($B280,""en"",P$3)"),"An slí amach")</f>
        <v>An slí amach</v>
      </c>
      <c r="Q280" s="12" t="str">
        <f ca="1">IFERROR(__xludf.DUMMYFUNCTION("GOOGLETRANSLATE($B280,""en"",Q$3)"),"خروج")</f>
        <v>خروج</v>
      </c>
      <c r="R280" s="12" t="str">
        <f ca="1">IFERROR(__xludf.DUMMYFUNCTION("GOOGLETRANSLATE($B280,""en"",R$3)"),"יְצִיאָה")</f>
        <v>יְצִיאָה</v>
      </c>
      <c r="S280" s="12" t="str">
        <f ca="1">IFERROR(__xludf.DUMMYFUNCTION("GOOGLETRANSLATE($B280,""en"",S$3)"),"Hætta")</f>
        <v>Hætta</v>
      </c>
      <c r="T280" s="12" t="str">
        <f ca="1">IFERROR(__xludf.DUMMYFUNCTION("GOOGLETRANSLATE($B280,""en"",T$3)"),"Exit")</f>
        <v>Exit</v>
      </c>
      <c r="U280" s="12" t="str">
        <f ca="1">IFERROR(__xludf.DUMMYFUNCTION("GOOGLETRANSLATE($B280,""en"",U$3)"),"خروج")</f>
        <v>خروج</v>
      </c>
      <c r="V280" s="12" t="str">
        <f ca="1">IFERROR(__xludf.DUMMYFUNCTION("GOOGLETRANSLATE($B280,""en"",V$3)"),"Wyjście")</f>
        <v>Wyjście</v>
      </c>
      <c r="W280" s="12" t="str">
        <f ca="1">IFERROR(__xludf.DUMMYFUNCTION("GOOGLETRANSLATE($B280,""en"",W$3)"),"Выход")</f>
        <v>Выход</v>
      </c>
      <c r="X280" s="12" t="str">
        <f ca="1">IFERROR(__xludf.DUMMYFUNCTION("GOOGLETRANSLATE($B280,""en"",X$3)"),"Salida")</f>
        <v>Salida</v>
      </c>
      <c r="Y280" s="12"/>
      <c r="Z280" s="12"/>
    </row>
    <row r="281" spans="1:26" ht="32.25" customHeight="1" x14ac:dyDescent="0.2">
      <c r="A281" s="17" t="s">
        <v>683</v>
      </c>
      <c r="B281" s="17" t="s">
        <v>684</v>
      </c>
      <c r="C281" s="11" t="str">
        <f ca="1">IFERROR(__xludf.DUMMYFUNCTION("GOOGLETRANSLATE($B282,""en"",C$3)"),"Export Permission")</f>
        <v>Export Permission</v>
      </c>
      <c r="D281" s="12" t="str">
        <f ca="1">IFERROR(__xludf.DUMMYFUNCTION("GOOGLETRANSLATE($B281,""en"",D$3)"),"Export säkerhetskopia")</f>
        <v>Export säkerhetskopia</v>
      </c>
      <c r="E281" s="12" t="str">
        <f ca="1">IFERROR(__xludf.DUMMYFUNCTION("GOOGLETRANSLATE($B281,""en"",E$3)"),"arquivo de backup de exportação")</f>
        <v>arquivo de backup de exportação</v>
      </c>
      <c r="F281" s="12" t="str">
        <f ca="1">IFERROR(__xludf.DUMMYFUNCTION("GOOGLETRANSLATE($B281,""en"",F$3)"),"arquivo de backup de exportação")</f>
        <v>arquivo de backup de exportação</v>
      </c>
      <c r="G281" s="12" t="str">
        <f ca="1">IFERROR(__xludf.DUMMYFUNCTION("GOOGLETRANSLATE($B281,""en"",G$3)"),"Exporter fichier de sauvegarde")</f>
        <v>Exporter fichier de sauvegarde</v>
      </c>
      <c r="H281" s="12" t="str">
        <f ca="1">IFERROR(__xludf.DUMMYFUNCTION("GOOGLETRANSLATE($B281,""en"",H$3)"),"Export babeskopiarik")</f>
        <v>Export babeskopiarik</v>
      </c>
      <c r="I281" s="12" t="str">
        <f ca="1">IFERROR(__xludf.DUMMYFUNCTION("GOOGLETRANSLATE($B281,""en"",I$3)"),"fitxer de còpia de seguretat d'exportació")</f>
        <v>fitxer de còpia de seguretat d'exportació</v>
      </c>
      <c r="J281" s="12" t="str">
        <f ca="1">IFERROR(__xludf.DUMMYFUNCTION("GOOGLETRANSLATE($B281,""en"",J$3)"),"Export zálohování souborů")</f>
        <v>Export zálohování souborů</v>
      </c>
      <c r="K281" s="12" t="str">
        <f ca="1">IFERROR(__xludf.DUMMYFUNCTION("GOOGLETRANSLATE($B281,""en"",K$3)"),"导出备份文件")</f>
        <v>导出备份文件</v>
      </c>
      <c r="L281" s="12" t="str">
        <f ca="1">IFERROR(__xludf.DUMMYFUNCTION("GOOGLETRANSLATE($B281,""en"",L$3)"),"導出備份文件")</f>
        <v>導出備份文件</v>
      </c>
      <c r="M281" s="12" t="str">
        <f ca="1">IFERROR(__xludf.DUMMYFUNCTION("GOOGLETRANSLATE($B281,""en"",M$3)"),"Export back-upbestand")</f>
        <v>Export back-upbestand</v>
      </c>
      <c r="N281" s="12" t="str">
        <f ca="1">IFERROR(__xludf.DUMMYFUNCTION("GOOGLETRANSLATE($B281,""en"",N$3)"),"Εξαγωγή αρχείου αντιγράφου ασφαλείας")</f>
        <v>Εξαγωγή αρχείου αντιγράφου ασφαλείας</v>
      </c>
      <c r="O281" s="12" t="str">
        <f ca="1">IFERROR(__xludf.DUMMYFUNCTION("GOOGLETRANSLATE($B281,""en"",O$3)"),"Vie varmuuskopio")</f>
        <v>Vie varmuuskopio</v>
      </c>
      <c r="P281" s="12" t="str">
        <f ca="1">IFERROR(__xludf.DUMMYFUNCTION("GOOGLETRANSLATE($B281,""en"",P$3)"),"Easpórtáil comhad cúltaca")</f>
        <v>Easpórtáil comhad cúltaca</v>
      </c>
      <c r="Q281" s="12" t="str">
        <f ca="1">IFERROR(__xludf.DUMMYFUNCTION("GOOGLETRANSLATE($B281,""en"",Q$3)"),"صادرات فایل پشتیبان")</f>
        <v>صادرات فایل پشتیبان</v>
      </c>
      <c r="R281" s="12" t="str">
        <f ca="1">IFERROR(__xludf.DUMMYFUNCTION("GOOGLETRANSLATE($B281,""en"",R$3)"),"קובץ גיבוי ייצוא")</f>
        <v>קובץ גיבוי ייצוא</v>
      </c>
      <c r="S281" s="12" t="str">
        <f ca="1">IFERROR(__xludf.DUMMYFUNCTION("GOOGLETRANSLATE($B281,""en"",S$3)"),"Flytja varabúnaður skrá")</f>
        <v>Flytja varabúnaður skrá</v>
      </c>
      <c r="T281" s="12" t="str">
        <f ca="1">IFERROR(__xludf.DUMMYFUNCTION("GOOGLETRANSLATE($B281,""en"",T$3)"),"Eksport backup fil")</f>
        <v>Eksport backup fil</v>
      </c>
      <c r="U281" s="12" t="str">
        <f ca="1">IFERROR(__xludf.DUMMYFUNCTION("GOOGLETRANSLATE($B281,""en"",U$3)"),"ملف النسخة الاحتياطية تصدير")</f>
        <v>ملف النسخة الاحتياطية تصدير</v>
      </c>
      <c r="V281" s="12" t="str">
        <f ca="1">IFERROR(__xludf.DUMMYFUNCTION("GOOGLETRANSLATE($B281,""en"",V$3)"),"Eksport pliku kopii zapasowej")</f>
        <v>Eksport pliku kopii zapasowej</v>
      </c>
      <c r="W281" s="12" t="str">
        <f ca="1">IFERROR(__xludf.DUMMYFUNCTION("GOOGLETRANSLATE($B281,""en"",W$3)"),"Экспорт файла резервной копии")</f>
        <v>Экспорт файла резервной копии</v>
      </c>
      <c r="X281" s="12" t="str">
        <f ca="1">IFERROR(__xludf.DUMMYFUNCTION("GOOGLETRANSLATE($B281,""en"",X$3)"),"archivo de copia de seguridad de exportación")</f>
        <v>archivo de copia de seguridad de exportación</v>
      </c>
      <c r="Y281" s="12"/>
      <c r="Z281" s="12"/>
    </row>
    <row r="282" spans="1:26" ht="32.25" customHeight="1" x14ac:dyDescent="0.2">
      <c r="A282" s="17" t="s">
        <v>685</v>
      </c>
      <c r="B282" s="17" t="s">
        <v>686</v>
      </c>
      <c r="C282" s="11" t="str">
        <f ca="1">IFERROR(__xludf.DUMMYFUNCTION("GOOGLETRANSLATE($B283,""en"",C$3)"),"Export SQL-Datei")</f>
        <v>Export SQL-Datei</v>
      </c>
      <c r="D282" s="12" t="str">
        <f ca="1">IFERROR(__xludf.DUMMYFUNCTION("GOOGLETRANSLATE($B282,""en"",D$3)"),"export Tillstånd")</f>
        <v>export Tillstånd</v>
      </c>
      <c r="E282" s="12" t="str">
        <f ca="1">IFERROR(__xludf.DUMMYFUNCTION("GOOGLETRANSLATE($B282,""en"",E$3)"),"A permissão de exportação")</f>
        <v>A permissão de exportação</v>
      </c>
      <c r="F282" s="12" t="str">
        <f ca="1">IFERROR(__xludf.DUMMYFUNCTION("GOOGLETRANSLATE($B282,""en"",F$3)"),"A permissão de exportação")</f>
        <v>A permissão de exportação</v>
      </c>
      <c r="G282" s="12" t="str">
        <f ca="1">IFERROR(__xludf.DUMMYFUNCTION("GOOGLETRANSLATE($B282,""en"",G$3)"),"L'autorisation d'exportation")</f>
        <v>L'autorisation d'exportation</v>
      </c>
      <c r="H282" s="12" t="str">
        <f ca="1">IFERROR(__xludf.DUMMYFUNCTION("GOOGLETRANSLATE($B282,""en"",H$3)"),"Export Lizentzia")</f>
        <v>Export Lizentzia</v>
      </c>
      <c r="I282" s="12" t="str">
        <f ca="1">IFERROR(__xludf.DUMMYFUNCTION("GOOGLETRANSLATE($B282,""en"",I$3)"),"El permís d'exportació")</f>
        <v>El permís d'exportació</v>
      </c>
      <c r="J282" s="12" t="str">
        <f ca="1">IFERROR(__xludf.DUMMYFUNCTION("GOOGLETRANSLATE($B282,""en"",J$3)"),"Export Oprávnění")</f>
        <v>Export Oprávnění</v>
      </c>
      <c r="K282" s="12" t="str">
        <f ca="1">IFERROR(__xludf.DUMMYFUNCTION("GOOGLETRANSLATE($B282,""en"",K$3)"),"出口许可")</f>
        <v>出口许可</v>
      </c>
      <c r="L282" s="12" t="str">
        <f ca="1">IFERROR(__xludf.DUMMYFUNCTION("GOOGLETRANSLATE($B282,""en"",L$3)"),"出口許可")</f>
        <v>出口許可</v>
      </c>
      <c r="M282" s="12" t="str">
        <f ca="1">IFERROR(__xludf.DUMMYFUNCTION("GOOGLETRANSLATE($B282,""en"",M$3)"),"export Toestemming")</f>
        <v>export Toestemming</v>
      </c>
      <c r="N282" s="12" t="str">
        <f ca="1">IFERROR(__xludf.DUMMYFUNCTION("GOOGLETRANSLATE($B282,""en"",N$3)"),"εξαγωγή άδεια")</f>
        <v>εξαγωγή άδεια</v>
      </c>
      <c r="O282" s="12" t="str">
        <f ca="1">IFERROR(__xludf.DUMMYFUNCTION("GOOGLETRANSLATE($B282,""en"",O$3)"),"vienti Käyttöoikeus")</f>
        <v>vienti Käyttöoikeus</v>
      </c>
      <c r="P282" s="12" t="str">
        <f ca="1">IFERROR(__xludf.DUMMYFUNCTION("GOOGLETRANSLATE($B282,""en"",P$3)"),"Easpórtáil Cead")</f>
        <v>Easpórtáil Cead</v>
      </c>
      <c r="Q282" s="12" t="str">
        <f ca="1">IFERROR(__xludf.DUMMYFUNCTION("GOOGLETRANSLATE($B282,""en"",Q$3)"),"صادرات اجازه")</f>
        <v>صادرات اجازه</v>
      </c>
      <c r="R282" s="12" t="str">
        <f ca="1">IFERROR(__xludf.DUMMYFUNCTION("GOOGLETRANSLATE($B282,""en"",R$3)"),"רשות יצוא")</f>
        <v>רשות יצוא</v>
      </c>
      <c r="S282" s="12" t="str">
        <f ca="1">IFERROR(__xludf.DUMMYFUNCTION("GOOGLETRANSLATE($B282,""en"",S$3)"),"Flytja Leyfi")</f>
        <v>Flytja Leyfi</v>
      </c>
      <c r="T282" s="12" t="str">
        <f ca="1">IFERROR(__xludf.DUMMYFUNCTION("GOOGLETRANSLATE($B282,""en"",T$3)"),"Eksporter Tillatelse")</f>
        <v>Eksporter Tillatelse</v>
      </c>
      <c r="U282" s="12" t="str">
        <f ca="1">IFERROR(__xludf.DUMMYFUNCTION("GOOGLETRANSLATE($B282,""en"",U$3)"),"تصدير إذن")</f>
        <v>تصدير إذن</v>
      </c>
      <c r="V282" s="12" t="str">
        <f ca="1">IFERROR(__xludf.DUMMYFUNCTION("GOOGLETRANSLATE($B282,""en"",V$3)"),"eksport Permission")</f>
        <v>eksport Permission</v>
      </c>
      <c r="W282" s="12" t="str">
        <f ca="1">IFERROR(__xludf.DUMMYFUNCTION("GOOGLETRANSLATE($B282,""en"",W$3)"),"Экспорт Разрешение")</f>
        <v>Экспорт Разрешение</v>
      </c>
      <c r="X282" s="12" t="str">
        <f ca="1">IFERROR(__xludf.DUMMYFUNCTION("GOOGLETRANSLATE($B282,""en"",X$3)"),"El permiso de exportación")</f>
        <v>El permiso de exportación</v>
      </c>
      <c r="Y282" s="12"/>
      <c r="Z282" s="12"/>
    </row>
    <row r="283" spans="1:26" ht="32.25" customHeight="1" x14ac:dyDescent="0.2">
      <c r="A283" s="17" t="s">
        <v>687</v>
      </c>
      <c r="B283" s="17" t="s">
        <v>688</v>
      </c>
      <c r="C283" s="11" t="str">
        <f ca="1">IFERROR(__xludf.DUMMYFUNCTION("GOOGLETRANSLATE($B284,""en"",C$3)"),"Externe Hostnamen für Region-Server")</f>
        <v>Externe Hostnamen für Region-Server</v>
      </c>
      <c r="D283" s="12" t="str">
        <f ca="1">IFERROR(__xludf.DUMMYFUNCTION("GOOGLETRANSLATE($B283,""en"",D$3)"),"Export SQL-fil")</f>
        <v>Export SQL-fil</v>
      </c>
      <c r="E283" s="12" t="str">
        <f ca="1">IFERROR(__xludf.DUMMYFUNCTION("GOOGLETRANSLATE($B283,""en"",E$3)"),"arquivo de exportação SQL")</f>
        <v>arquivo de exportação SQL</v>
      </c>
      <c r="F283" s="12" t="str">
        <f ca="1">IFERROR(__xludf.DUMMYFUNCTION("GOOGLETRANSLATE($B283,""en"",F$3)"),"arquivo de exportação SQL")</f>
        <v>arquivo de exportação SQL</v>
      </c>
      <c r="G283" s="12" t="str">
        <f ca="1">IFERROR(__xludf.DUMMYFUNCTION("GOOGLETRANSLATE($B283,""en"",G$3)"),"Exporter un fichier SQL")</f>
        <v>Exporter un fichier SQL</v>
      </c>
      <c r="H283" s="12" t="str">
        <f ca="1">IFERROR(__xludf.DUMMYFUNCTION("GOOGLETRANSLATE($B283,""en"",H$3)"),"Export SQL fitxategia")</f>
        <v>Export SQL fitxategia</v>
      </c>
      <c r="I283" s="12" t="str">
        <f ca="1">IFERROR(__xludf.DUMMYFUNCTION("GOOGLETRANSLATE($B283,""en"",I$3)"),"arxiu d'exportació de SQL")</f>
        <v>arxiu d'exportació de SQL</v>
      </c>
      <c r="J283" s="12" t="str">
        <f ca="1">IFERROR(__xludf.DUMMYFUNCTION("GOOGLETRANSLATE($B283,""en"",J$3)"),"Soubor Export SQL")</f>
        <v>Soubor Export SQL</v>
      </c>
      <c r="K283" s="12" t="str">
        <f ca="1">IFERROR(__xludf.DUMMYFUNCTION("GOOGLETRANSLATE($B283,""en"",K$3)"),"导出SQL文件")</f>
        <v>导出SQL文件</v>
      </c>
      <c r="L283" s="12" t="str">
        <f ca="1">IFERROR(__xludf.DUMMYFUNCTION("GOOGLETRANSLATE($B283,""en"",L$3)"),"導出SQL文件")</f>
        <v>導出SQL文件</v>
      </c>
      <c r="M283" s="12" t="str">
        <f ca="1">IFERROR(__xludf.DUMMYFUNCTION("GOOGLETRANSLATE($B283,""en"",M$3)"),"Export SQL-bestand")</f>
        <v>Export SQL-bestand</v>
      </c>
      <c r="N283" s="12" t="str">
        <f ca="1">IFERROR(__xludf.DUMMYFUNCTION("GOOGLETRANSLATE($B283,""en"",N$3)"),"Εξαγωγή SQL αρχείο")</f>
        <v>Εξαγωγή SQL αρχείο</v>
      </c>
      <c r="O283" s="12" t="str">
        <f ca="1">IFERROR(__xludf.DUMMYFUNCTION("GOOGLETRANSLATE($B283,""en"",O$3)"),"Vie SQL tiedostoon")</f>
        <v>Vie SQL tiedostoon</v>
      </c>
      <c r="P283" s="12" t="str">
        <f ca="1">IFERROR(__xludf.DUMMYFUNCTION("GOOGLETRANSLATE($B283,""en"",P$3)"),"comhad Easpórtáil SQL")</f>
        <v>comhad Easpórtáil SQL</v>
      </c>
      <c r="Q283" s="12" t="str">
        <f ca="1">IFERROR(__xludf.DUMMYFUNCTION("GOOGLETRANSLATE($B283,""en"",Q$3)"),"فایل صادرات SQL")</f>
        <v>فایل صادرات SQL</v>
      </c>
      <c r="R283" s="12" t="str">
        <f ca="1">IFERROR(__xludf.DUMMYFUNCTION("GOOGLETRANSLATE($B283,""en"",R$3)"),"קובץ SQL ייצוא")</f>
        <v>קובץ SQL ייצוא</v>
      </c>
      <c r="S283" s="12" t="str">
        <f ca="1">IFERROR(__xludf.DUMMYFUNCTION("GOOGLETRANSLATE($B283,""en"",S$3)"),"Útflutningur SQL skrá")</f>
        <v>Útflutningur SQL skrá</v>
      </c>
      <c r="T283" s="12" t="str">
        <f ca="1">IFERROR(__xludf.DUMMYFUNCTION("GOOGLETRANSLATE($B283,""en"",T$3)"),"Export SQL-fil")</f>
        <v>Export SQL-fil</v>
      </c>
      <c r="U283" s="12" t="str">
        <f ca="1">IFERROR(__xludf.DUMMYFUNCTION("GOOGLETRANSLATE($B283,""en"",U$3)"),"ملف تصدير SQL")</f>
        <v>ملف تصدير SQL</v>
      </c>
      <c r="V283" s="12" t="str">
        <f ca="1">IFERROR(__xludf.DUMMYFUNCTION("GOOGLETRANSLATE($B283,""en"",V$3)"),"Plik eksportu SQL")</f>
        <v>Plik eksportu SQL</v>
      </c>
      <c r="W283" s="12" t="str">
        <f ca="1">IFERROR(__xludf.DUMMYFUNCTION("GOOGLETRANSLATE($B283,""en"",W$3)"),"Экспорт SQL файл")</f>
        <v>Экспорт SQL файл</v>
      </c>
      <c r="X283" s="12" t="str">
        <f ca="1">IFERROR(__xludf.DUMMYFUNCTION("GOOGLETRANSLATE($B283,""en"",X$3)"),"archivo de exportación de SQL")</f>
        <v>archivo de exportación de SQL</v>
      </c>
      <c r="Y283" s="12"/>
      <c r="Z283" s="12"/>
    </row>
    <row r="284" spans="1:26" ht="32.25" customHeight="1" x14ac:dyDescent="0.2">
      <c r="A284" s="17" t="s">
        <v>689</v>
      </c>
      <c r="B284" s="17" t="s">
        <v>690</v>
      </c>
      <c r="C284" s="11" t="str">
        <f ca="1">IFERROR(__xludf.DUMMYFUNCTION("GOOGLETRANSLATE($B285,""en"",C$3)"),"Der Standard für externe Hostname ist ein leerer, die Ihre DNS-Namen oder die IP wird. Nur diese einstellen, wenn Sie einen Bereich Server ohne NAT ausgeführt werden.")</f>
        <v>Der Standard für externe Hostname ist ein leerer, die Ihre DNS-Namen oder die IP wird. Nur diese einstellen, wenn Sie einen Bereich Server ohne NAT ausgeführt werden.</v>
      </c>
      <c r="D284" s="12" t="str">
        <f ca="1">IFERROR(__xludf.DUMMYFUNCTION("GOOGLETRANSLATE($B284,""en"",D$3)"),"Extern värdnamn för Region servrar")</f>
        <v>Extern värdnamn för Region servrar</v>
      </c>
      <c r="E284" s="12" t="str">
        <f ca="1">IFERROR(__xludf.DUMMYFUNCTION("GOOGLETRANSLATE($B284,""en"",E$3)"),"Servidores HostName externa para a região")</f>
        <v>Servidores HostName externa para a região</v>
      </c>
      <c r="F284" s="12" t="str">
        <f ca="1">IFERROR(__xludf.DUMMYFUNCTION("GOOGLETRANSLATE($B284,""en"",F$3)"),"Servidores HostName externa para a região")</f>
        <v>Servidores HostName externa para a região</v>
      </c>
      <c r="G284" s="12" t="str">
        <f ca="1">IFERROR(__xludf.DUMMYFUNCTION("GOOGLETRANSLATE($B284,""en"",G$3)"),"Serveurs externes HostName pour la région")</f>
        <v>Serveurs externes HostName pour la région</v>
      </c>
      <c r="H284" s="12" t="str">
        <f ca="1">IFERROR(__xludf.DUMMYFUNCTION("GOOGLETRANSLATE($B284,""en"",H$3)"),"Kanpo hostname For Region zerbitzariak")</f>
        <v>Kanpo hostname For Region zerbitzariak</v>
      </c>
      <c r="I284" s="12" t="str">
        <f ca="1">IFERROR(__xludf.DUMMYFUNCTION("GOOGLETRANSLATE($B284,""en"",I$3)"),"Servidors NombreHost externa per a la regió")</f>
        <v>Servidors NombreHost externa per a la regió</v>
      </c>
      <c r="J284" s="12" t="str">
        <f ca="1">IFERROR(__xludf.DUMMYFUNCTION("GOOGLETRANSLATE($B284,""en"",J$3)"),"Externí Název_hostitele pro region Servers")</f>
        <v>Externí Název_hostitele pro region Servers</v>
      </c>
      <c r="K284" s="12" t="str">
        <f ca="1">IFERROR(__xludf.DUMMYFUNCTION("GOOGLETRANSLATE($B284,""en"",K$3)"),"外部主机名区服务器")</f>
        <v>外部主机名区服务器</v>
      </c>
      <c r="L284" s="12" t="str">
        <f ca="1">IFERROR(__xludf.DUMMYFUNCTION("GOOGLETRANSLATE($B284,""en"",L$3)"),"外部主機名區服務器")</f>
        <v>外部主機名區服務器</v>
      </c>
      <c r="M284" s="12" t="str">
        <f ca="1">IFERROR(__xludf.DUMMYFUNCTION("GOOGLETRANSLATE($B284,""en"",M$3)"),"Externe hostnaam voor Region Servers")</f>
        <v>Externe hostnaam voor Region Servers</v>
      </c>
      <c r="N284" s="12" t="str">
        <f ca="1">IFERROR(__xludf.DUMMYFUNCTION("GOOGLETRANSLATE($B284,""en"",N$3)"),"Εξωτερικές Όνομα_κεντρικού_υπολογιστή Για Περιοχή Servers")</f>
        <v>Εξωτερικές Όνομα_κεντρικού_υπολογιστή Για Περιοχή Servers</v>
      </c>
      <c r="O284" s="12" t="str">
        <f ca="1">IFERROR(__xludf.DUMMYFUNCTION("GOOGLETRANSLATE($B284,""en"",O$3)"),"Ulkoiset konenimi alue palvelimet")</f>
        <v>Ulkoiset konenimi alue palvelimet</v>
      </c>
      <c r="P284" s="12" t="str">
        <f ca="1">IFERROR(__xludf.DUMMYFUNCTION("GOOGLETRANSLATE($B284,""en"",P$3)"),"Freastalaithe Óstainm Seachtrach Do Réigiún")</f>
        <v>Freastalaithe Óstainm Seachtrach Do Réigiún</v>
      </c>
      <c r="Q284" s="12" t="str">
        <f ca="1">IFERROR(__xludf.DUMMYFUNCTION("GOOGLETRANSLATE($B284,""en"",Q$3)"),"سرور های خارجی نام میزبان را برای منطقه")</f>
        <v>سرور های خارجی نام میزبان را برای منطقه</v>
      </c>
      <c r="R284" s="12" t="str">
        <f ca="1">IFERROR(__xludf.DUMMYFUNCTION("GOOGLETRANSLATE($B284,""en"",R$3)"),"שרתי האזור החיצוני HostName")</f>
        <v>שרתי האזור החיצוני HostName</v>
      </c>
      <c r="S284" s="12" t="str">
        <f ca="1">IFERROR(__xludf.DUMMYFUNCTION("GOOGLETRANSLATE($B284,""en"",S$3)"),"Ytri heiti fyrir svæðið Servers")</f>
        <v>Ytri heiti fyrir svæðið Servers</v>
      </c>
      <c r="T284" s="12" t="str">
        <f ca="1">IFERROR(__xludf.DUMMYFUNCTION("GOOGLETRANSLATE($B284,""en"",T$3)"),"Ekstern vertsnavn for Region servere")</f>
        <v>Ekstern vertsnavn for Region servere</v>
      </c>
      <c r="U284" s="12" t="str">
        <f ca="1">IFERROR(__xludf.DUMMYFUNCTION("GOOGLETRANSLATE($B284,""en"",U$3)"),"خوادم اسم المضيف الخارجية عن المنطقة")</f>
        <v>خوادم اسم المضيف الخارجية عن المنطقة</v>
      </c>
      <c r="V284" s="12" t="str">
        <f ca="1">IFERROR(__xludf.DUMMYFUNCTION("GOOGLETRANSLATE($B284,""en"",V$3)"),"Zewnętrzna NazwaHosta Dla Region Serwery")</f>
        <v>Zewnętrzna NazwaHosta Dla Region Serwery</v>
      </c>
      <c r="W284" s="12" t="str">
        <f ca="1">IFERROR(__xludf.DUMMYFUNCTION("GOOGLETRANSLATE($B284,""en"",W$3)"),"Внешний HostName для региона Серверы")</f>
        <v>Внешний HostName для региона Серверы</v>
      </c>
      <c r="X284" s="12" t="str">
        <f ca="1">IFERROR(__xludf.DUMMYFUNCTION("GOOGLETRANSLATE($B284,""en"",X$3)"),"Servidores NombreHost externa para la región")</f>
        <v>Servidores NombreHost externa para la región</v>
      </c>
      <c r="Y284" s="12"/>
      <c r="Z284" s="12"/>
    </row>
    <row r="285" spans="1:26" ht="32.25" customHeight="1" x14ac:dyDescent="0.2">
      <c r="A285" s="17" t="s">
        <v>691</v>
      </c>
      <c r="B285" s="17" t="s">
        <v>692</v>
      </c>
      <c r="C285" s="11" t="str">
        <f ca="1">IFERROR(__xludf.DUMMYFUNCTION("GOOGLETRANSLATE($B286,""en"",C$3)"),"Flotsam Asset-Cache")</f>
        <v>Flotsam Asset-Cache</v>
      </c>
      <c r="D285" s="12" t="str">
        <f ca="1">IFERROR(__xludf.DUMMYFUNCTION("GOOGLETRANSLATE($B285,""en"",D$3)"),"Standard för yttre Host Name är ett ämne, som blir din DNS-namn eller IP. Endast ställa in detta om du kör en region server utan NAT.")</f>
        <v>Standard för yttre Host Name är ett ämne, som blir din DNS-namn eller IP. Endast ställa in detta om du kör en region server utan NAT.</v>
      </c>
      <c r="E285" s="12" t="str">
        <f ca="1">IFERROR(__xludf.DUMMYFUNCTION("GOOGLETRANSLATE($B285,""en"",E$3)"),"O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F285" s="12" t="str">
        <f ca="1">IFERROR(__xludf.DUMMYFUNCTION("GOOGLETRANSLATE($B285,""en"",F$3)"),"O padrão para host externo nome é um espaço em branco, que se torna o seu nome DNS ou IP. Apenas definir esta se você estiver executando um servidor da região sem NAT.")</f>
        <v>O padrão para host externo nome é um espaço em branco, que se torna o seu nome DNS ou IP. Apenas definir esta se você estiver executando um servidor da região sem NAT.</v>
      </c>
      <c r="G285" s="12" t="str">
        <f ca="1">IFERROR(__xludf.DUMMYFUNCTION("GOOGLETRANSLATE($B285,""en"",G$3)"),"La valeur par défaut pour le nom de l'hôte externe est un blanc, qui devient votre nom DNS ou IP. Seulement mettre si vous utilisez un serveur région sans NAT.")</f>
        <v>La valeur par défaut pour le nom de l'hôte externe est un blanc, qui devient votre nom DNS ou IP. Seulement mettre si vous utilisez un serveur région sans NAT.</v>
      </c>
      <c r="H285" s="12" t="str">
        <f ca="1">IFERROR(__xludf.DUMMYFUNCTION("GOOGLETRANSLATE($B285,""en"",H$3)"),"Kanpo ostalaria izena lehenetsia huts bat, eta hori da zure DNS izena edo IP bihurtzen da. Bakarrik ezarri hau eskualdean zerbitzari bat NAT gabe exekutatzen ari bazara.")</f>
        <v>Kanpo ostalaria izena lehenetsia huts bat, eta hori da zure DNS izena edo IP bihurtzen da. Bakarrik ezarri hau eskualdean zerbitzari bat NAT gabe exekutatzen ari bazara.</v>
      </c>
      <c r="I285" s="12" t="str">
        <f ca="1">IFERROR(__xludf.DUMMYFUNCTION("GOOGLETRANSLATE($B285,""en"",I$3)"),"El valor per defecte per al host extern Nom és un espai en blanc, el qual es converteix en el seu nom DNS o l'adreça IP. Només ajustar-lo si està executant un servidor de la regió sense NAT.")</f>
        <v>El valor per defecte per al host extern Nom és un espai en blanc, el qual es converteix en el seu nom DNS o l'adreça IP. Només ajustar-lo si està executant un servidor de la regió sense NAT.</v>
      </c>
      <c r="J285" s="12" t="str">
        <f ca="1">IFERROR(__xludf.DUMMYFUNCTION("GOOGLETRANSLATE($B285,""en"",J$3)"),"Výchozí nastavení pro externí název hostitele je prázdné místo, které se stane Vaše jméno DNS nebo IP. Pouze nastavit, pokud používáte oblast serveru bez NAT.")</f>
        <v>Výchozí nastavení pro externí název hostitele je prázdné místo, které se stane Vaše jméno DNS nebo IP. Pouze nastavit, pokud používáte oblast serveru bez NAT.</v>
      </c>
      <c r="K285" s="12" t="str">
        <f ca="1">IFERROR(__xludf.DUMMYFUNCTION("GOOGLETRANSLATE($B285,""en"",K$3)"),"对于外部主机名默认为空，这将成为您的DNS名称或IP。只有当你正在运行没有NAT的区域服务器设置此。")</f>
        <v>对于外部主机名默认为空，这将成为您的DNS名称或IP。只有当你正在运行没有NAT的区域服务器设置此。</v>
      </c>
      <c r="L285" s="12" t="str">
        <f ca="1">IFERROR(__xludf.DUMMYFUNCTION("GOOGLETRANSLATE($B285,""en"",L$3)"),"對於外部主機名默認為空，這將成為您的DNS名稱或IP。只有當你正在運行沒有NAT的區域服務器設置此。")</f>
        <v>對於外部主機名默認為空，這將成為您的DNS名稱或IP。只有當你正在運行沒有NAT的區域服務器設置此。</v>
      </c>
      <c r="M285" s="12" t="str">
        <f ca="1">IFERROR(__xludf.DUMMYFUNCTION("GOOGLETRANSLATE($B285,""en"",M$3)"),"De standaard voor externe Host Name is een blanco, die overgaat in uw DNS-naam of IP. Alleen dit in te stellen als u een regio server zonder NAT actief zijn.")</f>
        <v>De standaard voor externe Host Name is een blanco, die overgaat in uw DNS-naam of IP. Alleen dit in te stellen als u een regio server zonder NAT actief zijn.</v>
      </c>
      <c r="N285" s="12" t="str">
        <f ca="1">IFERROR(__xludf.DUMMYFUNCTION("GOOGLETRANSLATE($B285,""en"",N$3)"),"Η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f>
        <v>Η προεπιλογή για τις εξωτερικές Όνομα κεντρικού υπολογιστή είναι ένα κενό, το οποίο γίνεται όνομα DNS ή IP. Μόνο που αυτό, αν τρέχετε ένα διακομιστή περιοχή χωρίς NAT.</v>
      </c>
      <c r="O285" s="12" t="str">
        <f ca="1">IFERROR(__xludf.DUMMYFUNCTION("GOOGLETRANSLATE($B285,""en"",O$3)"),"Oletuksena ulkoista Host Name on tyhjä, josta tulee DNS-nimi tai IP. Asettaa vain tätä, jos käytät aluetta palvelinta ilman NAT.")</f>
        <v>Oletuksena ulkoista Host Name on tyhjä, josta tulee DNS-nimi tai IP. Asettaa vain tätä, jos käytät aluetta palvelinta ilman NAT.</v>
      </c>
      <c r="P285" s="12" t="str">
        <f ca="1">IFERROR(__xludf.DUMMYFUNCTION("GOOGLETRANSLATE($B285,""en"",P$3)"),"Is é an réamhshocrú do Óstach Seachtrach Ainm tá bán, a thiocfaidh chun bheith do ainm DNS nó IP. leagtha Níl ach seo má tá tú ag rith ar fhreastalaí réigiún nach bhfuil aon NAT.")</f>
        <v>Is é an réamhshocrú do Óstach Seachtrach Ainm tá bán, a thiocfaidh chun bheith do ainm DNS nó IP. leagtha Níl ach seo má tá tú ag rith ar fhreastalaí réigiún nach bhfuil aon NAT.</v>
      </c>
      <c r="Q285" s="12" t="str">
        <f ca="1">IFERROR(__xludf.DUMMYFUNCTION("GOOGLETRANSLATE($B285,""en"",Q$3)"),"به طور پیش فرض برای میزبان خارجی نام خالی، که نام DNS خود را یا آی پی تبدیل شده است. فقط این مجموعه اگر شما در حال اجرا یک سرور است و هیچ NAT.")</f>
        <v>به طور پیش فرض برای میزبان خارجی نام خالی، که نام DNS خود را یا آی پی تبدیل شده است. فقط این مجموعه اگر شما در حال اجرا یک سرور است و هیچ NAT.</v>
      </c>
      <c r="R285" s="12" t="str">
        <f ca="1">IFERROR(__xludf.DUMMYFUNCTION("GOOGLETRANSLATE($B285,""en"",R$3)"),"ברירת המחדל עבור מארח חיצוני שם הוא ריק, אשר הופך להיות שם ה- DNS או IP. רק להגדיר את זה אם אתה מפעיל שרת באזור ללא NAT.")</f>
        <v>ברירת המחדל עבור מארח חיצוני שם הוא ריק, אשר הופך להיות שם ה- DNS או IP. רק להגדיר את זה אם אתה מפעיל שרת באזור ללא NAT.</v>
      </c>
      <c r="S285" s="12" t="str">
        <f ca="1">IFERROR(__xludf.DUMMYFUNCTION("GOOGLETRANSLATE($B285,""en"",S$3)"),"Sjálfgefna fyrir Ytri vélarheiti er auður, sem verður DNS nafn eða IP. Aðeins setja þetta ef þú ert að keyra svæði framreiðslumaður með engin NAT.")</f>
        <v>Sjálfgefna fyrir Ytri vélarheiti er auður, sem verður DNS nafn eða IP. Aðeins setja þetta ef þú ert að keyra svæði framreiðslumaður með engin NAT.</v>
      </c>
      <c r="T285" s="12" t="str">
        <f ca="1">IFERROR(__xludf.DUMMYFUNCTION("GOOGLETRANSLATE($B285,""en"",T$3)"),"Standard for ekstern vertsnavn er en blank, som blir din DNS-navnet eller IP. Bare sette dette hvis du kjører en region serveren uten NAT.")</f>
        <v>Standard for ekstern vertsnavn er en blank, som blir din DNS-navnet eller IP. Bare sette dette hvis du kjører en region serveren uten NAT.</v>
      </c>
      <c r="U285" s="12" t="str">
        <f ca="1">IFERROR(__xludf.DUMMYFUNCTION("GOOGLETRANSLATE($B285,""en"",U$3)"),"الافتراضي المضيف الخارجي اسم غير فارغة، الذي يصبح اسم DNS أو IP. فقط تعيين هذا إذا كنت تقوم بتشغيل خادم المنطقة دون NAT.")</f>
        <v>الافتراضي المضيف الخارجي اسم غير فارغة، الذي يصبح اسم DNS أو IP. فقط تعيين هذا إذا كنت تقوم بتشغيل خادم المنطقة دون NAT.</v>
      </c>
      <c r="V285" s="12" t="str">
        <f ca="1">IFERROR(__xludf.DUMMYFUNCTION("GOOGLETRANSLATE($B285,""en"",V$3)"),"Domyślny dla Zewnętrzna Nazwa hosta jest puste, co staje się nazwa DNS lub IP. Tylko ustawić tę opcję, jeśli jest uruchomiony serwer regionu bez NAT.")</f>
        <v>Domyślny dla Zewnętrzna Nazwa hosta jest puste, co staje się nazwa DNS lub IP. Tylko ustawić tę opcję, jeśli jest uruchomiony serwer regionu bez NAT.</v>
      </c>
      <c r="W285" s="12" t="str">
        <f ca="1">IFERROR(__xludf.DUMMYFUNCTION("GOOGLETRANSLATE($B285,""en"",W$3)"),"Значение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f>
        <v>Значение по умолчанию для внешнего имени хоста является пустым, которая становится вашим именем DNS или IP. Только установить это, если вы используете сервер региона без каких-либо NAT.</v>
      </c>
      <c r="X285" s="12" t="str">
        <f ca="1">IFERROR(__xludf.DUMMYFUNCTION("GOOGLETRANSLATE($B285,""en"",X$3)"),"El valor por defecto para el host externo Nombre es un espacio en blanco, el cual se convierte en su nombre DNS o la dirección IP. Sólo ajustarlo si está ejecutando un servidor de la región sin NAT.")</f>
        <v>El valor por defecto para el host externo Nombre es un espacio en blanco, el cual se convierte en su nombre DNS o la dirección IP. Sólo ajustarlo si está ejecutando un servidor de la región sin NAT.</v>
      </c>
      <c r="Y285" s="12"/>
      <c r="Z285" s="12"/>
    </row>
    <row r="286" spans="1:26" ht="32.25" customHeight="1" x14ac:dyDescent="0.2">
      <c r="A286" s="17" t="s">
        <v>693</v>
      </c>
      <c r="B286" s="17" t="s">
        <v>694</v>
      </c>
      <c r="C286" s="11" t="str">
        <f ca="1">IFERROR(__xludf.DUMMYFUNCTION("GOOGLETRANSLATE($B287,""en"",C$3)"),"Fehler bei Website zu verbinden.")</f>
        <v>Fehler bei Website zu verbinden.</v>
      </c>
      <c r="D286" s="12" t="str">
        <f ca="1">IFERROR(__xludf.DUMMYFUNCTION("GOOGLETRANSLATE($B286,""en"",D$3)"),"Flotsam Asset Cache")</f>
        <v>Flotsam Asset Cache</v>
      </c>
      <c r="E286" s="12" t="str">
        <f ca="1">IFERROR(__xludf.DUMMYFUNCTION("GOOGLETRANSLATE($B286,""en"",E$3)"),"Flotsam ativos Cache")</f>
        <v>Flotsam ativos Cache</v>
      </c>
      <c r="F286" s="12" t="str">
        <f ca="1">IFERROR(__xludf.DUMMYFUNCTION("GOOGLETRANSLATE($B286,""en"",F$3)"),"Flotsam ativos Cache")</f>
        <v>Flotsam ativos Cache</v>
      </c>
      <c r="G286" s="12" t="str">
        <f ca="1">IFERROR(__xludf.DUMMYFUNCTION("GOOGLETRANSLATE($B286,""en"",G$3)"),"Flotsam Asset Cache")</f>
        <v>Flotsam Asset Cache</v>
      </c>
      <c r="H286" s="12" t="str">
        <f ca="1">IFERROR(__xludf.DUMMYFUNCTION("GOOGLETRANSLATE($B286,""en"",H$3)"),"Flotsam Asset Cache")</f>
        <v>Flotsam Asset Cache</v>
      </c>
      <c r="I286" s="12" t="str">
        <f ca="1">IFERROR(__xludf.DUMMYFUNCTION("GOOGLETRANSLATE($B286,""en"",I$3)"),"Actius de les restes flotants memòria cau")</f>
        <v>Actius de les restes flotants memòria cau</v>
      </c>
      <c r="J286" s="12" t="str">
        <f ca="1">IFERROR(__xludf.DUMMYFUNCTION("GOOGLETRANSLATE($B286,""en"",J$3)"),"Flotsam Asset Cache")</f>
        <v>Flotsam Asset Cache</v>
      </c>
      <c r="K286" s="12" t="str">
        <f ca="1">IFERROR(__xludf.DUMMYFUNCTION("GOOGLETRANSLATE($B286,""en"",K$3)"),"废料资产缓存")</f>
        <v>废料资产缓存</v>
      </c>
      <c r="L286" s="12" t="str">
        <f ca="1">IFERROR(__xludf.DUMMYFUNCTION("GOOGLETRANSLATE($B286,""en"",L$3)"),"廢料資產緩存")</f>
        <v>廢料資產緩存</v>
      </c>
      <c r="M286" s="12" t="str">
        <f ca="1">IFERROR(__xludf.DUMMYFUNCTION("GOOGLETRANSLATE($B286,""en"",M$3)"),"Flotsam Asset Cache")</f>
        <v>Flotsam Asset Cache</v>
      </c>
      <c r="N286" s="12" t="str">
        <f ca="1">IFERROR(__xludf.DUMMYFUNCTION("GOOGLETRANSLATE($B286,""en"",N$3)"),"Flotsam Asset Cache")</f>
        <v>Flotsam Asset Cache</v>
      </c>
      <c r="O286" s="12" t="str">
        <f ca="1">IFERROR(__xludf.DUMMYFUNCTION("GOOGLETRANSLATE($B286,""en"",O$3)"),"Flotsam Asset Cache")</f>
        <v>Flotsam Asset Cache</v>
      </c>
      <c r="P286" s="12" t="str">
        <f ca="1">IFERROR(__xludf.DUMMYFUNCTION("GOOGLETRANSLATE($B286,""en"",P$3)"),"Flotsam Cache Sócmhainní")</f>
        <v>Flotsam Cache Sócmhainní</v>
      </c>
      <c r="Q286" s="12" t="str">
        <f ca="1">IFERROR(__xludf.DUMMYFUNCTION("GOOGLETRANSLATE($B286,""en"",Q$3)"),"اب اورد دارایی کش")</f>
        <v>اب اورد دارایی کش</v>
      </c>
      <c r="R286" s="12" t="str">
        <f ca="1">IFERROR(__xludf.DUMMYFUNCTION("GOOGLETRANSLATE($B286,""en"",R$3)"),"חלאות אדם Asset מטמון")</f>
        <v>חלאות אדם Asset מטמון</v>
      </c>
      <c r="S286" s="12" t="str">
        <f ca="1">IFERROR(__xludf.DUMMYFUNCTION("GOOGLETRANSLATE($B286,""en"",S$3)"),"Samtíningur Asset Cache")</f>
        <v>Samtíningur Asset Cache</v>
      </c>
      <c r="T286" s="12" t="str">
        <f ca="1">IFERROR(__xludf.DUMMYFUNCTION("GOOGLETRANSLATE($B286,""en"",T$3)"),"Drivgods Asset Cache")</f>
        <v>Drivgods Asset Cache</v>
      </c>
      <c r="U286" s="12" t="str">
        <f ca="1">IFERROR(__xludf.DUMMYFUNCTION("GOOGLETRANSLATE($B286,""en"",U$3)"),"حطام سفينة الكاش الأصول")</f>
        <v>حطام سفينة الكاش الأصول</v>
      </c>
      <c r="V286" s="12" t="str">
        <f ca="1">IFERROR(__xludf.DUMMYFUNCTION("GOOGLETRANSLATE($B286,""en"",V$3)"),"Flotsam aktywami Cache")</f>
        <v>Flotsam aktywami Cache</v>
      </c>
      <c r="W286" s="12" t="str">
        <f ca="1">IFERROR(__xludf.DUMMYFUNCTION("GOOGLETRANSLATE($B286,""en"",W$3)"),"Flotsam Asset Cache")</f>
        <v>Flotsam Asset Cache</v>
      </c>
      <c r="X286" s="12" t="str">
        <f ca="1">IFERROR(__xludf.DUMMYFUNCTION("GOOGLETRANSLATE($B286,""en"",X$3)"),"Activos de los restos flotantes caché")</f>
        <v>Activos de los restos flotantes caché</v>
      </c>
      <c r="Y286" s="12"/>
      <c r="Z286" s="12"/>
    </row>
    <row r="287" spans="1:26" ht="32.25" customHeight="1" x14ac:dyDescent="0.2">
      <c r="A287" s="17" t="s">
        <v>695</v>
      </c>
      <c r="B287" s="17" t="s">
        <v>696</v>
      </c>
      <c r="C287" s="11" t="str">
        <f ca="1">IFERROR(__xludf.DUMMYFUNCTION("GOOGLETRANSLATE($B288,""en"",C$3)"),"Fehlgeschlagen Einstellungen INI laden")</f>
        <v>Fehlgeschlagen Einstellungen INI laden</v>
      </c>
      <c r="D287" s="12" t="str">
        <f ca="1">IFERROR(__xludf.DUMMYFUNCTION("GOOGLETRANSLATE($B287,""en"",D$3)"),"Det gick inte att ansluta till webbplatsen.")</f>
        <v>Det gick inte att ansluta till webbplatsen.</v>
      </c>
      <c r="E287" s="12" t="str">
        <f ca="1">IFERROR(__xludf.DUMMYFUNCTION("GOOGLETRANSLATE($B287,""en"",E$3)"),"Falha ao conectar ao web site.")</f>
        <v>Falha ao conectar ao web site.</v>
      </c>
      <c r="F287" s="12" t="str">
        <f ca="1">IFERROR(__xludf.DUMMYFUNCTION("GOOGLETRANSLATE($B287,""en"",F$3)"),"Falha ao conectar ao web site.")</f>
        <v>Falha ao conectar ao web site.</v>
      </c>
      <c r="G287" s="12" t="str">
        <f ca="1">IFERROR(__xludf.DUMMYFUNCTION("GOOGLETRANSLATE($B287,""en"",G$3)"),"Impossible de se connecter au site Web.")</f>
        <v>Impossible de se connecter au site Web.</v>
      </c>
      <c r="H287" s="12" t="str">
        <f ca="1">IFERROR(__xludf.DUMMYFUNCTION("GOOGLETRANSLATE($B287,""en"",H$3)"),"Huts egin itzazu konektatu.")</f>
        <v>Huts egin itzazu konektatu.</v>
      </c>
      <c r="I287" s="12" t="str">
        <f ca="1">IFERROR(__xludf.DUMMYFUNCTION("GOOGLETRANSLATE($B287,""en"",I$3)"),"No s'ha pogut connectar a la web.")</f>
        <v>No s'ha pogut connectar a la web.</v>
      </c>
      <c r="J287" s="12" t="str">
        <f ca="1">IFERROR(__xludf.DUMMYFUNCTION("GOOGLETRANSLATE($B287,""en"",J$3)"),"Nepodařilo se připojit k webové stránce.")</f>
        <v>Nepodařilo se připojit k webové stránce.</v>
      </c>
      <c r="K287" s="12" t="str">
        <f ca="1">IFERROR(__xludf.DUMMYFUNCTION("GOOGLETRANSLATE($B287,""en"",K$3)"),"无法连接到网站。")</f>
        <v>无法连接到网站。</v>
      </c>
      <c r="L287" s="12" t="str">
        <f ca="1">IFERROR(__xludf.DUMMYFUNCTION("GOOGLETRANSLATE($B287,""en"",L$3)"),"無法連接到網站。")</f>
        <v>無法連接到網站。</v>
      </c>
      <c r="M287" s="12" t="str">
        <f ca="1">IFERROR(__xludf.DUMMYFUNCTION("GOOGLETRANSLATE($B287,""en"",M$3)"),"Geen verbinding maken met de website.")</f>
        <v>Geen verbinding maken met de website.</v>
      </c>
      <c r="N287" s="12" t="str">
        <f ca="1">IFERROR(__xludf.DUMMYFUNCTION("GOOGLETRANSLATE($B287,""en"",N$3)"),"Αποτυχία σύνδεσης στο web site.")</f>
        <v>Αποτυχία σύνδεσης στο web site.</v>
      </c>
      <c r="O287" s="12" t="str">
        <f ca="1">IFERROR(__xludf.DUMMYFUNCTION("GOOGLETRANSLATE($B287,""en"",O$3)"),"Yhdistäminen epäonnistui kotisivuilta.")</f>
        <v>Yhdistäminen epäonnistui kotisivuilta.</v>
      </c>
      <c r="P287" s="12" t="str">
        <f ca="1">IFERROR(__xludf.DUMMYFUNCTION("GOOGLETRANSLATE($B287,""en"",P$3)"),"Theip ar nascadh le láithreán gréasáin.")</f>
        <v>Theip ar nascadh le láithreán gréasáin.</v>
      </c>
      <c r="Q287" s="12" t="str">
        <f ca="1">IFERROR(__xludf.DUMMYFUNCTION("GOOGLETRANSLATE($B287,""en"",Q$3)"),"برای اتصال به وب سایت ها انجام نشد.")</f>
        <v>برای اتصال به وب سایت ها انجام نشد.</v>
      </c>
      <c r="R287" s="12" t="str">
        <f ca="1">IFERROR(__xludf.DUMMYFUNCTION("GOOGLETRANSLATE($B287,""en"",R$3)"),"נכשל ניסיון להתחבר לאתר אינטרנט.")</f>
        <v>נכשל ניסיון להתחבר לאתר אינטרנט.</v>
      </c>
      <c r="S287" s="12" t="str">
        <f ca="1">IFERROR(__xludf.DUMMYFUNCTION("GOOGLETRANSLATE($B287,""en"",S$3)"),"Ekki tókst að tengjast vefsíðu.")</f>
        <v>Ekki tókst að tengjast vefsíðu.</v>
      </c>
      <c r="T287" s="12" t="str">
        <f ca="1">IFERROR(__xludf.DUMMYFUNCTION("GOOGLETRANSLATE($B287,""en"",T$3)"),"Kunne ikke koble til nettstedet.")</f>
        <v>Kunne ikke koble til nettstedet.</v>
      </c>
      <c r="U287" s="12" t="str">
        <f ca="1">IFERROR(__xludf.DUMMYFUNCTION("GOOGLETRANSLATE($B287,""en"",U$3)"),"فشل الاتصال إلى موقع الويب.")</f>
        <v>فشل الاتصال إلى موقع الويب.</v>
      </c>
      <c r="V287" s="12" t="str">
        <f ca="1">IFERROR(__xludf.DUMMYFUNCTION("GOOGLETRANSLATE($B287,""en"",V$3)"),"Nie udało się podłączyć do witryny internetowej.")</f>
        <v>Nie udało się podłączyć do witryny internetowej.</v>
      </c>
      <c r="W287" s="12" t="str">
        <f ca="1">IFERROR(__xludf.DUMMYFUNCTION("GOOGLETRANSLATE($B287,""en"",W$3)"),"Не удалось подключиться к веб-сайту.")</f>
        <v>Не удалось подключиться к веб-сайту.</v>
      </c>
      <c r="X287" s="12" t="str">
        <f ca="1">IFERROR(__xludf.DUMMYFUNCTION("GOOGLETRANSLATE($B287,""en"",X$3)"),"No se pudo conectar al sitio web.")</f>
        <v>No se pudo conectar al sitio web.</v>
      </c>
      <c r="Y287" s="12"/>
      <c r="Z287" s="12"/>
    </row>
    <row r="288" spans="1:26" ht="32.25" customHeight="1" x14ac:dyDescent="0.2">
      <c r="A288" s="17" t="s">
        <v>697</v>
      </c>
      <c r="B288" s="17" t="s">
        <v>698</v>
      </c>
      <c r="C288" s="18" t="s">
        <v>699</v>
      </c>
      <c r="D288" s="12" t="str">
        <f ca="1">IFERROR(__xludf.DUMMYFUNCTION("GOOGLETRANSLATE($B288,""en"",D$3)"),"Det gick inte att läsa in inställningar INI")</f>
        <v>Det gick inte att läsa in inställningar INI</v>
      </c>
      <c r="E288" s="12" t="str">
        <f ca="1">IFERROR(__xludf.DUMMYFUNCTION("GOOGLETRANSLATE($B288,""en"",E$3)"),"Falha ao carregar Configurações INI")</f>
        <v>Falha ao carregar Configurações INI</v>
      </c>
      <c r="F288" s="12" t="str">
        <f ca="1">IFERROR(__xludf.DUMMYFUNCTION("GOOGLETRANSLATE($B288,""en"",F$3)"),"Falha ao carregar Configurações INI")</f>
        <v>Falha ao carregar Configurações INI</v>
      </c>
      <c r="G288" s="12" t="str">
        <f ca="1">IFERROR(__xludf.DUMMYFUNCTION("GOOGLETRANSLATE($B288,""en"",G$3)"),"Impossible de charger les paramètres INI")</f>
        <v>Impossible de charger les paramètres INI</v>
      </c>
      <c r="H288" s="12" t="str">
        <f ca="1">IFERROR(__xludf.DUMMYFUNCTION("GOOGLETRANSLATE($B288,""en"",H$3)"),"Huts ezarpenak INI kargatu")</f>
        <v>Huts ezarpenak INI kargatu</v>
      </c>
      <c r="I288" s="12" t="str">
        <f ca="1">IFERROR(__xludf.DUMMYFUNCTION("GOOGLETRANSLATE($B288,""en"",I$3)"),"No s'ha pogut carregar la configuració INI")</f>
        <v>No s'ha pogut carregar la configuració INI</v>
      </c>
      <c r="J288" s="12" t="str">
        <f ca="1">IFERROR(__xludf.DUMMYFUNCTION("GOOGLETRANSLATE($B288,""en"",J$3)"),"Nepodařilo se načíst nastavení INI")</f>
        <v>Nepodařilo se načíst nastavení INI</v>
      </c>
      <c r="K288" s="12" t="str">
        <f ca="1">IFERROR(__xludf.DUMMYFUNCTION("GOOGLETRANSLATE($B288,""en"",K$3)"),"无法加载设置INI")</f>
        <v>无法加载设置INI</v>
      </c>
      <c r="L288" s="12" t="str">
        <f ca="1">IFERROR(__xludf.DUMMYFUNCTION("GOOGLETRANSLATE($B288,""en"",L$3)"),"無法加載設置INI")</f>
        <v>無法加載設置INI</v>
      </c>
      <c r="M288" s="12" t="str">
        <f ca="1">IFERROR(__xludf.DUMMYFUNCTION("GOOGLETRANSLATE($B288,""en"",M$3)"),"Kan instellingen INI laden")</f>
        <v>Kan instellingen INI laden</v>
      </c>
      <c r="N288" s="12" t="str">
        <f ca="1">IFERROR(__xludf.DUMMYFUNCTION("GOOGLETRANSLATE($B288,""en"",N$3)"),"Αποτυχία φόρτωσης ρυθμίσεων INI")</f>
        <v>Αποτυχία φόρτωσης ρυθμίσεων INI</v>
      </c>
      <c r="O288" s="12" t="str">
        <f ca="1">IFERROR(__xludf.DUMMYFUNCTION("GOOGLETRANSLATE($B288,""en"",O$3)"),"Lataaminen epäonnistui Asetukset INI")</f>
        <v>Lataaminen epäonnistui Asetukset INI</v>
      </c>
      <c r="P288" s="12" t="str">
        <f ca="1">IFERROR(__xludf.DUMMYFUNCTION("GOOGLETRANSLATE($B288,""en"",P$3)"),"Theip ar luchtú Socruithe INI")</f>
        <v>Theip ar luchtú Socruithe INI</v>
      </c>
      <c r="Q288" s="12" t="str">
        <f ca="1">IFERROR(__xludf.DUMMYFUNCTION("GOOGLETRANSLATE($B288,""en"",Q$3)"),"برای بارگذاری تنظیمات INI شکست خورده")</f>
        <v>برای بارگذاری تنظیمات INI شکست خورده</v>
      </c>
      <c r="R288" s="12" t="str">
        <f ca="1">IFERROR(__xludf.DUMMYFUNCTION("GOOGLETRANSLATE($B288,""en"",R$3)"),"נכשל הניסיון לטעון הגדרות INI")</f>
        <v>נכשל הניסיון לטעון הגדרות INI</v>
      </c>
      <c r="S288" s="12" t="str">
        <f ca="1">IFERROR(__xludf.DUMMYFUNCTION("GOOGLETRANSLATE($B288,""en"",S$3)"),"Mistókst að hlaða INI")</f>
        <v>Mistókst að hlaða INI</v>
      </c>
      <c r="T288" s="12" t="str">
        <f ca="1">IFERROR(__xludf.DUMMYFUNCTION("GOOGLETRANSLATE($B288,""en"",T$3)"),"Kunne ikke laste innstillinger INI")</f>
        <v>Kunne ikke laste innstillinger INI</v>
      </c>
      <c r="U288" s="12" t="str">
        <f ca="1">IFERROR(__xludf.DUMMYFUNCTION("GOOGLETRANSLATE($B288,""en"",U$3)"),"فشل تحميل إعدادات INI")</f>
        <v>فشل تحميل إعدادات INI</v>
      </c>
      <c r="V288" s="12" t="str">
        <f ca="1">IFERROR(__xludf.DUMMYFUNCTION("GOOGLETRANSLATE($B288,""en"",V$3)"),"Nie udało się załadować ustawienia INI")</f>
        <v>Nie udało się załadować ustawienia INI</v>
      </c>
      <c r="W288" s="12" t="str">
        <f ca="1">IFERROR(__xludf.DUMMYFUNCTION("GOOGLETRANSLATE($B288,""en"",W$3)"),"Не удалось загрузить настройки INI")</f>
        <v>Не удалось загрузить настройки INI</v>
      </c>
      <c r="X288" s="12" t="str">
        <f ca="1">IFERROR(__xludf.DUMMYFUNCTION("GOOGLETRANSLATE($B288,""en"",X$3)"),"No se pudo cargar la configuración INI")</f>
        <v>No se pudo cargar la configuración INI</v>
      </c>
      <c r="Y288" s="12"/>
      <c r="Z288" s="12"/>
    </row>
    <row r="289" spans="1:26" ht="32.25" customHeight="1" x14ac:dyDescent="0.2">
      <c r="A289" s="17" t="s">
        <v>700</v>
      </c>
      <c r="B289" s="17" t="s">
        <v>701</v>
      </c>
      <c r="C289" s="19" t="str">
        <f ca="1">IFERROR(__xludf.DUMMYFUNCTION("GOOGLETRANSLATE($B290,""en"",C$3)"),"Datei")</f>
        <v>Datei</v>
      </c>
      <c r="D289" s="12" t="str">
        <f ca="1">IFERROR(__xludf.DUMMYFUNCTION("GOOGLETRANSLATE($B289,""en"",D$3)"),"Dödlig")</f>
        <v>Dödlig</v>
      </c>
      <c r="E289" s="12" t="str">
        <f ca="1">IFERROR(__xludf.DUMMYFUNCTION("GOOGLETRANSLATE($B289,""en"",E$3)"),"Fatal")</f>
        <v>Fatal</v>
      </c>
      <c r="F289" s="12" t="str">
        <f ca="1">IFERROR(__xludf.DUMMYFUNCTION("GOOGLETRANSLATE($B289,""en"",F$3)"),"Fatal")</f>
        <v>Fatal</v>
      </c>
      <c r="G289" s="12" t="str">
        <f ca="1">IFERROR(__xludf.DUMMYFUNCTION("GOOGLETRANSLATE($B289,""en"",G$3)"),"Fatal")</f>
        <v>Fatal</v>
      </c>
      <c r="H289" s="12" t="str">
        <f ca="1">IFERROR(__xludf.DUMMYFUNCTION("GOOGLETRANSLATE($B289,""en"",H$3)"),"Fatal")</f>
        <v>Fatal</v>
      </c>
      <c r="I289" s="12" t="str">
        <f ca="1">IFERROR(__xludf.DUMMYFUNCTION("GOOGLETRANSLATE($B289,""en"",I$3)"),"fatal")</f>
        <v>fatal</v>
      </c>
      <c r="J289" s="12" t="str">
        <f ca="1">IFERROR(__xludf.DUMMYFUNCTION("GOOGLETRANSLATE($B289,""en"",J$3)"),"smrtelný")</f>
        <v>smrtelný</v>
      </c>
      <c r="K289" s="12" t="str">
        <f ca="1">IFERROR(__xludf.DUMMYFUNCTION("GOOGLETRANSLATE($B289,""en"",K$3)"),"致命")</f>
        <v>致命</v>
      </c>
      <c r="L289" s="12" t="str">
        <f ca="1">IFERROR(__xludf.DUMMYFUNCTION("GOOGLETRANSLATE($B289,""en"",L$3)"),"致命")</f>
        <v>致命</v>
      </c>
      <c r="M289" s="12" t="str">
        <f ca="1">IFERROR(__xludf.DUMMYFUNCTION("GOOGLETRANSLATE($B289,""en"",M$3)"),"fataal")</f>
        <v>fataal</v>
      </c>
      <c r="N289" s="12" t="str">
        <f ca="1">IFERROR(__xludf.DUMMYFUNCTION("GOOGLETRANSLATE($B289,""en"",N$3)"),"Μοιραίος")</f>
        <v>Μοιραίος</v>
      </c>
      <c r="O289" s="12" t="str">
        <f ca="1">IFERROR(__xludf.DUMMYFUNCTION("GOOGLETRANSLATE($B289,""en"",O$3)"),"kohtalokas")</f>
        <v>kohtalokas</v>
      </c>
      <c r="P289" s="12" t="str">
        <f ca="1">IFERROR(__xludf.DUMMYFUNCTION("GOOGLETRANSLATE($B289,""en"",P$3)"),"Marfach")</f>
        <v>Marfach</v>
      </c>
      <c r="Q289" s="12" t="str">
        <f ca="1">IFERROR(__xludf.DUMMYFUNCTION("GOOGLETRANSLATE($B289,""en"",Q$3)"),"کشنده")</f>
        <v>کشنده</v>
      </c>
      <c r="R289" s="12" t="str">
        <f ca="1">IFERROR(__xludf.DUMMYFUNCTION("GOOGLETRANSLATE($B289,""en"",R$3)"),"קָטלָנִי")</f>
        <v>קָטלָנִי</v>
      </c>
      <c r="S289" s="12" t="str">
        <f ca="1">IFERROR(__xludf.DUMMYFUNCTION("GOOGLETRANSLATE($B289,""en"",S$3)"),"Fatal")</f>
        <v>Fatal</v>
      </c>
      <c r="T289" s="12" t="str">
        <f ca="1">IFERROR(__xludf.DUMMYFUNCTION("GOOGLETRANSLATE($B289,""en"",T$3)"),"Fatal")</f>
        <v>Fatal</v>
      </c>
      <c r="U289" s="12" t="str">
        <f ca="1">IFERROR(__xludf.DUMMYFUNCTION("GOOGLETRANSLATE($B289,""en"",U$3)"),"قاتلة - مهلك")</f>
        <v>قاتلة - مهلك</v>
      </c>
      <c r="V289" s="12" t="str">
        <f ca="1">IFERROR(__xludf.DUMMYFUNCTION("GOOGLETRANSLATE($B289,""en"",V$3)"),"Fatalny")</f>
        <v>Fatalny</v>
      </c>
      <c r="W289" s="12" t="str">
        <f ca="1">IFERROR(__xludf.DUMMYFUNCTION("GOOGLETRANSLATE($B289,""en"",W$3)"),"фатальный")</f>
        <v>фатальный</v>
      </c>
      <c r="X289" s="12" t="str">
        <f ca="1">IFERROR(__xludf.DUMMYFUNCTION("GOOGLETRANSLATE($B289,""en"",X$3)"),"Fatal")</f>
        <v>Fatal</v>
      </c>
      <c r="Y289" s="12"/>
      <c r="Z289" s="12"/>
    </row>
    <row r="290" spans="1:26" ht="32.25" customHeight="1" x14ac:dyDescent="0.2">
      <c r="A290" s="17" t="s">
        <v>702</v>
      </c>
      <c r="B290" s="17" t="s">
        <v>703</v>
      </c>
      <c r="C290" s="24" t="s">
        <v>703</v>
      </c>
      <c r="D290" s="12" t="str">
        <f ca="1">IFERROR(__xludf.DUMMYFUNCTION("GOOGLETRANSLATE($B290,""en"",D$3)"),"Fil")</f>
        <v>Fil</v>
      </c>
      <c r="E290" s="12" t="str">
        <f ca="1">IFERROR(__xludf.DUMMYFUNCTION("GOOGLETRANSLATE($B290,""en"",E$3)"),"Arquivo")</f>
        <v>Arquivo</v>
      </c>
      <c r="F290" s="12" t="str">
        <f ca="1">IFERROR(__xludf.DUMMYFUNCTION("GOOGLETRANSLATE($B290,""en"",F$3)"),"Arquivo")</f>
        <v>Arquivo</v>
      </c>
      <c r="G290" s="12" t="str">
        <f ca="1">IFERROR(__xludf.DUMMYFUNCTION("GOOGLETRANSLATE($B290,""en"",G$3)"),"Fichier")</f>
        <v>Fichier</v>
      </c>
      <c r="H290" s="12" t="str">
        <f ca="1">IFERROR(__xludf.DUMMYFUNCTION("GOOGLETRANSLATE($B290,""en"",H$3)"),"file")</f>
        <v>file</v>
      </c>
      <c r="I290" s="12" t="str">
        <f ca="1">IFERROR(__xludf.DUMMYFUNCTION("GOOGLETRANSLATE($B290,""en"",I$3)"),"Dossier")</f>
        <v>Dossier</v>
      </c>
      <c r="J290" s="12" t="str">
        <f ca="1">IFERROR(__xludf.DUMMYFUNCTION("GOOGLETRANSLATE($B290,""en"",J$3)"),"Soubor")</f>
        <v>Soubor</v>
      </c>
      <c r="K290" s="12" t="str">
        <f ca="1">IFERROR(__xludf.DUMMYFUNCTION("GOOGLETRANSLATE($B290,""en"",K$3)"),"文件")</f>
        <v>文件</v>
      </c>
      <c r="L290" s="12" t="str">
        <f ca="1">IFERROR(__xludf.DUMMYFUNCTION("GOOGLETRANSLATE($B290,""en"",L$3)"),"文件")</f>
        <v>文件</v>
      </c>
      <c r="M290" s="12" t="str">
        <f ca="1">IFERROR(__xludf.DUMMYFUNCTION("GOOGLETRANSLATE($B290,""en"",M$3)"),"het dossier")</f>
        <v>het dossier</v>
      </c>
      <c r="N290" s="12" t="str">
        <f ca="1">IFERROR(__xludf.DUMMYFUNCTION("GOOGLETRANSLATE($B290,""en"",N$3)"),"Αρχείο")</f>
        <v>Αρχείο</v>
      </c>
      <c r="O290" s="12" t="str">
        <f ca="1">IFERROR(__xludf.DUMMYFUNCTION("GOOGLETRANSLATE($B290,""en"",O$3)"),"tiedosto")</f>
        <v>tiedosto</v>
      </c>
      <c r="P290" s="12" t="str">
        <f ca="1">IFERROR(__xludf.DUMMYFUNCTION("GOOGLETRANSLATE($B290,""en"",P$3)"),"Comhad")</f>
        <v>Comhad</v>
      </c>
      <c r="Q290" s="12" t="str">
        <f ca="1">IFERROR(__xludf.DUMMYFUNCTION("GOOGLETRANSLATE($B290,""en"",Q$3)"),"فایل")</f>
        <v>فایل</v>
      </c>
      <c r="R290" s="12" t="str">
        <f ca="1">IFERROR(__xludf.DUMMYFUNCTION("GOOGLETRANSLATE($B290,""en"",R$3)"),"קוֹבֶץ")</f>
        <v>קוֹבֶץ</v>
      </c>
      <c r="S290" s="12" t="str">
        <f ca="1">IFERROR(__xludf.DUMMYFUNCTION("GOOGLETRANSLATE($B290,""en"",S$3)"),"skrá")</f>
        <v>skrá</v>
      </c>
      <c r="T290" s="12" t="str">
        <f ca="1">IFERROR(__xludf.DUMMYFUNCTION("GOOGLETRANSLATE($B290,""en"",T$3)"),"Fil")</f>
        <v>Fil</v>
      </c>
      <c r="U290" s="12" t="str">
        <f ca="1">IFERROR(__xludf.DUMMYFUNCTION("GOOGLETRANSLATE($B290,""en"",U$3)"),"ملف")</f>
        <v>ملف</v>
      </c>
      <c r="V290" s="12" t="str">
        <f ca="1">IFERROR(__xludf.DUMMYFUNCTION("GOOGLETRANSLATE($B290,""en"",V$3)"),"Plik")</f>
        <v>Plik</v>
      </c>
      <c r="W290" s="12" t="str">
        <f ca="1">IFERROR(__xludf.DUMMYFUNCTION("GOOGLETRANSLATE($B290,""en"",W$3)"),"файл")</f>
        <v>файл</v>
      </c>
      <c r="X290" s="12" t="str">
        <f ca="1">IFERROR(__xludf.DUMMYFUNCTION("GOOGLETRANSLATE($B290,""en"",X$3)"),"Expediente")</f>
        <v>Expediente</v>
      </c>
      <c r="Y290" s="12"/>
      <c r="Z290" s="12"/>
    </row>
    <row r="291" spans="1:26" ht="32.25" customHeight="1" x14ac:dyDescent="0.2">
      <c r="A291" s="17" t="s">
        <v>704</v>
      </c>
      <c r="B291" s="17" t="s">
        <v>705</v>
      </c>
      <c r="C291" s="11" t="str">
        <f ca="1">IFERROR(__xludf.DUMMYFUNCTION("GOOGLETRANSLATE($B291,""en"",C$3)"),"Abgeschlossen mit Sicherung:")</f>
        <v>Abgeschlossen mit Sicherung:</v>
      </c>
      <c r="D291" s="12" t="str">
        <f ca="1">IFERROR(__xludf.DUMMYFUNCTION("GOOGLETRANSLATE($B291,""en"",D$3)"),"Kom med backup:")</f>
        <v>Kom med backup:</v>
      </c>
      <c r="E291" s="12" t="str">
        <f ca="1">IFERROR(__xludf.DUMMYFUNCTION("GOOGLETRANSLATE($B291,""en"",E$3)"),"Terminou com backup:")</f>
        <v>Terminou com backup:</v>
      </c>
      <c r="F291" s="12" t="str">
        <f ca="1">IFERROR(__xludf.DUMMYFUNCTION("GOOGLETRANSLATE($B291,""en"",F$3)"),"Terminou com backup:")</f>
        <v>Terminou com backup:</v>
      </c>
      <c r="G291" s="12" t="str">
        <f ca="1">IFERROR(__xludf.DUMMYFUNCTION("GOOGLETRANSLATE($B291,""en"",G$3)"),"Fini avec la sauvegarde:")</f>
        <v>Fini avec la sauvegarde:</v>
      </c>
      <c r="H291" s="12" t="str">
        <f ca="1">IFERROR(__xludf.DUMMYFUNCTION("GOOGLETRANSLATE($B291,""en"",H$3)"),"backup amaitu:")</f>
        <v>backup amaitu:</v>
      </c>
      <c r="I291" s="12" t="str">
        <f ca="1">IFERROR(__xludf.DUMMYFUNCTION("GOOGLETRANSLATE($B291,""en"",I$3)"),"Acabat amb còpia de seguretat:")</f>
        <v>Acabat amb còpia de seguretat:</v>
      </c>
      <c r="J291" s="12" t="str">
        <f ca="1">IFERROR(__xludf.DUMMYFUNCTION("GOOGLETRANSLATE($B291,""en"",J$3)"),"Skončil s zálohování:")</f>
        <v>Skončil s zálohování:</v>
      </c>
      <c r="K291" s="12" t="str">
        <f ca="1">IFERROR(__xludf.DUMMYFUNCTION("GOOGLETRANSLATE($B291,""en"",K$3)"),"完成了备份：")</f>
        <v>完成了备份：</v>
      </c>
      <c r="L291" s="12" t="str">
        <f ca="1">IFERROR(__xludf.DUMMYFUNCTION("GOOGLETRANSLATE($B291,""en"",L$3)"),"完成了備份：")</f>
        <v>完成了備份：</v>
      </c>
      <c r="M291" s="12" t="str">
        <f ca="1">IFERROR(__xludf.DUMMYFUNCTION("GOOGLETRANSLATE($B291,""en"",M$3)"),"Afgewerkt met back-up:")</f>
        <v>Afgewerkt met back-up:</v>
      </c>
      <c r="N291" s="12" t="str">
        <f ca="1">IFERROR(__xludf.DUMMYFUNCTION("GOOGLETRANSLATE($B291,""en"",N$3)"),"Ολοκληρώθηκε με αντίγραφο ασφαλείας:")</f>
        <v>Ολοκληρώθηκε με αντίγραφο ασφαλείας:</v>
      </c>
      <c r="O291" s="12" t="str">
        <f ca="1">IFERROR(__xludf.DUMMYFUNCTION("GOOGLETRANSLATE($B291,""en"",O$3)"),"Viimeistelty varmuuskopiointi:")</f>
        <v>Viimeistelty varmuuskopiointi:</v>
      </c>
      <c r="P291" s="12" t="str">
        <f ca="1">IFERROR(__xludf.DUMMYFUNCTION("GOOGLETRANSLATE($B291,""en"",P$3)"),"Críochnaithe le cúltaca:")</f>
        <v>Críochnaithe le cúltaca:</v>
      </c>
      <c r="Q291" s="12" t="str">
        <f ca="1">IFERROR(__xludf.DUMMYFUNCTION("GOOGLETRANSLATE($B291,""en"",Q$3)"),"در دست اجرا با پشتیبان:")</f>
        <v>در دست اجرا با پشتیبان:</v>
      </c>
      <c r="R291" s="12" t="str">
        <f ca="1">IFERROR(__xludf.DUMMYFUNCTION("GOOGLETRANSLATE($B291,""en"",R$3)"),"סיים עם גיבוי:")</f>
        <v>סיים עם גיבוי:</v>
      </c>
      <c r="S291" s="12" t="str">
        <f ca="1">IFERROR(__xludf.DUMMYFUNCTION("GOOGLETRANSLATE($B291,""en"",S$3)"),"Lokið með öryggisafrit:")</f>
        <v>Lokið með öryggisafrit:</v>
      </c>
      <c r="T291" s="12" t="str">
        <f ca="1">IFERROR(__xludf.DUMMYFUNCTION("GOOGLETRANSLATE($B291,""en"",T$3)"),"Ferdig med sikkerhetskopi:")</f>
        <v>Ferdig med sikkerhetskopi:</v>
      </c>
      <c r="U291" s="12" t="str">
        <f ca="1">IFERROR(__xludf.DUMMYFUNCTION("GOOGLETRANSLATE($B291,""en"",U$3)"),"مع الانتهاء من النسخ الاحتياطي:")</f>
        <v>مع الانتهاء من النسخ الاحتياطي:</v>
      </c>
      <c r="V291" s="12" t="str">
        <f ca="1">IFERROR(__xludf.DUMMYFUNCTION("GOOGLETRANSLATE($B291,""en"",V$3)"),"Zakończone z kopii zapasowej:")</f>
        <v>Zakończone z kopii zapasowej:</v>
      </c>
      <c r="W291" s="12" t="str">
        <f ca="1">IFERROR(__xludf.DUMMYFUNCTION("GOOGLETRANSLATE($B291,""en"",W$3)"),"Покончив с резервной копией:")</f>
        <v>Покончив с резервной копией:</v>
      </c>
      <c r="X291" s="12" t="str">
        <f ca="1">IFERROR(__xludf.DUMMYFUNCTION("GOOGLETRANSLATE($B291,""en"",X$3)"),"Acabado con copia de seguridad:")</f>
        <v>Acabado con copia de seguridad:</v>
      </c>
      <c r="Y291" s="12"/>
      <c r="Z291" s="12"/>
    </row>
    <row r="292" spans="1:26" ht="32.25" customHeight="1" x14ac:dyDescent="0.2">
      <c r="A292" s="10" t="s">
        <v>13</v>
      </c>
      <c r="B292" s="10" t="s">
        <v>13</v>
      </c>
      <c r="C292" s="11" t="str">
        <f ca="1">IFERROR(__xludf.DUMMYFUNCTION("GOOGLETRANSLATE($B292,""en"",C$3)"),"finnisch")</f>
        <v>finnisch</v>
      </c>
      <c r="D292" s="11" t="str">
        <f ca="1">IFERROR(__xludf.DUMMYFUNCTION("GOOGLETRANSLATE($B292,""en"",D$3)"),"finska")</f>
        <v>finska</v>
      </c>
      <c r="E292" s="11" t="str">
        <f ca="1">IFERROR(__xludf.DUMMYFUNCTION("GOOGLETRANSLATE($B292,""en"",E$3)"),"finlandês")</f>
        <v>finlandês</v>
      </c>
      <c r="F292" s="11" t="str">
        <f ca="1">IFERROR(__xludf.DUMMYFUNCTION("GOOGLETRANSLATE($B292,""en"",F$3)"),"finlandês")</f>
        <v>finlandês</v>
      </c>
      <c r="G292" s="11" t="str">
        <f ca="1">IFERROR(__xludf.DUMMYFUNCTION("GOOGLETRANSLATE($B292,""en"",G$3)"),"finlandais")</f>
        <v>finlandais</v>
      </c>
      <c r="H292" s="11" t="str">
        <f ca="1">IFERROR(__xludf.DUMMYFUNCTION("GOOGLETRANSLATE($B292,""en"",H$3)"),"Finlandiako")</f>
        <v>Finlandiako</v>
      </c>
      <c r="I292" s="11" t="str">
        <f ca="1">IFERROR(__xludf.DUMMYFUNCTION("GOOGLETRANSLATE($B292,""en"",I$3)"),"finlandès")</f>
        <v>finlandès</v>
      </c>
      <c r="J292" s="11" t="str">
        <f ca="1">IFERROR(__xludf.DUMMYFUNCTION("GOOGLETRANSLATE($B292,""en"",J$3)"),"finský")</f>
        <v>finský</v>
      </c>
      <c r="K292" s="11" t="str">
        <f ca="1">IFERROR(__xludf.DUMMYFUNCTION("GOOGLETRANSLATE($B292,""en"",K$3)"),"芬兰")</f>
        <v>芬兰</v>
      </c>
      <c r="L292" s="11" t="str">
        <f ca="1">IFERROR(__xludf.DUMMYFUNCTION("GOOGLETRANSLATE($B292,""en"",L$3)"),"芬蘭")</f>
        <v>芬蘭</v>
      </c>
      <c r="M292" s="11" t="str">
        <f ca="1">IFERROR(__xludf.DUMMYFUNCTION("GOOGLETRANSLATE($B292,""en"",M$3)"),"Fins")</f>
        <v>Fins</v>
      </c>
      <c r="N292" s="11" t="str">
        <f ca="1">IFERROR(__xludf.DUMMYFUNCTION("GOOGLETRANSLATE($B292,""en"",N$3)"),"φινλανδικός")</f>
        <v>φινλανδικός</v>
      </c>
      <c r="O292" s="11" t="str">
        <f ca="1">IFERROR(__xludf.DUMMYFUNCTION("GOOGLETRANSLATE($B292,""en"",O$3)"),"Suomalainen")</f>
        <v>Suomalainen</v>
      </c>
      <c r="P292" s="11" t="str">
        <f ca="1">IFERROR(__xludf.DUMMYFUNCTION("GOOGLETRANSLATE($B292,""en"",P$3)"),"finnish")</f>
        <v>finnish</v>
      </c>
      <c r="Q292" s="11" t="str">
        <f ca="1">IFERROR(__xludf.DUMMYFUNCTION("GOOGLETRANSLATE($B292,""en"",Q$3)"),"فنلاندی")</f>
        <v>فنلاندی</v>
      </c>
      <c r="R292" s="11" t="str">
        <f ca="1">IFERROR(__xludf.DUMMYFUNCTION("GOOGLETRANSLATE($B292,""en"",R$3)"),"פִינִית")</f>
        <v>פִינִית</v>
      </c>
      <c r="S292" s="11" t="str">
        <f ca="1">IFERROR(__xludf.DUMMYFUNCTION("GOOGLETRANSLATE($B292,""en"",S$3)"),"Finnska")</f>
        <v>Finnska</v>
      </c>
      <c r="T292" s="11" t="str">
        <f ca="1">IFERROR(__xludf.DUMMYFUNCTION("GOOGLETRANSLATE($B292,""en"",T$3)"),"finsk")</f>
        <v>finsk</v>
      </c>
      <c r="U292" s="11" t="str">
        <f ca="1">IFERROR(__xludf.DUMMYFUNCTION("GOOGLETRANSLATE($B292,""en"",U$3)"),"اللغة الفنلندية")</f>
        <v>اللغة الفنلندية</v>
      </c>
      <c r="V292" s="11" t="str">
        <f ca="1">IFERROR(__xludf.DUMMYFUNCTION("GOOGLETRANSLATE($B292,""en"",V$3)"),"fiński")</f>
        <v>fiński</v>
      </c>
      <c r="W292" s="11" t="str">
        <f ca="1">IFERROR(__xludf.DUMMYFUNCTION("GOOGLETRANSLATE($B292,""en"",W$3)"),"финский")</f>
        <v>финский</v>
      </c>
      <c r="X292" s="11" t="str">
        <f ca="1">IFERROR(__xludf.DUMMYFUNCTION("GOOGLETRANSLATE($B292,""en"",X$3)"),"finlandés")</f>
        <v>finlandés</v>
      </c>
    </row>
    <row r="293" spans="1:26" ht="32.25" customHeight="1" x14ac:dyDescent="0.2">
      <c r="A293" s="17" t="s">
        <v>706</v>
      </c>
      <c r="B293" s="17" t="s">
        <v>707</v>
      </c>
      <c r="C293" s="11" t="str">
        <f ca="1">IFERROR(__xludf.DUMMYFUNCTION("GOOGLETRANSLATE($B293,""en"",C$3)"),"Vorname")</f>
        <v>Vorname</v>
      </c>
      <c r="D293" s="11" t="str">
        <f ca="1">IFERROR(__xludf.DUMMYFUNCTION("GOOGLETRANSLATE($B293,""en"",D$3)"),"Förnamn")</f>
        <v>Förnamn</v>
      </c>
      <c r="E293" s="11" t="str">
        <f ca="1">IFERROR(__xludf.DUMMYFUNCTION("GOOGLETRANSLATE($B293,""en"",E$3)"),"Primeiro nome")</f>
        <v>Primeiro nome</v>
      </c>
      <c r="F293" s="11" t="str">
        <f ca="1">IFERROR(__xludf.DUMMYFUNCTION("GOOGLETRANSLATE($B293,""en"",F$3)"),"Primeiro nome")</f>
        <v>Primeiro nome</v>
      </c>
      <c r="G293" s="11" t="str">
        <f ca="1">IFERROR(__xludf.DUMMYFUNCTION("GOOGLETRANSLATE($B293,""en"",G$3)"),"Prénom")</f>
        <v>Prénom</v>
      </c>
      <c r="H293" s="11" t="str">
        <f ca="1">IFERROR(__xludf.DUMMYFUNCTION("GOOGLETRANSLATE($B293,""en"",H$3)"),"Izena")</f>
        <v>Izena</v>
      </c>
      <c r="I293" s="11" t="str">
        <f ca="1">IFERROR(__xludf.DUMMYFUNCTION("GOOGLETRANSLATE($B293,""en"",I$3)"),"Nom")</f>
        <v>Nom</v>
      </c>
      <c r="J293" s="11" t="str">
        <f ca="1">IFERROR(__xludf.DUMMYFUNCTION("GOOGLETRANSLATE($B293,""en"",J$3)"),"Jméno")</f>
        <v>Jméno</v>
      </c>
      <c r="K293" s="11" t="str">
        <f ca="1">IFERROR(__xludf.DUMMYFUNCTION("GOOGLETRANSLATE($B293,""en"",K$3)"),"名字")</f>
        <v>名字</v>
      </c>
      <c r="L293" s="11" t="str">
        <f ca="1">IFERROR(__xludf.DUMMYFUNCTION("GOOGLETRANSLATE($B293,""en"",L$3)"),"名字")</f>
        <v>名字</v>
      </c>
      <c r="M293" s="11" t="str">
        <f ca="1">IFERROR(__xludf.DUMMYFUNCTION("GOOGLETRANSLATE($B293,""en"",M$3)"),"Voornaam")</f>
        <v>Voornaam</v>
      </c>
      <c r="N293" s="11" t="str">
        <f ca="1">IFERROR(__xludf.DUMMYFUNCTION("GOOGLETRANSLATE($B293,""en"",N$3)"),"Ονομα")</f>
        <v>Ονομα</v>
      </c>
      <c r="O293" s="11" t="str">
        <f ca="1">IFERROR(__xludf.DUMMYFUNCTION("GOOGLETRANSLATE($B293,""en"",O$3)"),"Etunimi")</f>
        <v>Etunimi</v>
      </c>
      <c r="P293" s="11" t="str">
        <f ca="1">IFERROR(__xludf.DUMMYFUNCTION("GOOGLETRANSLATE($B293,""en"",P$3)"),"Ainm")</f>
        <v>Ainm</v>
      </c>
      <c r="Q293" s="11" t="str">
        <f ca="1">IFERROR(__xludf.DUMMYFUNCTION("GOOGLETRANSLATE($B293,""en"",Q$3)"),"نام کوچک")</f>
        <v>نام کوچک</v>
      </c>
      <c r="R293" s="11" t="str">
        <f ca="1">IFERROR(__xludf.DUMMYFUNCTION("GOOGLETRANSLATE($B293,""en"",R$3)"),"שם פרטי")</f>
        <v>שם פרטי</v>
      </c>
      <c r="S293" s="11" t="str">
        <f ca="1">IFERROR(__xludf.DUMMYFUNCTION("GOOGLETRANSLATE($B293,""en"",S$3)"),"Fyrsta nafn")</f>
        <v>Fyrsta nafn</v>
      </c>
      <c r="T293" s="11" t="str">
        <f ca="1">IFERROR(__xludf.DUMMYFUNCTION("GOOGLETRANSLATE($B293,""en"",T$3)"),"Fornavn")</f>
        <v>Fornavn</v>
      </c>
      <c r="U293" s="11" t="str">
        <f ca="1">IFERROR(__xludf.DUMMYFUNCTION("GOOGLETRANSLATE($B293,""en"",U$3)"),"الاسم الاول")</f>
        <v>الاسم الاول</v>
      </c>
      <c r="V293" s="11" t="str">
        <f ca="1">IFERROR(__xludf.DUMMYFUNCTION("GOOGLETRANSLATE($B293,""en"",V$3)"),"Imię")</f>
        <v>Imię</v>
      </c>
      <c r="W293" s="11" t="str">
        <f ca="1">IFERROR(__xludf.DUMMYFUNCTION("GOOGLETRANSLATE($B293,""en"",W$3)"),"Имя")</f>
        <v>Имя</v>
      </c>
      <c r="X293" s="11" t="str">
        <f ca="1">IFERROR(__xludf.DUMMYFUNCTION("GOOGLETRANSLATE($B293,""en"",X$3)"),"Nombre de pila")</f>
        <v>Nombre de pila</v>
      </c>
      <c r="Y293" s="11"/>
      <c r="Z293" s="11"/>
    </row>
    <row r="294" spans="1:26" ht="32.25" customHeight="1" x14ac:dyDescent="0.2">
      <c r="A294" s="17" t="s">
        <v>708</v>
      </c>
      <c r="B294" s="17" t="s">
        <v>694</v>
      </c>
      <c r="C294" s="11" t="str">
        <f ca="1">IFERROR(__xludf.DUMMYFUNCTION("GOOGLETRANSLATE($B294,""en"",C$3)"),"Flotsam Asset-Cache")</f>
        <v>Flotsam Asset-Cache</v>
      </c>
      <c r="D294" s="12" t="str">
        <f ca="1">IFERROR(__xludf.DUMMYFUNCTION("GOOGLETRANSLATE($B293,""en"",D$3)"),"Förnamn")</f>
        <v>Förnamn</v>
      </c>
      <c r="E294" s="12" t="str">
        <f ca="1">IFERROR(__xludf.DUMMYFUNCTION("GOOGLETRANSLATE($B293,""en"",E$3)"),"Primeiro nome")</f>
        <v>Primeiro nome</v>
      </c>
      <c r="F294" s="12" t="str">
        <f ca="1">IFERROR(__xludf.DUMMYFUNCTION("GOOGLETRANSLATE($B293,""en"",F$3)"),"Primeiro nome")</f>
        <v>Primeiro nome</v>
      </c>
      <c r="G294" s="12" t="str">
        <f ca="1">IFERROR(__xludf.DUMMYFUNCTION("GOOGLETRANSLATE($B293,""en"",G$3)"),"Prénom")</f>
        <v>Prénom</v>
      </c>
      <c r="H294" s="12" t="str">
        <f ca="1">IFERROR(__xludf.DUMMYFUNCTION("GOOGLETRANSLATE($B293,""en"",H$3)"),"Izena")</f>
        <v>Izena</v>
      </c>
      <c r="I294" s="12" t="str">
        <f ca="1">IFERROR(__xludf.DUMMYFUNCTION("GOOGLETRANSLATE($B293,""en"",I$3)"),"Nom")</f>
        <v>Nom</v>
      </c>
      <c r="J294" s="12" t="str">
        <f ca="1">IFERROR(__xludf.DUMMYFUNCTION("GOOGLETRANSLATE($B293,""en"",J$3)"),"Jméno")</f>
        <v>Jméno</v>
      </c>
      <c r="K294" s="12" t="str">
        <f ca="1">IFERROR(__xludf.DUMMYFUNCTION("GOOGLETRANSLATE($B293,""en"",K$3)"),"名字")</f>
        <v>名字</v>
      </c>
      <c r="L294" s="12" t="str">
        <f ca="1">IFERROR(__xludf.DUMMYFUNCTION("GOOGLETRANSLATE($B293,""en"",L$3)"),"名字")</f>
        <v>名字</v>
      </c>
      <c r="M294" s="12" t="str">
        <f ca="1">IFERROR(__xludf.DUMMYFUNCTION("GOOGLETRANSLATE($B293,""en"",M$3)"),"Voornaam")</f>
        <v>Voornaam</v>
      </c>
      <c r="N294" s="12" t="str">
        <f ca="1">IFERROR(__xludf.DUMMYFUNCTION("GOOGLETRANSLATE($B293,""en"",N$3)"),"Ονομα")</f>
        <v>Ονομα</v>
      </c>
      <c r="O294" s="12" t="str">
        <f ca="1">IFERROR(__xludf.DUMMYFUNCTION("GOOGLETRANSLATE($B293,""en"",O$3)"),"Etunimi")</f>
        <v>Etunimi</v>
      </c>
      <c r="P294" s="12" t="str">
        <f ca="1">IFERROR(__xludf.DUMMYFUNCTION("GOOGLETRANSLATE($B293,""en"",P$3)"),"Ainm")</f>
        <v>Ainm</v>
      </c>
      <c r="Q294" s="12" t="str">
        <f ca="1">IFERROR(__xludf.DUMMYFUNCTION("GOOGLETRANSLATE($B293,""en"",Q$3)"),"نام کوچک")</f>
        <v>نام کوچک</v>
      </c>
      <c r="R294" s="12" t="str">
        <f ca="1">IFERROR(__xludf.DUMMYFUNCTION("GOOGLETRANSLATE($B293,""en"",R$3)"),"שם פרטי")</f>
        <v>שם פרטי</v>
      </c>
      <c r="S294" s="12" t="str">
        <f ca="1">IFERROR(__xludf.DUMMYFUNCTION("GOOGLETRANSLATE($B293,""en"",S$3)"),"Fyrsta nafn")</f>
        <v>Fyrsta nafn</v>
      </c>
      <c r="T294" s="12" t="str">
        <f ca="1">IFERROR(__xludf.DUMMYFUNCTION("GOOGLETRANSLATE($B293,""en"",T$3)"),"Fornavn")</f>
        <v>Fornavn</v>
      </c>
      <c r="U294" s="12" t="str">
        <f ca="1">IFERROR(__xludf.DUMMYFUNCTION("GOOGLETRANSLATE($B293,""en"",U$3)"),"الاسم الاول")</f>
        <v>الاسم الاول</v>
      </c>
      <c r="V294" s="12" t="str">
        <f ca="1">IFERROR(__xludf.DUMMYFUNCTION("GOOGLETRANSLATE($B293,""en"",V$3)"),"Imię")</f>
        <v>Imię</v>
      </c>
      <c r="W294" s="12" t="str">
        <f ca="1">IFERROR(__xludf.DUMMYFUNCTION("GOOGLETRANSLATE($B293,""en"",W$3)"),"Имя")</f>
        <v>Имя</v>
      </c>
      <c r="X294" s="12" t="str">
        <f ca="1">IFERROR(__xludf.DUMMYFUNCTION("GOOGLETRANSLATE($B293,""en"",X$3)"),"Nombre de pila")</f>
        <v>Nombre de pila</v>
      </c>
      <c r="Y294" s="12"/>
      <c r="Z294" s="12"/>
    </row>
    <row r="295" spans="1:26" ht="32.25" customHeight="1" x14ac:dyDescent="0.2">
      <c r="A295" s="17" t="s">
        <v>709</v>
      </c>
      <c r="B295" s="17" t="s">
        <v>710</v>
      </c>
      <c r="C295" s="11" t="str">
        <f ca="1">IFERROR(__xludf.DUMMYFUNCTION("GOOGLETRANSLATE($B295,""en"",C$3)"),"Ordner zu speichern")</f>
        <v>Ordner zu speichern</v>
      </c>
      <c r="D295" s="11" t="str">
        <f ca="1">IFERROR(__xludf.DUMMYFUNCTION("GOOGLETRANSLATE($B295,""en"",D$3)"),"Mapp att spara till")</f>
        <v>Mapp att spara till</v>
      </c>
      <c r="E295" s="11" t="str">
        <f ca="1">IFERROR(__xludf.DUMMYFUNCTION("GOOGLETRANSLATE($B295,""en"",E$3)"),"Pasta para salvar a")</f>
        <v>Pasta para salvar a</v>
      </c>
      <c r="F295" s="11" t="str">
        <f ca="1">IFERROR(__xludf.DUMMYFUNCTION("GOOGLETRANSLATE($B295,""en"",F$3)"),"Pasta para salvar a")</f>
        <v>Pasta para salvar a</v>
      </c>
      <c r="G295" s="11" t="str">
        <f ca="1">IFERROR(__xludf.DUMMYFUNCTION("GOOGLETRANSLATE($B295,""en"",G$3)"),"Dossier pour sauvegarder à")</f>
        <v>Dossier pour sauvegarder à</v>
      </c>
      <c r="H295" s="11" t="str">
        <f ca="1">IFERROR(__xludf.DUMMYFUNCTION("GOOGLETRANSLATE($B295,""en"",H$3)"),"Karpetara gorde")</f>
        <v>Karpetara gorde</v>
      </c>
      <c r="I295" s="11" t="str">
        <f ca="1">IFERROR(__xludf.DUMMYFUNCTION("GOOGLETRANSLATE($B295,""en"",I$3)"),"Carpeta per guardar a")</f>
        <v>Carpeta per guardar a</v>
      </c>
      <c r="J295" s="11" t="str">
        <f ca="1">IFERROR(__xludf.DUMMYFUNCTION("GOOGLETRANSLATE($B295,""en"",J$3)"),"Složky pro ukládání souborů")</f>
        <v>Složky pro ukládání souborů</v>
      </c>
      <c r="K295" s="11" t="str">
        <f ca="1">IFERROR(__xludf.DUMMYFUNCTION("GOOGLETRANSLATE($B295,""en"",K$3)"),"文件夹保存到")</f>
        <v>文件夹保存到</v>
      </c>
      <c r="L295" s="11" t="str">
        <f ca="1">IFERROR(__xludf.DUMMYFUNCTION("GOOGLETRANSLATE($B295,""en"",L$3)"),"文件夾保存到")</f>
        <v>文件夾保存到</v>
      </c>
      <c r="M295" s="11" t="str">
        <f ca="1">IFERROR(__xludf.DUMMYFUNCTION("GOOGLETRANSLATE($B295,""en"",M$3)"),"Folder op te slaan op")</f>
        <v>Folder op te slaan op</v>
      </c>
      <c r="N295" s="11" t="str">
        <f ca="1">IFERROR(__xludf.DUMMYFUNCTION("GOOGLETRANSLATE($B295,""en"",N$3)"),"Φάκελο για να αποθηκεύσετε σε")</f>
        <v>Φάκελο για να αποθηκεύσετε σε</v>
      </c>
      <c r="O295" s="11" t="str">
        <f ca="1">IFERROR(__xludf.DUMMYFUNCTION("GOOGLETRANSLATE($B295,""en"",O$3)"),"Kansioon tallentaaksesi")</f>
        <v>Kansioon tallentaaksesi</v>
      </c>
      <c r="P295" s="11" t="str">
        <f ca="1">IFERROR(__xludf.DUMMYFUNCTION("GOOGLETRANSLATE($B295,""en"",P$3)"),"Fillteán a shábháil ar")</f>
        <v>Fillteán a shábháil ar</v>
      </c>
      <c r="Q295" s="11" t="str">
        <f ca="1">IFERROR(__xludf.DUMMYFUNCTION("GOOGLETRANSLATE($B295,""en"",Q$3)"),"پوشه برای ذخیره به")</f>
        <v>پوشه برای ذخیره به</v>
      </c>
      <c r="R295" s="11" t="str">
        <f ca="1">IFERROR(__xludf.DUMMYFUNCTION("GOOGLETRANSLATE($B295,""en"",R$3)"),"תיקייה כדי לשמור על")</f>
        <v>תיקייה כדי לשמור על</v>
      </c>
      <c r="S295" s="11" t="str">
        <f ca="1">IFERROR(__xludf.DUMMYFUNCTION("GOOGLETRANSLATE($B295,""en"",S$3)"),"Möppu til að vista í")</f>
        <v>Möppu til að vista í</v>
      </c>
      <c r="T295" s="11" t="str">
        <f ca="1">IFERROR(__xludf.DUMMYFUNCTION("GOOGLETRANSLATE($B295,""en"",T$3)"),"Mappe for å lagre til")</f>
        <v>Mappe for å lagre til</v>
      </c>
      <c r="U295" s="11" t="str">
        <f ca="1">IFERROR(__xludf.DUMMYFUNCTION("GOOGLETRANSLATE($B295,""en"",U$3)"),"مجلد لإنقاذ ل")</f>
        <v>مجلد لإنقاذ ل</v>
      </c>
      <c r="V295" s="11" t="str">
        <f ca="1">IFERROR(__xludf.DUMMYFUNCTION("GOOGLETRANSLATE($B295,""en"",V$3)"),"Folder, aby zapisać się do")</f>
        <v>Folder, aby zapisać się do</v>
      </c>
      <c r="W295" s="11" t="str">
        <f ca="1">IFERROR(__xludf.DUMMYFUNCTION("GOOGLETRANSLATE($B295,""en"",W$3)"),"Папка для сохранения")</f>
        <v>Папка для сохранения</v>
      </c>
      <c r="X295" s="11" t="str">
        <f ca="1">IFERROR(__xludf.DUMMYFUNCTION("GOOGLETRANSLATE($B295,""en"",X$3)"),"Carpeta para guardar a")</f>
        <v>Carpeta para guardar a</v>
      </c>
      <c r="Y295" s="11"/>
      <c r="Z295" s="11"/>
    </row>
    <row r="296" spans="1:26" ht="32.25" customHeight="1" x14ac:dyDescent="0.2">
      <c r="A296" s="17" t="s">
        <v>711</v>
      </c>
      <c r="B296" s="17" t="s">
        <v>712</v>
      </c>
      <c r="C296" s="11" t="str">
        <f ca="1">IFERROR(__xludf.DUMMYFUNCTION("GOOGLETRANSLATE($B296,""en"",C$3)"),"Frame Rate")</f>
        <v>Frame Rate</v>
      </c>
      <c r="D296" s="12" t="str">
        <f ca="1">IFERROR(__xludf.DUMMYFUNCTION("GOOGLETRANSLATE($B295,""en"",D$3)"),"Mapp att spara till")</f>
        <v>Mapp att spara till</v>
      </c>
      <c r="E296" s="12" t="str">
        <f ca="1">IFERROR(__xludf.DUMMYFUNCTION("GOOGLETRANSLATE($B295,""en"",E$3)"),"Pasta para salvar a")</f>
        <v>Pasta para salvar a</v>
      </c>
      <c r="F296" s="12" t="str">
        <f ca="1">IFERROR(__xludf.DUMMYFUNCTION("GOOGLETRANSLATE($B295,""en"",F$3)"),"Pasta para salvar a")</f>
        <v>Pasta para salvar a</v>
      </c>
      <c r="G296" s="12" t="str">
        <f ca="1">IFERROR(__xludf.DUMMYFUNCTION("GOOGLETRANSLATE($B295,""en"",G$3)"),"Dossier pour sauvegarder à")</f>
        <v>Dossier pour sauvegarder à</v>
      </c>
      <c r="H296" s="12" t="str">
        <f ca="1">IFERROR(__xludf.DUMMYFUNCTION("GOOGLETRANSLATE($B295,""en"",H$3)"),"Karpetara gorde")</f>
        <v>Karpetara gorde</v>
      </c>
      <c r="I296" s="12" t="str">
        <f ca="1">IFERROR(__xludf.DUMMYFUNCTION("GOOGLETRANSLATE($B295,""en"",I$3)"),"Carpeta per guardar a")</f>
        <v>Carpeta per guardar a</v>
      </c>
      <c r="J296" s="12" t="str">
        <f ca="1">IFERROR(__xludf.DUMMYFUNCTION("GOOGLETRANSLATE($B295,""en"",J$3)"),"Složky pro ukládání souborů")</f>
        <v>Složky pro ukládání souborů</v>
      </c>
      <c r="K296" s="12" t="str">
        <f ca="1">IFERROR(__xludf.DUMMYFUNCTION("GOOGLETRANSLATE($B295,""en"",K$3)"),"文件夹保存到")</f>
        <v>文件夹保存到</v>
      </c>
      <c r="L296" s="12" t="str">
        <f ca="1">IFERROR(__xludf.DUMMYFUNCTION("GOOGLETRANSLATE($B295,""en"",L$3)"),"文件夾保存到")</f>
        <v>文件夾保存到</v>
      </c>
      <c r="M296" s="12" t="str">
        <f ca="1">IFERROR(__xludf.DUMMYFUNCTION("GOOGLETRANSLATE($B295,""en"",M$3)"),"Folder op te slaan op")</f>
        <v>Folder op te slaan op</v>
      </c>
      <c r="N296" s="12" t="str">
        <f ca="1">IFERROR(__xludf.DUMMYFUNCTION("GOOGLETRANSLATE($B295,""en"",N$3)"),"Φάκελο για να αποθηκεύσετε σε")</f>
        <v>Φάκελο για να αποθηκεύσετε σε</v>
      </c>
      <c r="O296" s="12" t="str">
        <f ca="1">IFERROR(__xludf.DUMMYFUNCTION("GOOGLETRANSLATE($B295,""en"",O$3)"),"Kansioon tallentaaksesi")</f>
        <v>Kansioon tallentaaksesi</v>
      </c>
      <c r="P296" s="12" t="str">
        <f ca="1">IFERROR(__xludf.DUMMYFUNCTION("GOOGLETRANSLATE($B295,""en"",P$3)"),"Fillteán a shábháil ar")</f>
        <v>Fillteán a shábháil ar</v>
      </c>
      <c r="Q296" s="12" t="str">
        <f ca="1">IFERROR(__xludf.DUMMYFUNCTION("GOOGLETRANSLATE($B295,""en"",Q$3)"),"پوشه برای ذخیره به")</f>
        <v>پوشه برای ذخیره به</v>
      </c>
      <c r="R296" s="12" t="str">
        <f ca="1">IFERROR(__xludf.DUMMYFUNCTION("GOOGLETRANSLATE($B295,""en"",R$3)"),"תיקייה כדי לשמור על")</f>
        <v>תיקייה כדי לשמור על</v>
      </c>
      <c r="S296" s="12" t="str">
        <f ca="1">IFERROR(__xludf.DUMMYFUNCTION("GOOGLETRANSLATE($B295,""en"",S$3)"),"Möppu til að vista í")</f>
        <v>Möppu til að vista í</v>
      </c>
      <c r="T296" s="12" t="str">
        <f ca="1">IFERROR(__xludf.DUMMYFUNCTION("GOOGLETRANSLATE($B295,""en"",T$3)"),"Mappe for å lagre til")</f>
        <v>Mappe for å lagre til</v>
      </c>
      <c r="U296" s="12" t="str">
        <f ca="1">IFERROR(__xludf.DUMMYFUNCTION("GOOGLETRANSLATE($B295,""en"",U$3)"),"مجلد لإنقاذ ل")</f>
        <v>مجلد لإنقاذ ل</v>
      </c>
      <c r="V296" s="12" t="str">
        <f ca="1">IFERROR(__xludf.DUMMYFUNCTION("GOOGLETRANSLATE($B295,""en"",V$3)"),"Folder, aby zapisać się do")</f>
        <v>Folder, aby zapisać się do</v>
      </c>
      <c r="W296" s="12" t="str">
        <f ca="1">IFERROR(__xludf.DUMMYFUNCTION("GOOGLETRANSLATE($B295,""en"",W$3)"),"Папка для сохранения")</f>
        <v>Папка для сохранения</v>
      </c>
      <c r="X296" s="12" t="str">
        <f ca="1">IFERROR(__xludf.DUMMYFUNCTION("GOOGLETRANSLATE($B295,""en"",X$3)"),"Carpeta para guardar a")</f>
        <v>Carpeta para guardar a</v>
      </c>
      <c r="Y296" s="12"/>
      <c r="Z296" s="12"/>
    </row>
    <row r="297" spans="1:26" ht="32.25" customHeight="1" x14ac:dyDescent="0.2">
      <c r="A297" s="17" t="s">
        <v>713</v>
      </c>
      <c r="B297" s="17" t="s">
        <v>714</v>
      </c>
      <c r="C297" s="11" t="str">
        <f ca="1">IFERROR(__xludf.DUMMYFUNCTION("GOOGLETRANSLATE($B297,""en"",C$3)"),"Frame Rate (0,0909)")</f>
        <v>Frame Rate (0,0909)</v>
      </c>
      <c r="D297" s="12" t="str">
        <f ca="1">IFERROR(__xludf.DUMMYFUNCTION("GOOGLETRANSLATE($B296,""en"",D$3)"),"frame Rate")</f>
        <v>frame Rate</v>
      </c>
      <c r="E297" s="12" t="str">
        <f ca="1">IFERROR(__xludf.DUMMYFUNCTION("GOOGLETRANSLATE($B296,""en"",E$3)"),"Taxa de quadros")</f>
        <v>Taxa de quadros</v>
      </c>
      <c r="F297" s="12" t="str">
        <f ca="1">IFERROR(__xludf.DUMMYFUNCTION("GOOGLETRANSLATE($B296,""en"",F$3)"),"Taxa de quadros")</f>
        <v>Taxa de quadros</v>
      </c>
      <c r="G297" s="12" t="str">
        <f ca="1">IFERROR(__xludf.DUMMYFUNCTION("GOOGLETRANSLATE($B296,""en"",G$3)"),"frame Rate")</f>
        <v>frame Rate</v>
      </c>
      <c r="H297" s="12" t="str">
        <f ca="1">IFERROR(__xludf.DUMMYFUNCTION("GOOGLETRANSLATE($B296,""en"",H$3)"),"Fotograma-tasa")</f>
        <v>Fotograma-tasa</v>
      </c>
      <c r="I297" s="12" t="str">
        <f ca="1">IFERROR(__xludf.DUMMYFUNCTION("GOOGLETRANSLATE($B296,""en"",I$3)"),"Velocitat de quadres")</f>
        <v>Velocitat de quadres</v>
      </c>
      <c r="J297" s="12" t="str">
        <f ca="1">IFERROR(__xludf.DUMMYFUNCTION("GOOGLETRANSLATE($B296,""en"",J$3)"),"Snímková frekvence")</f>
        <v>Snímková frekvence</v>
      </c>
      <c r="K297" s="12" t="str">
        <f ca="1">IFERROR(__xludf.DUMMYFUNCTION("GOOGLETRANSLATE($B296,""en"",K$3)"),"帧率")</f>
        <v>帧率</v>
      </c>
      <c r="L297" s="12" t="str">
        <f ca="1">IFERROR(__xludf.DUMMYFUNCTION("GOOGLETRANSLATE($B296,""en"",L$3)"),"幀率")</f>
        <v>幀率</v>
      </c>
      <c r="M297" s="12" t="str">
        <f ca="1">IFERROR(__xludf.DUMMYFUNCTION("GOOGLETRANSLATE($B296,""en"",M$3)"),"Frame rate")</f>
        <v>Frame rate</v>
      </c>
      <c r="N297" s="12" t="str">
        <f ca="1">IFERROR(__xludf.DUMMYFUNCTION("GOOGLETRANSLATE($B296,""en"",N$3)"),"Ρυθμός καρέ")</f>
        <v>Ρυθμός καρέ</v>
      </c>
      <c r="O297" s="12" t="str">
        <f ca="1">IFERROR(__xludf.DUMMYFUNCTION("GOOGLETRANSLATE($B296,""en"",O$3)"),"Ruudunpäivitysnopeus")</f>
        <v>Ruudunpäivitysnopeus</v>
      </c>
      <c r="P297" s="12" t="str">
        <f ca="1">IFERROR(__xludf.DUMMYFUNCTION("GOOGLETRANSLATE($B296,""en"",P$3)"),"Ráta fhráma")</f>
        <v>Ráta fhráma</v>
      </c>
      <c r="Q297" s="12" t="str">
        <f ca="1">IFERROR(__xludf.DUMMYFUNCTION("GOOGLETRANSLATE($B296,""en"",Q$3)"),"نرخ فریم")</f>
        <v>نرخ فریم</v>
      </c>
      <c r="R297" s="12" t="str">
        <f ca="1">IFERROR(__xludf.DUMMYFUNCTION("GOOGLETRANSLATE($B296,""en"",R$3)"),"מסגרת שיעור")</f>
        <v>מסגרת שיעור</v>
      </c>
      <c r="S297" s="12" t="str">
        <f ca="1">IFERROR(__xludf.DUMMYFUNCTION("GOOGLETRANSLATE($B296,""en"",S$3)"),"Frame Rate")</f>
        <v>Frame Rate</v>
      </c>
      <c r="T297" s="12" t="str">
        <f ca="1">IFERROR(__xludf.DUMMYFUNCTION("GOOGLETRANSLATE($B296,""en"",T$3)"),"Bildefrekvens")</f>
        <v>Bildefrekvens</v>
      </c>
      <c r="U297" s="12" t="str">
        <f ca="1">IFERROR(__xludf.DUMMYFUNCTION("GOOGLETRANSLATE($B296,""en"",U$3)"),"معدل الإطار")</f>
        <v>معدل الإطار</v>
      </c>
      <c r="V297" s="12" t="str">
        <f ca="1">IFERROR(__xludf.DUMMYFUNCTION("GOOGLETRANSLATE($B296,""en"",V$3)"),"Częstotliwość wyświetlania klatek")</f>
        <v>Częstotliwość wyświetlania klatek</v>
      </c>
      <c r="W297" s="12" t="str">
        <f ca="1">IFERROR(__xludf.DUMMYFUNCTION("GOOGLETRANSLATE($B296,""en"",W$3)"),"Частота кадров")</f>
        <v>Частота кадров</v>
      </c>
      <c r="X297" s="12" t="str">
        <f ca="1">IFERROR(__xludf.DUMMYFUNCTION("GOOGLETRANSLATE($B296,""en"",X$3)"),"Cuadros por segundo")</f>
        <v>Cuadros por segundo</v>
      </c>
      <c r="Y297" s="12"/>
      <c r="Z297" s="12"/>
    </row>
    <row r="298" spans="1:26" ht="32.25" customHeight="1" x14ac:dyDescent="0.2">
      <c r="A298" s="17" t="s">
        <v>715</v>
      </c>
      <c r="B298" s="17" t="s">
        <v>716</v>
      </c>
      <c r="C298" s="11" t="str">
        <f ca="1">IFERROR(__xludf.DUMMYFUNCTION("GOOGLETRANSLATE($B298,""en"",C$3)"),"Standard 1/11 sec. Der Standardwert ist 0,0909, das ist 1/5 von 55 FPS")</f>
        <v>Standard 1/11 sec. Der Standardwert ist 0,0909, das ist 1/5 von 55 FPS</v>
      </c>
      <c r="D298" s="12" t="str">
        <f ca="1">IFERROR(__xludf.DUMMYFUNCTION("GOOGLETRANSLATE($B297,""en"",D$3)"),"Frame Rate (0,0909)")</f>
        <v>Frame Rate (0,0909)</v>
      </c>
      <c r="E298" s="12" t="str">
        <f ca="1">IFERROR(__xludf.DUMMYFUNCTION("GOOGLETRANSLATE($B297,""en"",E$3)"),"Frame Rate (0,0909)")</f>
        <v>Frame Rate (0,0909)</v>
      </c>
      <c r="F298" s="12" t="str">
        <f ca="1">IFERROR(__xludf.DUMMYFUNCTION("GOOGLETRANSLATE($B297,""en"",F$3)"),"Frame Rate (0,0909)")</f>
        <v>Frame Rate (0,0909)</v>
      </c>
      <c r="G298" s="12" t="str">
        <f ca="1">IFERROR(__xludf.DUMMYFUNCTION("GOOGLETRANSLATE($B297,""en"",G$3)"),"Frame Rate (0,0909)")</f>
        <v>Frame Rate (0,0909)</v>
      </c>
      <c r="H298" s="12" t="str">
        <f ca="1">IFERROR(__xludf.DUMMYFUNCTION("GOOGLETRANSLATE($B297,""en"",H$3)"),"Marko tasa (0.0909)")</f>
        <v>Marko tasa (0.0909)</v>
      </c>
      <c r="I298" s="12" t="str">
        <f ca="1">IFERROR(__xludf.DUMMYFUNCTION("GOOGLETRANSLATE($B297,""en"",I$3)"),"Frame Rate (0,0909)")</f>
        <v>Frame Rate (0,0909)</v>
      </c>
      <c r="J298" s="12" t="str">
        <f ca="1">IFERROR(__xludf.DUMMYFUNCTION("GOOGLETRANSLATE($B297,""en"",J$3)"),"Frame Rate (0,0909)")</f>
        <v>Frame Rate (0,0909)</v>
      </c>
      <c r="K298" s="12" t="str">
        <f ca="1">IFERROR(__xludf.DUMMYFUNCTION("GOOGLETRANSLATE($B297,""en"",K$3)"),"帧速率（0.0909）")</f>
        <v>帧速率（0.0909）</v>
      </c>
      <c r="L298" s="12" t="str">
        <f ca="1">IFERROR(__xludf.DUMMYFUNCTION("GOOGLETRANSLATE($B297,""en"",L$3)"),"幀速率（0.0909）")</f>
        <v>幀速率（0.0909）</v>
      </c>
      <c r="M298" s="12" t="str">
        <f ca="1">IFERROR(__xludf.DUMMYFUNCTION("GOOGLETRANSLATE($B297,""en"",M$3)"),"Beeldsnelheid (0,0909)")</f>
        <v>Beeldsnelheid (0,0909)</v>
      </c>
      <c r="N298" s="12" t="str">
        <f ca="1">IFERROR(__xludf.DUMMYFUNCTION("GOOGLETRANSLATE($B297,""en"",N$3)"),"Frame Rate (0,0909)")</f>
        <v>Frame Rate (0,0909)</v>
      </c>
      <c r="O298" s="12" t="str">
        <f ca="1">IFERROR(__xludf.DUMMYFUNCTION("GOOGLETRANSLATE($B297,""en"",O$3)"),"Frame Rate (0,0909)")</f>
        <v>Frame Rate (0,0909)</v>
      </c>
      <c r="P298" s="12" t="str">
        <f ca="1">IFERROR(__xludf.DUMMYFUNCTION("GOOGLETRANSLATE($B297,""en"",P$3)"),"Ráta Fráma (0.0909)")</f>
        <v>Ráta Fráma (0.0909)</v>
      </c>
      <c r="Q298" s="12" t="str">
        <f ca="1">IFERROR(__xludf.DUMMYFUNCTION("GOOGLETRANSLATE($B297,""en"",Q$3)"),"نرخ فریم (0.0909)")</f>
        <v>نرخ فریم (0.0909)</v>
      </c>
      <c r="R298" s="12" t="str">
        <f ca="1">IFERROR(__xludf.DUMMYFUNCTION("GOOGLETRANSLATE($B297,""en"",R$3)"),"קצב פריימים (0.0909)")</f>
        <v>קצב פריימים (0.0909)</v>
      </c>
      <c r="S298" s="12" t="str">
        <f ca="1">IFERROR(__xludf.DUMMYFUNCTION("GOOGLETRANSLATE($B297,""en"",S$3)"),"Frame Rate (0,0909)")</f>
        <v>Frame Rate (0,0909)</v>
      </c>
      <c r="T298" s="12" t="str">
        <f ca="1">IFERROR(__xludf.DUMMYFUNCTION("GOOGLETRANSLATE($B297,""en"",T$3)"),"Frame Rate (0,0909)")</f>
        <v>Frame Rate (0,0909)</v>
      </c>
      <c r="U298" s="12" t="str">
        <f ca="1">IFERROR(__xludf.DUMMYFUNCTION("GOOGLETRANSLATE($B297,""en"",U$3)"),"معدل الإطار (0.0909)")</f>
        <v>معدل الإطار (0.0909)</v>
      </c>
      <c r="V298" s="12" t="str">
        <f ca="1">IFERROR(__xludf.DUMMYFUNCTION("GOOGLETRANSLATE($B297,""en"",V$3)"),"Frame Rate (0,0909)")</f>
        <v>Frame Rate (0,0909)</v>
      </c>
      <c r="W298" s="12" t="str">
        <f ca="1">IFERROR(__xludf.DUMMYFUNCTION("GOOGLETRANSLATE($B297,""en"",W$3)"),"Frame Rate (0,0909)")</f>
        <v>Frame Rate (0,0909)</v>
      </c>
      <c r="X298" s="12" t="str">
        <f ca="1">IFERROR(__xludf.DUMMYFUNCTION("GOOGLETRANSLATE($B297,""en"",X$3)"),"Frame Rate (0.0909)")</f>
        <v>Frame Rate (0.0909)</v>
      </c>
      <c r="Y298" s="12"/>
      <c r="Z298" s="12"/>
    </row>
    <row r="299" spans="1:26" ht="32.25" customHeight="1" x14ac:dyDescent="0.2">
      <c r="A299" s="17" t="s">
        <v>717</v>
      </c>
      <c r="B299" s="17" t="s">
        <v>718</v>
      </c>
      <c r="C299" s="11" t="str">
        <f ca="1">IFERROR(__xludf.DUMMYFUNCTION("GOOGLETRANSLATE($B299,""en"",C$3)"),"Um ein Gratis Gloebits Konto So You Can Buy Get und Verkaufen")</f>
        <v>Um ein Gratis Gloebits Konto So You Can Buy Get und Verkaufen</v>
      </c>
      <c r="D299" s="12" t="str">
        <f ca="1">IFERROR(__xludf.DUMMYFUNCTION("GOOGLETRANSLATE($B298,""en"",D$3)"),"Standard 1/11 sek. Standard är 0,0909, som är en / 5:e av 55 FPS")</f>
        <v>Standard 1/11 sek. Standard är 0,0909, som är en / 5:e av 55 FPS</v>
      </c>
      <c r="E299" s="12" t="str">
        <f ca="1">IFERROR(__xludf.DUMMYFUNCTION("GOOGLETRANSLATE($B298,""en"",E$3)"),"Padrão 1/11 seg. O padrão é 0,0909 que é 1 / 5th de 55 FPS")</f>
        <v>Padrão 1/11 seg. O padrão é 0,0909 que é 1 / 5th de 55 FPS</v>
      </c>
      <c r="F299" s="12" t="str">
        <f ca="1">IFERROR(__xludf.DUMMYFUNCTION("GOOGLETRANSLATE($B298,""en"",F$3)"),"Padrão 1/11 seg. O padrão é 0,0909 que é 1 / 5th de 55 FPS")</f>
        <v>Padrão 1/11 seg. O padrão é 0,0909 que é 1 / 5th de 55 FPS</v>
      </c>
      <c r="G299" s="12" t="str">
        <f ca="1">IFERROR(__xludf.DUMMYFUNCTION("GOOGLETRANSLATE($B298,""en"",G$3)"),"Par défaut 1/11 sec. Par défaut est 0,0909 qui est 1/5 de 55 FPS")</f>
        <v>Par défaut 1/11 sec. Par défaut est 0,0909 qui est 1/5 de 55 FPS</v>
      </c>
      <c r="H299" s="12" t="str">
        <f ca="1">IFERROR(__xludf.DUMMYFUNCTION("GOOGLETRANSLATE($B298,""en"",H$3)"),"Lehenetsia 1/11 s. Lehenetsitako 0,0909 bertan 1/55 FPS 5ean da")</f>
        <v>Lehenetsia 1/11 s. Lehenetsitako 0,0909 bertan 1/55 FPS 5ean da</v>
      </c>
      <c r="I299" s="12" t="str">
        <f ca="1">IFERROR(__xludf.DUMMYFUNCTION("GOOGLETRANSLATE($B298,""en"",I$3)"),"Per defecte 1/11 seg. Per omissió és 0,0909, que és 1 / cinquè de 55 FPS")</f>
        <v>Per defecte 1/11 seg. Per omissió és 0,0909, que és 1 / cinquè de 55 FPS</v>
      </c>
      <c r="J299" s="12" t="str">
        <f ca="1">IFERROR(__xludf.DUMMYFUNCTION("GOOGLETRANSLATE($B298,""en"",J$3)"),"Výchozí 1/11 sec. Výchozí hodnota je 0,0909, což je 1 / 5th 55 FPS")</f>
        <v>Výchozí 1/11 sec. Výchozí hodnota je 0,0909, což je 1 / 5th 55 FPS</v>
      </c>
      <c r="K299" s="12" t="str">
        <f ca="1">IFERROR(__xludf.DUMMYFUNCTION("GOOGLETRANSLATE($B298,""en"",K$3)"),"默认1/11秒。默认值是0.0909，其是55 FPS的1 /第五")</f>
        <v>默认1/11秒。默认值是0.0909，其是55 FPS的1 /第五</v>
      </c>
      <c r="L299" s="12" t="str">
        <f ca="1">IFERROR(__xludf.DUMMYFUNCTION("GOOGLETRANSLATE($B298,""en"",L$3)"),"默認1/11秒。默認值是0.0909，其是55 FPS的1 /第五")</f>
        <v>默認1/11秒。默認值是0.0909，其是55 FPS的1 /第五</v>
      </c>
      <c r="M299" s="12" t="str">
        <f ca="1">IFERROR(__xludf.DUMMYFUNCTION("GOOGLETRANSLATE($B298,""en"",M$3)"),"Standaard 1/11 sec. Standaard is 0,0909 dat 1 / 5de van 55 FPS")</f>
        <v>Standaard 1/11 sec. Standaard is 0,0909 dat 1 / 5de van 55 FPS</v>
      </c>
      <c r="N299" s="12" t="str">
        <f ca="1">IFERROR(__xludf.DUMMYFUNCTION("GOOGLETRANSLATE($B298,""en"",N$3)"),"Προεπιλεγμένη 1/11 sec. Η προεπιλογή είναι 0,0909 η οποία είναι 1 / 5ου του 55 FPS")</f>
        <v>Προεπιλεγμένη 1/11 sec. Η προεπιλογή είναι 0,0909 η οποία είναι 1 / 5ου του 55 FPS</v>
      </c>
      <c r="O299" s="12" t="str">
        <f ca="1">IFERROR(__xludf.DUMMYFUNCTION("GOOGLETRANSLATE($B298,""en"",O$3)"),"Oletus 1/11 sekuntia. Oletus on 0,0909, joka on 1 / 5th 55 FPS")</f>
        <v>Oletus 1/11 sekuntia. Oletus on 0,0909, joka on 1 / 5th 55 FPS</v>
      </c>
      <c r="P299" s="12" t="str">
        <f ca="1">IFERROR(__xludf.DUMMYFUNCTION("GOOGLETRANSLATE($B298,""en"",P$3)"),"Réamhshocrú 1/11 sec. Is Default 0.0909 atá 1 / 5th de 55 CCT")</f>
        <v>Réamhshocrú 1/11 sec. Is Default 0.0909 atá 1 / 5th de 55 CCT</v>
      </c>
      <c r="Q299" s="12" t="str">
        <f ca="1">IFERROR(__xludf.DUMMYFUNCTION("GOOGLETRANSLATE($B298,""en"",Q$3)"),"پیش فرض 1/11 ثانیه. به طور پیش فرض 0.0909 است که 1/5 از 55 فریم در ثانیه است")</f>
        <v>پیش فرض 1/11 ثانیه. به طور پیش فرض 0.0909 است که 1/5 از 55 فریم در ثانیه است</v>
      </c>
      <c r="R299" s="12" t="str">
        <f ca="1">IFERROR(__xludf.DUMMYFUNCTION("GOOGLETRANSLATE($B298,""en"",R$3)"),"מחדל 1/11 שניות. ברירת המחדל היא 0.0909 המהווה 1/5 של 55 FPS")</f>
        <v>מחדל 1/11 שניות. ברירת המחדל היא 0.0909 המהווה 1/5 של 55 FPS</v>
      </c>
      <c r="S299" s="12" t="str">
        <f ca="1">IFERROR(__xludf.DUMMYFUNCTION("GOOGLETRANSLATE($B298,""en"",S$3)"),"Default 1/11 sek. Sjálfgefið er 0,0909 sem er 1/5 af 55 FPS")</f>
        <v>Default 1/11 sek. Sjálfgefið er 0,0909 sem er 1/5 af 55 FPS</v>
      </c>
      <c r="T299" s="12" t="str">
        <f ca="1">IFERROR(__xludf.DUMMYFUNCTION("GOOGLETRANSLATE($B298,""en"",T$3)"),"Standard 1/11 sek. Standard er 0,0909 som er 1 / 5th av 55 FPS")</f>
        <v>Standard 1/11 sek. Standard er 0,0909 som er 1 / 5th av 55 FPS</v>
      </c>
      <c r="U299" s="12" t="str">
        <f ca="1">IFERROR(__xludf.DUMMYFUNCTION("GOOGLETRANSLATE($B298,""en"",U$3)"),"افتراضي 1/11 ثانية. الافتراضي هو 0.0909 والذي هو 1/5 من 55 FPS")</f>
        <v>افتراضي 1/11 ثانية. الافتراضي هو 0.0909 والذي هو 1/5 من 55 FPS</v>
      </c>
      <c r="V299" s="12" t="str">
        <f ca="1">IFERROR(__xludf.DUMMYFUNCTION("GOOGLETRANSLATE($B298,""en"",V$3)"),"Domyślnie 1/11 sekundy. Domyślnie jest to 0,0909, który jest 1 / 5th 55 FPS")</f>
        <v>Domyślnie 1/11 sekundy. Domyślnie jest to 0,0909, który jest 1 / 5th 55 FPS</v>
      </c>
      <c r="W299" s="12" t="str">
        <f ca="1">IFERROR(__xludf.DUMMYFUNCTION("GOOGLETRANSLATE($B298,""en"",W$3)"),"По умолчанию 1/11 сек. По умолчанию 0,0909, который является 1 / пятый из 55 кадров в секунду")</f>
        <v>По умолчанию 1/11 сек. По умолчанию 0,0909, который является 1 / пятый из 55 кадров в секунду</v>
      </c>
      <c r="X299" s="12" t="str">
        <f ca="1">IFERROR(__xludf.DUMMYFUNCTION("GOOGLETRANSLATE($B298,""en"",X$3)"),"Por defecto 1/11 seg. El valor predeterminado es 0,0909, que es 1 / quinto de 55 FPS")</f>
        <v>Por defecto 1/11 seg. El valor predeterminado es 0,0909, que es 1 / quinto de 55 FPS</v>
      </c>
      <c r="Y299" s="12"/>
      <c r="Z299" s="12"/>
    </row>
    <row r="300" spans="1:26" ht="32.25" customHeight="1" x14ac:dyDescent="0.2">
      <c r="A300" s="17" t="s">
        <v>719</v>
      </c>
      <c r="B300" s="17" t="s">
        <v>720</v>
      </c>
      <c r="C300" s="11" t="str">
        <f ca="1">IFERROR(__xludf.DUMMYFUNCTION("GOOGLETRANSLATE($B300,""en"",C$3)"),"Gratis DLC")</f>
        <v>Gratis DLC</v>
      </c>
      <c r="D300" s="12" t="str">
        <f ca="1">IFERROR(__xludf.DUMMYFUNCTION("GOOGLETRANSLATE($B299,""en"",D$3)"),"Klicka att få en gratis Gloebits konto så att du kan köpa och sälja")</f>
        <v>Klicka att få en gratis Gloebits konto så att du kan köpa och sälja</v>
      </c>
      <c r="E300" s="12" t="str">
        <f ca="1">IFERROR(__xludf.DUMMYFUNCTION("GOOGLETRANSLATE($B299,""en"",E$3)"),"Clique para obter uma Gloebits grátis conta para que você pode comprar e vender")</f>
        <v>Clique para obter uma Gloebits grátis conta para que você pode comprar e vender</v>
      </c>
      <c r="F300" s="12" t="str">
        <f ca="1">IFERROR(__xludf.DUMMYFUNCTION("GOOGLETRANSLATE($B299,""en"",F$3)"),"Clique para obter uma Gloebits grátis conta para que você pode comprar e vender")</f>
        <v>Clique para obter uma Gloebits grátis conta para que você pode comprar e vender</v>
      </c>
      <c r="G300" s="12" t="str">
        <f ca="1">IFERROR(__xludf.DUMMYFUNCTION("GOOGLETRANSLATE($B299,""en"",G$3)"),"Cliquez ici pour obtenir un compte gratuit Gloebits Alors, vous pouvez acheter et vendre")</f>
        <v>Cliquez ici pour obtenir un compte gratuit Gloebits Alors, vous pouvez acheter et vendre</v>
      </c>
      <c r="H300" s="12" t="str">
        <f ca="1">IFERROR(__xludf.DUMMYFUNCTION("GOOGLETRANSLATE($B299,""en"",H$3)"),"Klik batean Free Gloebits kontuarekin Beraz ditzakezu, erosi eta saldu Get To")</f>
        <v>Klik batean Free Gloebits kontuarekin Beraz ditzakezu, erosi eta saldu Get To</v>
      </c>
      <c r="I300" s="12" t="str">
        <f ca="1">IFERROR(__xludf.DUMMYFUNCTION("GOOGLETRANSLATE($B299,""en"",I$3)"),"Feu clic per obtenir una gratuïts Gloebits compte perquè pugui comprar i vendre")</f>
        <v>Feu clic per obtenir una gratuïts Gloebits compte perquè pugui comprar i vendre</v>
      </c>
      <c r="J300" s="12" t="str">
        <f ca="1">IFERROR(__xludf.DUMMYFUNCTION("GOOGLETRANSLATE($B299,""en"",J$3)"),"Klepněte na tlačítko získat zdarma Gloebits účet, takže můžete kupovat a prodávat")</f>
        <v>Klepněte na tlačítko získat zdarma Gloebits účet, takže můžete kupovat a prodávat</v>
      </c>
      <c r="K300" s="12" t="str">
        <f ca="1">IFERROR(__xludf.DUMMYFUNCTION("GOOGLETRANSLATE($B299,""en"",K$3)"),"点击获得免费Gloebits帐户，以便您可以购买和出售")</f>
        <v>点击获得免费Gloebits帐户，以便您可以购买和出售</v>
      </c>
      <c r="L300" s="12" t="str">
        <f ca="1">IFERROR(__xludf.DUMMYFUNCTION("GOOGLETRANSLATE($B299,""en"",L$3)"),"點擊獲得免費Gloebits帳戶，以便您可以購買和出售")</f>
        <v>點擊獲得免費Gloebits帳戶，以便您可以購買和出售</v>
      </c>
      <c r="M300" s="12" t="str">
        <f ca="1">IFERROR(__xludf.DUMMYFUNCTION("GOOGLETRANSLATE($B299,""en"",M$3)"),"Klik hier om een ​​gratis Gloebits account zodat u kunt kopen en verkopen Get")</f>
        <v>Klik hier om een ​​gratis Gloebits account zodat u kunt kopen en verkopen Get</v>
      </c>
      <c r="N300" s="12" t="str">
        <f ca="1">IFERROR(__xludf.DUMMYFUNCTION("GOOGLETRANSLATE($B299,""en"",N$3)"),"Κάντε κλικ για να πάρετε μια δωρεάν Gloebits Λογαριασμό ώστε να μπορείτε να αγοράζουν και να πωλούν")</f>
        <v>Κάντε κλικ για να πάρετε μια δωρεάν Gloebits Λογαριασμό ώστε να μπορείτε να αγοράζουν και να πωλούν</v>
      </c>
      <c r="O300" s="12" t="str">
        <f ca="1">IFERROR(__xludf.DUMMYFUNCTION("GOOGLETRANSLATE($B299,""en"",O$3)"),"Klikkaa saada ilmainen Gloebits tilillesi, jotta voit ostaa ja myydä")</f>
        <v>Klikkaa saada ilmainen Gloebits tilillesi, jotta voit ostaa ja myydä</v>
      </c>
      <c r="P300" s="12" t="str">
        <f ca="1">IFERROR(__xludf.DUMMYFUNCTION("GOOGLETRANSLATE($B299,""en"",P$3)"),"Cliceáil a Faigh Saor Gloebits Cuntas Mar sin tú Can Ceannaigh agus Díol")</f>
        <v>Cliceáil a Faigh Saor Gloebits Cuntas Mar sin tú Can Ceannaigh agus Díol</v>
      </c>
      <c r="Q300" s="12" t="str">
        <f ca="1">IFERROR(__xludf.DUMMYFUNCTION("GOOGLETRANSLATE($B299,""en"",Q$3)"),"کلیک کنید برای دریافت رایگان Gloebits حساب بنابراین شما می توانید خرید و فروش")</f>
        <v>کلیک کنید برای دریافت رایگان Gloebits حساب بنابراین شما می توانید خرید و فروش</v>
      </c>
      <c r="R300" s="12" t="str">
        <f ca="1">IFERROR(__xludf.DUMMYFUNCTION("GOOGLETRANSLATE($B299,""en"",R$3)"),"לחץ כאן כדי לקבל קנה אתה יכול אז חשבון חינם Gloebits ולמכור")</f>
        <v>לחץ כאן כדי לקבל קנה אתה יכול אז חשבון חינם Gloebits ולמכור</v>
      </c>
      <c r="S300" s="12" t="str">
        <f ca="1">IFERROR(__xludf.DUMMYFUNCTION("GOOGLETRANSLATE($B299,""en"",S$3)"),"Smelltu til að fá ókeypis Gloebits reikningi þannig að þú getur keypt og selt")</f>
        <v>Smelltu til að fá ókeypis Gloebits reikningi þannig að þú getur keypt og selt</v>
      </c>
      <c r="T300" s="12" t="str">
        <f ca="1">IFERROR(__xludf.DUMMYFUNCTION("GOOGLETRANSLATE($B299,""en"",T$3)"),"Klikk for å få en gratis Gloebits konto slik at du kan kjøpe og selge")</f>
        <v>Klikk for å få en gratis Gloebits konto slik at du kan kjøpe og selge</v>
      </c>
      <c r="U300" s="12" t="str">
        <f ca="1">IFERROR(__xludf.DUMMYFUNCTION("GOOGLETRANSLATE($B299,""en"",U$3)"),"انقر للحصول على Gloebits الحرة حساب حتى تتمكن من شراء وبيع")</f>
        <v>انقر للحصول على Gloebits الحرة حساب حتى تتمكن من شراء وبيع</v>
      </c>
      <c r="V300" s="12" t="str">
        <f ca="1">IFERROR(__xludf.DUMMYFUNCTION("GOOGLETRANSLATE($B299,""en"",V$3)"),"Kliknij, aby uzyskać bezpłatną Gloebits konta, dzięki czemu można kupować i sprzedawać")</f>
        <v>Kliknij, aby uzyskać bezpłatną Gloebits konta, dzięki czemu można kupować i sprzedawać</v>
      </c>
      <c r="W300" s="12" t="str">
        <f ca="1">IFERROR(__xludf.DUMMYFUNCTION("GOOGLETRANSLATE($B299,""en"",W$3)"),"Нажмите, чтобы получить бесплатную Gloebits счета, так что вы можете покупать и продавать")</f>
        <v>Нажмите, чтобы получить бесплатную Gloebits счета, так что вы можете покупать и продавать</v>
      </c>
      <c r="X300" s="12" t="str">
        <f ca="1">IFERROR(__xludf.DUMMYFUNCTION("GOOGLETRANSLATE($B299,""en"",X$3)"),"Haga clic para obtener una gratis Gloebits cuenta para que pueda comprar y vender")</f>
        <v>Haga clic para obtener una gratis Gloebits cuenta para que pueda comprar y vender</v>
      </c>
      <c r="Y300" s="12"/>
      <c r="Z300" s="12"/>
    </row>
    <row r="301" spans="1:26" ht="32.25" customHeight="1" x14ac:dyDescent="0.2">
      <c r="A301" s="17" t="s">
        <v>721</v>
      </c>
      <c r="B301" s="17" t="s">
        <v>722</v>
      </c>
      <c r="C301" s="11" t="str">
        <f ca="1">IFERROR(__xludf.DUMMYFUNCTION("GOOGLETRANSLATE($B301,""en"",C$3)"),"Holen Sie sich einen kostenlosen DYN-DNS-Name")</f>
        <v>Holen Sie sich einen kostenlosen DYN-DNS-Name</v>
      </c>
      <c r="D301" s="12" t="str">
        <f ca="1">IFERROR(__xludf.DUMMYFUNCTION("GOOGLETRANSLATE($B300,""en"",D$3)"),"Gratis DLC")</f>
        <v>Gratis DLC</v>
      </c>
      <c r="E301" s="12" t="str">
        <f ca="1">IFERROR(__xludf.DUMMYFUNCTION("GOOGLETRANSLATE($B300,""en"",E$3)"),"livre DLC")</f>
        <v>livre DLC</v>
      </c>
      <c r="F301" s="12" t="str">
        <f ca="1">IFERROR(__xludf.DUMMYFUNCTION("GOOGLETRANSLATE($B300,""en"",F$3)"),"livre DLC")</f>
        <v>livre DLC</v>
      </c>
      <c r="G301" s="12" t="str">
        <f ca="1">IFERROR(__xludf.DUMMYFUNCTION("GOOGLETRANSLATE($B300,""en"",G$3)"),"DLC gratuit")</f>
        <v>DLC gratuit</v>
      </c>
      <c r="H301" s="12" t="str">
        <f ca="1">IFERROR(__xludf.DUMMYFUNCTION("GOOGLETRANSLATE($B300,""en"",H$3)"),"Free DLC")</f>
        <v>Free DLC</v>
      </c>
      <c r="I301" s="12" t="str">
        <f ca="1">IFERROR(__xludf.DUMMYFUNCTION("GOOGLETRANSLATE($B300,""en"",I$3)"),"DLC gratuït")</f>
        <v>DLC gratuït</v>
      </c>
      <c r="J301" s="12" t="str">
        <f ca="1">IFERROR(__xludf.DUMMYFUNCTION("GOOGLETRANSLATE($B300,""en"",J$3)"),"zdarma DLC")</f>
        <v>zdarma DLC</v>
      </c>
      <c r="K301" s="12" t="str">
        <f ca="1">IFERROR(__xludf.DUMMYFUNCTION("GOOGLETRANSLATE($B300,""en"",K$3)"),"免费DLC")</f>
        <v>免费DLC</v>
      </c>
      <c r="L301" s="12" t="str">
        <f ca="1">IFERROR(__xludf.DUMMYFUNCTION("GOOGLETRANSLATE($B300,""en"",L$3)"),"免費DLC")</f>
        <v>免費DLC</v>
      </c>
      <c r="M301" s="12" t="str">
        <f ca="1">IFERROR(__xludf.DUMMYFUNCTION("GOOGLETRANSLATE($B300,""en"",M$3)"),"gratis DLC")</f>
        <v>gratis DLC</v>
      </c>
      <c r="N301" s="12" t="str">
        <f ca="1">IFERROR(__xludf.DUMMYFUNCTION("GOOGLETRANSLATE($B300,""en"",N$3)"),"Δωρεάν DLC")</f>
        <v>Δωρεάν DLC</v>
      </c>
      <c r="O301" s="12" t="str">
        <f ca="1">IFERROR(__xludf.DUMMYFUNCTION("GOOGLETRANSLATE($B300,""en"",O$3)"),"ilmaiseksi DLC")</f>
        <v>ilmaiseksi DLC</v>
      </c>
      <c r="P301" s="12" t="str">
        <f ca="1">IFERROR(__xludf.DUMMYFUNCTION("GOOGLETRANSLATE($B300,""en"",P$3)"),"Saor in Aisce DLC")</f>
        <v>Saor in Aisce DLC</v>
      </c>
      <c r="Q301" s="12" t="str">
        <f ca="1">IFERROR(__xludf.DUMMYFUNCTION("GOOGLETRANSLATE($B300,""en"",Q$3)"),"رایگان DLC")</f>
        <v>رایگان DLC</v>
      </c>
      <c r="R301" s="12" t="str">
        <f ca="1">IFERROR(__xludf.DUMMYFUNCTION("GOOGLETRANSLATE($B300,""en"",R$3)"),"חינם DLC")</f>
        <v>חינם DLC</v>
      </c>
      <c r="S301" s="12" t="str">
        <f ca="1">IFERROR(__xludf.DUMMYFUNCTION("GOOGLETRANSLATE($B300,""en"",S$3)"),"Free DLC")</f>
        <v>Free DLC</v>
      </c>
      <c r="T301" s="12" t="str">
        <f ca="1">IFERROR(__xludf.DUMMYFUNCTION("GOOGLETRANSLATE($B300,""en"",T$3)"),"Gratis DLC")</f>
        <v>Gratis DLC</v>
      </c>
      <c r="U301" s="12" t="str">
        <f ca="1">IFERROR(__xludf.DUMMYFUNCTION("GOOGLETRANSLATE($B300,""en"",U$3)"),"DLC مجانا")</f>
        <v>DLC مجانا</v>
      </c>
      <c r="V301" s="12" t="str">
        <f ca="1">IFERROR(__xludf.DUMMYFUNCTION("GOOGLETRANSLATE($B300,""en"",V$3)"),"DLC za darmo")</f>
        <v>DLC za darmo</v>
      </c>
      <c r="W301" s="12" t="str">
        <f ca="1">IFERROR(__xludf.DUMMYFUNCTION("GOOGLETRANSLATE($B300,""en"",W$3)"),"Бесплатный DLC")</f>
        <v>Бесплатный DLC</v>
      </c>
      <c r="X301" s="12" t="str">
        <f ca="1">IFERROR(__xludf.DUMMYFUNCTION("GOOGLETRANSLATE($B300,""en"",X$3)"),"DLC gratuito")</f>
        <v>DLC gratuito</v>
      </c>
      <c r="Y301" s="12"/>
      <c r="Z301" s="12"/>
    </row>
    <row r="302" spans="1:26" ht="32.25" customHeight="1" x14ac:dyDescent="0.2">
      <c r="A302" s="17" t="s">
        <v>5</v>
      </c>
      <c r="B302" s="17" t="s">
        <v>5</v>
      </c>
      <c r="C302" s="11" t="str">
        <f ca="1">IFERROR(__xludf.DUMMYFUNCTION("GOOGLETRANSLATE($B302,""en"",C$3)"),"Französisch")</f>
        <v>Französisch</v>
      </c>
      <c r="D302" s="12" t="str">
        <f ca="1">IFERROR(__xludf.DUMMYFUNCTION("GOOGLETRANSLATE($B301,""en"",D$3)"),"Skaffa en gratis DYN DNS-namn")</f>
        <v>Skaffa en gratis DYN DNS-namn</v>
      </c>
      <c r="E302" s="12" t="str">
        <f ca="1">IFERROR(__xludf.DUMMYFUNCTION("GOOGLETRANSLATE($B301,""en"",E$3)"),"Obter um livre DYN Nome DNS")</f>
        <v>Obter um livre DYN Nome DNS</v>
      </c>
      <c r="F302" s="12" t="str">
        <f ca="1">IFERROR(__xludf.DUMMYFUNCTION("GOOGLETRANSLATE($B301,""en"",F$3)"),"Obter um livre DYN Nome DNS")</f>
        <v>Obter um livre DYN Nome DNS</v>
      </c>
      <c r="G302" s="12" t="str">
        <f ca="1">IFERROR(__xludf.DUMMYFUNCTION("GOOGLETRANSLATE($B301,""en"",G$3)"),"Obtenir un nom DNS DYN gratuit")</f>
        <v>Obtenir un nom DNS DYN gratuit</v>
      </c>
      <c r="H302" s="12" t="str">
        <f ca="1">IFERROR(__xludf.DUMMYFUNCTION("GOOGLETRANSLATE($B301,""en"",H$3)"),"Onena DYN DNS izena")</f>
        <v>Onena DYN DNS izena</v>
      </c>
      <c r="I302" s="12" t="str">
        <f ca="1">IFERROR(__xludf.DUMMYFUNCTION("GOOGLETRANSLATE($B301,""en"",I$3)"),"Obtenir un lliure DYN Nom DNS")</f>
        <v>Obtenir un lliure DYN Nom DNS</v>
      </c>
      <c r="J302" s="12" t="str">
        <f ca="1">IFERROR(__xludf.DUMMYFUNCTION("GOOGLETRANSLATE($B301,""en"",J$3)"),"Získejte zdarma Dyn DNS jméno")</f>
        <v>Získejte zdarma Dyn DNS jméno</v>
      </c>
      <c r="K302" s="12" t="str">
        <f ca="1">IFERROR(__xludf.DUMMYFUNCTION("GOOGLETRANSLATE($B301,""en"",K$3)"),"获取免费的DYN DNS名称")</f>
        <v>获取免费的DYN DNS名称</v>
      </c>
      <c r="L302" s="12" t="str">
        <f ca="1">IFERROR(__xludf.DUMMYFUNCTION("GOOGLETRANSLATE($B301,""en"",L$3)"),"獲取免費的DYN DNS名稱")</f>
        <v>獲取免費的DYN DNS名稱</v>
      </c>
      <c r="M302" s="12" t="str">
        <f ca="1">IFERROR(__xludf.DUMMYFUNCTION("GOOGLETRANSLATE($B301,""en"",M$3)"),"Hier krijg je een gratis DYN DNS-naam")</f>
        <v>Hier krijg je een gratis DYN DNS-naam</v>
      </c>
      <c r="N302" s="12" t="str">
        <f ca="1">IFERROR(__xludf.DUMMYFUNCTION("GOOGLETRANSLATE($B301,""en"",N$3)"),"Αποκτήστε ένα δωρεάν DYN DNS Name")</f>
        <v>Αποκτήστε ένα δωρεάν DYN DNS Name</v>
      </c>
      <c r="O302" s="12" t="str">
        <f ca="1">IFERROR(__xludf.DUMMYFUNCTION("GOOGLETRANSLATE($B301,""en"",O$3)"),"Saat ilmaisen DYN DNS-nimi")</f>
        <v>Saat ilmaisen DYN DNS-nimi</v>
      </c>
      <c r="P302" s="12" t="str">
        <f ca="1">IFERROR(__xludf.DUMMYFUNCTION("GOOGLETRANSLATE($B301,""en"",P$3)"),"Faigh saor in aisce Dyn DNS Ainm")</f>
        <v>Faigh saor in aisce Dyn DNS Ainm</v>
      </c>
      <c r="Q302" s="12" t="str">
        <f ca="1">IFERROR(__xludf.DUMMYFUNCTION("GOOGLETRANSLATE($B301,""en"",Q$3)"),"یک DYN نام DNS رایگان")</f>
        <v>یک DYN نام DNS رایگان</v>
      </c>
      <c r="R302" s="12" t="str">
        <f ca="1">IFERROR(__xludf.DUMMYFUNCTION("GOOGLETRANSLATE($B301,""en"",R$3)"),"קבל DYN DNS שם בחינם")</f>
        <v>קבל DYN DNS שם בחינם</v>
      </c>
      <c r="S302" s="12" t="str">
        <f ca="1">IFERROR(__xludf.DUMMYFUNCTION("GOOGLETRANSLATE($B301,""en"",S$3)"),"Fá ókeypis Dyn DNS nafn")</f>
        <v>Fá ókeypis Dyn DNS nafn</v>
      </c>
      <c r="T302" s="12" t="str">
        <f ca="1">IFERROR(__xludf.DUMMYFUNCTION("GOOGLETRANSLATE($B301,""en"",T$3)"),"Få en gratis DYN DNS Name")</f>
        <v>Få en gratis DYN DNS Name</v>
      </c>
      <c r="U302" s="12" t="str">
        <f ca="1">IFERROR(__xludf.DUMMYFUNCTION("GOOGLETRANSLATE($B301,""en"",U$3)"),"الحصول على مجانية DYN اسم DNS")</f>
        <v>الحصول على مجانية DYN اسم DNS</v>
      </c>
      <c r="V302" s="12" t="str">
        <f ca="1">IFERROR(__xludf.DUMMYFUNCTION("GOOGLETRANSLATE($B301,""en"",V$3)"),"Zdobądź darmowy DYN DNS Nazwa")</f>
        <v>Zdobądź darmowy DYN DNS Nazwa</v>
      </c>
      <c r="W302" s="12" t="str">
        <f ca="1">IFERROR(__xludf.DUMMYFUNCTION("GOOGLETRANSLATE($B301,""en"",W$3)"),"Получите бесплатный DYN имя DNS")</f>
        <v>Получите бесплатный DYN имя DNS</v>
      </c>
      <c r="X302" s="12" t="str">
        <f ca="1">IFERROR(__xludf.DUMMYFUNCTION("GOOGLETRANSLATE($B301,""en"",X$3)"),"Obtener un libre DYN Nombre DNS")</f>
        <v>Obtener un libre DYN Nombre DNS</v>
      </c>
      <c r="Y302" s="12"/>
      <c r="Z302" s="12"/>
    </row>
    <row r="303" spans="1:26" ht="32.25" customHeight="1" x14ac:dyDescent="0.2">
      <c r="A303" s="17" t="s">
        <v>723</v>
      </c>
      <c r="B303" s="17" t="s">
        <v>724</v>
      </c>
      <c r="C303" s="18" t="s">
        <v>725</v>
      </c>
      <c r="D303" s="12" t="str">
        <f ca="1">IFERROR(__xludf.DUMMYFUNCTION("GOOGLETRANSLATE($B302,""en"",D$3)"),"franska")</f>
        <v>franska</v>
      </c>
      <c r="E303" s="12" t="str">
        <f ca="1">IFERROR(__xludf.DUMMYFUNCTION("GOOGLETRANSLATE($B302,""en"",E$3)"),"francês")</f>
        <v>francês</v>
      </c>
      <c r="F303" s="12" t="str">
        <f ca="1">IFERROR(__xludf.DUMMYFUNCTION("GOOGLETRANSLATE($B302,""en"",F$3)"),"francês")</f>
        <v>francês</v>
      </c>
      <c r="G303" s="12" t="str">
        <f ca="1">IFERROR(__xludf.DUMMYFUNCTION("GOOGLETRANSLATE($B302,""en"",G$3)"),"français")</f>
        <v>français</v>
      </c>
      <c r="H303" s="12" t="str">
        <f ca="1">IFERROR(__xludf.DUMMYFUNCTION("GOOGLETRANSLATE($B302,""en"",H$3)"),"Frantziako")</f>
        <v>Frantziako</v>
      </c>
      <c r="I303" s="12" t="str">
        <f ca="1">IFERROR(__xludf.DUMMYFUNCTION("GOOGLETRANSLATE($B302,""en"",I$3)"),"francès")</f>
        <v>francès</v>
      </c>
      <c r="J303" s="12" t="str">
        <f ca="1">IFERROR(__xludf.DUMMYFUNCTION("GOOGLETRANSLATE($B302,""en"",J$3)"),"francouzština")</f>
        <v>francouzština</v>
      </c>
      <c r="K303" s="12" t="str">
        <f ca="1">IFERROR(__xludf.DUMMYFUNCTION("GOOGLETRANSLATE($B302,""en"",K$3)"),"法国")</f>
        <v>法国</v>
      </c>
      <c r="L303" s="12" t="str">
        <f ca="1">IFERROR(__xludf.DUMMYFUNCTION("GOOGLETRANSLATE($B302,""en"",L$3)"),"法國")</f>
        <v>法國</v>
      </c>
      <c r="M303" s="12" t="str">
        <f ca="1">IFERROR(__xludf.DUMMYFUNCTION("GOOGLETRANSLATE($B302,""en"",M$3)"),"Frans")</f>
        <v>Frans</v>
      </c>
      <c r="N303" s="12" t="str">
        <f ca="1">IFERROR(__xludf.DUMMYFUNCTION("GOOGLETRANSLATE($B302,""en"",N$3)"),"γαλλική γλώσσα")</f>
        <v>γαλλική γλώσσα</v>
      </c>
      <c r="O303" s="12" t="str">
        <f ca="1">IFERROR(__xludf.DUMMYFUNCTION("GOOGLETRANSLATE($B302,""en"",O$3)"),"Ranskan kieli")</f>
        <v>Ranskan kieli</v>
      </c>
      <c r="P303" s="12" t="str">
        <f ca="1">IFERROR(__xludf.DUMMYFUNCTION("GOOGLETRANSLATE($B302,""en"",P$3)"),"Fraincis")</f>
        <v>Fraincis</v>
      </c>
      <c r="Q303" s="12" t="str">
        <f ca="1">IFERROR(__xludf.DUMMYFUNCTION("GOOGLETRANSLATE($B302,""en"",Q$3)"),"فرانسوی")</f>
        <v>فرانسوی</v>
      </c>
      <c r="R303" s="12" t="str">
        <f ca="1">IFERROR(__xludf.DUMMYFUNCTION("GOOGLETRANSLATE($B302,""en"",R$3)"),"צָרְפָתִית")</f>
        <v>צָרְפָתִית</v>
      </c>
      <c r="S303" s="12" t="str">
        <f ca="1">IFERROR(__xludf.DUMMYFUNCTION("GOOGLETRANSLATE($B302,""en"",S$3)"),"french")</f>
        <v>french</v>
      </c>
      <c r="T303" s="12" t="str">
        <f ca="1">IFERROR(__xludf.DUMMYFUNCTION("GOOGLETRANSLATE($B302,""en"",T$3)"),"fransk")</f>
        <v>fransk</v>
      </c>
      <c r="U303" s="12" t="str">
        <f ca="1">IFERROR(__xludf.DUMMYFUNCTION("GOOGLETRANSLATE($B302,""en"",U$3)"),"فرنسي")</f>
        <v>فرنسي</v>
      </c>
      <c r="V303" s="12" t="str">
        <f ca="1">IFERROR(__xludf.DUMMYFUNCTION("GOOGLETRANSLATE($B302,""en"",V$3)"),"Francuski")</f>
        <v>Francuski</v>
      </c>
      <c r="W303" s="12" t="str">
        <f ca="1">IFERROR(__xludf.DUMMYFUNCTION("GOOGLETRANSLATE($B302,""en"",W$3)"),"французский язык")</f>
        <v>французский язык</v>
      </c>
      <c r="X303" s="12" t="str">
        <f ca="1">IFERROR(__xludf.DUMMYFUNCTION("GOOGLETRANSLATE($B302,""en"",X$3)"),"francés")</f>
        <v>francés</v>
      </c>
      <c r="Y303" s="12"/>
      <c r="Z303" s="12"/>
    </row>
    <row r="304" spans="1:26" ht="32.25" customHeight="1" x14ac:dyDescent="0.2">
      <c r="A304" s="17" t="s">
        <v>726</v>
      </c>
      <c r="B304" s="17" t="s">
        <v>727</v>
      </c>
      <c r="C304" s="11" t="str">
        <f ca="1">IFERROR(__xludf.DUMMYFUNCTION("GOOGLETRANSLATE($B304,""en"",C$3)"),"SL läuft 55 FPS. Opensim ist 11 FPS. Standard = 0,0909, oder 1/11")</f>
        <v>SL läuft 55 FPS. Opensim ist 11 FPS. Standard = 0,0909, oder 1/11</v>
      </c>
      <c r="D304" s="12" t="str">
        <f ca="1">IFERROR(__xludf.DUMMYFUNCTION("GOOGLETRANSLATE($B303,""en"",D$3)"),"Denna Grid vänliga namn")</f>
        <v>Denna Grid vänliga namn</v>
      </c>
      <c r="E304" s="12" t="str">
        <f ca="1">IFERROR(__xludf.DUMMYFUNCTION("GOOGLETRANSLATE($B303,""en"",E$3)"),"Nome amigável deste Grade")</f>
        <v>Nome amigável deste Grade</v>
      </c>
      <c r="F304" s="12" t="str">
        <f ca="1">IFERROR(__xludf.DUMMYFUNCTION("GOOGLETRANSLATE($B303,""en"",F$3)"),"Nome amigável deste Grade")</f>
        <v>Nome amigável deste Grade</v>
      </c>
      <c r="G304" s="12" t="str">
        <f ca="1">IFERROR(__xludf.DUMMYFUNCTION("GOOGLETRANSLATE($B303,""en"",G$3)"),"Cette grille de nom convivial")</f>
        <v>Cette grille de nom convivial</v>
      </c>
      <c r="H304" s="12" t="str">
        <f ca="1">IFERROR(__xludf.DUMMYFUNCTION("GOOGLETRANSLATE($B303,""en"",H$3)"),"Grid honen Lagunarteko izena")</f>
        <v>Grid honen Lagunarteko izena</v>
      </c>
      <c r="I304" s="12" t="str">
        <f ca="1">IFERROR(__xludf.DUMMYFUNCTION("GOOGLETRANSLATE($B303,""en"",I$3)"),"Nom descriptiu d'aquest quadrícula")</f>
        <v>Nom descriptiu d'aquest quadrícula</v>
      </c>
      <c r="J304" s="12" t="str">
        <f ca="1">IFERROR(__xludf.DUMMYFUNCTION("GOOGLETRANSLATE($B303,""en"",J$3)"),"Tento rošt je Friendly Name")</f>
        <v>Tento rošt je Friendly Name</v>
      </c>
      <c r="K304" s="12" t="str">
        <f ca="1">IFERROR(__xludf.DUMMYFUNCTION("GOOGLETRANSLATE($B303,""en"",K$3)"),"该网格的友好名称")</f>
        <v>该网格的友好名称</v>
      </c>
      <c r="L304" s="12" t="str">
        <f ca="1">IFERROR(__xludf.DUMMYFUNCTION("GOOGLETRANSLATE($B303,""en"",L$3)"),"該網格的友好名稱")</f>
        <v>該網格的友好名稱</v>
      </c>
      <c r="M304" s="12" t="str">
        <f ca="1">IFERROR(__xludf.DUMMYFUNCTION("GOOGLETRANSLATE($B303,""en"",M$3)"),"Dit Grid Friendly Name")</f>
        <v>Dit Grid Friendly Name</v>
      </c>
      <c r="N304" s="12" t="str">
        <f ca="1">IFERROR(__xludf.DUMMYFUNCTION("GOOGLETRANSLATE($B303,""en"",N$3)"),"Αυτό το πλέγμα του προς τους ομοφυλόφιλους Όνομα")</f>
        <v>Αυτό το πλέγμα του προς τους ομοφυλόφιλους Όνομα</v>
      </c>
      <c r="O304" s="12" t="str">
        <f ca="1">IFERROR(__xludf.DUMMYFUNCTION("GOOGLETRANSLATE($B303,""en"",O$3)"),"Tämä Gridin Lempinimi")</f>
        <v>Tämä Gridin Lempinimi</v>
      </c>
      <c r="P304" s="12" t="str">
        <f ca="1">IFERROR(__xludf.DUMMYFUNCTION("GOOGLETRANSLATE($B303,""en"",P$3)"),"Seo Greille Ainm Friendly")</f>
        <v>Seo Greille Ainm Friendly</v>
      </c>
      <c r="Q304" s="12" t="str">
        <f ca="1">IFERROR(__xludf.DUMMYFUNCTION("GOOGLETRANSLATE($B303,""en"",Q$3)"),"نام دوستانه این شبکه را")</f>
        <v>نام دوستانه این شبکه را</v>
      </c>
      <c r="R304" s="12" t="str">
        <f ca="1">IFERROR(__xludf.DUMMYFUNCTION("GOOGLETRANSLATE($B303,""en"",R$3)"),"הידידותי של גריד זה שם")</f>
        <v>הידידותי של גריד זה שם</v>
      </c>
      <c r="S304" s="12" t="str">
        <f ca="1">IFERROR(__xludf.DUMMYFUNCTION("GOOGLETRANSLATE($B303,""en"",S$3)"),"Þessi flutningskerfisins Friendly Name")</f>
        <v>Þessi flutningskerfisins Friendly Name</v>
      </c>
      <c r="T304" s="12" t="str">
        <f ca="1">IFERROR(__xludf.DUMMYFUNCTION("GOOGLETRANSLATE($B303,""en"",T$3)"),"Dette Grid Friendly Name")</f>
        <v>Dette Grid Friendly Name</v>
      </c>
      <c r="U304" s="12" t="str">
        <f ca="1">IFERROR(__xludf.DUMMYFUNCTION("GOOGLETRANSLATE($B303,""en"",U$3)"),"اسم مألوف هذه الشبكة ل")</f>
        <v>اسم مألوف هذه الشبكة ل</v>
      </c>
      <c r="V304" s="12" t="str">
        <f ca="1">IFERROR(__xludf.DUMMYFUNCTION("GOOGLETRANSLATE($B303,""en"",V$3)"),"Siatka ta jest przyjazna Nazwa")</f>
        <v>Siatka ta jest przyjazna Nazwa</v>
      </c>
      <c r="W304" s="12" t="str">
        <f ca="1">IFERROR(__xludf.DUMMYFUNCTION("GOOGLETRANSLATE($B303,""en"",W$3)"),"Эта сетка в Понятное имя")</f>
        <v>Эта сетка в Понятное имя</v>
      </c>
      <c r="X304" s="12" t="str">
        <f ca="1">IFERROR(__xludf.DUMMYFUNCTION("GOOGLETRANSLATE($B303,""en"",X$3)"),"Nombre descriptivo de este cuadrícula")</f>
        <v>Nombre descriptivo de este cuadrícula</v>
      </c>
      <c r="Y304" s="12"/>
      <c r="Z304" s="12"/>
    </row>
    <row r="305" spans="1:26" ht="32.25" customHeight="1" x14ac:dyDescent="0.2">
      <c r="A305" s="17" t="s">
        <v>728</v>
      </c>
      <c r="B305" s="17" t="s">
        <v>158</v>
      </c>
      <c r="C305" s="11" t="str">
        <f ca="1">IFERROR(__xludf.DUMMYFUNCTION("GOOGLETRANSLATE($B305,""en"",C$3)"),"Vermögenswerte, die als Dateien")</f>
        <v>Vermögenswerte, die als Dateien</v>
      </c>
      <c r="D305" s="12" t="str">
        <f ca="1">IFERROR(__xludf.DUMMYFUNCTION("GOOGLETRANSLATE($B304,""en"",D$3)"),"SL körs 55 FPS. Opensim är 11 FPS. Default = 0,0909, eller 1/11")</f>
        <v>SL körs 55 FPS. Opensim är 11 FPS. Default = 0,0909, eller 1/11</v>
      </c>
      <c r="E305" s="12" t="str">
        <f ca="1">IFERROR(__xludf.DUMMYFUNCTION("GOOGLETRANSLATE($B304,""en"",E$3)"),"SL funciona 55 FPS. Opensim é de 11 FPS. Padrão = 0,0909, ou 1/11")</f>
        <v>SL funciona 55 FPS. Opensim é de 11 FPS. Padrão = 0,0909, ou 1/11</v>
      </c>
      <c r="F305" s="12" t="str">
        <f ca="1">IFERROR(__xludf.DUMMYFUNCTION("GOOGLETRANSLATE($B304,""en"",F$3)"),"SL funciona 55 FPS. Opensim é de 11 FPS. Padrão = 0,0909, ou 1/11")</f>
        <v>SL funciona 55 FPS. Opensim é de 11 FPS. Padrão = 0,0909, ou 1/11</v>
      </c>
      <c r="G305" s="12" t="str">
        <f ca="1">IFERROR(__xludf.DUMMYFUNCTION("GOOGLETRANSLATE($B304,""en"",G$3)"),"SL fonctionne 55 FPS. OpenSim est 11 FPS. Par défaut = 0,0909, ou 1/11")</f>
        <v>SL fonctionne 55 FPS. OpenSim est 11 FPS. Par défaut = 0,0909, ou 1/11</v>
      </c>
      <c r="H305" s="12" t="str">
        <f ca="1">IFERROR(__xludf.DUMMYFUNCTION("GOOGLETRANSLATE($B304,""en"",H$3)"),"SL exekutatzen 55 FPS. Opensim 11 FPS da. Lehenetsia = 0,0909, edo 1/11")</f>
        <v>SL exekutatzen 55 FPS. Opensim 11 FPS da. Lehenetsia = 0,0909, edo 1/11</v>
      </c>
      <c r="I305" s="12" t="str">
        <f ca="1">IFERROR(__xludf.DUMMYFUNCTION("GOOGLETRANSLATE($B304,""en"",I$3)"),"SL corre 55 FPS. Opensim és d'11 FPS. Per defecte = 0,0909, o 1/11")</f>
        <v>SL corre 55 FPS. Opensim és d'11 FPS. Per defecte = 0,0909, o 1/11</v>
      </c>
      <c r="J305" s="12" t="str">
        <f ca="1">IFERROR(__xludf.DUMMYFUNCTION("GOOGLETRANSLATE($B304,""en"",J$3)"),"SL provozuje 55 FPS. Opensim je 11 FPS. Default = 0,0909, nebo 1/11")</f>
        <v>SL provozuje 55 FPS. Opensim je 11 FPS. Default = 0,0909, nebo 1/11</v>
      </c>
      <c r="K305" s="12" t="str">
        <f ca="1">IFERROR(__xludf.DUMMYFUNCTION("GOOGLETRANSLATE($B304,""en"",K$3)"),"SL运行55 FPS。的OpenSim是11 FPS。默认= 0.0909，或1/11")</f>
        <v>SL运行55 FPS。的OpenSim是11 FPS。默认= 0.0909，或1/11</v>
      </c>
      <c r="L305" s="12" t="str">
        <f ca="1">IFERROR(__xludf.DUMMYFUNCTION("GOOGLETRANSLATE($B304,""en"",L$3)"),"SL運行55 FPS。的OpenSim是11 FPS。默認= 0.0909，或1/11")</f>
        <v>SL運行55 FPS。的OpenSim是11 FPS。默認= 0.0909，或1/11</v>
      </c>
      <c r="M305" s="12" t="str">
        <f ca="1">IFERROR(__xludf.DUMMYFUNCTION("GOOGLETRANSLATE($B304,""en"",M$3)"),"SL loopt 55 FPS. OpenSim is 11 FPS. Standaard = 0,0909, of 1/11")</f>
        <v>SL loopt 55 FPS. OpenSim is 11 FPS. Standaard = 0,0909, of 1/11</v>
      </c>
      <c r="N305" s="12" t="str">
        <f ca="1">IFERROR(__xludf.DUMMYFUNCTION("GOOGLETRANSLATE($B304,""en"",N$3)"),"SL τρέχει 55 FPS. Opensim είναι 11 FPS. Προεπιλεγμένη = 0.0909, ή 1/11")</f>
        <v>SL τρέχει 55 FPS. Opensim είναι 11 FPS. Προεπιλεγμένη = 0.0909, ή 1/11</v>
      </c>
      <c r="O305" s="12" t="str">
        <f ca="1">IFERROR(__xludf.DUMMYFUNCTION("GOOGLETRANSLATE($B304,""en"",O$3)"),"SL kulkee 55 FPS. Opensim on 11 FPS. Oletus = 0,0909, tai 1/11")</f>
        <v>SL kulkee 55 FPS. Opensim on 11 FPS. Oletus = 0,0909, tai 1/11</v>
      </c>
      <c r="P305" s="12" t="str">
        <f ca="1">IFERROR(__xludf.DUMMYFUNCTION("GOOGLETRANSLATE($B304,""en"",P$3)"),"SL Ritheann 55 CCT. Is Opensim 11 CCT. Réamhshocrú = 0.0909, nó 1/11")</f>
        <v>SL Ritheann 55 CCT. Is Opensim 11 CCT. Réamhshocrú = 0.0909, nó 1/11</v>
      </c>
      <c r="Q305" s="12" t="str">
        <f ca="1">IFERROR(__xludf.DUMMYFUNCTION("GOOGLETRANSLATE($B304,""en"",Q$3)"),"SL اجرا می شود 55 فریم در ثانیه. Opensim 11 فریم در ثانیه است. به طور پیش فرض = 0.0909، یا 1/11")</f>
        <v>SL اجرا می شود 55 فریم در ثانیه. Opensim 11 فریم در ثانیه است. به طور پیش فرض = 0.0909، یا 1/11</v>
      </c>
      <c r="R305" s="12" t="str">
        <f ca="1">IFERROR(__xludf.DUMMYFUNCTION("GOOGLETRANSLATE($B304,""en"",R$3)"),"SL מפעילה 55 FPS. Opensim הוא 11 FPS. ברירה = 0.0909, או 1/11")</f>
        <v>SL מפעילה 55 FPS. Opensim הוא 11 FPS. ברירה = 0.0909, או 1/11</v>
      </c>
      <c r="S305" s="12" t="str">
        <f ca="1">IFERROR(__xludf.DUMMYFUNCTION("GOOGLETRANSLATE($B304,""en"",S$3)"),"SL rekur 55 FPS. Opensim er 11 FPS. Default = 0,0909, eða 1/11")</f>
        <v>SL rekur 55 FPS. Opensim er 11 FPS. Default = 0,0909, eða 1/11</v>
      </c>
      <c r="T305" s="12" t="str">
        <f ca="1">IFERROR(__xludf.DUMMYFUNCTION("GOOGLETRANSLATE($B304,""en"",T$3)"),"SL kjører 55 FPS. OpenSim er 11 FPS. Standard = 0,0909, eller 1/11")</f>
        <v>SL kjører 55 FPS. OpenSim er 11 FPS. Standard = 0,0909, eller 1/11</v>
      </c>
      <c r="U305" s="12" t="str">
        <f ca="1">IFERROR(__xludf.DUMMYFUNCTION("GOOGLETRANSLATE($B304,""en"",U$3)"),"SL تدير 55 FPS. Opensim هو 11 FPS. افتراضي = 0.0909، أو 1/11")</f>
        <v>SL تدير 55 FPS. Opensim هو 11 FPS. افتراضي = 0.0909، أو 1/11</v>
      </c>
      <c r="V305" s="12" t="str">
        <f ca="1">IFERROR(__xludf.DUMMYFUNCTION("GOOGLETRANSLATE($B304,""en"",V$3)"),"SL działa 55 fps. Opensim jest 11 FPS. Domyślnie = 0,0909, lub 1/11")</f>
        <v>SL działa 55 fps. Opensim jest 11 FPS. Domyślnie = 0,0909, lub 1/11</v>
      </c>
      <c r="W305" s="12" t="str">
        <f ca="1">IFERROR(__xludf.DUMMYFUNCTION("GOOGLETRANSLATE($B304,""en"",W$3)"),"SL работает 55 FPS. OpenSim составляет 11 кадров в секунду. По умолчанию = 0,0909, или 1/11")</f>
        <v>SL работает 55 FPS. OpenSim составляет 11 кадров в секунду. По умолчанию = 0,0909, или 1/11</v>
      </c>
      <c r="X305" s="12" t="str">
        <f ca="1">IFERROR(__xludf.DUMMYFUNCTION("GOOGLETRANSLATE($B304,""en"",X$3)"),"SL corre 55 FPS. Opensim es de 11 FPS. Por defecto = 0,0909, o 1/11")</f>
        <v>SL corre 55 FPS. Opensim es de 11 FPS. Por defecto = 0,0909, o 1/11</v>
      </c>
      <c r="Y305" s="12"/>
      <c r="Z305" s="12"/>
    </row>
    <row r="306" spans="1:26" ht="32.25" customHeight="1" x14ac:dyDescent="0.2">
      <c r="A306" s="17" t="s">
        <v>729</v>
      </c>
      <c r="B306" s="17" t="s">
        <v>730</v>
      </c>
      <c r="C306" s="18" t="s">
        <v>731</v>
      </c>
      <c r="D306" s="12" t="str">
        <f ca="1">IFERROR(__xludf.DUMMYFUNCTION("GOOGLETRANSLATE($B305,""en"",D$3)"),"Tillgångar som filer")</f>
        <v>Tillgångar som filer</v>
      </c>
      <c r="E306" s="12" t="str">
        <f ca="1">IFERROR(__xludf.DUMMYFUNCTION("GOOGLETRANSLATE($B305,""en"",E$3)"),"Ativos como arquivos")</f>
        <v>Ativos como arquivos</v>
      </c>
      <c r="F306" s="12" t="str">
        <f ca="1">IFERROR(__xludf.DUMMYFUNCTION("GOOGLETRANSLATE($B305,""en"",F$3)"),"Ativos como arquivos")</f>
        <v>Ativos como arquivos</v>
      </c>
      <c r="G306" s="12" t="str">
        <f ca="1">IFERROR(__xludf.DUMMYFUNCTION("GOOGLETRANSLATE($B305,""en"",G$3)"),"Actifs sous forme de fichiers")</f>
        <v>Actifs sous forme de fichiers</v>
      </c>
      <c r="H306" s="12" t="str">
        <f ca="1">IFERROR(__xludf.DUMMYFUNCTION("GOOGLETRANSLATE($B305,""en"",H$3)"),"Aktibo fitxategiak gisa")</f>
        <v>Aktibo fitxategiak gisa</v>
      </c>
      <c r="I306" s="12" t="str">
        <f ca="1">IFERROR(__xludf.DUMMYFUNCTION("GOOGLETRANSLATE($B305,""en"",I$3)"),"Actius com arxius")</f>
        <v>Actius com arxius</v>
      </c>
      <c r="J306" s="12" t="str">
        <f ca="1">IFERROR(__xludf.DUMMYFUNCTION("GOOGLETRANSLATE($B305,""en"",J$3)"),"Aktiva ve formě souborů")</f>
        <v>Aktiva ve formě souborů</v>
      </c>
      <c r="K306" s="12" t="str">
        <f ca="1">IFERROR(__xludf.DUMMYFUNCTION("GOOGLETRANSLATE($B305,""en"",K$3)"),"资产档案")</f>
        <v>资产档案</v>
      </c>
      <c r="L306" s="12" t="str">
        <f ca="1">IFERROR(__xludf.DUMMYFUNCTION("GOOGLETRANSLATE($B305,""en"",L$3)"),"資產檔案")</f>
        <v>資產檔案</v>
      </c>
      <c r="M306" s="12" t="str">
        <f ca="1">IFERROR(__xludf.DUMMYFUNCTION("GOOGLETRANSLATE($B305,""en"",M$3)"),"Activa Files")</f>
        <v>Activa Files</v>
      </c>
      <c r="N306" s="12" t="str">
        <f ca="1">IFERROR(__xludf.DUMMYFUNCTION("GOOGLETRANSLATE($B305,""en"",N$3)"),"Περιουσιακά στοιχεία όπως αρχεία")</f>
        <v>Περιουσιακά στοιχεία όπως αρχεία</v>
      </c>
      <c r="O306" s="12" t="str">
        <f ca="1">IFERROR(__xludf.DUMMYFUNCTION("GOOGLETRANSLATE($B305,""en"",O$3)"),"Varojen tiedostot")</f>
        <v>Varojen tiedostot</v>
      </c>
      <c r="P306" s="12" t="str">
        <f ca="1">IFERROR(__xludf.DUMMYFUNCTION("GOOGLETRANSLATE($B305,""en"",P$3)"),"Sócmhainní mar Comhaid")</f>
        <v>Sócmhainní mar Comhaid</v>
      </c>
      <c r="Q306" s="12" t="str">
        <f ca="1">IFERROR(__xludf.DUMMYFUNCTION("GOOGLETRANSLATE($B305,""en"",Q$3)"),"دارایی ها به عنوان فایل")</f>
        <v>دارایی ها به عنوان فایل</v>
      </c>
      <c r="R306" s="12" t="str">
        <f ca="1">IFERROR(__xludf.DUMMYFUNCTION("GOOGLETRANSLATE($B305,""en"",R$3)"),"נכסים כקבצים")</f>
        <v>נכסים כקבצים</v>
      </c>
      <c r="S306" s="12" t="str">
        <f ca="1">IFERROR(__xludf.DUMMYFUNCTION("GOOGLETRANSLATE($B305,""en"",S$3)"),"Eignir sem skrá")</f>
        <v>Eignir sem skrá</v>
      </c>
      <c r="T306" s="12" t="str">
        <f ca="1">IFERROR(__xludf.DUMMYFUNCTION("GOOGLETRANSLATE($B305,""en"",T$3)"),"Eiendeler som filer")</f>
        <v>Eiendeler som filer</v>
      </c>
      <c r="U306" s="12" t="str">
        <f ca="1">IFERROR(__xludf.DUMMYFUNCTION("GOOGLETRANSLATE($B305,""en"",U$3)"),"الأصول الملفات")</f>
        <v>الأصول الملفات</v>
      </c>
      <c r="V306" s="12" t="str">
        <f ca="1">IFERROR(__xludf.DUMMYFUNCTION("GOOGLETRANSLATE($B305,""en"",V$3)"),"Aktywa w postaci plików")</f>
        <v>Aktywa w postaci plików</v>
      </c>
      <c r="W306" s="12" t="str">
        <f ca="1">IFERROR(__xludf.DUMMYFUNCTION("GOOGLETRANSLATE($B305,""en"",W$3)"),"Активы в виде файлов")</f>
        <v>Активы в виде файлов</v>
      </c>
      <c r="X306" s="12" t="str">
        <f ca="1">IFERROR(__xludf.DUMMYFUNCTION("GOOGLETRANSLATE($B305,""en"",X$3)"),"Activos como archivos")</f>
        <v>Activos como archivos</v>
      </c>
      <c r="Y306" s="12"/>
      <c r="Z306" s="12"/>
    </row>
    <row r="307" spans="1:26" ht="32.25" customHeight="1" x14ac:dyDescent="0.2">
      <c r="A307" s="17" t="s">
        <v>732</v>
      </c>
      <c r="B307" s="17" t="s">
        <v>733</v>
      </c>
      <c r="C307" s="11" t="str">
        <f ca="1">IFERROR(__xludf.DUMMYFUNCTION("GOOGLETRANSLATE($B307,""en"",C$3)"),"FsAssets Server")</f>
        <v>FsAssets Server</v>
      </c>
      <c r="D307" s="12" t="str">
        <f ca="1">IFERROR(__xludf.DUMMYFUNCTION("GOOGLETRANSLATE($B306,""en"",D$3)"),"File System Assets Database")</f>
        <v>File System Assets Database</v>
      </c>
      <c r="E307" s="12" t="str">
        <f ca="1">IFERROR(__xludf.DUMMYFUNCTION("GOOGLETRANSLATE($B306,""en"",E$3)"),"Arquivo ativos do sistema de banco de dados")</f>
        <v>Arquivo ativos do sistema de banco de dados</v>
      </c>
      <c r="F307" s="12" t="str">
        <f ca="1">IFERROR(__xludf.DUMMYFUNCTION("GOOGLETRANSLATE($B306,""en"",F$3)"),"Arquivo ativos do sistema de banco de dados")</f>
        <v>Arquivo ativos do sistema de banco de dados</v>
      </c>
      <c r="G307" s="12" t="str">
        <f ca="1">IFERROR(__xludf.DUMMYFUNCTION("GOOGLETRANSLATE($B306,""en"",G$3)"),"Base de données du système de fichiers actifs")</f>
        <v>Base de données du système de fichiers actifs</v>
      </c>
      <c r="H307" s="12" t="str">
        <f ca="1">IFERROR(__xludf.DUMMYFUNCTION("GOOGLETRANSLATE($B306,""en"",H$3)"),"File System Aktibo Database")</f>
        <v>File System Aktibo Database</v>
      </c>
      <c r="I307" s="12" t="str">
        <f ca="1">IFERROR(__xludf.DUMMYFUNCTION("GOOGLETRANSLATE($B306,""en"",I$3)"),"Arxiu de base de dades dels actius de sistema")</f>
        <v>Arxiu de base de dades dels actius de sistema</v>
      </c>
      <c r="J307" s="12" t="str">
        <f ca="1">IFERROR(__xludf.DUMMYFUNCTION("GOOGLETRANSLATE($B306,""en"",J$3)"),"File System Assets Database")</f>
        <v>File System Assets Database</v>
      </c>
      <c r="K307" s="12" t="str">
        <f ca="1">IFERROR(__xludf.DUMMYFUNCTION("GOOGLETRANSLATE($B306,""en"",K$3)"),"文件系统资产数据库")</f>
        <v>文件系统资产数据库</v>
      </c>
      <c r="L307" s="12" t="str">
        <f ca="1">IFERROR(__xludf.DUMMYFUNCTION("GOOGLETRANSLATE($B306,""en"",L$3)"),"文件系統資產數據庫")</f>
        <v>文件系統資產數據庫</v>
      </c>
      <c r="M307" s="12" t="str">
        <f ca="1">IFERROR(__xludf.DUMMYFUNCTION("GOOGLETRANSLATE($B306,""en"",M$3)"),"File System Assets Database")</f>
        <v>File System Assets Database</v>
      </c>
      <c r="N307" s="12" t="str">
        <f ca="1">IFERROR(__xludf.DUMMYFUNCTION("GOOGLETRANSLATE($B306,""en"",N$3)"),"File System περιουσιακά στοιχεία βάσης δεδομένων")</f>
        <v>File System περιουσιακά στοιχεία βάσης δεδομένων</v>
      </c>
      <c r="O307" s="12" t="str">
        <f ca="1">IFERROR(__xludf.DUMMYFUNCTION("GOOGLETRANSLATE($B306,""en"",O$3)"),"File System arvopaperien tietokantaa")</f>
        <v>File System arvopaperien tietokantaa</v>
      </c>
      <c r="P307" s="12" t="str">
        <f ca="1">IFERROR(__xludf.DUMMYFUNCTION("GOOGLETRANSLATE($B306,""en"",P$3)"),"Comhad Bunachar Sonraí Sócmhainní Córas")</f>
        <v>Comhad Bunachar Sonraí Sócmhainní Córas</v>
      </c>
      <c r="Q307" s="12" t="str">
        <f ca="1">IFERROR(__xludf.DUMMYFUNCTION("GOOGLETRANSLATE($B306,""en"",Q$3)"),"فایل پایگاه داده های سیستم دارایی")</f>
        <v>فایل پایگاه داده های سیستم دارایی</v>
      </c>
      <c r="R307" s="12" t="str">
        <f ca="1">IFERROR(__xludf.DUMMYFUNCTION("GOOGLETRANSLATE($B306,""en"",R$3)"),"מסד קובץ מערכת נכסים")</f>
        <v>מסד קובץ מערכת נכסים</v>
      </c>
      <c r="S307" s="12" t="str">
        <f ca="1">IFERROR(__xludf.DUMMYFUNCTION("GOOGLETRANSLATE($B306,""en"",S$3)"),"File System Eignir Database")</f>
        <v>File System Eignir Database</v>
      </c>
      <c r="T307" s="12" t="str">
        <f ca="1">IFERROR(__xludf.DUMMYFUNCTION("GOOGLETRANSLATE($B306,""en"",T$3)"),"File System Eiendeler Database")</f>
        <v>File System Eiendeler Database</v>
      </c>
      <c r="U307" s="12" t="str">
        <f ca="1">IFERROR(__xludf.DUMMYFUNCTION("GOOGLETRANSLATE($B306,""en"",U$3)"),"ملف قاعدة بيانات نظام الأصول")</f>
        <v>ملف قاعدة بيانات نظام الأصول</v>
      </c>
      <c r="V307" s="12" t="str">
        <f ca="1">IFERROR(__xludf.DUMMYFUNCTION("GOOGLETRANSLATE($B306,""en"",V$3)"),"System plików Aktywa Database")</f>
        <v>System plików Aktywa Database</v>
      </c>
      <c r="W307" s="12" t="str">
        <f ca="1">IFERROR(__xludf.DUMMYFUNCTION("GOOGLETRANSLATE($B306,""en"",W$3)"),"Файловая система базы данных активов")</f>
        <v>Файловая система базы данных активов</v>
      </c>
      <c r="X307" s="12" t="str">
        <f ca="1">IFERROR(__xludf.DUMMYFUNCTION("GOOGLETRANSLATE($B306,""en"",X$3)"),"Archivo de base de datos de los activos del sistema")</f>
        <v>Archivo de base de datos de los activos del sistema</v>
      </c>
      <c r="Y307" s="12"/>
      <c r="Z307" s="12"/>
    </row>
    <row r="308" spans="1:26" ht="32.25" customHeight="1" x14ac:dyDescent="0.2">
      <c r="A308" s="17" t="s">
        <v>734</v>
      </c>
      <c r="B308" s="17" t="s">
        <v>735</v>
      </c>
      <c r="C308" s="11" t="str">
        <f ca="1">IFERROR(__xludf.DUMMYFUNCTION("GOOGLETRANSLATE($B308,""en"",C$3)"),"Die globale Vogel Einstellungen werden in dieser Region gelten")</f>
        <v>Die globale Vogel Einstellungen werden in dieser Region gelten</v>
      </c>
      <c r="D308" s="12" t="str">
        <f ca="1">IFERROR(__xludf.DUMMYFUNCTION("GOOGLETRANSLATE($B307,""en"",D$3)"),"FsAssets Server")</f>
        <v>FsAssets Server</v>
      </c>
      <c r="E308" s="12" t="str">
        <f ca="1">IFERROR(__xludf.DUMMYFUNCTION("GOOGLETRANSLATE($B307,""en"",E$3)"),"FsAssets Servidor")</f>
        <v>FsAssets Servidor</v>
      </c>
      <c r="F308" s="12" t="str">
        <f ca="1">IFERROR(__xludf.DUMMYFUNCTION("GOOGLETRANSLATE($B307,""en"",F$3)"),"FsAssets Servidor")</f>
        <v>FsAssets Servidor</v>
      </c>
      <c r="G308" s="12" t="str">
        <f ca="1">IFERROR(__xludf.DUMMYFUNCTION("GOOGLETRANSLATE($B307,""en"",G$3)"),"FsAssets serveur")</f>
        <v>FsAssets serveur</v>
      </c>
      <c r="H308" s="12" t="str">
        <f ca="1">IFERROR(__xludf.DUMMYFUNCTION("GOOGLETRANSLATE($B307,""en"",H$3)"),"FsAssets zerbitzaria")</f>
        <v>FsAssets zerbitzaria</v>
      </c>
      <c r="I308" s="12" t="str">
        <f ca="1">IFERROR(__xludf.DUMMYFUNCTION("GOOGLETRANSLATE($B307,""en"",I$3)"),"FsAssets servidor")</f>
        <v>FsAssets servidor</v>
      </c>
      <c r="J308" s="12" t="str">
        <f ca="1">IFERROR(__xludf.DUMMYFUNCTION("GOOGLETRANSLATE($B307,""en"",J$3)"),"FsAssets Server")</f>
        <v>FsAssets Server</v>
      </c>
      <c r="K308" s="12" t="str">
        <f ca="1">IFERROR(__xludf.DUMMYFUNCTION("GOOGLETRANSLATE($B307,""en"",K$3)"),"FsAssets服务器")</f>
        <v>FsAssets服务器</v>
      </c>
      <c r="L308" s="12" t="str">
        <f ca="1">IFERROR(__xludf.DUMMYFUNCTION("GOOGLETRANSLATE($B307,""en"",L$3)"),"FsAssets服務器")</f>
        <v>FsAssets服務器</v>
      </c>
      <c r="M308" s="12" t="str">
        <f ca="1">IFERROR(__xludf.DUMMYFUNCTION("GOOGLETRANSLATE($B307,""en"",M$3)"),"FsAssets Server")</f>
        <v>FsAssets Server</v>
      </c>
      <c r="N308" s="12" t="str">
        <f ca="1">IFERROR(__xludf.DUMMYFUNCTION("GOOGLETRANSLATE($B307,""en"",N$3)"),"FsAssets διακομιστή")</f>
        <v>FsAssets διακομιστή</v>
      </c>
      <c r="O308" s="12" t="str">
        <f ca="1">IFERROR(__xludf.DUMMYFUNCTION("GOOGLETRANSLATE($B307,""en"",O$3)"),"FsAssets Server")</f>
        <v>FsAssets Server</v>
      </c>
      <c r="P308" s="12" t="str">
        <f ca="1">IFERROR(__xludf.DUMMYFUNCTION("GOOGLETRANSLATE($B307,""en"",P$3)"),"FsAssets Freastalaí")</f>
        <v>FsAssets Freastalaí</v>
      </c>
      <c r="Q308" s="12" t="str">
        <f ca="1">IFERROR(__xludf.DUMMYFUNCTION("GOOGLETRANSLATE($B307,""en"",Q$3)"),"FsAssets سرور")</f>
        <v>FsAssets سرور</v>
      </c>
      <c r="R308" s="12" t="str">
        <f ca="1">IFERROR(__xludf.DUMMYFUNCTION("GOOGLETRANSLATE($B307,""en"",R$3)"),"FsAssets שרת")</f>
        <v>FsAssets שרת</v>
      </c>
      <c r="S308" s="12" t="str">
        <f ca="1">IFERROR(__xludf.DUMMYFUNCTION("GOOGLETRANSLATE($B307,""en"",S$3)"),"FsAssets Server")</f>
        <v>FsAssets Server</v>
      </c>
      <c r="T308" s="12" t="str">
        <f ca="1">IFERROR(__xludf.DUMMYFUNCTION("GOOGLETRANSLATE($B307,""en"",T$3)"),"FsAssets Server")</f>
        <v>FsAssets Server</v>
      </c>
      <c r="U308" s="12" t="str">
        <f ca="1">IFERROR(__xludf.DUMMYFUNCTION("GOOGLETRANSLATE($B307,""en"",U$3)"),"FsAssets خادم")</f>
        <v>FsAssets خادم</v>
      </c>
      <c r="V308" s="12" t="str">
        <f ca="1">IFERROR(__xludf.DUMMYFUNCTION("GOOGLETRANSLATE($B307,""en"",V$3)"),"FsAssets Server")</f>
        <v>FsAssets Server</v>
      </c>
      <c r="W308" s="12" t="str">
        <f ca="1">IFERROR(__xludf.DUMMYFUNCTION("GOOGLETRANSLATE($B307,""en"",W$3)"),"FsAssets сервера")</f>
        <v>FsAssets сервера</v>
      </c>
      <c r="X308" s="12" t="str">
        <f ca="1">IFERROR(__xludf.DUMMYFUNCTION("GOOGLETRANSLATE($B307,""en"",X$3)"),"FsAssets servidor")</f>
        <v>FsAssets servidor</v>
      </c>
      <c r="Y308" s="12"/>
      <c r="Z308" s="12"/>
    </row>
    <row r="309" spans="1:26" ht="32.25" customHeight="1" x14ac:dyDescent="0.2">
      <c r="A309" s="10" t="s">
        <v>1</v>
      </c>
      <c r="B309" s="10" t="s">
        <v>1</v>
      </c>
      <c r="C309" s="11" t="str">
        <f ca="1">IFERROR(__xludf.DUMMYFUNCTION("GOOGLETRANSLATE($B309,""en"",C$3)"),"Deutsche")</f>
        <v>Deutsche</v>
      </c>
      <c r="D309" s="11" t="str">
        <f ca="1">IFERROR(__xludf.DUMMYFUNCTION("GOOGLETRANSLATE($B309,""en"",D$3)"),"tysk")</f>
        <v>tysk</v>
      </c>
      <c r="E309" s="11" t="str">
        <f ca="1">IFERROR(__xludf.DUMMYFUNCTION("GOOGLETRANSLATE($B309,""en"",E$3)"),"alemão")</f>
        <v>alemão</v>
      </c>
      <c r="F309" s="11" t="str">
        <f ca="1">IFERROR(__xludf.DUMMYFUNCTION("GOOGLETRANSLATE($B309,""en"",F$3)"),"alemão")</f>
        <v>alemão</v>
      </c>
      <c r="G309" s="11" t="str">
        <f ca="1">IFERROR(__xludf.DUMMYFUNCTION("GOOGLETRANSLATE($B309,""en"",G$3)"),"allemand")</f>
        <v>allemand</v>
      </c>
      <c r="H309" s="11" t="str">
        <f ca="1">IFERROR(__xludf.DUMMYFUNCTION("GOOGLETRANSLATE($B309,""en"",H$3)"),"Alemaniako")</f>
        <v>Alemaniako</v>
      </c>
      <c r="I309" s="11" t="str">
        <f ca="1">IFERROR(__xludf.DUMMYFUNCTION("GOOGLETRANSLATE($B309,""en"",I$3)"),"alemany")</f>
        <v>alemany</v>
      </c>
      <c r="J309" s="11" t="str">
        <f ca="1">IFERROR(__xludf.DUMMYFUNCTION("GOOGLETRANSLATE($B309,""en"",J$3)"),"Němec")</f>
        <v>Němec</v>
      </c>
      <c r="K309" s="11" t="str">
        <f ca="1">IFERROR(__xludf.DUMMYFUNCTION("GOOGLETRANSLATE($B309,""en"",K$3)"),"德语")</f>
        <v>德语</v>
      </c>
      <c r="L309" s="11" t="str">
        <f ca="1">IFERROR(__xludf.DUMMYFUNCTION("GOOGLETRANSLATE($B309,""en"",L$3)"),"德語")</f>
        <v>德語</v>
      </c>
      <c r="M309" s="11" t="str">
        <f ca="1">IFERROR(__xludf.DUMMYFUNCTION("GOOGLETRANSLATE($B309,""en"",M$3)"),"Duitse")</f>
        <v>Duitse</v>
      </c>
      <c r="N309" s="11" t="str">
        <f ca="1">IFERROR(__xludf.DUMMYFUNCTION("GOOGLETRANSLATE($B309,""en"",N$3)"),"Γερμανός")</f>
        <v>Γερμανός</v>
      </c>
      <c r="O309" s="11" t="str">
        <f ca="1">IFERROR(__xludf.DUMMYFUNCTION("GOOGLETRANSLATE($B309,""en"",O$3)"),"Saksan kieli")</f>
        <v>Saksan kieli</v>
      </c>
      <c r="P309" s="11" t="str">
        <f ca="1">IFERROR(__xludf.DUMMYFUNCTION("GOOGLETRANSLATE($B309,""en"",P$3)"),"Gearmáinis")</f>
        <v>Gearmáinis</v>
      </c>
      <c r="Q309" s="11" t="str">
        <f ca="1">IFERROR(__xludf.DUMMYFUNCTION("GOOGLETRANSLATE($B309,""en"",Q$3)"),"آلمانی")</f>
        <v>آلمانی</v>
      </c>
      <c r="R309" s="11" t="str">
        <f ca="1">IFERROR(__xludf.DUMMYFUNCTION("GOOGLETRANSLATE($B309,""en"",R$3)"),"גֶרמָנִיָת")</f>
        <v>גֶרמָנִיָת</v>
      </c>
      <c r="S309" s="11" t="str">
        <f ca="1">IFERROR(__xludf.DUMMYFUNCTION("GOOGLETRANSLATE($B309,""en"",S$3)"),"þýska, Þjóðverji, þýskur")</f>
        <v>þýska, Þjóðverji, þýskur</v>
      </c>
      <c r="T309" s="11" t="str">
        <f ca="1">IFERROR(__xludf.DUMMYFUNCTION("GOOGLETRANSLATE($B309,""en"",T$3)"),"tysk")</f>
        <v>tysk</v>
      </c>
      <c r="U309" s="11" t="str">
        <f ca="1">IFERROR(__xludf.DUMMYFUNCTION("GOOGLETRANSLATE($B309,""en"",U$3)"),"ألمانية")</f>
        <v>ألمانية</v>
      </c>
      <c r="V309" s="11" t="str">
        <f ca="1">IFERROR(__xludf.DUMMYFUNCTION("GOOGLETRANSLATE($B309,""en"",V$3)"),"Niemiecki")</f>
        <v>Niemiecki</v>
      </c>
      <c r="W309" s="11" t="str">
        <f ca="1">IFERROR(__xludf.DUMMYFUNCTION("GOOGLETRANSLATE($B309,""en"",W$3)"),"Немецкий")</f>
        <v>Немецкий</v>
      </c>
      <c r="X309" s="11" t="str">
        <f ca="1">IFERROR(__xludf.DUMMYFUNCTION("GOOGLETRANSLATE($B309,""en"",X$3)"),"alemán")</f>
        <v>alemán</v>
      </c>
    </row>
    <row r="310" spans="1:26" ht="32.25" customHeight="1" x14ac:dyDescent="0.2">
      <c r="A310" s="17" t="s">
        <v>736</v>
      </c>
      <c r="B310" s="17" t="s">
        <v>737</v>
      </c>
      <c r="C310" s="11" t="str">
        <f ca="1">IFERROR(__xludf.DUMMYFUNCTION("GOOGLETRANSLATE($B310,""en"",C$3)"),"Erste Regionen")</f>
        <v>Erste Regionen</v>
      </c>
      <c r="D310" s="12" t="str">
        <f ca="1">IFERROR(__xludf.DUMMYFUNCTION("GOOGLETRANSLATE($B308,""en"",D$3)"),"De globala fågel inställningarna kommer att gälla för denna region")</f>
        <v>De globala fågel inställningarna kommer att gälla för denna region</v>
      </c>
      <c r="E310" s="12" t="str">
        <f ca="1">IFERROR(__xludf.DUMMYFUNCTION("GOOGLETRANSLATE($B308,""en"",E$3)"),"As configurações globais de pássaros vão aplicar a esta região")</f>
        <v>As configurações globais de pássaros vão aplicar a esta região</v>
      </c>
      <c r="F310" s="12" t="str">
        <f ca="1">IFERROR(__xludf.DUMMYFUNCTION("GOOGLETRANSLATE($B308,""en"",F$3)"),"As configurações globais de pássaros vão aplicar a esta região")</f>
        <v>As configurações globais de pássaros vão aplicar a esta região</v>
      </c>
      <c r="G310" s="12" t="str">
        <f ca="1">IFERROR(__xludf.DUMMYFUNCTION("GOOGLETRANSLATE($B308,""en"",G$3)"),"Les paramètres globaux d'oiseaux s'appliqueront à cette région")</f>
        <v>Les paramètres globaux d'oiseaux s'appliqueront à cette région</v>
      </c>
      <c r="H310" s="12" t="str">
        <f ca="1">IFERROR(__xludf.DUMMYFUNCTION("GOOGLETRANSLATE($B308,""en"",H$3)"),"The global Bird ezarpenak egingo eskualde honetan aplikatzen")</f>
        <v>The global Bird ezarpenak egingo eskualde honetan aplikatzen</v>
      </c>
      <c r="I310" s="12" t="str">
        <f ca="1">IFERROR(__xludf.DUMMYFUNCTION("GOOGLETRANSLATE($B308,""en"",I$3)"),"Els ajustos globals d'aus s'aplicaran a aquesta regió")</f>
        <v>Els ajustos globals d'aus s'aplicaran a aquesta regió</v>
      </c>
      <c r="J310" s="12" t="str">
        <f ca="1">IFERROR(__xludf.DUMMYFUNCTION("GOOGLETRANSLATE($B308,""en"",J$3)"),"Globální nastavení ptáků se budou vztahovat k tomuto regionu")</f>
        <v>Globální nastavení ptáků se budou vztahovat k tomuto regionu</v>
      </c>
      <c r="K310" s="12" t="str">
        <f ca="1">IFERROR(__xludf.DUMMYFUNCTION("GOOGLETRANSLATE($B308,""en"",K$3)"),"全球禽流设置将适用于本地区")</f>
        <v>全球禽流设置将适用于本地区</v>
      </c>
      <c r="L310" s="12" t="str">
        <f ca="1">IFERROR(__xludf.DUMMYFUNCTION("GOOGLETRANSLATE($B308,""en"",L$3)"),"全球禽流設置將適用於本地區")</f>
        <v>全球禽流設置將適用於本地區</v>
      </c>
      <c r="M310" s="12" t="str">
        <f ca="1">IFERROR(__xludf.DUMMYFUNCTION("GOOGLETRANSLATE($B308,""en"",M$3)"),"De globale instellingen Bird zal gelden voor deze regio")</f>
        <v>De globale instellingen Bird zal gelden voor deze regio</v>
      </c>
      <c r="N310" s="12" t="str">
        <f ca="1">IFERROR(__xludf.DUMMYFUNCTION("GOOGLETRANSLATE($B308,""en"",N$3)"),"Οι γενικές ρυθμίσεις των πτηνών θα ισχύουν για αυτή την περιοχή")</f>
        <v>Οι γενικές ρυθμίσεις των πτηνών θα ισχύουν για αυτή την περιοχή</v>
      </c>
      <c r="O310" s="12" t="str">
        <f ca="1">IFERROR(__xludf.DUMMYFUNCTION("GOOGLETRANSLATE($B308,""en"",O$3)"),"Globaali Bird asetukset koskevat tällä alueella")</f>
        <v>Globaali Bird asetukset koskevat tällä alueella</v>
      </c>
      <c r="P310" s="12" t="str">
        <f ca="1">IFERROR(__xludf.DUMMYFUNCTION("GOOGLETRANSLATE($B308,""en"",P$3)"),"Úsáidfear na socruithe Éan domhanda maidir le réigiún seo")</f>
        <v>Úsáidfear na socruithe Éan domhanda maidir le réigiún seo</v>
      </c>
      <c r="Q310" s="12" t="str">
        <f ca="1">IFERROR(__xludf.DUMMYFUNCTION("GOOGLETRANSLATE($B308,""en"",Q$3)"),"تنظیمات کلی پرنده به این منطقه اعمال خواهد شد")</f>
        <v>تنظیمات کلی پرنده به این منطقه اعمال خواهد شد</v>
      </c>
      <c r="R310" s="12" t="str">
        <f ca="1">IFERROR(__xludf.DUMMYFUNCTION("GOOGLETRANSLATE($B308,""en"",R$3)"),"ההגדרות בירד העולמיות תחולנה באזור זה")</f>
        <v>ההגדרות בירד העולמיות תחולנה באזור זה</v>
      </c>
      <c r="S310" s="12" t="str">
        <f ca="1">IFERROR(__xludf.DUMMYFUNCTION("GOOGLETRANSLATE($B308,""en"",S$3)"),"The alheims stillingar Bird eiga á þessu svæði")</f>
        <v>The alheims stillingar Bird eiga á þessu svæði</v>
      </c>
      <c r="T310" s="12" t="str">
        <f ca="1">IFERROR(__xludf.DUMMYFUNCTION("GOOGLETRANSLATE($B308,""en"",T$3)"),"De globale Fugle innstillingene vil gjelde for denne regionen")</f>
        <v>De globale Fugle innstillingene vil gjelde for denne regionen</v>
      </c>
      <c r="U310" s="12" t="str">
        <f ca="1">IFERROR(__xludf.DUMMYFUNCTION("GOOGLETRANSLATE($B308,""en"",U$3)"),"سيتم تطبيق الإعدادات الطيور العالمية لهذه المنطقة")</f>
        <v>سيتم تطبيق الإعدادات الطيور العالمية لهذه المنطقة</v>
      </c>
      <c r="V310" s="12" t="str">
        <f ca="1">IFERROR(__xludf.DUMMYFUNCTION("GOOGLETRANSLATE($B308,""en"",V$3)"),"Globalne ustawienia ptaków będą miały zastosowanie do tego regionu")</f>
        <v>Globalne ustawienia ptaków będą miały zastosowanie do tego regionu</v>
      </c>
      <c r="W310" s="12" t="str">
        <f ca="1">IFERROR(__xludf.DUMMYFUNCTION("GOOGLETRANSLATE($B308,""en"",W$3)"),"Глобальные настройки птиц будут применяться к этому региону")</f>
        <v>Глобальные настройки птиц будут применяться к этому региону</v>
      </c>
      <c r="X310" s="12" t="str">
        <f ca="1">IFERROR(__xludf.DUMMYFUNCTION("GOOGLETRANSLATE($B308,""en"",X$3)"),"Los ajustes globales de aves se aplicarán a esta región")</f>
        <v>Los ajustes globales de aves se aplicarán a esta región</v>
      </c>
      <c r="Y310" s="12"/>
      <c r="Z310" s="12"/>
    </row>
    <row r="311" spans="1:26" ht="32.25" customHeight="1" x14ac:dyDescent="0.2">
      <c r="A311" s="10" t="s">
        <v>738</v>
      </c>
      <c r="B311" s="10" t="s">
        <v>739</v>
      </c>
      <c r="C311" s="11" t="str">
        <f ca="1">IFERROR(__xludf.DUMMYFUNCTION("GOOGLETRANSLATE($B311,""en"",C$3)"),"Globale Einstellungen")</f>
        <v>Globale Einstellungen</v>
      </c>
      <c r="D311" s="11" t="str">
        <f ca="1">IFERROR(__xludf.DUMMYFUNCTION("GOOGLETRANSLATE($B311,""en"",D$3)"),"Globala inställningar")</f>
        <v>Globala inställningar</v>
      </c>
      <c r="E311" s="11" t="str">
        <f ca="1">IFERROR(__xludf.DUMMYFUNCTION("GOOGLETRANSLATE($B311,""en"",E$3)"),"Configurações globais")</f>
        <v>Configurações globais</v>
      </c>
      <c r="F311" s="11" t="str">
        <f ca="1">IFERROR(__xludf.DUMMYFUNCTION("GOOGLETRANSLATE($B311,""en"",F$3)"),"Configurações globais")</f>
        <v>Configurações globais</v>
      </c>
      <c r="G311" s="11" t="str">
        <f ca="1">IFERROR(__xludf.DUMMYFUNCTION("GOOGLETRANSLATE($B311,""en"",G$3)"),"Paramètres globaux")</f>
        <v>Paramètres globaux</v>
      </c>
      <c r="H311" s="11" t="str">
        <f ca="1">IFERROR(__xludf.DUMMYFUNCTION("GOOGLETRANSLATE($B311,""en"",H$3)"),"Global ezarpenak")</f>
        <v>Global ezarpenak</v>
      </c>
      <c r="I311" s="11" t="str">
        <f ca="1">IFERROR(__xludf.DUMMYFUNCTION("GOOGLETRANSLATE($B311,""en"",I$3)"),"Configuració global")</f>
        <v>Configuració global</v>
      </c>
      <c r="J311" s="11" t="str">
        <f ca="1">IFERROR(__xludf.DUMMYFUNCTION("GOOGLETRANSLATE($B311,""en"",J$3)"),"Globální nastavení")</f>
        <v>Globální nastavení</v>
      </c>
      <c r="K311" s="11" t="str">
        <f ca="1">IFERROR(__xludf.DUMMYFUNCTION("GOOGLETRANSLATE($B311,""en"",K$3)"),"全局设置")</f>
        <v>全局设置</v>
      </c>
      <c r="L311" s="11" t="str">
        <f ca="1">IFERROR(__xludf.DUMMYFUNCTION("GOOGLETRANSLATE($B311,""en"",L$3)"),"全局設置")</f>
        <v>全局設置</v>
      </c>
      <c r="M311" s="11" t="str">
        <f ca="1">IFERROR(__xludf.DUMMYFUNCTION("GOOGLETRANSLATE($B311,""en"",M$3)"),"Algemene instellingen")</f>
        <v>Algemene instellingen</v>
      </c>
      <c r="N311" s="11" t="str">
        <f ca="1">IFERROR(__xludf.DUMMYFUNCTION("GOOGLETRANSLATE($B311,""en"",N$3)"),"Γενικές ρυθμίσεις")</f>
        <v>Γενικές ρυθμίσεις</v>
      </c>
      <c r="O311" s="11" t="str">
        <f ca="1">IFERROR(__xludf.DUMMYFUNCTION("GOOGLETRANSLATE($B311,""en"",O$3)"),"Yleiset asetukset")</f>
        <v>Yleiset asetukset</v>
      </c>
      <c r="P311" s="11" t="str">
        <f ca="1">IFERROR(__xludf.DUMMYFUNCTION("GOOGLETRANSLATE($B311,""en"",P$3)"),"Socruithe Global")</f>
        <v>Socruithe Global</v>
      </c>
      <c r="Q311" s="11" t="str">
        <f ca="1">IFERROR(__xludf.DUMMYFUNCTION("GOOGLETRANSLATE($B311,""en"",Q$3)"),"تنظیمات جهانی")</f>
        <v>تنظیمات جهانی</v>
      </c>
      <c r="R311" s="11" t="str">
        <f ca="1">IFERROR(__xludf.DUMMYFUNCTION("GOOGLETRANSLATE($B311,""en"",R$3)"),"הגדרות כלליות")</f>
        <v>הגדרות כלליות</v>
      </c>
      <c r="S311" s="11" t="str">
        <f ca="1">IFERROR(__xludf.DUMMYFUNCTION("GOOGLETRANSLATE($B311,""en"",S$3)"),"Global Settings")</f>
        <v>Global Settings</v>
      </c>
      <c r="T311" s="11" t="str">
        <f ca="1">IFERROR(__xludf.DUMMYFUNCTION("GOOGLETRANSLATE($B311,""en"",T$3)"),"Globale innstillinger")</f>
        <v>Globale innstillinger</v>
      </c>
      <c r="U311" s="11" t="str">
        <f ca="1">IFERROR(__xludf.DUMMYFUNCTION("GOOGLETRANSLATE($B311,""en"",U$3)"),"الاعدادات العامة")</f>
        <v>الاعدادات العامة</v>
      </c>
      <c r="V311" s="11" t="str">
        <f ca="1">IFERROR(__xludf.DUMMYFUNCTION("GOOGLETRANSLATE($B311,""en"",V$3)"),"Ustawienia ogólne")</f>
        <v>Ustawienia ogólne</v>
      </c>
      <c r="W311" s="11" t="str">
        <f ca="1">IFERROR(__xludf.DUMMYFUNCTION("GOOGLETRANSLATE($B311,""en"",W$3)"),"Глобальные настройки")</f>
        <v>Глобальные настройки</v>
      </c>
      <c r="X311" s="11" t="str">
        <f ca="1">IFERROR(__xludf.DUMMYFUNCTION("GOOGLETRANSLATE($B311,""en"",X$3)"),"Configuración global")</f>
        <v>Configuración global</v>
      </c>
    </row>
    <row r="312" spans="1:26" ht="32.25" customHeight="1" x14ac:dyDescent="0.2">
      <c r="A312" s="17" t="s">
        <v>740</v>
      </c>
      <c r="B312" s="17" t="s">
        <v>741</v>
      </c>
      <c r="C312" s="11" t="str">
        <f ca="1">IFERROR(__xludf.DUMMYFUNCTION("GOOGLETRANSLATE($B312,""en"",C$3)"),"Globale Einstellungen Tide")</f>
        <v>Globale Einstellungen Tide</v>
      </c>
      <c r="D312" s="12" t="str">
        <f ca="1">IFERROR(__xludf.DUMMYFUNCTION("GOOGLETRANSLATE($B310,""en"",D$3)"),"få regioner")</f>
        <v>få regioner</v>
      </c>
      <c r="E312" s="12" t="str">
        <f ca="1">IFERROR(__xludf.DUMMYFUNCTION("GOOGLETRANSLATE($B310,""en"",E$3)"),"regiões recebendo")</f>
        <v>regiões recebendo</v>
      </c>
      <c r="F312" s="12" t="str">
        <f ca="1">IFERROR(__xludf.DUMMYFUNCTION("GOOGLETRANSLATE($B310,""en"",F$3)"),"regiões recebendo")</f>
        <v>regiões recebendo</v>
      </c>
      <c r="G312" s="12" t="str">
        <f ca="1">IFERROR(__xludf.DUMMYFUNCTION("GOOGLETRANSLATE($B310,""en"",G$3)"),"régions obtenir")</f>
        <v>régions obtenir</v>
      </c>
      <c r="H312" s="12" t="str">
        <f ca="1">IFERROR(__xludf.DUMMYFUNCTION("GOOGLETRANSLATE($B310,""en"",H$3)"),"eskuratzen eskualde")</f>
        <v>eskuratzen eskualde</v>
      </c>
      <c r="I312" s="12" t="str">
        <f ca="1">IFERROR(__xludf.DUMMYFUNCTION("GOOGLETRANSLATE($B310,""en"",I$3)"),"Obtenció de les regions")</f>
        <v>Obtenció de les regions</v>
      </c>
      <c r="J312" s="12" t="str">
        <f ca="1">IFERROR(__xludf.DUMMYFUNCTION("GOOGLETRANSLATE($B310,""en"",J$3)"),"Získání regiony")</f>
        <v>Získání regiony</v>
      </c>
      <c r="K312" s="12" t="str">
        <f ca="1">IFERROR(__xludf.DUMMYFUNCTION("GOOGLETRANSLATE($B310,""en"",K$3)"),"获得区")</f>
        <v>获得区</v>
      </c>
      <c r="L312" s="12" t="str">
        <f ca="1">IFERROR(__xludf.DUMMYFUNCTION("GOOGLETRANSLATE($B310,""en"",L$3)"),"獲得區")</f>
        <v>獲得區</v>
      </c>
      <c r="M312" s="12" t="str">
        <f ca="1">IFERROR(__xludf.DUMMYFUNCTION("GOOGLETRANSLATE($B310,""en"",M$3)"),"Het krijgen van de regio's")</f>
        <v>Het krijgen van de regio's</v>
      </c>
      <c r="N312" s="12" t="str">
        <f ca="1">IFERROR(__xludf.DUMMYFUNCTION("GOOGLETRANSLATE($B310,""en"",N$3)"),"Να πάρει τις περιφέρειες")</f>
        <v>Να πάρει τις περιφέρειες</v>
      </c>
      <c r="O312" s="12" t="str">
        <f ca="1">IFERROR(__xludf.DUMMYFUNCTION("GOOGLETRANSLATE($B310,""en"",O$3)"),"Getting alueet")</f>
        <v>Getting alueet</v>
      </c>
      <c r="P312" s="12" t="str">
        <f ca="1">IFERROR(__xludf.DUMMYFUNCTION("GOOGLETRANSLATE($B310,""en"",P$3)"),"réigiúin Dul")</f>
        <v>réigiúin Dul</v>
      </c>
      <c r="Q312" s="12" t="str">
        <f ca="1">IFERROR(__xludf.DUMMYFUNCTION("GOOGLETRANSLATE($B310,""en"",Q$3)"),"مناطق گرفتن")</f>
        <v>مناطق گرفتن</v>
      </c>
      <c r="R312" s="12" t="str">
        <f ca="1">IFERROR(__xludf.DUMMYFUNCTION("GOOGLETRANSLATE($B310,""en"",R$3)"),"קבלת אזורים")</f>
        <v>קבלת אזורים</v>
      </c>
      <c r="S312" s="12" t="str">
        <f ca="1">IFERROR(__xludf.DUMMYFUNCTION("GOOGLETRANSLATE($B310,""en"",S$3)"),"fá svæði")</f>
        <v>fá svæði</v>
      </c>
      <c r="T312" s="12" t="str">
        <f ca="1">IFERROR(__xludf.DUMMYFUNCTION("GOOGLETRANSLATE($B310,""en"",T$3)"),"Komme regioner")</f>
        <v>Komme regioner</v>
      </c>
      <c r="U312" s="12" t="str">
        <f ca="1">IFERROR(__xludf.DUMMYFUNCTION("GOOGLETRANSLATE($B310,""en"",U$3)"),"المناطق الحصول على")</f>
        <v>المناطق الحصول على</v>
      </c>
      <c r="V312" s="12" t="str">
        <f ca="1">IFERROR(__xludf.DUMMYFUNCTION("GOOGLETRANSLATE($B310,""en"",V$3)"),"Pierwsze regiony")</f>
        <v>Pierwsze regiony</v>
      </c>
      <c r="W312" s="12" t="str">
        <f ca="1">IFERROR(__xludf.DUMMYFUNCTION("GOOGLETRANSLATE($B310,""en"",W$3)"),"Попадая регионы")</f>
        <v>Попадая регионы</v>
      </c>
      <c r="X312" s="12" t="str">
        <f ca="1">IFERROR(__xludf.DUMMYFUNCTION("GOOGLETRANSLATE($B310,""en"",X$3)"),"Obtención de las regiones")</f>
        <v>Obtención de las regiones</v>
      </c>
      <c r="Y312" s="12"/>
      <c r="Z312" s="12"/>
    </row>
    <row r="313" spans="1:26" ht="32.25" customHeight="1" x14ac:dyDescent="0.2">
      <c r="A313" s="17" t="s">
        <v>742</v>
      </c>
      <c r="B313" s="17" t="s">
        <v>739</v>
      </c>
      <c r="C313" s="11" t="str">
        <f ca="1">IFERROR(__xludf.DUMMYFUNCTION("GOOGLETRANSLATE($B313,""en"",C$3)"),"Globale Einstellungen")</f>
        <v>Globale Einstellungen</v>
      </c>
      <c r="D313" s="12" t="str">
        <f ca="1">IFERROR(__xludf.DUMMYFUNCTION("GOOGLETRANSLATE($B312,""en"",D$3)"),"Globala Tide Inställningar")</f>
        <v>Globala Tide Inställningar</v>
      </c>
      <c r="E313" s="12" t="str">
        <f ca="1">IFERROR(__xludf.DUMMYFUNCTION("GOOGLETRANSLATE($B312,""en"",E$3)"),"Configurações de marés globais")</f>
        <v>Configurações de marés globais</v>
      </c>
      <c r="F313" s="12" t="str">
        <f ca="1">IFERROR(__xludf.DUMMYFUNCTION("GOOGLETRANSLATE($B312,""en"",F$3)"),"Configurações de marés globais")</f>
        <v>Configurações de marés globais</v>
      </c>
      <c r="G313" s="12" t="str">
        <f ca="1">IFERROR(__xludf.DUMMYFUNCTION("GOOGLETRANSLATE($B312,""en"",G$3)"),"Paramètres généraux des marées")</f>
        <v>Paramètres généraux des marées</v>
      </c>
      <c r="H313" s="12" t="str">
        <f ca="1">IFERROR(__xludf.DUMMYFUNCTION("GOOGLETRANSLATE($B312,""en"",H$3)"),"Global Marea ezarpenak")</f>
        <v>Global Marea ezarpenak</v>
      </c>
      <c r="I313" s="12" t="str">
        <f ca="1">IFERROR(__xludf.DUMMYFUNCTION("GOOGLETRANSLATE($B312,""en"",I$3)"),"Configuració global de marea")</f>
        <v>Configuració global de marea</v>
      </c>
      <c r="J313" s="12" t="str">
        <f ca="1">IFERROR(__xludf.DUMMYFUNCTION("GOOGLETRANSLATE($B312,""en"",J$3)"),"Globální nastavení Tide")</f>
        <v>Globální nastavení Tide</v>
      </c>
      <c r="K313" s="12" t="str">
        <f ca="1">IFERROR(__xludf.DUMMYFUNCTION("GOOGLETRANSLATE($B312,""en"",K$3)"),"世界潮流设置")</f>
        <v>世界潮流设置</v>
      </c>
      <c r="L313" s="12" t="str">
        <f ca="1">IFERROR(__xludf.DUMMYFUNCTION("GOOGLETRANSLATE($B312,""en"",L$3)"),"世界潮流設置")</f>
        <v>世界潮流設置</v>
      </c>
      <c r="M313" s="12" t="str">
        <f ca="1">IFERROR(__xludf.DUMMYFUNCTION("GOOGLETRANSLATE($B312,""en"",M$3)"),"Global Tide Instellingen")</f>
        <v>Global Tide Instellingen</v>
      </c>
      <c r="N313" s="12" t="str">
        <f ca="1">IFERROR(__xludf.DUMMYFUNCTION("GOOGLETRANSLATE($B312,""en"",N$3)"),"Καθολικές ρυθμίσεις Tide")</f>
        <v>Καθολικές ρυθμίσεις Tide</v>
      </c>
      <c r="O313" s="12" t="str">
        <f ca="1">IFERROR(__xludf.DUMMYFUNCTION("GOOGLETRANSLATE($B312,""en"",O$3)"),"Global Tide Asetukset")</f>
        <v>Global Tide Asetukset</v>
      </c>
      <c r="P313" s="12" t="str">
        <f ca="1">IFERROR(__xludf.DUMMYFUNCTION("GOOGLETRANSLATE($B312,""en"",P$3)"),"Socruithe Tide Global")</f>
        <v>Socruithe Tide Global</v>
      </c>
      <c r="Q313" s="12" t="str">
        <f ca="1">IFERROR(__xludf.DUMMYFUNCTION("GOOGLETRANSLATE($B312,""en"",Q$3)"),"تنظیمات جزر و مد جهانی")</f>
        <v>تنظیمات جزر و مد جهانی</v>
      </c>
      <c r="R313" s="12" t="str">
        <f ca="1">IFERROR(__xludf.DUMMYFUNCTION("GOOGLETRANSLATE($B312,""en"",R$3)"),"הגדרות Tide גלובל")</f>
        <v>הגדרות Tide גלובל</v>
      </c>
      <c r="S313" s="12" t="str">
        <f ca="1">IFERROR(__xludf.DUMMYFUNCTION("GOOGLETRANSLATE($B312,""en"",S$3)"),"Global Tide stillingar")</f>
        <v>Global Tide stillingar</v>
      </c>
      <c r="T313" s="12" t="str">
        <f ca="1">IFERROR(__xludf.DUMMYFUNCTION("GOOGLETRANSLATE($B312,""en"",T$3)"),"Globale Tide Innstillinger")</f>
        <v>Globale Tide Innstillinger</v>
      </c>
      <c r="U313" s="12" t="str">
        <f ca="1">IFERROR(__xludf.DUMMYFUNCTION("GOOGLETRANSLATE($B312,""en"",U$3)"),"إعدادات المد العالمي")</f>
        <v>إعدادات المد العالمي</v>
      </c>
      <c r="V313" s="12" t="str">
        <f ca="1">IFERROR(__xludf.DUMMYFUNCTION("GOOGLETRANSLATE($B312,""en"",V$3)"),"Globalne ustawienia Tide")</f>
        <v>Globalne ustawienia Tide</v>
      </c>
      <c r="W313" s="12" t="str">
        <f ca="1">IFERROR(__xludf.DUMMYFUNCTION("GOOGLETRANSLATE($B312,""en"",W$3)"),"Глобальные параметры Tide")</f>
        <v>Глобальные параметры Tide</v>
      </c>
      <c r="X313" s="12" t="str">
        <f ca="1">IFERROR(__xludf.DUMMYFUNCTION("GOOGLETRANSLATE($B312,""en"",X$3)"),"Configuración global de marea")</f>
        <v>Configuración global de marea</v>
      </c>
      <c r="Y313" s="12"/>
      <c r="Z313" s="12"/>
    </row>
    <row r="314" spans="1:26" ht="32.25" customHeight="1" x14ac:dyDescent="0.2">
      <c r="A314" s="17" t="s">
        <v>743</v>
      </c>
      <c r="B314" s="17" t="s">
        <v>744</v>
      </c>
      <c r="C314" s="11" t="str">
        <f ca="1">IFERROR(__xludf.DUMMYFUNCTION("GOOGLETRANSLATE($B314,""en"",C$3)"),"Gloebits Währung")</f>
        <v>Gloebits Währung</v>
      </c>
      <c r="D314" s="12" t="str">
        <f ca="1">IFERROR(__xludf.DUMMYFUNCTION("GOOGLETRANSLATE($B313,""en"",D$3)"),"Globala inställningar")</f>
        <v>Globala inställningar</v>
      </c>
      <c r="E314" s="12" t="str">
        <f ca="1">IFERROR(__xludf.DUMMYFUNCTION("GOOGLETRANSLATE($B313,""en"",E$3)"),"Configurações globais")</f>
        <v>Configurações globais</v>
      </c>
      <c r="F314" s="12" t="str">
        <f ca="1">IFERROR(__xludf.DUMMYFUNCTION("GOOGLETRANSLATE($B313,""en"",F$3)"),"Configurações globais")</f>
        <v>Configurações globais</v>
      </c>
      <c r="G314" s="12" t="str">
        <f ca="1">IFERROR(__xludf.DUMMYFUNCTION("GOOGLETRANSLATE($B313,""en"",G$3)"),"Paramètres globaux")</f>
        <v>Paramètres globaux</v>
      </c>
      <c r="H314" s="12" t="str">
        <f ca="1">IFERROR(__xludf.DUMMYFUNCTION("GOOGLETRANSLATE($B313,""en"",H$3)"),"Global ezarpenak")</f>
        <v>Global ezarpenak</v>
      </c>
      <c r="I314" s="12" t="str">
        <f ca="1">IFERROR(__xludf.DUMMYFUNCTION("GOOGLETRANSLATE($B313,""en"",I$3)"),"Configuració global")</f>
        <v>Configuració global</v>
      </c>
      <c r="J314" s="12" t="str">
        <f ca="1">IFERROR(__xludf.DUMMYFUNCTION("GOOGLETRANSLATE($B313,""en"",J$3)"),"Globální nastavení")</f>
        <v>Globální nastavení</v>
      </c>
      <c r="K314" s="12" t="str">
        <f ca="1">IFERROR(__xludf.DUMMYFUNCTION("GOOGLETRANSLATE($B313,""en"",K$3)"),"全局设置")</f>
        <v>全局设置</v>
      </c>
      <c r="L314" s="12" t="str">
        <f ca="1">IFERROR(__xludf.DUMMYFUNCTION("GOOGLETRANSLATE($B313,""en"",L$3)"),"全局設置")</f>
        <v>全局設置</v>
      </c>
      <c r="M314" s="12" t="str">
        <f ca="1">IFERROR(__xludf.DUMMYFUNCTION("GOOGLETRANSLATE($B313,""en"",M$3)"),"Algemene instellingen")</f>
        <v>Algemene instellingen</v>
      </c>
      <c r="N314" s="12" t="str">
        <f ca="1">IFERROR(__xludf.DUMMYFUNCTION("GOOGLETRANSLATE($B313,""en"",N$3)"),"Γενικές ρυθμίσεις")</f>
        <v>Γενικές ρυθμίσεις</v>
      </c>
      <c r="O314" s="12" t="str">
        <f ca="1">IFERROR(__xludf.DUMMYFUNCTION("GOOGLETRANSLATE($B313,""en"",O$3)"),"Yleiset asetukset")</f>
        <v>Yleiset asetukset</v>
      </c>
      <c r="P314" s="12" t="str">
        <f ca="1">IFERROR(__xludf.DUMMYFUNCTION("GOOGLETRANSLATE($B313,""en"",P$3)"),"Socruithe Global")</f>
        <v>Socruithe Global</v>
      </c>
      <c r="Q314" s="12" t="str">
        <f ca="1">IFERROR(__xludf.DUMMYFUNCTION("GOOGLETRANSLATE($B313,""en"",Q$3)"),"تنظیمات جهانی")</f>
        <v>تنظیمات جهانی</v>
      </c>
      <c r="R314" s="12" t="str">
        <f ca="1">IFERROR(__xludf.DUMMYFUNCTION("GOOGLETRANSLATE($B313,""en"",R$3)"),"הגדרות כלליות")</f>
        <v>הגדרות כלליות</v>
      </c>
      <c r="S314" s="12" t="str">
        <f ca="1">IFERROR(__xludf.DUMMYFUNCTION("GOOGLETRANSLATE($B313,""en"",S$3)"),"Global Settings")</f>
        <v>Global Settings</v>
      </c>
      <c r="T314" s="12" t="str">
        <f ca="1">IFERROR(__xludf.DUMMYFUNCTION("GOOGLETRANSLATE($B313,""en"",T$3)"),"Globale innstillinger")</f>
        <v>Globale innstillinger</v>
      </c>
      <c r="U314" s="12" t="str">
        <f ca="1">IFERROR(__xludf.DUMMYFUNCTION("GOOGLETRANSLATE($B313,""en"",U$3)"),"الاعدادات العامة")</f>
        <v>الاعدادات العامة</v>
      </c>
      <c r="V314" s="12" t="str">
        <f ca="1">IFERROR(__xludf.DUMMYFUNCTION("GOOGLETRANSLATE($B313,""en"",V$3)"),"Ustawienia ogólne")</f>
        <v>Ustawienia ogólne</v>
      </c>
      <c r="W314" s="12" t="str">
        <f ca="1">IFERROR(__xludf.DUMMYFUNCTION("GOOGLETRANSLATE($B313,""en"",W$3)"),"Глобальные настройки")</f>
        <v>Глобальные настройки</v>
      </c>
      <c r="X314" s="12" t="str">
        <f ca="1">IFERROR(__xludf.DUMMYFUNCTION("GOOGLETRANSLATE($B313,""en"",X$3)"),"Configuración global")</f>
        <v>Configuración global</v>
      </c>
      <c r="Y314" s="12"/>
      <c r="Z314" s="12"/>
    </row>
    <row r="315" spans="1:26" ht="32.25" customHeight="1" x14ac:dyDescent="0.2">
      <c r="A315" s="17" t="s">
        <v>745</v>
      </c>
      <c r="B315" s="17" t="s">
        <v>746</v>
      </c>
      <c r="C315" s="18" t="s">
        <v>747</v>
      </c>
      <c r="D315" s="12" t="str">
        <f ca="1">IFERROR(__xludf.DUMMYFUNCTION("GOOGLETRANSLATE($B314,""en"",D$3)"),"Gloebits Currency")</f>
        <v>Gloebits Currency</v>
      </c>
      <c r="E315" s="12" t="str">
        <f ca="1">IFERROR(__xludf.DUMMYFUNCTION("GOOGLETRANSLATE($B314,""en"",E$3)"),"Gloebits Moeda")</f>
        <v>Gloebits Moeda</v>
      </c>
      <c r="F315" s="12" t="str">
        <f ca="1">IFERROR(__xludf.DUMMYFUNCTION("GOOGLETRANSLATE($B314,""en"",F$3)"),"Gloebits Moeda")</f>
        <v>Gloebits Moeda</v>
      </c>
      <c r="G315" s="12" t="str">
        <f ca="1">IFERROR(__xludf.DUMMYFUNCTION("GOOGLETRANSLATE($B314,""en"",G$3)"),"Gloebits Monnaie")</f>
        <v>Gloebits Monnaie</v>
      </c>
      <c r="H315" s="12" t="str">
        <f ca="1">IFERROR(__xludf.DUMMYFUNCTION("GOOGLETRANSLATE($B314,""en"",H$3)"),"Gloebits Moneta")</f>
        <v>Gloebits Moneta</v>
      </c>
      <c r="I315" s="12" t="str">
        <f ca="1">IFERROR(__xludf.DUMMYFUNCTION("GOOGLETRANSLATE($B314,""en"",I$3)"),"Gloebits de divises")</f>
        <v>Gloebits de divises</v>
      </c>
      <c r="J315" s="12" t="str">
        <f ca="1">IFERROR(__xludf.DUMMYFUNCTION("GOOGLETRANSLATE($B314,""en"",J$3)"),"Gloebits měny")</f>
        <v>Gloebits měny</v>
      </c>
      <c r="K315" s="12" t="str">
        <f ca="1">IFERROR(__xludf.DUMMYFUNCTION("GOOGLETRANSLATE($B314,""en"",K$3)"),"Gloebits货币")</f>
        <v>Gloebits货币</v>
      </c>
      <c r="L315" s="12" t="str">
        <f ca="1">IFERROR(__xludf.DUMMYFUNCTION("GOOGLETRANSLATE($B314,""en"",L$3)"),"Gloebits貨幣")</f>
        <v>Gloebits貨幣</v>
      </c>
      <c r="M315" s="12" t="str">
        <f ca="1">IFERROR(__xludf.DUMMYFUNCTION("GOOGLETRANSLATE($B314,""en"",M$3)"),"Gloebits Currency")</f>
        <v>Gloebits Currency</v>
      </c>
      <c r="N315" s="12" t="str">
        <f ca="1">IFERROR(__xludf.DUMMYFUNCTION("GOOGLETRANSLATE($B314,""en"",N$3)"),"Gloebits νομίσματος")</f>
        <v>Gloebits νομίσματος</v>
      </c>
      <c r="O315" s="12" t="str">
        <f ca="1">IFERROR(__xludf.DUMMYFUNCTION("GOOGLETRANSLATE($B314,""en"",O$3)"),"Gloebits Valuutta")</f>
        <v>Gloebits Valuutta</v>
      </c>
      <c r="P315" s="12" t="str">
        <f ca="1">IFERROR(__xludf.DUMMYFUNCTION("GOOGLETRANSLATE($B314,""en"",P$3)"),"Gloebits Airgeadra")</f>
        <v>Gloebits Airgeadra</v>
      </c>
      <c r="Q315" s="12" t="str">
        <f ca="1">IFERROR(__xludf.DUMMYFUNCTION("GOOGLETRANSLATE($B314,""en"",Q$3)"),"Gloebits ارز")</f>
        <v>Gloebits ارز</v>
      </c>
      <c r="R315" s="12" t="str">
        <f ca="1">IFERROR(__xludf.DUMMYFUNCTION("GOOGLETRANSLATE($B314,""en"",R$3)"),"Gloebits מטבע")</f>
        <v>Gloebits מטבע</v>
      </c>
      <c r="S315" s="12" t="str">
        <f ca="1">IFERROR(__xludf.DUMMYFUNCTION("GOOGLETRANSLATE($B314,""en"",S$3)"),"Gloebits Gjaldmiðill")</f>
        <v>Gloebits Gjaldmiðill</v>
      </c>
      <c r="T315" s="12" t="str">
        <f ca="1">IFERROR(__xludf.DUMMYFUNCTION("GOOGLETRANSLATE($B314,""en"",T$3)"),"Gloebits Valuta")</f>
        <v>Gloebits Valuta</v>
      </c>
      <c r="U315" s="12" t="str">
        <f ca="1">IFERROR(__xludf.DUMMYFUNCTION("GOOGLETRANSLATE($B314,""en"",U$3)"),"Gloebits العملات")</f>
        <v>Gloebits العملات</v>
      </c>
      <c r="V315" s="12" t="str">
        <f ca="1">IFERROR(__xludf.DUMMYFUNCTION("GOOGLETRANSLATE($B314,""en"",V$3)"),"Gloebits waluty")</f>
        <v>Gloebits waluty</v>
      </c>
      <c r="W315" s="12" t="str">
        <f ca="1">IFERROR(__xludf.DUMMYFUNCTION("GOOGLETRANSLATE($B314,""en"",W$3)"),"Gloebits валюты")</f>
        <v>Gloebits валюты</v>
      </c>
      <c r="X315" s="12" t="str">
        <f ca="1">IFERROR(__xludf.DUMMYFUNCTION("GOOGLETRANSLATE($B314,""en"",X$3)"),"Gloebits de divisas")</f>
        <v>Gloebits de divisas</v>
      </c>
      <c r="Y315" s="12"/>
      <c r="Z315" s="12"/>
    </row>
    <row r="316" spans="1:26" ht="32.25" customHeight="1" x14ac:dyDescent="0.2">
      <c r="A316" s="10" t="s">
        <v>12</v>
      </c>
      <c r="B316" s="10" t="s">
        <v>12</v>
      </c>
      <c r="C316" s="11" t="str">
        <f ca="1">IFERROR(__xludf.DUMMYFUNCTION("GOOGLETRANSLATE($B316,""en"",C$3)"),"griechisch")</f>
        <v>griechisch</v>
      </c>
      <c r="D316" s="11" t="str">
        <f ca="1">IFERROR(__xludf.DUMMYFUNCTION("GOOGLETRANSLATE($B316,""en"",D$3)"),"grekisk")</f>
        <v>grekisk</v>
      </c>
      <c r="E316" s="11" t="str">
        <f ca="1">IFERROR(__xludf.DUMMYFUNCTION("GOOGLETRANSLATE($B316,""en"",E$3)"),"grego")</f>
        <v>grego</v>
      </c>
      <c r="F316" s="11" t="str">
        <f ca="1">IFERROR(__xludf.DUMMYFUNCTION("GOOGLETRANSLATE($B316,""en"",F$3)"),"grego")</f>
        <v>grego</v>
      </c>
      <c r="G316" s="11" t="str">
        <f ca="1">IFERROR(__xludf.DUMMYFUNCTION("GOOGLETRANSLATE($B316,""en"",G$3)"),"grec")</f>
        <v>grec</v>
      </c>
      <c r="H316" s="11" t="str">
        <f ca="1">IFERROR(__xludf.DUMMYFUNCTION("GOOGLETRANSLATE($B316,""en"",H$3)"),"Greziako")</f>
        <v>Greziako</v>
      </c>
      <c r="I316" s="11" t="str">
        <f ca="1">IFERROR(__xludf.DUMMYFUNCTION("GOOGLETRANSLATE($B316,""en"",I$3)"),"grec")</f>
        <v>grec</v>
      </c>
      <c r="J316" s="11" t="str">
        <f ca="1">IFERROR(__xludf.DUMMYFUNCTION("GOOGLETRANSLATE($B316,""en"",J$3)"),"řecký")</f>
        <v>řecký</v>
      </c>
      <c r="K316" s="11" t="str">
        <f ca="1">IFERROR(__xludf.DUMMYFUNCTION("GOOGLETRANSLATE($B316,""en"",K$3)"),"希腊语")</f>
        <v>希腊语</v>
      </c>
      <c r="L316" s="11" t="str">
        <f ca="1">IFERROR(__xludf.DUMMYFUNCTION("GOOGLETRANSLATE($B316,""en"",L$3)"),"希臘語")</f>
        <v>希臘語</v>
      </c>
      <c r="M316" s="11" t="str">
        <f ca="1">IFERROR(__xludf.DUMMYFUNCTION("GOOGLETRANSLATE($B316,""en"",M$3)"),"Grieks")</f>
        <v>Grieks</v>
      </c>
      <c r="N316" s="11" t="str">
        <f ca="1">IFERROR(__xludf.DUMMYFUNCTION("GOOGLETRANSLATE($B316,""en"",N$3)"),"Ελληνικά")</f>
        <v>Ελληνικά</v>
      </c>
      <c r="O316" s="11" t="str">
        <f ca="1">IFERROR(__xludf.DUMMYFUNCTION("GOOGLETRANSLATE($B316,""en"",O$3)"),"kreikkalainen")</f>
        <v>kreikkalainen</v>
      </c>
      <c r="P316" s="11" t="str">
        <f ca="1">IFERROR(__xludf.DUMMYFUNCTION("GOOGLETRANSLATE($B316,""en"",P$3)"),"Gréigis")</f>
        <v>Gréigis</v>
      </c>
      <c r="Q316" s="11" t="str">
        <f ca="1">IFERROR(__xludf.DUMMYFUNCTION("GOOGLETRANSLATE($B316,""en"",Q$3)"),"یونانی")</f>
        <v>یونانی</v>
      </c>
      <c r="R316" s="11" t="str">
        <f ca="1">IFERROR(__xludf.DUMMYFUNCTION("GOOGLETRANSLATE($B316,""en"",R$3)"),"יווני")</f>
        <v>יווני</v>
      </c>
      <c r="S316" s="11" t="str">
        <f ca="1">IFERROR(__xludf.DUMMYFUNCTION("GOOGLETRANSLATE($B316,""en"",S$3)"),"greek")</f>
        <v>greek</v>
      </c>
      <c r="T316" s="11" t="str">
        <f ca="1">IFERROR(__xludf.DUMMYFUNCTION("GOOGLETRANSLATE($B316,""en"",T$3)"),"gresk")</f>
        <v>gresk</v>
      </c>
      <c r="U316" s="11" t="str">
        <f ca="1">IFERROR(__xludf.DUMMYFUNCTION("GOOGLETRANSLATE($B316,""en"",U$3)"),"اليونانية")</f>
        <v>اليونانية</v>
      </c>
      <c r="V316" s="11" t="str">
        <f ca="1">IFERROR(__xludf.DUMMYFUNCTION("GOOGLETRANSLATE($B316,""en"",V$3)"),"grecki")</f>
        <v>grecki</v>
      </c>
      <c r="W316" s="11" t="str">
        <f ca="1">IFERROR(__xludf.DUMMYFUNCTION("GOOGLETRANSLATE($B316,""en"",W$3)"),"греческий")</f>
        <v>греческий</v>
      </c>
      <c r="X316" s="11" t="str">
        <f ca="1">IFERROR(__xludf.DUMMYFUNCTION("GOOGLETRANSLATE($B316,""en"",X$3)"),"griego")</f>
        <v>griego</v>
      </c>
    </row>
    <row r="317" spans="1:26" ht="32.25" customHeight="1" x14ac:dyDescent="0.2">
      <c r="A317" s="17" t="s">
        <v>748</v>
      </c>
      <c r="B317" s="17" t="s">
        <v>749</v>
      </c>
      <c r="C317" s="11" t="str">
        <f ca="1">IFERROR(__xludf.DUMMYFUNCTION("GOOGLETRANSLATE($B317,""en"",C$3)"),"Grid-Adresse ist")</f>
        <v>Grid-Adresse ist</v>
      </c>
      <c r="D317" s="12" t="str">
        <f ca="1">IFERROR(__xludf.DUMMYFUNCTION("GOOGLETRANSLATE($B315,""en"",D$3)"),"Bra (Warp3D)")</f>
        <v>Bra (Warp3D)</v>
      </c>
      <c r="E317" s="12" t="str">
        <f ca="1">IFERROR(__xludf.DUMMYFUNCTION("GOOGLETRANSLATE($B315,""en"",E$3)"),"Good (Warp3D)")</f>
        <v>Good (Warp3D)</v>
      </c>
      <c r="F317" s="12" t="str">
        <f ca="1">IFERROR(__xludf.DUMMYFUNCTION("GOOGLETRANSLATE($B315,""en"",F$3)"),"Good (Warp3D)")</f>
        <v>Good (Warp3D)</v>
      </c>
      <c r="G317" s="12" t="str">
        <f ca="1">IFERROR(__xludf.DUMMYFUNCTION("GOOGLETRANSLATE($B315,""en"",G$3)"),"Bon (Warp3D)")</f>
        <v>Bon (Warp3D)</v>
      </c>
      <c r="H317" s="12" t="str">
        <f ca="1">IFERROR(__xludf.DUMMYFUNCTION("GOOGLETRANSLATE($B315,""en"",H$3)"),"Good (Warp3D)")</f>
        <v>Good (Warp3D)</v>
      </c>
      <c r="I317" s="12" t="str">
        <f ca="1">IFERROR(__xludf.DUMMYFUNCTION("GOOGLETRANSLATE($B315,""en"",I$3)"),"Bé (Warp3D)")</f>
        <v>Bé (Warp3D)</v>
      </c>
      <c r="J317" s="12" t="str">
        <f ca="1">IFERROR(__xludf.DUMMYFUNCTION("GOOGLETRANSLATE($B315,""en"",J$3)"),"Good (Warp3D)")</f>
        <v>Good (Warp3D)</v>
      </c>
      <c r="K317" s="12" t="str">
        <f ca="1">IFERROR(__xludf.DUMMYFUNCTION("GOOGLETRANSLATE($B315,""en"",K$3)"),"良好（Warp3D）")</f>
        <v>良好（Warp3D）</v>
      </c>
      <c r="L317" s="12" t="str">
        <f ca="1">IFERROR(__xludf.DUMMYFUNCTION("GOOGLETRANSLATE($B315,""en"",L$3)"),"良好（Warp3D）")</f>
        <v>良好（Warp3D）</v>
      </c>
      <c r="M317" s="12" t="str">
        <f ca="1">IFERROR(__xludf.DUMMYFUNCTION("GOOGLETRANSLATE($B315,""en"",M$3)"),"Goed (Warp3D)")</f>
        <v>Goed (Warp3D)</v>
      </c>
      <c r="N317" s="12" t="str">
        <f ca="1">IFERROR(__xludf.DUMMYFUNCTION("GOOGLETRANSLATE($B315,""en"",N$3)"),"Καλή (Warp3D)")</f>
        <v>Καλή (Warp3D)</v>
      </c>
      <c r="O317" s="12" t="str">
        <f ca="1">IFERROR(__xludf.DUMMYFUNCTION("GOOGLETRANSLATE($B315,""en"",O$3)"),"Hyvä (Warp3D)")</f>
        <v>Hyvä (Warp3D)</v>
      </c>
      <c r="P317" s="12" t="str">
        <f ca="1">IFERROR(__xludf.DUMMYFUNCTION("GOOGLETRANSLATE($B315,""en"",P$3)"),"Go maith (Warp3D)")</f>
        <v>Go maith (Warp3D)</v>
      </c>
      <c r="Q317" s="12" t="str">
        <f ca="1">IFERROR(__xludf.DUMMYFUNCTION("GOOGLETRANSLATE($B315,""en"",Q$3)"),"خوب (Warp3D)")</f>
        <v>خوب (Warp3D)</v>
      </c>
      <c r="R317" s="12" t="str">
        <f ca="1">IFERROR(__xludf.DUMMYFUNCTION("GOOGLETRANSLATE($B315,""en"",R$3)"),"טוב (Warp3D)")</f>
        <v>טוב (Warp3D)</v>
      </c>
      <c r="S317" s="12" t="str">
        <f ca="1">IFERROR(__xludf.DUMMYFUNCTION("GOOGLETRANSLATE($B315,""en"",S$3)"),"Gott (Warp3D)")</f>
        <v>Gott (Warp3D)</v>
      </c>
      <c r="T317" s="12" t="str">
        <f ca="1">IFERROR(__xludf.DUMMYFUNCTION("GOOGLETRANSLATE($B315,""en"",T$3)"),"God (Warp3D)")</f>
        <v>God (Warp3D)</v>
      </c>
      <c r="U317" s="12" t="str">
        <f ca="1">IFERROR(__xludf.DUMMYFUNCTION("GOOGLETRANSLATE($B315,""en"",U$3)"),"جيد (Warp3D)")</f>
        <v>جيد (Warp3D)</v>
      </c>
      <c r="V317" s="12" t="str">
        <f ca="1">IFERROR(__xludf.DUMMYFUNCTION("GOOGLETRANSLATE($B315,""en"",V$3)"),"Dobry (Warp3D)")</f>
        <v>Dobry (Warp3D)</v>
      </c>
      <c r="W317" s="12" t="str">
        <f ca="1">IFERROR(__xludf.DUMMYFUNCTION("GOOGLETRANSLATE($B315,""en"",W$3)"),"Хорошо (Warp3D)")</f>
        <v>Хорошо (Warp3D)</v>
      </c>
      <c r="X317" s="12" t="str">
        <f ca="1">IFERROR(__xludf.DUMMYFUNCTION("GOOGLETRANSLATE($B315,""en"",X$3)"),"Bueno (Warp3D)")</f>
        <v>Bueno (Warp3D)</v>
      </c>
      <c r="Y317" s="12"/>
      <c r="Z317" s="12"/>
    </row>
    <row r="318" spans="1:26" ht="32.25" customHeight="1" x14ac:dyDescent="0.2">
      <c r="A318" s="17" t="s">
        <v>750</v>
      </c>
      <c r="B318" s="17" t="s">
        <v>751</v>
      </c>
      <c r="C318" s="11" t="str">
        <f ca="1">IFERROR(__xludf.DUMMYFUNCTION("GOOGLETRANSLATE($B318,""en"",C$3)"),"Sie können diese Adresse, damit die Menschen geben, und sie können das Raster besuchen")</f>
        <v>Sie können diese Adresse, damit die Menschen geben, und sie können das Raster besuchen</v>
      </c>
      <c r="D318" s="11" t="str">
        <f ca="1">IFERROR(__xludf.DUMMYFUNCTION("GOOGLETRANSLATE($B318,""en"",D$3)"),"Du kan ge den här adressen ut till människor och de kan besöka din grid")</f>
        <v>Du kan ge den här adressen ut till människor och de kan besöka din grid</v>
      </c>
      <c r="E318" s="11" t="str">
        <f ca="1">IFERROR(__xludf.DUMMYFUNCTION("GOOGLETRANSLATE($B318,""en"",E$3)"),"Você pode dar este endereço para as pessoas e eles podem visitar sua grade")</f>
        <v>Você pode dar este endereço para as pessoas e eles podem visitar sua grade</v>
      </c>
      <c r="F318" s="11" t="str">
        <f ca="1">IFERROR(__xludf.DUMMYFUNCTION("GOOGLETRANSLATE($B318,""en"",F$3)"),"Você pode dar este endereço para as pessoas e eles podem visitar sua grade")</f>
        <v>Você pode dar este endereço para as pessoas e eles podem visitar sua grade</v>
      </c>
      <c r="G318" s="11" t="str">
        <f ca="1">IFERROR(__xludf.DUMMYFUNCTION("GOOGLETRANSLATE($B318,""en"",G$3)"),"Vous pouvez donner cette adresse aux gens et ils peuvent visiter votre réseau")</f>
        <v>Vous pouvez donner cette adresse aux gens et ils peuvent visiter votre réseau</v>
      </c>
      <c r="H318" s="11" t="str">
        <f ca="1">IFERROR(__xludf.DUMMYFUNCTION("GOOGLETRANSLATE($B318,""en"",H$3)"),"helbide honetan eman ahal izango duzu pertsona eta Saretak bisitatu ahal izango dute")</f>
        <v>helbide honetan eman ahal izango duzu pertsona eta Saretak bisitatu ahal izango dute</v>
      </c>
      <c r="I318" s="11" t="str">
        <f ca="1">IFERROR(__xludf.DUMMYFUNCTION("GOOGLETRANSLATE($B318,""en"",I$3)"),"Es pot donar aquesta direcció a la gent i que es pot visitar al seu grilla")</f>
        <v>Es pot donar aquesta direcció a la gent i que es pot visitar al seu grilla</v>
      </c>
      <c r="J318" s="11" t="str">
        <f ca="1">IFERROR(__xludf.DUMMYFUNCTION("GOOGLETRANSLATE($B318,""en"",J$3)"),"Můžete uvést tuto adresu k lidem a oni mohou navštívit svého mřížku")</f>
        <v>Můžete uvést tuto adresu k lidem a oni mohou navštívit svého mřížku</v>
      </c>
      <c r="K318" s="11" t="str">
        <f ca="1">IFERROR(__xludf.DUMMYFUNCTION("GOOGLETRANSLATE($B318,""en"",K$3)"),"你可以给这个地址出去的人，他们可以访问你的网格")</f>
        <v>你可以给这个地址出去的人，他们可以访问你的网格</v>
      </c>
      <c r="L318" s="11" t="str">
        <f ca="1">IFERROR(__xludf.DUMMYFUNCTION("GOOGLETRANSLATE($B318,""en"",L$3)"),"你可以給這個地址出去的人，他們可以訪問你的網格")</f>
        <v>你可以給這個地址出去的人，他們可以訪問你的網格</v>
      </c>
      <c r="M318" s="11" t="str">
        <f ca="1">IFERROR(__xludf.DUMMYFUNCTION("GOOGLETRANSLATE($B318,""en"",M$3)"),"U kunt dit adres te geven aan mensen en ze kunnen je net een bezoek")</f>
        <v>U kunt dit adres te geven aan mensen en ze kunnen je net een bezoek</v>
      </c>
      <c r="N318" s="11" t="str">
        <f ca="1">IFERROR(__xludf.DUMMYFUNCTION("GOOGLETRANSLATE($B318,""en"",N$3)"),"Μπορείτε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O318" s="11" t="str">
        <f ca="1">IFERROR(__xludf.DUMMYFUNCTION("GOOGLETRANSLATE($B318,""en"",O$3)"),"Voit antaa tämän osoitteen ulos ihmisiä ja he voivat käydä verkkoon")</f>
        <v>Voit antaa tämän osoitteen ulos ihmisiä ja he voivat käydä verkkoon</v>
      </c>
      <c r="P318" s="11" t="str">
        <f ca="1">IFERROR(__xludf.DUMMYFUNCTION("GOOGLETRANSLATE($B318,""en"",P$3)"),"Is féidir leat a thabhairt ar an seoladh gcrích go dtí daoine agus is féidir leo cuairt a thabhairt ar do greille")</f>
        <v>Is féidir leat a thabhairt ar an seoladh gcrích go dtí daoine agus is féidir leo cuairt a thabhairt ar do greille</v>
      </c>
      <c r="Q318" s="11" t="str">
        <f ca="1">IFERROR(__xludf.DUMMYFUNCTION("GOOGLETRANSLATE($B318,""en"",Q$3)"),"شما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R318" s="11" t="str">
        <f ca="1">IFERROR(__xludf.DUMMYFUNCTION("GOOGLETRANSLATE($B318,""en"",R$3)"),"אתה יכול לתת את הכתובת הזו החוצה לאנשים והם יכולים לבקר הרשת שלך")</f>
        <v>אתה יכול לתת את הכתובת הזו החוצה לאנשים והם יכולים לבקר הרשת שלך</v>
      </c>
      <c r="S318" s="11" t="str">
        <f ca="1">IFERROR(__xludf.DUMMYFUNCTION("GOOGLETRANSLATE($B318,""en"",S$3)"),"Þú getur gefið þetta heimilisfang út til fólks og þeir geta heimsótt rist þig")</f>
        <v>Þú getur gefið þetta heimilisfang út til fólks og þeir geta heimsótt rist þig</v>
      </c>
      <c r="T318" s="11" t="str">
        <f ca="1">IFERROR(__xludf.DUMMYFUNCTION("GOOGLETRANSLATE($B318,""en"",T$3)"),"Du kan gi denne adressen ut til folk, og de kan gå til rutenett")</f>
        <v>Du kan gi denne adressen ut til folk, og de kan gå til rutenett</v>
      </c>
      <c r="U318" s="11" t="str">
        <f ca="1">IFERROR(__xludf.DUMMYFUNCTION("GOOGLETRANSLATE($B318,""en"",U$3)"),"يمكنك ان تعطي هذا العنوان إلى الناس، ويمكن زيارة الشبكة الخاصة بك")</f>
        <v>يمكنك ان تعطي هذا العنوان إلى الناس، ويمكن زيارة الشبكة الخاصة بك</v>
      </c>
      <c r="V318" s="11" t="str">
        <f ca="1">IFERROR(__xludf.DUMMYFUNCTION("GOOGLETRANSLATE($B318,""en"",V$3)"),"Można podać ten adres do ludzi i mogą odwiedzić swoją siatkę")</f>
        <v>Można podać ten adres do ludzi i mogą odwiedzić swoją siatkę</v>
      </c>
      <c r="W318" s="11" t="str">
        <f ca="1">IFERROR(__xludf.DUMMYFUNCTION("GOOGLETRANSLATE($B318,""en"",W$3)"),"Вы можете дать этот адрес к людям, и они могут посетить вашу сетку")</f>
        <v>Вы можете дать этот адрес к людям, и они могут посетить вашу сетку</v>
      </c>
      <c r="X318" s="11" t="str">
        <f ca="1">IFERROR(__xludf.DUMMYFUNCTION("GOOGLETRANSLATE($B318,""en"",X$3)"),"Se puede dar esta dirección a la gente y que se puede visitar a su grilla")</f>
        <v>Se puede dar esta dirección a la gente y que se puede visitar a su grilla</v>
      </c>
      <c r="Y318" s="11"/>
      <c r="Z318" s="11"/>
    </row>
    <row r="319" spans="1:26" ht="32.25" customHeight="1" x14ac:dyDescent="0.2">
      <c r="A319" s="10" t="s">
        <v>752</v>
      </c>
      <c r="B319" s="10" t="s">
        <v>753</v>
      </c>
      <c r="C319" s="11" t="str">
        <f ca="1">IFERROR(__xludf.DUMMYFUNCTION("GOOGLETRANSLATE($B319,""en"",C$3)"),"Grid-Adresse")</f>
        <v>Grid-Adresse</v>
      </c>
      <c r="D319" s="11" t="str">
        <f ca="1">IFERROR(__xludf.DUMMYFUNCTION("GOOGLETRANSLATE($B319,""en"",D$3)"),"Grid-adress")</f>
        <v>Grid-adress</v>
      </c>
      <c r="E319" s="11" t="str">
        <f ca="1">IFERROR(__xludf.DUMMYFUNCTION("GOOGLETRANSLATE($B319,""en"",E$3)"),"endereço de grade")</f>
        <v>endereço de grade</v>
      </c>
      <c r="F319" s="11" t="str">
        <f ca="1">IFERROR(__xludf.DUMMYFUNCTION("GOOGLETRANSLATE($B319,""en"",F$3)"),"endereço de grade")</f>
        <v>endereço de grade</v>
      </c>
      <c r="G319" s="11" t="str">
        <f ca="1">IFERROR(__xludf.DUMMYFUNCTION("GOOGLETRANSLATE($B319,""en"",G$3)"),"adresse réseau")</f>
        <v>adresse réseau</v>
      </c>
      <c r="H319" s="11" t="str">
        <f ca="1">IFERROR(__xludf.DUMMYFUNCTION("GOOGLETRANSLATE($B319,""en"",H$3)"),"Grid helbidea")</f>
        <v>Grid helbidea</v>
      </c>
      <c r="I319" s="11" t="str">
        <f ca="1">IFERROR(__xludf.DUMMYFUNCTION("GOOGLETRANSLATE($B319,""en"",I$3)"),"direcció de reixeta")</f>
        <v>direcció de reixeta</v>
      </c>
      <c r="J319" s="11" t="str">
        <f ca="1">IFERROR(__xludf.DUMMYFUNCTION("GOOGLETRANSLATE($B319,""en"",J$3)"),"adresa Grid")</f>
        <v>adresa Grid</v>
      </c>
      <c r="K319" s="11" t="str">
        <f ca="1">IFERROR(__xludf.DUMMYFUNCTION("GOOGLETRANSLATE($B319,""en"",K$3)"),"网地址")</f>
        <v>网地址</v>
      </c>
      <c r="L319" s="11" t="str">
        <f ca="1">IFERROR(__xludf.DUMMYFUNCTION("GOOGLETRANSLATE($B319,""en"",L$3)"),"網地址")</f>
        <v>網地址</v>
      </c>
      <c r="M319" s="11" t="str">
        <f ca="1">IFERROR(__xludf.DUMMYFUNCTION("GOOGLETRANSLATE($B319,""en"",M$3)"),"Grid adres")</f>
        <v>Grid adres</v>
      </c>
      <c r="N319" s="11" t="str">
        <f ca="1">IFERROR(__xludf.DUMMYFUNCTION("GOOGLETRANSLATE($B319,""en"",N$3)"),"διεύθυνση Πλέγμα")</f>
        <v>διεύθυνση Πλέγμα</v>
      </c>
      <c r="O319" s="11" t="str">
        <f ca="1">IFERROR(__xludf.DUMMYFUNCTION("GOOGLETRANSLATE($B319,""en"",O$3)"),"Grid-osoite")</f>
        <v>Grid-osoite</v>
      </c>
      <c r="P319" s="11" t="str">
        <f ca="1">IFERROR(__xludf.DUMMYFUNCTION("GOOGLETRANSLATE($B319,""en"",P$3)"),"seoladh Greille")</f>
        <v>seoladh Greille</v>
      </c>
      <c r="Q319" s="11" t="str">
        <f ca="1">IFERROR(__xludf.DUMMYFUNCTION("GOOGLETRANSLATE($B319,""en"",Q$3)"),"آدرس شبکه")</f>
        <v>آدرس شبکه</v>
      </c>
      <c r="R319" s="11" t="str">
        <f ca="1">IFERROR(__xludf.DUMMYFUNCTION("GOOGLETRANSLATE($B319,""en"",R$3)"),"גריד כתובת")</f>
        <v>גריד כתובת</v>
      </c>
      <c r="S319" s="11" t="str">
        <f ca="1">IFERROR(__xludf.DUMMYFUNCTION("GOOGLETRANSLATE($B319,""en"",S$3)"),"Tafla netfang")</f>
        <v>Tafla netfang</v>
      </c>
      <c r="T319" s="11" t="str">
        <f ca="1">IFERROR(__xludf.DUMMYFUNCTION("GOOGLETRANSLATE($B319,""en"",T$3)"),"Grid-adresse")</f>
        <v>Grid-adresse</v>
      </c>
      <c r="U319" s="11" t="str">
        <f ca="1">IFERROR(__xludf.DUMMYFUNCTION("GOOGLETRANSLATE($B319,""en"",U$3)"),"عنوان الشبكة")</f>
        <v>عنوان الشبكة</v>
      </c>
      <c r="V319" s="11" t="str">
        <f ca="1">IFERROR(__xludf.DUMMYFUNCTION("GOOGLETRANSLATE($B319,""en"",V$3)"),"adres sieci")</f>
        <v>adres sieci</v>
      </c>
      <c r="W319" s="11" t="str">
        <f ca="1">IFERROR(__xludf.DUMMYFUNCTION("GOOGLETRANSLATE($B319,""en"",W$3)"),"Сетка адрес")</f>
        <v>Сетка адрес</v>
      </c>
      <c r="X319" s="11" t="str">
        <f ca="1">IFERROR(__xludf.DUMMYFUNCTION("GOOGLETRANSLATE($B319,""en"",X$3)"),"dirección de rejilla")</f>
        <v>dirección de rejilla</v>
      </c>
    </row>
    <row r="320" spans="1:26" ht="32.25" customHeight="1" x14ac:dyDescent="0.2">
      <c r="A320" s="17" t="s">
        <v>754</v>
      </c>
      <c r="B320" s="17" t="s">
        <v>755</v>
      </c>
      <c r="C320" s="11" t="str">
        <f ca="1">IFERROR(__xludf.DUMMYFUNCTION("GOOGLETRANSLATE($B320,""en"",C$3)"),"Grid-Server Mit Robust")</f>
        <v>Grid-Server Mit Robust</v>
      </c>
      <c r="D320" s="12" t="str">
        <f ca="1">IFERROR(__xludf.DUMMYFUNCTION("GOOGLETRANSLATE($B318,""en"",D$3)"),"Du kan ge den här adressen ut till människor och de kan besöka din grid")</f>
        <v>Du kan ge den här adressen ut till människor och de kan besöka din grid</v>
      </c>
      <c r="E320" s="12" t="str">
        <f ca="1">IFERROR(__xludf.DUMMYFUNCTION("GOOGLETRANSLATE($B318,""en"",E$3)"),"Você pode dar este endereço para as pessoas e eles podem visitar sua grade")</f>
        <v>Você pode dar este endereço para as pessoas e eles podem visitar sua grade</v>
      </c>
      <c r="F320" s="12" t="str">
        <f ca="1">IFERROR(__xludf.DUMMYFUNCTION("GOOGLETRANSLATE($B318,""en"",F$3)"),"Você pode dar este endereço para as pessoas e eles podem visitar sua grade")</f>
        <v>Você pode dar este endereço para as pessoas e eles podem visitar sua grade</v>
      </c>
      <c r="G320" s="12" t="str">
        <f ca="1">IFERROR(__xludf.DUMMYFUNCTION("GOOGLETRANSLATE($B318,""en"",G$3)"),"Vous pouvez donner cette adresse aux gens et ils peuvent visiter votre réseau")</f>
        <v>Vous pouvez donner cette adresse aux gens et ils peuvent visiter votre réseau</v>
      </c>
      <c r="H320" s="12" t="str">
        <f ca="1">IFERROR(__xludf.DUMMYFUNCTION("GOOGLETRANSLATE($B318,""en"",H$3)"),"helbide honetan eman ahal izango duzu pertsona eta Saretak bisitatu ahal izango dute")</f>
        <v>helbide honetan eman ahal izango duzu pertsona eta Saretak bisitatu ahal izango dute</v>
      </c>
      <c r="I320" s="12" t="str">
        <f ca="1">IFERROR(__xludf.DUMMYFUNCTION("GOOGLETRANSLATE($B318,""en"",I$3)"),"Es pot donar aquesta direcció a la gent i que es pot visitar al seu grilla")</f>
        <v>Es pot donar aquesta direcció a la gent i que es pot visitar al seu grilla</v>
      </c>
      <c r="J320" s="12" t="str">
        <f ca="1">IFERROR(__xludf.DUMMYFUNCTION("GOOGLETRANSLATE($B318,""en"",J$3)"),"Můžete uvést tuto adresu k lidem a oni mohou navštívit svého mřížku")</f>
        <v>Můžete uvést tuto adresu k lidem a oni mohou navštívit svého mřížku</v>
      </c>
      <c r="K320" s="12" t="str">
        <f ca="1">IFERROR(__xludf.DUMMYFUNCTION("GOOGLETRANSLATE($B318,""en"",K$3)"),"你可以给这个地址出去的人，他们可以访问你的网格")</f>
        <v>你可以给这个地址出去的人，他们可以访问你的网格</v>
      </c>
      <c r="L320" s="12" t="str">
        <f ca="1">IFERROR(__xludf.DUMMYFUNCTION("GOOGLETRANSLATE($B318,""en"",L$3)"),"你可以給這個地址出去的人，他們可以訪問你的網格")</f>
        <v>你可以給這個地址出去的人，他們可以訪問你的網格</v>
      </c>
      <c r="M320" s="12" t="str">
        <f ca="1">IFERROR(__xludf.DUMMYFUNCTION("GOOGLETRANSLATE($B318,""en"",M$3)"),"U kunt dit adres te geven aan mensen en ze kunnen je net een bezoek")</f>
        <v>U kunt dit adres te geven aan mensen en ze kunnen je net een bezoek</v>
      </c>
      <c r="N320" s="12" t="str">
        <f ca="1">IFERROR(__xludf.DUMMYFUNCTION("GOOGLETRANSLATE($B318,""en"",N$3)"),"Μπορείτε να δώσετε αυτή τη διεύθυνση στους ανθρώπους και μπορούν να επισκεφθούν δικτύου σας")</f>
        <v>Μπορείτε να δώσετε αυτή τη διεύθυνση στους ανθρώπους και μπορούν να επισκεφθούν δικτύου σας</v>
      </c>
      <c r="O320" s="12" t="str">
        <f ca="1">IFERROR(__xludf.DUMMYFUNCTION("GOOGLETRANSLATE($B318,""en"",O$3)"),"Voit antaa tämän osoitteen ulos ihmisiä ja he voivat käydä verkkoon")</f>
        <v>Voit antaa tämän osoitteen ulos ihmisiä ja he voivat käydä verkkoon</v>
      </c>
      <c r="P320" s="12" t="str">
        <f ca="1">IFERROR(__xludf.DUMMYFUNCTION("GOOGLETRANSLATE($B318,""en"",P$3)"),"Is féidir leat a thabhairt ar an seoladh gcrích go dtí daoine agus is féidir leo cuairt a thabhairt ar do greille")</f>
        <v>Is féidir leat a thabhairt ar an seoladh gcrích go dtí daoine agus is féidir leo cuairt a thabhairt ar do greille</v>
      </c>
      <c r="Q320" s="12" t="str">
        <f ca="1">IFERROR(__xludf.DUMMYFUNCTION("GOOGLETRANSLATE($B318,""en"",Q$3)"),"شما می توانید این آدرس را به مردم می دهد و آنها می توانید شبکه خود مراجعه کنید")</f>
        <v>شما می توانید این آدرس را به مردم می دهد و آنها می توانید شبکه خود مراجعه کنید</v>
      </c>
      <c r="R320" s="12" t="str">
        <f ca="1">IFERROR(__xludf.DUMMYFUNCTION("GOOGLETRANSLATE($B318,""en"",R$3)"),"אתה יכול לתת את הכתובת הזו החוצה לאנשים והם יכולים לבקר הרשת שלך")</f>
        <v>אתה יכול לתת את הכתובת הזו החוצה לאנשים והם יכולים לבקר הרשת שלך</v>
      </c>
      <c r="S320" s="12" t="str">
        <f ca="1">IFERROR(__xludf.DUMMYFUNCTION("GOOGLETRANSLATE($B318,""en"",S$3)"),"Þú getur gefið þetta heimilisfang út til fólks og þeir geta heimsótt rist þig")</f>
        <v>Þú getur gefið þetta heimilisfang út til fólks og þeir geta heimsótt rist þig</v>
      </c>
      <c r="T320" s="12" t="str">
        <f ca="1">IFERROR(__xludf.DUMMYFUNCTION("GOOGLETRANSLATE($B318,""en"",T$3)"),"Du kan gi denne adressen ut til folk, og de kan gå til rutenett")</f>
        <v>Du kan gi denne adressen ut til folk, og de kan gå til rutenett</v>
      </c>
      <c r="U320" s="12" t="str">
        <f ca="1">IFERROR(__xludf.DUMMYFUNCTION("GOOGLETRANSLATE($B318,""en"",U$3)"),"يمكنك ان تعطي هذا العنوان إلى الناس، ويمكن زيارة الشبكة الخاصة بك")</f>
        <v>يمكنك ان تعطي هذا العنوان إلى الناس، ويمكن زيارة الشبكة الخاصة بك</v>
      </c>
      <c r="V320" s="12" t="str">
        <f ca="1">IFERROR(__xludf.DUMMYFUNCTION("GOOGLETRANSLATE($B318,""en"",V$3)"),"Można podać ten adres do ludzi i mogą odwiedzić swoją siatkę")</f>
        <v>Można podać ten adres do ludzi i mogą odwiedzić swoją siatkę</v>
      </c>
      <c r="W320" s="12" t="str">
        <f ca="1">IFERROR(__xludf.DUMMYFUNCTION("GOOGLETRANSLATE($B318,""en"",W$3)"),"Вы можете дать этот адрес к людям, и они могут посетить вашу сетку")</f>
        <v>Вы можете дать этот адрес к людям, и они могут посетить вашу сетку</v>
      </c>
      <c r="X320" s="12" t="str">
        <f ca="1">IFERROR(__xludf.DUMMYFUNCTION("GOOGLETRANSLATE($B318,""en"",X$3)"),"Se puede dar esta dirección a la gente y que se puede visitar a su grilla")</f>
        <v>Se puede dar esta dirección a la gente y que se puede visitar a su grilla</v>
      </c>
      <c r="Y320" s="12"/>
      <c r="Z320" s="12"/>
    </row>
    <row r="321" spans="1:26" ht="32.25" customHeight="1" x14ac:dyDescent="0.2">
      <c r="A321" s="17" t="s">
        <v>756</v>
      </c>
      <c r="B321" s="17" t="s">
        <v>757</v>
      </c>
      <c r="C321" s="18" t="s">
        <v>758</v>
      </c>
      <c r="D321" s="12" t="str">
        <f ca="1">IFERROR(__xludf.DUMMYFUNCTION("GOOGLETRANSLATE($B320,""en"",D$3)"),"Grid Server med robusta")</f>
        <v>Grid Server med robusta</v>
      </c>
      <c r="E321" s="12" t="str">
        <f ca="1">IFERROR(__xludf.DUMMYFUNCTION("GOOGLETRANSLATE($B320,""en"",E$3)"),"Grade do servidor com o robusto")</f>
        <v>Grade do servidor com o robusto</v>
      </c>
      <c r="F321" s="12" t="str">
        <f ca="1">IFERROR(__xludf.DUMMYFUNCTION("GOOGLETRANSLATE($B320,""en"",F$3)"),"Grade do servidor com o robusto")</f>
        <v>Grade do servidor com o robusto</v>
      </c>
      <c r="G321" s="12" t="str">
        <f ca="1">IFERROR(__xludf.DUMMYFUNCTION("GOOGLETRANSLATE($B320,""en"",G$3)"),"Grille serveur avec robuste")</f>
        <v>Grille serveur avec robuste</v>
      </c>
      <c r="H321" s="12" t="str">
        <f ca="1">IFERROR(__xludf.DUMMYFUNCTION("GOOGLETRANSLATE($B320,""en"",H$3)"),"Grid Server Sendoa With")</f>
        <v>Grid Server Sendoa With</v>
      </c>
      <c r="I321" s="12" t="str">
        <f ca="1">IFERROR(__xludf.DUMMYFUNCTION("GOOGLETRANSLATE($B320,""en"",I$3)"),"Amb reixeta servidor robust")</f>
        <v>Amb reixeta servidor robust</v>
      </c>
      <c r="J321" s="12" t="str">
        <f ca="1">IFERROR(__xludf.DUMMYFUNCTION("GOOGLETRANSLATE($B320,""en"",J$3)"),"Grid Server S Robustní")</f>
        <v>Grid Server S Robustní</v>
      </c>
      <c r="K321" s="12" t="str">
        <f ca="1">IFERROR(__xludf.DUMMYFUNCTION("GOOGLETRANSLATE($B320,""en"",K$3)"),"网格服务器具有强大的")</f>
        <v>网格服务器具有强大的</v>
      </c>
      <c r="L321" s="12" t="str">
        <f ca="1">IFERROR(__xludf.DUMMYFUNCTION("GOOGLETRANSLATE($B320,""en"",L$3)"),"網格服務器具有強大的")</f>
        <v>網格服務器具有強大的</v>
      </c>
      <c r="M321" s="12" t="str">
        <f ca="1">IFERROR(__xludf.DUMMYFUNCTION("GOOGLETRANSLATE($B320,""en"",M$3)"),"Grid Server met robuuste")</f>
        <v>Grid Server met robuuste</v>
      </c>
      <c r="N321" s="12" t="str">
        <f ca="1">IFERROR(__xludf.DUMMYFUNCTION("GOOGLETRANSLATE($B320,""en"",N$3)"),"Πλέγμα Server με Στιβαρή")</f>
        <v>Πλέγμα Server με Στιβαρή</v>
      </c>
      <c r="O321" s="12" t="str">
        <f ca="1">IFERROR(__xludf.DUMMYFUNCTION("GOOGLETRANSLATE($B320,""en"",O$3)"),"Grid Server Vankkojen")</f>
        <v>Grid Server Vankkojen</v>
      </c>
      <c r="P321" s="12" t="str">
        <f ca="1">IFERROR(__xludf.DUMMYFUNCTION("GOOGLETRANSLATE($B320,""en"",P$3)"),"Greille Freastalaí Le Láidir")</f>
        <v>Greille Freastalaí Le Láidir</v>
      </c>
      <c r="Q321" s="12" t="str">
        <f ca="1">IFERROR(__xludf.DUMMYFUNCTION("GOOGLETRANSLATE($B320,""en"",Q$3)"),"شبکه سرور با قوی")</f>
        <v>شبکه سرور با قوی</v>
      </c>
      <c r="R321" s="12" t="str">
        <f ca="1">IFERROR(__xludf.DUMMYFUNCTION("GOOGLETRANSLATE($B320,""en"",R$3)"),"Grid שרת עם חזק")</f>
        <v>Grid שרת עם חזק</v>
      </c>
      <c r="S321" s="12" t="str">
        <f ca="1">IFERROR(__xludf.DUMMYFUNCTION("GOOGLETRANSLATE($B320,""en"",S$3)"),"Grid Server Með sterkur")</f>
        <v>Grid Server Með sterkur</v>
      </c>
      <c r="T321" s="12" t="str">
        <f ca="1">IFERROR(__xludf.DUMMYFUNCTION("GOOGLETRANSLATE($B320,""en"",T$3)"),"Grid Server med Robust")</f>
        <v>Grid Server med Robust</v>
      </c>
      <c r="U321" s="12" t="str">
        <f ca="1">IFERROR(__xludf.DUMMYFUNCTION("GOOGLETRANSLATE($B320,""en"",U$3)"),"شبكة الخادم وقوية")</f>
        <v>شبكة الخادم وقوية</v>
      </c>
      <c r="V321" s="12" t="str">
        <f ca="1">IFERROR(__xludf.DUMMYFUNCTION("GOOGLETRANSLATE($B320,""en"",V$3)"),"Siatka Server z Mocna")</f>
        <v>Siatka Server z Mocna</v>
      </c>
      <c r="W321" s="12" t="str">
        <f ca="1">IFERROR(__xludf.DUMMYFUNCTION("GOOGLETRANSLATE($B320,""en"",W$3)"),"Сетка-сервер С Robust")</f>
        <v>Сетка-сервер С Robust</v>
      </c>
      <c r="X321" s="12" t="str">
        <f ca="1">IFERROR(__xludf.DUMMYFUNCTION("GOOGLETRANSLATE($B320,""en"",X$3)"),"Con rejilla servidor robusto")</f>
        <v>Con rejilla servidor robusto</v>
      </c>
      <c r="Y321" s="12"/>
      <c r="Z321" s="12"/>
    </row>
    <row r="322" spans="1:26" ht="32.25" customHeight="1" x14ac:dyDescent="0.2">
      <c r="A322" s="17" t="s">
        <v>759</v>
      </c>
      <c r="B322" s="17" t="s">
        <v>760</v>
      </c>
      <c r="C322" s="18" t="s">
        <v>761</v>
      </c>
      <c r="D322" s="12" t="str">
        <f ca="1">IFERROR(__xludf.DUMMYFUNCTION("GOOGLETRANSLATE($B321,""en"",D$3)"),"Grid TCP Port är inställda")</f>
        <v>Grid TCP Port är inställda</v>
      </c>
      <c r="E322" s="12" t="str">
        <f ca="1">IFERROR(__xludf.DUMMYFUNCTION("GOOGLETRANSLATE($B321,""en"",E$3)"),"Grade TCP porta está definida")</f>
        <v>Grade TCP porta está definida</v>
      </c>
      <c r="F322" s="12" t="str">
        <f ca="1">IFERROR(__xludf.DUMMYFUNCTION("GOOGLETRANSLATE($B321,""en"",F$3)"),"Grade TCP porta está definida")</f>
        <v>Grade TCP porta está definida</v>
      </c>
      <c r="G322" s="12" t="str">
        <f ca="1">IFERROR(__xludf.DUMMYFUNCTION("GOOGLETRANSLATE($B321,""en"",G$3)"),"Grille TCP port est défini")</f>
        <v>Grille TCP port est défini</v>
      </c>
      <c r="H322" s="12" t="str">
        <f ca="1">IFERROR(__xludf.DUMMYFUNCTION("GOOGLETRANSLATE($B321,""en"",H$3)"),"Grid TCP Port multzoa da")</f>
        <v>Grid TCP Port multzoa da</v>
      </c>
      <c r="I322" s="12" t="str">
        <f ca="1">IFERROR(__xludf.DUMMYFUNCTION("GOOGLETRANSLATE($B321,""en"",I$3)"),"Reixeta de port TCP és conjunt")</f>
        <v>Reixeta de port TCP és conjunt</v>
      </c>
      <c r="J322" s="12" t="str">
        <f ca="1">IFERROR(__xludf.DUMMYFUNCTION("GOOGLETRANSLATE($B321,""en"",J$3)"),"Grid TCP port nastaven")</f>
        <v>Grid TCP port nastaven</v>
      </c>
      <c r="K322" s="12" t="str">
        <f ca="1">IFERROR(__xludf.DUMMYFUNCTION("GOOGLETRANSLATE($B321,""en"",K$3)"),"电网TCP端口设置")</f>
        <v>电网TCP端口设置</v>
      </c>
      <c r="L322" s="12" t="str">
        <f ca="1">IFERROR(__xludf.DUMMYFUNCTION("GOOGLETRANSLATE($B321,""en"",L$3)"),"電網TCP端口設置")</f>
        <v>電網TCP端口設置</v>
      </c>
      <c r="M322" s="12" t="str">
        <f ca="1">IFERROR(__xludf.DUMMYFUNCTION("GOOGLETRANSLATE($B321,""en"",M$3)"),"Grid TCP poort is ingesteld")</f>
        <v>Grid TCP poort is ingesteld</v>
      </c>
      <c r="N322" s="12" t="str">
        <f ca="1">IFERROR(__xludf.DUMMYFUNCTION("GOOGLETRANSLATE($B321,""en"",N$3)"),"Πλέγμα TCP Port είναι σύνολο")</f>
        <v>Πλέγμα TCP Port είναι σύνολο</v>
      </c>
      <c r="O322" s="12" t="str">
        <f ca="1">IFERROR(__xludf.DUMMYFUNCTION("GOOGLETRANSLATE($B321,""en"",O$3)"),"Grid TCP-portti on asetettu")</f>
        <v>Grid TCP-portti on asetettu</v>
      </c>
      <c r="P322" s="12" t="str">
        <f ca="1">IFERROR(__xludf.DUMMYFUNCTION("GOOGLETRANSLATE($B321,""en"",P$3)"),"Is Eangach TCP Port leagtha")</f>
        <v>Is Eangach TCP Port leagtha</v>
      </c>
      <c r="Q322" s="12" t="str">
        <f ca="1">IFERROR(__xludf.DUMMYFUNCTION("GOOGLETRANSLATE($B321,""en"",Q$3)"),"شبکه TCP Port را تعیین است")</f>
        <v>شبکه TCP Port را تعیین است</v>
      </c>
      <c r="R322" s="12" t="str">
        <f ca="1">IFERROR(__xludf.DUMMYFUNCTION("GOOGLETRANSLATE($B321,""en"",R$3)"),"רשת TCP היציאה מוגדרת")</f>
        <v>רשת TCP היציאה מוגדרת</v>
      </c>
      <c r="S322" s="12" t="str">
        <f ca="1">IFERROR(__xludf.DUMMYFUNCTION("GOOGLETRANSLATE($B321,""en"",S$3)"),"Tafla TCP Port er sett")</f>
        <v>Tafla TCP Port er sett</v>
      </c>
      <c r="T322" s="12" t="str">
        <f ca="1">IFERROR(__xludf.DUMMYFUNCTION("GOOGLETRANSLATE($B321,""en"",T$3)"),"Grid TCP Port er sett")</f>
        <v>Grid TCP Port er sett</v>
      </c>
      <c r="U322" s="12" t="str">
        <f ca="1">IFERROR(__xludf.DUMMYFUNCTION("GOOGLETRANSLATE($B321,""en"",U$3)"),"ميناء الشبكة TCP هو مجموعة")</f>
        <v>ميناء الشبكة TCP هو مجموعة</v>
      </c>
      <c r="V322" s="12" t="str">
        <f ca="1">IFERROR(__xludf.DUMMYFUNCTION("GOOGLETRANSLATE($B321,""en"",V$3)"),"Siatka TCP port jest ustawiony")</f>
        <v>Siatka TCP port jest ustawiony</v>
      </c>
      <c r="W322" s="12" t="str">
        <f ca="1">IFERROR(__xludf.DUMMYFUNCTION("GOOGLETRANSLATE($B321,""en"",W$3)"),"Сетка TCP Порт набор")</f>
        <v>Сетка TCP Порт набор</v>
      </c>
      <c r="X322" s="12" t="str">
        <f ca="1">IFERROR(__xludf.DUMMYFUNCTION("GOOGLETRANSLATE($B321,""en"",X$3)"),"Rejilla de puerto TCP es conjunto")</f>
        <v>Rejilla de puerto TCP es conjunto</v>
      </c>
      <c r="Y322" s="12"/>
      <c r="Z322" s="12"/>
    </row>
    <row r="323" spans="1:26" ht="32.25" customHeight="1" x14ac:dyDescent="0.2">
      <c r="A323" s="10" t="s">
        <v>762</v>
      </c>
      <c r="B323" s="10" t="s">
        <v>763</v>
      </c>
      <c r="C323" s="11" t="str">
        <f ca="1">IFERROR(__xludf.DUMMYFUNCTION("GOOGLETRANSLATE($B323,""en"",C$3)"),"Gruppe")</f>
        <v>Gruppe</v>
      </c>
      <c r="D323" s="11" t="str">
        <f ca="1">IFERROR(__xludf.DUMMYFUNCTION("GOOGLETRANSLATE($B323,""en"",D$3)"),"Grupp")</f>
        <v>Grupp</v>
      </c>
      <c r="E323" s="11" t="str">
        <f ca="1">IFERROR(__xludf.DUMMYFUNCTION("GOOGLETRANSLATE($B323,""en"",E$3)"),"Grupo")</f>
        <v>Grupo</v>
      </c>
      <c r="F323" s="11" t="str">
        <f ca="1">IFERROR(__xludf.DUMMYFUNCTION("GOOGLETRANSLATE($B323,""en"",F$3)"),"Grupo")</f>
        <v>Grupo</v>
      </c>
      <c r="G323" s="11" t="str">
        <f ca="1">IFERROR(__xludf.DUMMYFUNCTION("GOOGLETRANSLATE($B323,""en"",G$3)"),"Groupe")</f>
        <v>Groupe</v>
      </c>
      <c r="H323" s="11" t="str">
        <f ca="1">IFERROR(__xludf.DUMMYFUNCTION("GOOGLETRANSLATE($B323,""en"",H$3)"),"Group")</f>
        <v>Group</v>
      </c>
      <c r="I323" s="11" t="str">
        <f ca="1">IFERROR(__xludf.DUMMYFUNCTION("GOOGLETRANSLATE($B323,""en"",I$3)"),"grup")</f>
        <v>grup</v>
      </c>
      <c r="J323" s="11" t="str">
        <f ca="1">IFERROR(__xludf.DUMMYFUNCTION("GOOGLETRANSLATE($B323,""en"",J$3)"),"Skupina")</f>
        <v>Skupina</v>
      </c>
      <c r="K323" s="11" t="str">
        <f ca="1">IFERROR(__xludf.DUMMYFUNCTION("GOOGLETRANSLATE($B323,""en"",K$3)"),"组")</f>
        <v>组</v>
      </c>
      <c r="L323" s="11" t="str">
        <f ca="1">IFERROR(__xludf.DUMMYFUNCTION("GOOGLETRANSLATE($B323,""en"",L$3)"),"組")</f>
        <v>組</v>
      </c>
      <c r="M323" s="11" t="str">
        <f ca="1">IFERROR(__xludf.DUMMYFUNCTION("GOOGLETRANSLATE($B323,""en"",M$3)"),"Groep")</f>
        <v>Groep</v>
      </c>
      <c r="N323" s="11" t="str">
        <f ca="1">IFERROR(__xludf.DUMMYFUNCTION("GOOGLETRANSLATE($B323,""en"",N$3)"),"Ομάδα")</f>
        <v>Ομάδα</v>
      </c>
      <c r="O323" s="11" t="str">
        <f ca="1">IFERROR(__xludf.DUMMYFUNCTION("GOOGLETRANSLATE($B323,""en"",O$3)"),"Ryhmä")</f>
        <v>Ryhmä</v>
      </c>
      <c r="P323" s="11" t="str">
        <f ca="1">IFERROR(__xludf.DUMMYFUNCTION("GOOGLETRANSLATE($B323,""en"",P$3)"),"Grúpa")</f>
        <v>Grúpa</v>
      </c>
      <c r="Q323" s="11" t="str">
        <f ca="1">IFERROR(__xludf.DUMMYFUNCTION("GOOGLETRANSLATE($B323,""en"",Q$3)"),"گروه")</f>
        <v>گروه</v>
      </c>
      <c r="R323" s="11" t="str">
        <f ca="1">IFERROR(__xludf.DUMMYFUNCTION("GOOGLETRANSLATE($B323,""en"",R$3)"),"קְבוּצָה")</f>
        <v>קְבוּצָה</v>
      </c>
      <c r="S323" s="11" t="str">
        <f ca="1">IFERROR(__xludf.DUMMYFUNCTION("GOOGLETRANSLATE($B323,""en"",S$3)"),"Group")</f>
        <v>Group</v>
      </c>
      <c r="T323" s="11" t="str">
        <f ca="1">IFERROR(__xludf.DUMMYFUNCTION("GOOGLETRANSLATE($B323,""en"",T$3)"),"Gruppe")</f>
        <v>Gruppe</v>
      </c>
      <c r="U323" s="11" t="str">
        <f ca="1">IFERROR(__xludf.DUMMYFUNCTION("GOOGLETRANSLATE($B323,""en"",U$3)"),"مجموعة")</f>
        <v>مجموعة</v>
      </c>
      <c r="V323" s="11" t="str">
        <f ca="1">IFERROR(__xludf.DUMMYFUNCTION("GOOGLETRANSLATE($B323,""en"",V$3)"),"Grupa")</f>
        <v>Grupa</v>
      </c>
      <c r="W323" s="11" t="str">
        <f ca="1">IFERROR(__xludf.DUMMYFUNCTION("GOOGLETRANSLATE($B323,""en"",W$3)"),"группа")</f>
        <v>группа</v>
      </c>
      <c r="X323" s="11" t="str">
        <f ca="1">IFERROR(__xludf.DUMMYFUNCTION("GOOGLETRANSLATE($B323,""en"",X$3)"),"Grupo")</f>
        <v>Grupo</v>
      </c>
    </row>
    <row r="324" spans="1:26" ht="32.25" customHeight="1" x14ac:dyDescent="0.2">
      <c r="A324" s="17" t="s">
        <v>764</v>
      </c>
      <c r="B324" s="17" t="s">
        <v>765</v>
      </c>
      <c r="C324" s="21" t="str">
        <f ca="1">IFERROR(__xludf.DUMMYFUNCTION("GOOGLETRANSLATE($B324,""en"",C$3)"),"Die globalen Gezeiten Einstellungen werden in dieser Region gelten")</f>
        <v>Die globalen Gezeiten Einstellungen werden in dieser Region gelten</v>
      </c>
      <c r="D324" s="12" t="str">
        <f ca="1">IFERROR(__xludf.DUMMYFUNCTION("GOOGLETRANSLATE($B322,""en"",D$3)"),"Grid UDP Port är inställda")</f>
        <v>Grid UDP Port är inställda</v>
      </c>
      <c r="E324" s="12" t="str">
        <f ca="1">IFERROR(__xludf.DUMMYFUNCTION("GOOGLETRANSLATE($B322,""en"",E$3)"),"Grade UDP porta está definida")</f>
        <v>Grade UDP porta está definida</v>
      </c>
      <c r="F324" s="12" t="str">
        <f ca="1">IFERROR(__xludf.DUMMYFUNCTION("GOOGLETRANSLATE($B322,""en"",F$3)"),"Grade UDP porta está definida")</f>
        <v>Grade UDP porta está definida</v>
      </c>
      <c r="G324" s="12" t="str">
        <f ca="1">IFERROR(__xludf.DUMMYFUNCTION("GOOGLETRANSLATE($B322,""en"",G$3)"),"UDP réseau port est défini")</f>
        <v>UDP réseau port est défini</v>
      </c>
      <c r="H324" s="12" t="str">
        <f ca="1">IFERROR(__xludf.DUMMYFUNCTION("GOOGLETRANSLATE($B322,""en"",H$3)"),"Grid UDP Port multzoa da")</f>
        <v>Grid UDP Port multzoa da</v>
      </c>
      <c r="I324" s="12" t="str">
        <f ca="1">IFERROR(__xludf.DUMMYFUNCTION("GOOGLETRANSLATE($B322,""en"",I$3)"),"Reixeta UDP port s'estableix")</f>
        <v>Reixeta UDP port s'estableix</v>
      </c>
      <c r="J324" s="12" t="str">
        <f ca="1">IFERROR(__xludf.DUMMYFUNCTION("GOOGLETRANSLATE($B322,""en"",J$3)"),"Grid UDP port nastaven")</f>
        <v>Grid UDP port nastaven</v>
      </c>
      <c r="K324" s="12" t="str">
        <f ca="1">IFERROR(__xludf.DUMMYFUNCTION("GOOGLETRANSLATE($B322,""en"",K$3)"),"电网UDP端口设置")</f>
        <v>电网UDP端口设置</v>
      </c>
      <c r="L324" s="12" t="str">
        <f ca="1">IFERROR(__xludf.DUMMYFUNCTION("GOOGLETRANSLATE($B322,""en"",L$3)"),"電網UDP端口設置")</f>
        <v>電網UDP端口設置</v>
      </c>
      <c r="M324" s="12" t="str">
        <f ca="1">IFERROR(__xludf.DUMMYFUNCTION("GOOGLETRANSLATE($B322,""en"",M$3)"),"Grid UDP poort is ingesteld")</f>
        <v>Grid UDP poort is ingesteld</v>
      </c>
      <c r="N324" s="12" t="str">
        <f ca="1">IFERROR(__xludf.DUMMYFUNCTION("GOOGLETRANSLATE($B322,""en"",N$3)"),"Πλέγμα UDP Port είναι σύνολο")</f>
        <v>Πλέγμα UDP Port είναι σύνολο</v>
      </c>
      <c r="O324" s="12" t="str">
        <f ca="1">IFERROR(__xludf.DUMMYFUNCTION("GOOGLETRANSLATE($B322,""en"",O$3)"),"Grid UDP-portti on asetettu")</f>
        <v>Grid UDP-portti on asetettu</v>
      </c>
      <c r="P324" s="12" t="str">
        <f ca="1">IFERROR(__xludf.DUMMYFUNCTION("GOOGLETRANSLATE($B322,""en"",P$3)"),"Is Eangach UDP Port leagtha")</f>
        <v>Is Eangach UDP Port leagtha</v>
      </c>
      <c r="Q324" s="12" t="str">
        <f ca="1">IFERROR(__xludf.DUMMYFUNCTION("GOOGLETRANSLATE($B322,""en"",Q$3)"),"شبکه UDP پورت مجموعه ای است")</f>
        <v>شبکه UDP پورت مجموعه ای است</v>
      </c>
      <c r="R324" s="12" t="str">
        <f ca="1">IFERROR(__xludf.DUMMYFUNCTION("GOOGLETRANSLATE($B322,""en"",R$3)"),"רשת UDP Port הוא סט")</f>
        <v>רשת UDP Port הוא סט</v>
      </c>
      <c r="S324" s="12" t="str">
        <f ca="1">IFERROR(__xludf.DUMMYFUNCTION("GOOGLETRANSLATE($B322,""en"",S$3)"),"Tafla UDP Port er sett")</f>
        <v>Tafla UDP Port er sett</v>
      </c>
      <c r="T324" s="12" t="str">
        <f ca="1">IFERROR(__xludf.DUMMYFUNCTION("GOOGLETRANSLATE($B322,""en"",T$3)"),"Grid UDP Port er sett")</f>
        <v>Grid UDP Port er sett</v>
      </c>
      <c r="U324" s="12" t="str">
        <f ca="1">IFERROR(__xludf.DUMMYFUNCTION("GOOGLETRANSLATE($B322,""en"",U$3)"),"UDP ميناء الشبكة هي مجموعة")</f>
        <v>UDP ميناء الشبكة هي مجموعة</v>
      </c>
      <c r="V324" s="12" t="str">
        <f ca="1">IFERROR(__xludf.DUMMYFUNCTION("GOOGLETRANSLATE($B322,""en"",V$3)"),"Siatka UDP port jest ustawiony")</f>
        <v>Siatka UDP port jest ustawiony</v>
      </c>
      <c r="W324" s="12" t="str">
        <f ca="1">IFERROR(__xludf.DUMMYFUNCTION("GOOGLETRANSLATE($B322,""en"",W$3)"),"Сетка UDP Порт набор")</f>
        <v>Сетка UDP Порт набор</v>
      </c>
      <c r="X324" s="12" t="str">
        <f ca="1">IFERROR(__xludf.DUMMYFUNCTION("GOOGLETRANSLATE($B322,""en"",X$3)"),"Rejilla UDP puerto se establece")</f>
        <v>Rejilla UDP puerto se establece</v>
      </c>
      <c r="Y324" s="12"/>
      <c r="Z324" s="12"/>
    </row>
    <row r="325" spans="1:26" ht="32.25" customHeight="1" x14ac:dyDescent="0.2">
      <c r="A325" s="17" t="s">
        <v>766</v>
      </c>
      <c r="B325" s="17" t="s">
        <v>767</v>
      </c>
      <c r="C325" s="21" t="str">
        <f ca="1">IFERROR(__xludf.DUMMYFUNCTION("GOOGLETRANSLATE($B325,""en"",C$3)"),"Update ist verfügbar. Haben Sie verlassen DreamGrid wollen und installieren Sie das Update?")</f>
        <v>Update ist verfügbar. Haben Sie verlassen DreamGrid wollen und installieren Sie das Update?</v>
      </c>
      <c r="D325" s="21" t="str">
        <f ca="1">IFERROR(__xludf.DUMMYFUNCTION("GOOGLETRANSLATE($B325,""en"",D$3)"),"Uppdatering finns tillgänglig. Vill du avsluta DreamGrid och installera uppdateringen?")</f>
        <v>Uppdatering finns tillgänglig. Vill du avsluta DreamGrid och installera uppdateringen?</v>
      </c>
      <c r="E325" s="21" t="str">
        <f ca="1">IFERROR(__xludf.DUMMYFUNCTION("GOOGLETRANSLATE($B325,""en"",E$3)"),"Atualização está disponível. Você quer sair DreamGrid e instalar a atualização?")</f>
        <v>Atualização está disponível. Você quer sair DreamGrid e instalar a atualização?</v>
      </c>
      <c r="F325" s="21" t="str">
        <f ca="1">IFERROR(__xludf.DUMMYFUNCTION("GOOGLETRANSLATE($B325,""en"",F$3)"),"Atualização está disponível. Você quer sair DreamGrid e instalar a atualização?")</f>
        <v>Atualização está disponível. Você quer sair DreamGrid e instalar a atualização?</v>
      </c>
      <c r="G325" s="21" t="str">
        <f ca="1">IFERROR(__xludf.DUMMYFUNCTION("GOOGLETRANSLATE($B325,""en"",G$3)"),"Mise à jour est disponible. Voulez-vous quitter DreamGrid et installer la mise à jour?")</f>
        <v>Mise à jour est disponible. Voulez-vous quitter DreamGrid et installer la mise à jour?</v>
      </c>
      <c r="H325" s="21" t="str">
        <f ca="1">IFERROR(__xludf.DUMMYFUNCTION("GOOGLETRANSLATE($B325,""en"",H$3)"),"Eguneratzea eskuragarri dago. Ez DreamGrid irteteko eta eguneratzea instalatu nahi duzu?")</f>
        <v>Eguneratzea eskuragarri dago. Ez DreamGrid irteteko eta eguneratzea instalatu nahi duzu?</v>
      </c>
      <c r="I325" s="21" t="str">
        <f ca="1">IFERROR(__xludf.DUMMYFUNCTION("GOOGLETRANSLATE($B325,""en"",I$3)"),"Actualització està disponible. Vols sortir DreamGrid i instal·lar l'actualització?")</f>
        <v>Actualització està disponible. Vols sortir DreamGrid i instal·lar l'actualització?</v>
      </c>
      <c r="J325" s="21" t="str">
        <f ca="1">IFERROR(__xludf.DUMMYFUNCTION("GOOGLETRANSLATE($B325,""en"",J$3)"),"Aktualizace je k dispozici. Chcete ukončit DreamGrid a nainstalovat aktualizaci?")</f>
        <v>Aktualizace je k dispozici. Chcete ukončit DreamGrid a nainstalovat aktualizaci?</v>
      </c>
      <c r="K325" s="21" t="str">
        <f ca="1">IFERROR(__xludf.DUMMYFUNCTION("GOOGLETRANSLATE($B325,""en"",K$3)"),"更新是可用的。你想退出DreamGrid并安装更新？")</f>
        <v>更新是可用的。你想退出DreamGrid并安装更新？</v>
      </c>
      <c r="L325" s="21" t="str">
        <f ca="1">IFERROR(__xludf.DUMMYFUNCTION("GOOGLETRANSLATE($B325,""en"",L$3)"),"更新是可用的。你想退出DreamGrid並安裝更新？")</f>
        <v>更新是可用的。你想退出DreamGrid並安裝更新？</v>
      </c>
      <c r="M325" s="21" t="str">
        <f ca="1">IFERROR(__xludf.DUMMYFUNCTION("GOOGLETRANSLATE($B325,""en"",M$3)"),"Update beschikbaar is. Wilt u DreamGrid af te sluiten en de update te installeren?")</f>
        <v>Update beschikbaar is. Wilt u DreamGrid af te sluiten en de update te installeren?</v>
      </c>
      <c r="N325" s="21" t="str">
        <f ca="1">IFERROR(__xludf.DUMMYFUNCTION("GOOGLETRANSLATE($B325,""en"",N$3)"),"Update είναι διαθέσιμο. Θέλετε να βγείτε DreamGrid και να εγκαταστήσετε την ενημέρωση;")</f>
        <v>Update είναι διαθέσιμο. Θέλετε να βγείτε DreamGrid και να εγκαταστήσετε την ενημέρωση;</v>
      </c>
      <c r="O325" s="21" t="str">
        <f ca="1">IFERROR(__xludf.DUMMYFUNCTION("GOOGLETRANSLATE($B325,""en"",O$3)"),"Päivitys on saatavilla. Haluatko poistua DreamGrid ja asentaa päivityksen?")</f>
        <v>Päivitys on saatavilla. Haluatko poistua DreamGrid ja asentaa päivityksen?</v>
      </c>
      <c r="P325" s="21" t="str">
        <f ca="1">IFERROR(__xludf.DUMMYFUNCTION("GOOGLETRANSLATE($B325,""en"",P$3)"),"Is Nuashonrú ar fáil. Ar mhaith leat a scoir DreamGrid agus a shuiteáil ar an nuashonrú?")</f>
        <v>Is Nuashonrú ar fáil. Ar mhaith leat a scoir DreamGrid agus a shuiteáil ar an nuashonrú?</v>
      </c>
      <c r="Q325" s="21" t="str">
        <f ca="1">IFERROR(__xludf.DUMMYFUNCTION("GOOGLETRANSLATE($B325,""en"",Q$3)"),"به روز رسانی در دسترس است. آیا شما می خواهید برای خروج DreamGrid و نصب به روز رسانی؟")</f>
        <v>به روز رسانی در دسترس است. آیا شما می خواهید برای خروج DreamGrid و نصب به روز رسانی؟</v>
      </c>
      <c r="R325" s="21" t="str">
        <f ca="1">IFERROR(__xludf.DUMMYFUNCTION("GOOGLETRANSLATE($B325,""en"",R$3)"),"עדכון זמין. האם אתה רוצה לצאת DreamGrid ולהתקין את העדכון?")</f>
        <v>עדכון זמין. האם אתה רוצה לצאת DreamGrid ולהתקין את העדכון?</v>
      </c>
      <c r="S325" s="21" t="str">
        <f ca="1">IFERROR(__xludf.DUMMYFUNCTION("GOOGLETRANSLATE($B325,""en"",S$3)"),"Uppfærsla er í boði. Viltu hætta DreamGrid og setja upp uppfærsluna?")</f>
        <v>Uppfærsla er í boði. Viltu hætta DreamGrid og setja upp uppfærsluna?</v>
      </c>
      <c r="T325" s="21" t="str">
        <f ca="1">IFERROR(__xludf.DUMMYFUNCTION("GOOGLETRANSLATE($B325,""en"",T$3)"),"Oppdatering er tilgjengelig. Ønsker du å gå ut DreamGrid og installere oppdateringen?")</f>
        <v>Oppdatering er tilgjengelig. Ønsker du å gå ut DreamGrid og installere oppdateringen?</v>
      </c>
      <c r="U325" s="21" t="str">
        <f ca="1">IFERROR(__xludf.DUMMYFUNCTION("GOOGLETRANSLATE($B325,""en"",U$3)"),"يتوفر التحديث. هل تريد إنهاء DreamGrid وتثبيت التحديث؟")</f>
        <v>يتوفر التحديث. هل تريد إنهاء DreamGrid وتثبيت التحديث؟</v>
      </c>
      <c r="V325" s="21" t="str">
        <f ca="1">IFERROR(__xludf.DUMMYFUNCTION("GOOGLETRANSLATE($B325,""en"",V$3)"),"Aktualizacja jest dostępna. Chcesz wyjść DreamGrid i zainstalować aktualizację?")</f>
        <v>Aktualizacja jest dostępna. Chcesz wyjść DreamGrid i zainstalować aktualizację?</v>
      </c>
      <c r="W325" s="21" t="str">
        <f ca="1">IFERROR(__xludf.DUMMYFUNCTION("GOOGLETRANSLATE($B325,""en"",W$3)"),"Обновление доступно. Вы хотите выйти DreamGrid и установить обновление?")</f>
        <v>Обновление доступно. Вы хотите выйти DreamGrid и установить обновление?</v>
      </c>
      <c r="X325" s="21" t="str">
        <f ca="1">IFERROR(__xludf.DUMMYFUNCTION("GOOGLETRANSLATE($B325,""en"",X$3)"),"Actualización disponible. ¿Quieres salir DreamGrid e instalar la actualización?")</f>
        <v>Actualización disponible. ¿Quieres salir DreamGrid e instalar la actualización?</v>
      </c>
      <c r="Y325" s="21"/>
      <c r="Z325" s="21"/>
    </row>
    <row r="326" spans="1:26" ht="32.25" customHeight="1" x14ac:dyDescent="0.2">
      <c r="A326" s="10" t="s">
        <v>16</v>
      </c>
      <c r="B326" s="10" t="s">
        <v>16</v>
      </c>
      <c r="C326" s="11" t="str">
        <f ca="1">IFERROR(__xludf.DUMMYFUNCTION("GOOGLETRANSLATE($B326,""en"",C$3)"),"hebräisch")</f>
        <v>hebräisch</v>
      </c>
      <c r="D326" s="11" t="str">
        <f ca="1">IFERROR(__xludf.DUMMYFUNCTION("GOOGLETRANSLATE($B326,""en"",D$3)"),"Hebrew")</f>
        <v>Hebrew</v>
      </c>
      <c r="E326" s="11" t="str">
        <f ca="1">IFERROR(__xludf.DUMMYFUNCTION("GOOGLETRANSLATE($B326,""en"",E$3)"),"hebraico")</f>
        <v>hebraico</v>
      </c>
      <c r="F326" s="11" t="str">
        <f ca="1">IFERROR(__xludf.DUMMYFUNCTION("GOOGLETRANSLATE($B326,""en"",F$3)"),"hebraico")</f>
        <v>hebraico</v>
      </c>
      <c r="G326" s="11" t="str">
        <f ca="1">IFERROR(__xludf.DUMMYFUNCTION("GOOGLETRANSLATE($B326,""en"",G$3)"),"hébreu")</f>
        <v>hébreu</v>
      </c>
      <c r="H326" s="11" t="str">
        <f ca="1">IFERROR(__xludf.DUMMYFUNCTION("GOOGLETRANSLATE($B326,""en"",H$3)"),"Hebrew")</f>
        <v>Hebrew</v>
      </c>
      <c r="I326" s="11" t="str">
        <f ca="1">IFERROR(__xludf.DUMMYFUNCTION("GOOGLETRANSLATE($B326,""en"",I$3)"),"hebreu")</f>
        <v>hebreu</v>
      </c>
      <c r="J326" s="11" t="str">
        <f ca="1">IFERROR(__xludf.DUMMYFUNCTION("GOOGLETRANSLATE($B326,""en"",J$3)"),"hebrejština")</f>
        <v>hebrejština</v>
      </c>
      <c r="K326" s="11" t="str">
        <f ca="1">IFERROR(__xludf.DUMMYFUNCTION("GOOGLETRANSLATE($B326,""en"",K$3)"),"希伯来语")</f>
        <v>希伯来语</v>
      </c>
      <c r="L326" s="11" t="str">
        <f ca="1">IFERROR(__xludf.DUMMYFUNCTION("GOOGLETRANSLATE($B326,""en"",L$3)"),"希伯來語")</f>
        <v>希伯來語</v>
      </c>
      <c r="M326" s="11" t="str">
        <f ca="1">IFERROR(__xludf.DUMMYFUNCTION("GOOGLETRANSLATE($B326,""en"",M$3)"),"Hebreeuws")</f>
        <v>Hebreeuws</v>
      </c>
      <c r="N326" s="11" t="str">
        <f ca="1">IFERROR(__xludf.DUMMYFUNCTION("GOOGLETRANSLATE($B326,""en"",N$3)"),"Εβραϊκά")</f>
        <v>Εβραϊκά</v>
      </c>
      <c r="O326" s="11" t="str">
        <f ca="1">IFERROR(__xludf.DUMMYFUNCTION("GOOGLETRANSLATE($B326,""en"",O$3)"),"heprealainen")</f>
        <v>heprealainen</v>
      </c>
      <c r="P326" s="11" t="str">
        <f ca="1">IFERROR(__xludf.DUMMYFUNCTION("GOOGLETRANSLATE($B326,""en"",P$3)"),"Eabhrais")</f>
        <v>Eabhrais</v>
      </c>
      <c r="Q326" s="11" t="str">
        <f ca="1">IFERROR(__xludf.DUMMYFUNCTION("GOOGLETRANSLATE($B326,""en"",Q$3)"),"عبری")</f>
        <v>عبری</v>
      </c>
      <c r="R326" s="11" t="str">
        <f ca="1">IFERROR(__xludf.DUMMYFUNCTION("GOOGLETRANSLATE($B326,""en"",R$3)"),"עִברִית")</f>
        <v>עִברִית</v>
      </c>
      <c r="S326" s="11" t="str">
        <f ca="1">IFERROR(__xludf.DUMMYFUNCTION("GOOGLETRANSLATE($B326,""en"",S$3)"),"Hebrew")</f>
        <v>Hebrew</v>
      </c>
      <c r="T326" s="11" t="str">
        <f ca="1">IFERROR(__xludf.DUMMYFUNCTION("GOOGLETRANSLATE($B326,""en"",T$3)"),"Hebraisk")</f>
        <v>Hebraisk</v>
      </c>
      <c r="U326" s="11" t="str">
        <f ca="1">IFERROR(__xludf.DUMMYFUNCTION("GOOGLETRANSLATE($B326,""en"",U$3)"),"اللغة العبرية")</f>
        <v>اللغة العبرية</v>
      </c>
      <c r="V326" s="11" t="str">
        <f ca="1">IFERROR(__xludf.DUMMYFUNCTION("GOOGLETRANSLATE($B326,""en"",V$3)"),"hebrajski")</f>
        <v>hebrajski</v>
      </c>
      <c r="W326" s="11" t="str">
        <f ca="1">IFERROR(__xludf.DUMMYFUNCTION("GOOGLETRANSLATE($B326,""en"",W$3)"),"иврит")</f>
        <v>иврит</v>
      </c>
      <c r="X326" s="11" t="str">
        <f ca="1">IFERROR(__xludf.DUMMYFUNCTION("GOOGLETRANSLATE($B326,""en"",X$3)"),"hebreo")</f>
        <v>hebreo</v>
      </c>
    </row>
    <row r="327" spans="1:26" ht="32.25" customHeight="1" x14ac:dyDescent="0.2">
      <c r="A327" s="10" t="s">
        <v>768</v>
      </c>
      <c r="B327" s="10" t="s">
        <v>769</v>
      </c>
      <c r="C327" s="11" t="str">
        <f ca="1">IFERROR(__xludf.DUMMYFUNCTION("GOOGLETRANSLATE($B327,""en"",C$3)"),"Hilfe Auf Konsolenbefehle")</f>
        <v>Hilfe Auf Konsolenbefehle</v>
      </c>
      <c r="D327" s="11" t="str">
        <f ca="1">IFERROR(__xludf.DUMMYFUNCTION("GOOGLETRANSLATE($B327,""en"",D$3)"),"Hjälp på konsol kommandon")</f>
        <v>Hjälp på konsol kommandon</v>
      </c>
      <c r="E327" s="11" t="str">
        <f ca="1">IFERROR(__xludf.DUMMYFUNCTION("GOOGLETRANSLATE($B327,""en"",E$3)"),"Ajuda nos comandos Console")</f>
        <v>Ajuda nos comandos Console</v>
      </c>
      <c r="F327" s="11" t="str">
        <f ca="1">IFERROR(__xludf.DUMMYFUNCTION("GOOGLETRANSLATE($B327,""en"",F$3)"),"Ajuda nos comandos Console")</f>
        <v>Ajuda nos comandos Console</v>
      </c>
      <c r="G327" s="11" t="str">
        <f ca="1">IFERROR(__xludf.DUMMYFUNCTION("GOOGLETRANSLATE($B327,""en"",G$3)"),"Aide sur les commandes de la console")</f>
        <v>Aide sur les commandes de la console</v>
      </c>
      <c r="H327" s="11" t="str">
        <f ca="1">IFERROR(__xludf.DUMMYFUNCTION("GOOGLETRANSLATE($B327,""en"",H$3)"),"Laguntza On Kontsola komandoak")</f>
        <v>Laguntza On Kontsola komandoak</v>
      </c>
      <c r="I327" s="11" t="str">
        <f ca="1">IFERROR(__xludf.DUMMYFUNCTION("GOOGLETRANSLATE($B327,""en"",I$3)"),"Ajuda a la consola de comandes")</f>
        <v>Ajuda a la consola de comandes</v>
      </c>
      <c r="J327" s="11" t="str">
        <f ca="1">IFERROR(__xludf.DUMMYFUNCTION("GOOGLETRANSLATE($B327,""en"",J$3)"),"Nápověda Na Příkazy konzole")</f>
        <v>Nápověda Na Příkazy konzole</v>
      </c>
      <c r="K327" s="11" t="str">
        <f ca="1">IFERROR(__xludf.DUMMYFUNCTION("GOOGLETRANSLATE($B327,""en"",K$3)"),"帮助在控制台命令")</f>
        <v>帮助在控制台命令</v>
      </c>
      <c r="L327" s="11" t="str">
        <f ca="1">IFERROR(__xludf.DUMMYFUNCTION("GOOGLETRANSLATE($B327,""en"",L$3)"),"幫助在控制台命令")</f>
        <v>幫助在控制台命令</v>
      </c>
      <c r="M327" s="11" t="str">
        <f ca="1">IFERROR(__xludf.DUMMYFUNCTION("GOOGLETRANSLATE($B327,""en"",M$3)"),"Help On Console Commands")</f>
        <v>Help On Console Commands</v>
      </c>
      <c r="N327" s="11" t="str">
        <f ca="1">IFERROR(__xludf.DUMMYFUNCTION("GOOGLETRANSLATE($B327,""en"",N$3)"),"Βοήθεια στην κονσόλα εντολών")</f>
        <v>Βοήθεια στην κονσόλα εντολών</v>
      </c>
      <c r="O327" s="11" t="str">
        <f ca="1">IFERROR(__xludf.DUMMYFUNCTION("GOOGLETRANSLATE($B327,""en"",O$3)"),"Ohje komentoja")</f>
        <v>Ohje komentoja</v>
      </c>
      <c r="P327" s="11" t="str">
        <f ca="1">IFERROR(__xludf.DUMMYFUNCTION("GOOGLETRANSLATE($B327,""en"",P$3)"),"Cabhair On Console Orduithe")</f>
        <v>Cabhair On Console Orduithe</v>
      </c>
      <c r="Q327" s="11" t="str">
        <f ca="1">IFERROR(__xludf.DUMMYFUNCTION("GOOGLETRANSLATE($B327,""en"",Q$3)"),"راهنما بر روی کنسول دستورات")</f>
        <v>راهنما بر روی کنسول دستورات</v>
      </c>
      <c r="R327" s="11" t="str">
        <f ca="1">IFERROR(__xludf.DUMMYFUNCTION("GOOGLETRANSLATE($B327,""en"",R$3)"),"פקודות מסוף על עזרה")</f>
        <v>פקודות מסוף על עזרה</v>
      </c>
      <c r="S327" s="11" t="str">
        <f ca="1">IFERROR(__xludf.DUMMYFUNCTION("GOOGLETRANSLATE($B327,""en"",S$3)"),"Hjálp Á Console skipanir")</f>
        <v>Hjálp Á Console skipanir</v>
      </c>
      <c r="T327" s="11" t="str">
        <f ca="1">IFERROR(__xludf.DUMMYFUNCTION("GOOGLETRANSLATE($B327,""en"",T$3)"),"Hjelp Konsoll kommandoer")</f>
        <v>Hjelp Konsoll kommandoer</v>
      </c>
      <c r="U327" s="11" t="str">
        <f ca="1">IFERROR(__xludf.DUMMYFUNCTION("GOOGLETRANSLATE($B327,""en"",U$3)"),"تعليمات تشغيل وحدة التحكم أوامر")</f>
        <v>تعليمات تشغيل وحدة التحكم أوامر</v>
      </c>
      <c r="V327" s="11" t="str">
        <f ca="1">IFERROR(__xludf.DUMMYFUNCTION("GOOGLETRANSLATE($B327,""en"",V$3)"),"Pomoc w konsoli poleceń")</f>
        <v>Pomoc w konsoli poleceń</v>
      </c>
      <c r="W327" s="11" t="str">
        <f ca="1">IFERROR(__xludf.DUMMYFUNCTION("GOOGLETRANSLATE($B327,""en"",W$3)"),"Помощь консольные команды")</f>
        <v>Помощь консольные команды</v>
      </c>
      <c r="X327" s="11" t="str">
        <f ca="1">IFERROR(__xludf.DUMMYFUNCTION("GOOGLETRANSLATE($B327,""en"",X$3)"),"Ayuda en la consola de comandos")</f>
        <v>Ayuda en la consola de comandos</v>
      </c>
    </row>
    <row r="328" spans="1:26" ht="32.25" customHeight="1" x14ac:dyDescent="0.2">
      <c r="A328" s="10" t="s">
        <v>770</v>
      </c>
      <c r="B328" s="10" t="s">
        <v>771</v>
      </c>
      <c r="C328" s="11" t="str">
        <f ca="1">IFERROR(__xludf.DUMMYFUNCTION("GOOGLETRANSLATE($B328,""en"",C$3)"),"Wiki-Seite auf Konsolenbefehle")</f>
        <v>Wiki-Seite auf Konsolenbefehle</v>
      </c>
      <c r="D328" s="11" t="str">
        <f ca="1">IFERROR(__xludf.DUMMYFUNCTION("GOOGLETRANSLATE($B328,""en"",D$3)"),"Wiki Page på konsol kommandon")</f>
        <v>Wiki Page på konsol kommandon</v>
      </c>
      <c r="E328" s="11" t="str">
        <f ca="1">IFERROR(__xludf.DUMMYFUNCTION("GOOGLETRANSLATE($B328,""en"",E$3)"),"Wiki página no Console Commands")</f>
        <v>Wiki página no Console Commands</v>
      </c>
      <c r="F328" s="11" t="str">
        <f ca="1">IFERROR(__xludf.DUMMYFUNCTION("GOOGLETRANSLATE($B328,""en"",F$3)"),"Wiki página no Console Commands")</f>
        <v>Wiki página no Console Commands</v>
      </c>
      <c r="G328" s="11" t="str">
        <f ca="1">IFERROR(__xludf.DUMMYFUNCTION("GOOGLETRANSLATE($B328,""en"",G$3)"),"Wiki sur la page Commandes de la console")</f>
        <v>Wiki sur la page Commandes de la console</v>
      </c>
      <c r="H328" s="11" t="str">
        <f ca="1">IFERROR(__xludf.DUMMYFUNCTION("GOOGLETRANSLATE($B328,""en"",H$3)"),"Wiki Page Kontsola komandoak on")</f>
        <v>Wiki Page Kontsola komandoak on</v>
      </c>
      <c r="I328" s="11" t="str">
        <f ca="1">IFERROR(__xludf.DUMMYFUNCTION("GOOGLETRANSLATE($B328,""en"",I$3)"),"Wiki Pàgina d'ordres de consola")</f>
        <v>Wiki Pàgina d'ordres de consola</v>
      </c>
      <c r="J328" s="11" t="str">
        <f ca="1">IFERROR(__xludf.DUMMYFUNCTION("GOOGLETRANSLATE($B328,""en"",J$3)"),"Wiki stránky o příkazech konzoly")</f>
        <v>Wiki stránky o příkazech konzoly</v>
      </c>
      <c r="K328" s="11" t="str">
        <f ca="1">IFERROR(__xludf.DUMMYFUNCTION("GOOGLETRANSLATE($B328,""en"",K$3)"),"Wiki页面上的控制台命令")</f>
        <v>Wiki页面上的控制台命令</v>
      </c>
      <c r="L328" s="11" t="str">
        <f ca="1">IFERROR(__xludf.DUMMYFUNCTION("GOOGLETRANSLATE($B328,""en"",L$3)"),"Wiki頁面上的控制台命令")</f>
        <v>Wiki頁面上的控制台命令</v>
      </c>
      <c r="M328" s="11" t="str">
        <f ca="1">IFERROR(__xludf.DUMMYFUNCTION("GOOGLETRANSLATE($B328,""en"",M$3)"),"Wiki pagina op Console Commands")</f>
        <v>Wiki pagina op Console Commands</v>
      </c>
      <c r="N328" s="11" t="str">
        <f ca="1">IFERROR(__xludf.DUMMYFUNCTION("GOOGLETRANSLATE($B328,""en"",N$3)"),"Wiki σελίδα για την κονσόλα εντολών")</f>
        <v>Wiki σελίδα για την κονσόλα εντολών</v>
      </c>
      <c r="O328" s="11" t="str">
        <f ca="1">IFERROR(__xludf.DUMMYFUNCTION("GOOGLETRANSLATE($B328,""en"",O$3)"),"Wikisivu on komentoja")</f>
        <v>Wikisivu on komentoja</v>
      </c>
      <c r="P328" s="11" t="str">
        <f ca="1">IFERROR(__xludf.DUMMYFUNCTION("GOOGLETRANSLATE($B328,""en"",P$3)"),"Wiki Leathanach ar Orduithe Console")</f>
        <v>Wiki Leathanach ar Orduithe Console</v>
      </c>
      <c r="Q328" s="11" t="str">
        <f ca="1">IFERROR(__xludf.DUMMYFUNCTION("GOOGLETRANSLATE($B328,""en"",Q$3)"),"ویکی صفحه در دستورات کنسول")</f>
        <v>ویکی صفحه در دستورات کنسول</v>
      </c>
      <c r="R328" s="11" t="str">
        <f ca="1">IFERROR(__xludf.DUMMYFUNCTION("GOOGLETRANSLATE($B328,""en"",R$3)"),"דף Wiki על פקודות מסוף")</f>
        <v>דף Wiki על פקודות מסוף</v>
      </c>
      <c r="S328" s="11" t="str">
        <f ca="1">IFERROR(__xludf.DUMMYFUNCTION("GOOGLETRANSLATE($B328,""en"",S$3)"),"Wiki Page á vélinni skipanir")</f>
        <v>Wiki Page á vélinni skipanir</v>
      </c>
      <c r="T328" s="11" t="str">
        <f ca="1">IFERROR(__xludf.DUMMYFUNCTION("GOOGLETRANSLATE($B328,""en"",T$3)"),"Wiki Page på konsoll kommandoer")</f>
        <v>Wiki Page på konsoll kommandoer</v>
      </c>
      <c r="U328" s="11" t="str">
        <f ca="1">IFERROR(__xludf.DUMMYFUNCTION("GOOGLETRANSLATE($B328,""en"",U$3)"),"ويكي الصفحة على أوامر وحدة التحكم")</f>
        <v>ويكي الصفحة على أوامر وحدة التحكم</v>
      </c>
      <c r="V328" s="11" t="str">
        <f ca="1">IFERROR(__xludf.DUMMYFUNCTION("GOOGLETRANSLATE($B328,""en"",V$3)"),"Wiki Strona na konsoli poleceń")</f>
        <v>Wiki Strona na konsoli poleceń</v>
      </c>
      <c r="W328" s="11" t="str">
        <f ca="1">IFERROR(__xludf.DUMMYFUNCTION("GOOGLETRANSLATE($B328,""en"",W$3)"),"Wiki Страница на консольных команд")</f>
        <v>Wiki Страница на консольных команд</v>
      </c>
      <c r="X328" s="11" t="str">
        <f ca="1">IFERROR(__xludf.DUMMYFUNCTION("GOOGLETRANSLATE($B328,""en"",X$3)"),"Wiki Página de comandos de consola")</f>
        <v>Wiki Página de comandos de consola</v>
      </c>
    </row>
    <row r="329" spans="1:26" ht="32.25" customHeight="1" x14ac:dyDescent="0.2">
      <c r="A329" s="10" t="s">
        <v>772</v>
      </c>
      <c r="B329" s="10" t="s">
        <v>773</v>
      </c>
      <c r="C329" s="11" t="str">
        <f ca="1">IFERROR(__xludf.DUMMYFUNCTION("GOOGLETRANSLATE($B329,""en"",C$3)"),"Hilfe über Port Forwarding")</f>
        <v>Hilfe über Port Forwarding</v>
      </c>
      <c r="D329" s="11" t="str">
        <f ca="1">IFERROR(__xludf.DUMMYFUNCTION("GOOGLETRANSLATE($B329,""en"",D$3)"),"Hjälp Port Forwarding")</f>
        <v>Hjälp Port Forwarding</v>
      </c>
      <c r="E329" s="11" t="str">
        <f ca="1">IFERROR(__xludf.DUMMYFUNCTION("GOOGLETRANSLATE($B329,""en"",E$3)"),"Ajuda On Port Forwarding")</f>
        <v>Ajuda On Port Forwarding</v>
      </c>
      <c r="F329" s="11" t="str">
        <f ca="1">IFERROR(__xludf.DUMMYFUNCTION("GOOGLETRANSLATE($B329,""en"",F$3)"),"Ajuda On Port Forwarding")</f>
        <v>Ajuda On Port Forwarding</v>
      </c>
      <c r="G329" s="11" t="str">
        <f ca="1">IFERROR(__xludf.DUMMYFUNCTION("GOOGLETRANSLATE($B329,""en"",G$3)"),"Aide en Port Forwarding")</f>
        <v>Aide en Port Forwarding</v>
      </c>
      <c r="H329" s="11" t="str">
        <f ca="1">IFERROR(__xludf.DUMMYFUNCTION("GOOGLETRANSLATE($B329,""en"",H$3)"),"Laguntza On Port Forwarding")</f>
        <v>Laguntza On Port Forwarding</v>
      </c>
      <c r="I329" s="11" t="str">
        <f ca="1">IFERROR(__xludf.DUMMYFUNCTION("GOOGLETRANSLATE($B329,""en"",I$3)"),"Ajuda en redireccionament de ports")</f>
        <v>Ajuda en redireccionament de ports</v>
      </c>
      <c r="J329" s="11" t="str">
        <f ca="1">IFERROR(__xludf.DUMMYFUNCTION("GOOGLETRANSLATE($B329,""en"",J$3)"),"Nápověda Na Port Forwarding")</f>
        <v>Nápověda Na Port Forwarding</v>
      </c>
      <c r="K329" s="11" t="str">
        <f ca="1">IFERROR(__xludf.DUMMYFUNCTION("GOOGLETRANSLATE($B329,""en"",K$3)"),"帮助在端口转发")</f>
        <v>帮助在端口转发</v>
      </c>
      <c r="L329" s="11" t="str">
        <f ca="1">IFERROR(__xludf.DUMMYFUNCTION("GOOGLETRANSLATE($B329,""en"",L$3)"),"幫助在端口轉發")</f>
        <v>幫助在端口轉發</v>
      </c>
      <c r="M329" s="11" t="str">
        <f ca="1">IFERROR(__xludf.DUMMYFUNCTION("GOOGLETRANSLATE($B329,""en"",M$3)"),"Hulp van de Port Forwarding")</f>
        <v>Hulp van de Port Forwarding</v>
      </c>
      <c r="N329" s="11" t="str">
        <f ca="1">IFERROR(__xludf.DUMMYFUNCTION("GOOGLETRANSLATE($B329,""en"",N$3)"),"Βοήθεια Στο Port Forwarding")</f>
        <v>Βοήθεια Στο Port Forwarding</v>
      </c>
      <c r="O329" s="11" t="str">
        <f ca="1">IFERROR(__xludf.DUMMYFUNCTION("GOOGLETRANSLATE($B329,""en"",O$3)"),"Ohjeet porttien läpiviennistä")</f>
        <v>Ohjeet porttien läpiviennistä</v>
      </c>
      <c r="P329" s="11" t="str">
        <f ca="1">IFERROR(__xludf.DUMMYFUNCTION("GOOGLETRANSLATE($B329,""en"",P$3)"),"Cabhair On Port Aghaidh")</f>
        <v>Cabhair On Port Aghaidh</v>
      </c>
      <c r="Q329" s="11" t="str">
        <f ca="1">IFERROR(__xludf.DUMMYFUNCTION("GOOGLETRANSLATE($B329,""en"",Q$3)"),"کمک در بندر حمل و نقل")</f>
        <v>کمک در بندر حمل و نقل</v>
      </c>
      <c r="R329" s="11" t="str">
        <f ca="1">IFERROR(__xludf.DUMMYFUNCTION("GOOGLETRANSLATE($B329,""en"",R$3)"),"עזרה ביציאה שילוח")</f>
        <v>עזרה ביציאה שילוח</v>
      </c>
      <c r="S329" s="11" t="str">
        <f ca="1">IFERROR(__xludf.DUMMYFUNCTION("GOOGLETRANSLATE($B329,""en"",S$3)"),"Hjálp Á Port Áframsending")</f>
        <v>Hjálp Á Port Áframsending</v>
      </c>
      <c r="T329" s="11" t="str">
        <f ca="1">IFERROR(__xludf.DUMMYFUNCTION("GOOGLETRANSLATE($B329,""en"",T$3)"),"Hjelp På Port Forwarding")</f>
        <v>Hjelp På Port Forwarding</v>
      </c>
      <c r="U329" s="11" t="str">
        <f ca="1">IFERROR(__xludf.DUMMYFUNCTION("GOOGLETRANSLATE($B329,""en"",U$3)"),"مساعدة في ميناء الشحن")</f>
        <v>مساعدة في ميناء الشحن</v>
      </c>
      <c r="V329" s="11" t="str">
        <f ca="1">IFERROR(__xludf.DUMMYFUNCTION("GOOGLETRANSLATE($B329,""en"",V$3)"),"Pomoc w Port Forwarding")</f>
        <v>Pomoc w Port Forwarding</v>
      </c>
      <c r="W329" s="11" t="str">
        <f ca="1">IFERROR(__xludf.DUMMYFUNCTION("GOOGLETRANSLATE($B329,""en"",W$3)"),"Помощь On Port Forwarding")</f>
        <v>Помощь On Port Forwarding</v>
      </c>
      <c r="X329" s="11" t="str">
        <f ca="1">IFERROR(__xludf.DUMMYFUNCTION("GOOGLETRANSLATE($B329,""en"",X$3)"),"Ayuda en redireccionamiento de puertos")</f>
        <v>Ayuda en redireccionamiento de puertos</v>
      </c>
    </row>
    <row r="330" spans="1:26" ht="32.25" customHeight="1" x14ac:dyDescent="0.2">
      <c r="A330" s="10" t="s">
        <v>774</v>
      </c>
      <c r="B330" s="10" t="s">
        <v>775</v>
      </c>
      <c r="C330" s="11" t="str">
        <f ca="1">IFERROR(__xludf.DUMMYFUNCTION("GOOGLETRANSLATE($B330,""en"",C$3)"),"Web-Hilfe für Port Forwarding")</f>
        <v>Web-Hilfe für Port Forwarding</v>
      </c>
      <c r="D330" s="11" t="str">
        <f ca="1">IFERROR(__xludf.DUMMYFUNCTION("GOOGLETRANSLATE($B330,""en"",D$3)"),"Webbhjälp för Port Forwarding")</f>
        <v>Webbhjälp för Port Forwarding</v>
      </c>
      <c r="E330" s="11" t="str">
        <f ca="1">IFERROR(__xludf.DUMMYFUNCTION("GOOGLETRANSLATE($B330,""en"",E$3)"),"Web ajuda para Port Forwarding")</f>
        <v>Web ajuda para Port Forwarding</v>
      </c>
      <c r="F330" s="11" t="str">
        <f ca="1">IFERROR(__xludf.DUMMYFUNCTION("GOOGLETRANSLATE($B330,""en"",F$3)"),"Web ajuda para Port Forwarding")</f>
        <v>Web ajuda para Port Forwarding</v>
      </c>
      <c r="G330" s="11" t="str">
        <f ca="1">IFERROR(__xludf.DUMMYFUNCTION("GOOGLETRANSLATE($B330,""en"",G$3)"),"Web Aide pour le transfert du port")</f>
        <v>Web Aide pour le transfert du port</v>
      </c>
      <c r="H330" s="11" t="str">
        <f ca="1">IFERROR(__xludf.DUMMYFUNCTION("GOOGLETRANSLATE($B330,""en"",H$3)"),"Web Help Port Forwarding")</f>
        <v>Web Help Port Forwarding</v>
      </c>
      <c r="I330" s="11" t="str">
        <f ca="1">IFERROR(__xludf.DUMMYFUNCTION("GOOGLETRANSLATE($B330,""en"",I$3)"),"Web Ajuda Per al reenviament de ports")</f>
        <v>Web Ajuda Per al reenviament de ports</v>
      </c>
      <c r="J330" s="11" t="str">
        <f ca="1">IFERROR(__xludf.DUMMYFUNCTION("GOOGLETRANSLATE($B330,""en"",J$3)"),"Web Help Pro Port Forwarding")</f>
        <v>Web Help Pro Port Forwarding</v>
      </c>
      <c r="K330" s="11" t="str">
        <f ca="1">IFERROR(__xludf.DUMMYFUNCTION("GOOGLETRANSLATE($B330,""en"",K$3)"),"Web帮助进行端口转发")</f>
        <v>Web帮助进行端口转发</v>
      </c>
      <c r="L330" s="11" t="str">
        <f ca="1">IFERROR(__xludf.DUMMYFUNCTION("GOOGLETRANSLATE($B330,""en"",L$3)"),"Web幫助進行端口轉發")</f>
        <v>Web幫助進行端口轉發</v>
      </c>
      <c r="M330" s="11" t="str">
        <f ca="1">IFERROR(__xludf.DUMMYFUNCTION("GOOGLETRANSLATE($B330,""en"",M$3)"),"Web Hulp voor Port Forwarding")</f>
        <v>Web Hulp voor Port Forwarding</v>
      </c>
      <c r="N330" s="11" t="str">
        <f ca="1">IFERROR(__xludf.DUMMYFUNCTION("GOOGLETRANSLATE($B330,""en"",N$3)"),"Web Βοήθεια για Port Forwarding")</f>
        <v>Web Βοήθεια για Port Forwarding</v>
      </c>
      <c r="O330" s="11" t="str">
        <f ca="1">IFERROR(__xludf.DUMMYFUNCTION("GOOGLETRANSLATE($B330,""en"",O$3)"),"Web Apua Port Forwarding")</f>
        <v>Web Apua Port Forwarding</v>
      </c>
      <c r="P330" s="11" t="str">
        <f ca="1">IFERROR(__xludf.DUMMYFUNCTION("GOOGLETRANSLATE($B330,""en"",P$3)"),"Web Cabhair Do Aghaidh Port")</f>
        <v>Web Cabhair Do Aghaidh Port</v>
      </c>
      <c r="Q330" s="11" t="str">
        <f ca="1">IFERROR(__xludf.DUMMYFUNCTION("GOOGLETRANSLATE($B330,""en"",Q$3)"),"وب راهنما برای بندر حمل و نقل")</f>
        <v>وب راهنما برای بندر حمل و نقل</v>
      </c>
      <c r="R330" s="11" t="str">
        <f ca="1">IFERROR(__xludf.DUMMYFUNCTION("GOOGLETRANSLATE($B330,""en"",R$3)"),"ברשת עזרה עבור נמל ושילוח")</f>
        <v>ברשת עזרה עבור נמל ושילוח</v>
      </c>
      <c r="S330" s="11" t="str">
        <f ca="1">IFERROR(__xludf.DUMMYFUNCTION("GOOGLETRANSLATE($B330,""en"",S$3)"),"Vefurinn help Port Áframsending")</f>
        <v>Vefurinn help Port Áframsending</v>
      </c>
      <c r="T330" s="11" t="str">
        <f ca="1">IFERROR(__xludf.DUMMYFUNCTION("GOOGLETRANSLATE($B330,""en"",T$3)"),"Hjelp på web for Port Forwarding")</f>
        <v>Hjelp på web for Port Forwarding</v>
      </c>
      <c r="U330" s="11" t="str">
        <f ca="1">IFERROR(__xludf.DUMMYFUNCTION("GOOGLETRANSLATE($B330,""en"",U$3)"),"الويب مساعدة لميناء الشحن")</f>
        <v>الويب مساعدة لميناء الشحن</v>
      </c>
      <c r="V330" s="11" t="str">
        <f ca="1">IFERROR(__xludf.DUMMYFUNCTION("GOOGLETRANSLATE($B330,""en"",V$3)"),"Pomoc dla WWW Port Forwarding")</f>
        <v>Pomoc dla WWW Port Forwarding</v>
      </c>
      <c r="W330" s="11" t="str">
        <f ca="1">IFERROR(__xludf.DUMMYFUNCTION("GOOGLETRANSLATE($B330,""en"",W$3)"),"Web Help Для Port Forwarding")</f>
        <v>Web Help Для Port Forwarding</v>
      </c>
      <c r="X330" s="11" t="str">
        <f ca="1">IFERROR(__xludf.DUMMYFUNCTION("GOOGLETRANSLATE($B330,""en"",X$3)"),"Web Ayuda Para el reenvío de puertos")</f>
        <v>Web Ayuda Para el reenvío de puertos</v>
      </c>
    </row>
    <row r="331" spans="1:26" ht="32.25" customHeight="1" x14ac:dyDescent="0.2">
      <c r="A331" s="10" t="s">
        <v>776</v>
      </c>
      <c r="B331" s="10" t="s">
        <v>777</v>
      </c>
      <c r="C331" s="11" t="str">
        <f ca="1">IFERROR(__xludf.DUMMYFUNCTION("GOOGLETRANSLATE($B331,""en"",C$3)"),"Klicken Sie für Hilfe auf Gott-Modus")</f>
        <v>Klicken Sie für Hilfe auf Gott-Modus</v>
      </c>
      <c r="D331" s="11" t="str">
        <f ca="1">IFERROR(__xludf.DUMMYFUNCTION("GOOGLETRANSLATE($B331,""en"",D$3)"),"Klicka för Hjälp på Gud Modes")</f>
        <v>Klicka för Hjälp på Gud Modes</v>
      </c>
      <c r="E331" s="11" t="str">
        <f ca="1">IFERROR(__xludf.DUMMYFUNCTION("GOOGLETRANSLATE($B331,""en"",E$3)"),"Clique para ajuda em Modos de Deus")</f>
        <v>Clique para ajuda em Modos de Deus</v>
      </c>
      <c r="F331" s="11" t="str">
        <f ca="1">IFERROR(__xludf.DUMMYFUNCTION("GOOGLETRANSLATE($B331,""en"",F$3)"),"Clique para ajuda em Modos de Deus")</f>
        <v>Clique para ajuda em Modos de Deus</v>
      </c>
      <c r="G331" s="11" t="str">
        <f ca="1">IFERROR(__xludf.DUMMYFUNCTION("GOOGLETRANSLATE($B331,""en"",G$3)"),"Cliquez pour l'aide de Dieu Modes")</f>
        <v>Cliquez pour l'aide de Dieu Modes</v>
      </c>
      <c r="H331" s="11" t="str">
        <f ca="1">IFERROR(__xludf.DUMMYFUNCTION("GOOGLETRANSLATE($B331,""en"",H$3)"),"Klik Laguntza God moduak buruzko")</f>
        <v>Klik Laguntza God moduak buruzko</v>
      </c>
      <c r="I331" s="11" t="str">
        <f ca="1">IFERROR(__xludf.DUMMYFUNCTION("GOOGLETRANSLATE($B331,""en"",I$3)"),"Feu clic per assistència en les maneres de Déu")</f>
        <v>Feu clic per assistència en les maneres de Déu</v>
      </c>
      <c r="J331" s="11" t="str">
        <f ca="1">IFERROR(__xludf.DUMMYFUNCTION("GOOGLETRANSLATE($B331,""en"",J$3)"),"Klikněte pro nápovědu režimy God")</f>
        <v>Klikněte pro nápovědu režimy God</v>
      </c>
      <c r="K331" s="11" t="str">
        <f ca="1">IFERROR(__xludf.DUMMYFUNCTION("GOOGLETRANSLATE($B331,""en"",K$3)"),"点击帮助上帝模式")</f>
        <v>点击帮助上帝模式</v>
      </c>
      <c r="L331" s="11" t="str">
        <f ca="1">IFERROR(__xludf.DUMMYFUNCTION("GOOGLETRANSLATE($B331,""en"",L$3)"),"點擊幫助上帝模式")</f>
        <v>點擊幫助上帝模式</v>
      </c>
      <c r="M331" s="11" t="str">
        <f ca="1">IFERROR(__xludf.DUMMYFUNCTION("GOOGLETRANSLATE($B331,""en"",M$3)"),"Klik voor hulp bij God Modes")</f>
        <v>Klik voor hulp bij God Modes</v>
      </c>
      <c r="N331" s="11" t="str">
        <f ca="1">IFERROR(__xludf.DUMMYFUNCTION("GOOGLETRANSLATE($B331,""en"",N$3)"),"Κάντε κλικ για βοήθεια από τον Θεό Λειτουργίες")</f>
        <v>Κάντε κλικ για βοήθεια από τον Θεό Λειτουργίες</v>
      </c>
      <c r="O331" s="11" t="str">
        <f ca="1">IFERROR(__xludf.DUMMYFUNCTION("GOOGLETRANSLATE($B331,""en"",O$3)"),"Klikkaa ohje Jumala tilat")</f>
        <v>Klikkaa ohje Jumala tilat</v>
      </c>
      <c r="P331" s="11" t="str">
        <f ca="1">IFERROR(__xludf.DUMMYFUNCTION("GOOGLETRANSLATE($B331,""en"",P$3)"),"Cliceáil chun Cabhair ar Móid Dia")</f>
        <v>Cliceáil chun Cabhair ar Móid Dia</v>
      </c>
      <c r="Q331" s="11" t="str">
        <f ca="1">IFERROR(__xludf.DUMMYFUNCTION("GOOGLETRANSLATE($B331,""en"",Q$3)"),"برای کمک در حالت خدا را کلیک کنید")</f>
        <v>برای کمک در حالت خدا را کلیک کنید</v>
      </c>
      <c r="R331" s="11" t="str">
        <f ca="1">IFERROR(__xludf.DUMMYFUNCTION("GOOGLETRANSLATE($B331,""en"",R$3)"),"לחץ על עזרה על מצבי אלוהים")</f>
        <v>לחץ על עזרה על מצבי אלוהים</v>
      </c>
      <c r="S331" s="11" t="str">
        <f ca="1">IFERROR(__xludf.DUMMYFUNCTION("GOOGLETRANSLATE($B331,""en"",S$3)"),"Smelltu til hjálp Guði Modes")</f>
        <v>Smelltu til hjálp Guði Modes</v>
      </c>
      <c r="T331" s="11" t="str">
        <f ca="1">IFERROR(__xludf.DUMMYFUNCTION("GOOGLETRANSLATE($B331,""en"",T$3)"),"Klikk for Hjelp på Guds Modes")</f>
        <v>Klikk for Hjelp på Guds Modes</v>
      </c>
      <c r="U331" s="11" t="str">
        <f ca="1">IFERROR(__xludf.DUMMYFUNCTION("GOOGLETRANSLATE($B331,""en"",U$3)"),"انقر للحصول على تعليمات حول أوضاع الله")</f>
        <v>انقر للحصول على تعليمات حول أوضاع الله</v>
      </c>
      <c r="V331" s="11" t="str">
        <f ca="1">IFERROR(__xludf.DUMMYFUNCTION("GOOGLETRANSLATE($B331,""en"",V$3)"),"Kliknij na Pomoc na temat trybów Boga")</f>
        <v>Kliknij na Pomoc na temat trybów Boga</v>
      </c>
      <c r="W331" s="11" t="str">
        <f ca="1">IFERROR(__xludf.DUMMYFUNCTION("GOOGLETRANSLATE($B331,""en"",W$3)"),"Нажмите для справки о режимах God")</f>
        <v>Нажмите для справки о режимах God</v>
      </c>
      <c r="X331" s="11" t="str">
        <f ca="1">IFERROR(__xludf.DUMMYFUNCTION("GOOGLETRANSLATE($B331,""en"",X$3)"),"Haga clic para asistencia en los modos de Dios")</f>
        <v>Haga clic para asistencia en los modos de Dios</v>
      </c>
    </row>
    <row r="332" spans="1:26" ht="32.25" customHeight="1" x14ac:dyDescent="0.2">
      <c r="A332" s="10" t="s">
        <v>778</v>
      </c>
      <c r="B332" s="10" t="s">
        <v>779</v>
      </c>
      <c r="C332" s="11" t="str">
        <f ca="1">IFERROR(__xludf.DUMMYFUNCTION("GOOGLETRANSLATE($B332,""en"",C$3)"),"Wiki-Seite auf IAR")</f>
        <v>Wiki-Seite auf IAR</v>
      </c>
      <c r="D332" s="11" t="str">
        <f ca="1">IFERROR(__xludf.DUMMYFUNCTION("GOOGLETRANSLATE($B332,""en"",D$3)"),"Wiki Page på IAR: s")</f>
        <v>Wiki Page på IAR: s</v>
      </c>
      <c r="E332" s="11" t="str">
        <f ca="1">IFERROR(__xludf.DUMMYFUNCTION("GOOGLETRANSLATE($B332,""en"",E$3)"),"Wiki Página On IAR de")</f>
        <v>Wiki Página On IAR de</v>
      </c>
      <c r="F332" s="11" t="str">
        <f ca="1">IFERROR(__xludf.DUMMYFUNCTION("GOOGLETRANSLATE($B332,""en"",F$3)"),"Wiki Página On IAR de")</f>
        <v>Wiki Página On IAR de</v>
      </c>
      <c r="G332" s="11" t="str">
        <f ca="1">IFERROR(__xludf.DUMMYFUNCTION("GOOGLETRANSLATE($B332,""en"",G$3)"),"Wiki sur Page IAR de")</f>
        <v>Wiki sur Page IAR de</v>
      </c>
      <c r="H332" s="11" t="str">
        <f ca="1">IFERROR(__xludf.DUMMYFUNCTION("GOOGLETRANSLATE($B332,""en"",H$3)"),"Wiki Page On iar en")</f>
        <v>Wiki Page On iar en</v>
      </c>
      <c r="I332" s="11" t="str">
        <f ca="1">IFERROR(__xludf.DUMMYFUNCTION("GOOGLETRANSLATE($B332,""en"",I$3)"),"A la pàgina wiki de IAR")</f>
        <v>A la pàgina wiki de IAR</v>
      </c>
      <c r="J332" s="11" t="str">
        <f ca="1">IFERROR(__xludf.DUMMYFUNCTION("GOOGLETRANSLATE($B332,""en"",J$3)"),"Wiki stránka On IAR je")</f>
        <v>Wiki stránka On IAR je</v>
      </c>
      <c r="K332" s="11" t="str">
        <f ca="1">IFERROR(__xludf.DUMMYFUNCTION("GOOGLETRANSLATE($B332,""en"",K$3)"),"wiki页面IAR的")</f>
        <v>wiki页面IAR的</v>
      </c>
      <c r="L332" s="11" t="str">
        <f ca="1">IFERROR(__xludf.DUMMYFUNCTION("GOOGLETRANSLATE($B332,""en"",L$3)"),"wiki頁面IAR的")</f>
        <v>wiki頁面IAR的</v>
      </c>
      <c r="M332" s="11" t="str">
        <f ca="1">IFERROR(__xludf.DUMMYFUNCTION("GOOGLETRANSLATE($B332,""en"",M$3)"),"Wiki pagina On IAR's")</f>
        <v>Wiki pagina On IAR's</v>
      </c>
      <c r="N332" s="11" t="str">
        <f ca="1">IFERROR(__xludf.DUMMYFUNCTION("GOOGLETRANSLATE($B332,""en"",N$3)"),"Wiki Page On IAR του")</f>
        <v>Wiki Page On IAR του</v>
      </c>
      <c r="O332" s="11" t="str">
        <f ca="1">IFERROR(__xludf.DUMMYFUNCTION("GOOGLETRANSLATE($B332,""en"",O$3)"),"Wikisivu Käytössä IAR: n")</f>
        <v>Wikisivu Käytössä IAR: n</v>
      </c>
      <c r="P332" s="11" t="str">
        <f ca="1">IFERROR(__xludf.DUMMYFUNCTION("GOOGLETRANSLATE($B332,""en"",P$3)"),"Wiki Page On IAR ar")</f>
        <v>Wiki Page On IAR ar</v>
      </c>
      <c r="Q332" s="11" t="str">
        <f ca="1">IFERROR(__xludf.DUMMYFUNCTION("GOOGLETRANSLATE($B332,""en"",Q$3)"),"ویکی صفحه در IAR است")</f>
        <v>ویکی صفحه در IAR است</v>
      </c>
      <c r="R332" s="11" t="str">
        <f ca="1">IFERROR(__xludf.DUMMYFUNCTION("GOOGLETRANSLATE($B332,""en"",R$3)"),"של ויקי דף IAR")</f>
        <v>של ויקי דף IAR</v>
      </c>
      <c r="S332" s="11" t="str">
        <f ca="1">IFERROR(__xludf.DUMMYFUNCTION("GOOGLETRANSLATE($B332,""en"",S$3)"),"Wiki Page On IAR er")</f>
        <v>Wiki Page On IAR er</v>
      </c>
      <c r="T332" s="11" t="str">
        <f ca="1">IFERROR(__xludf.DUMMYFUNCTION("GOOGLETRANSLATE($B332,""en"",T$3)"),"Wiki Page På IAR sin")</f>
        <v>Wiki Page På IAR sin</v>
      </c>
      <c r="U332" s="11" t="str">
        <f ca="1">IFERROR(__xludf.DUMMYFUNCTION("GOOGLETRANSLATE($B332,""en"",U$3)"),"ويكي الصفحة في IAR ل")</f>
        <v>ويكي الصفحة في IAR ل</v>
      </c>
      <c r="V332" s="11" t="str">
        <f ca="1">IFERROR(__xludf.DUMMYFUNCTION("GOOGLETRANSLATE($B332,""en"",V$3)"),"Wiki Strona Na IAR użytkownika")</f>
        <v>Wiki Strona Na IAR użytkownika</v>
      </c>
      <c r="W332" s="11" t="str">
        <f ca="1">IFERROR(__xludf.DUMMYFUNCTION("GOOGLETRANSLATE($B332,""en"",W$3)"),"Вики-страницы на IAR-х")</f>
        <v>Вики-страницы на IAR-х</v>
      </c>
      <c r="X332" s="11" t="str">
        <f ca="1">IFERROR(__xludf.DUMMYFUNCTION("GOOGLETRANSLATE($B332,""en"",X$3)"),"En la página wiki de IAR")</f>
        <v>En la página wiki de IAR</v>
      </c>
    </row>
    <row r="333" spans="1:26" ht="32.25" customHeight="1" x14ac:dyDescent="0.2">
      <c r="A333" s="10" t="s">
        <v>780</v>
      </c>
      <c r="B333" s="10" t="s">
        <v>781</v>
      </c>
      <c r="C333" s="11" t="str">
        <f ca="1">IFERROR(__xludf.DUMMYFUNCTION("GOOGLETRANSLATE($B333,""en"",C$3)"),"Wie beheben Loopback Unter Windows")</f>
        <v>Wie beheben Loopback Unter Windows</v>
      </c>
      <c r="D333" s="11" t="str">
        <f ca="1">IFERROR(__xludf.DUMMYFUNCTION("GOOGLETRANSLATE($B333,""en"",D$3)"),"Hur fixar Loopback På Windows")</f>
        <v>Hur fixar Loopback På Windows</v>
      </c>
      <c r="E333" s="11" t="str">
        <f ca="1">IFERROR(__xludf.DUMMYFUNCTION("GOOGLETRANSLATE($B333,""en"",E$3)"),"Como corrigir Loopback No Windows")</f>
        <v>Como corrigir Loopback No Windows</v>
      </c>
      <c r="F333" s="11" t="str">
        <f ca="1">IFERROR(__xludf.DUMMYFUNCTION("GOOGLETRANSLATE($B333,""en"",F$3)"),"Como corrigir Loopback No Windows")</f>
        <v>Como corrigir Loopback No Windows</v>
      </c>
      <c r="G333" s="11" t="str">
        <f ca="1">IFERROR(__xludf.DUMMYFUNCTION("GOOGLETRANSLATE($B333,""en"",G$3)"),"Comment réparer Bouclage Sous Windows")</f>
        <v>Comment réparer Bouclage Sous Windows</v>
      </c>
      <c r="H333" s="11" t="str">
        <f ca="1">IFERROR(__xludf.DUMMYFUNCTION("GOOGLETRANSLATE($B333,""en"",H$3)"),"Loopback On Windows Nola konpondu")</f>
        <v>Loopback On Windows Nola konpondu</v>
      </c>
      <c r="I333" s="11" t="str">
        <f ca="1">IFERROR(__xludf.DUMMYFUNCTION("GOOGLETRANSLATE($B333,""en"",I$3)"),"Com corregir bucle invertit en Windows")</f>
        <v>Com corregir bucle invertit en Windows</v>
      </c>
      <c r="J333" s="11" t="str">
        <f ca="1">IFERROR(__xludf.DUMMYFUNCTION("GOOGLETRANSLATE($B333,""en"",J$3)"),"Jak opravit Loopback na oknech")</f>
        <v>Jak opravit Loopback na oknech</v>
      </c>
      <c r="K333" s="11" t="str">
        <f ca="1">IFERROR(__xludf.DUMMYFUNCTION("GOOGLETRANSLATE($B333,""en"",K$3)"),"如何解决环回在Windows")</f>
        <v>如何解决环回在Windows</v>
      </c>
      <c r="L333" s="11" t="str">
        <f ca="1">IFERROR(__xludf.DUMMYFUNCTION("GOOGLETRANSLATE($B333,""en"",L$3)"),"如何解決環回在Windows")</f>
        <v>如何解決環回在Windows</v>
      </c>
      <c r="M333" s="11" t="str">
        <f ca="1">IFERROR(__xludf.DUMMYFUNCTION("GOOGLETRANSLATE($B333,""en"",M$3)"),"How To Loopback Op Windows op te lossen")</f>
        <v>How To Loopback Op Windows op te lossen</v>
      </c>
      <c r="N333" s="11" t="str">
        <f ca="1">IFERROR(__xludf.DUMMYFUNCTION("GOOGLETRANSLATE($B333,""en"",N$3)"),"Πώς να διορθώσετε Loopback Σε Windows")</f>
        <v>Πώς να διορθώσετε Loopback Σε Windows</v>
      </c>
      <c r="O333" s="11" t="str">
        <f ca="1">IFERROR(__xludf.DUMMYFUNCTION("GOOGLETRANSLATE($B333,""en"",O$3)"),"Miten Korjaa Loopback Windows")</f>
        <v>Miten Korjaa Loopback Windows</v>
      </c>
      <c r="P333" s="11" t="str">
        <f ca="1">IFERROR(__xludf.DUMMYFUNCTION("GOOGLETRANSLATE($B333,""en"",P$3)"),"Conas a shocrú loopback On Windows")</f>
        <v>Conas a shocrú loopback On Windows</v>
      </c>
      <c r="Q333" s="11" t="str">
        <f ca="1">IFERROR(__xludf.DUMMYFUNCTION("GOOGLETRANSLATE($B333,""en"",Q$3)"),"چگونه به رفع loopback در ویندوز")</f>
        <v>چگونه به رفع loopback در ویندوز</v>
      </c>
      <c r="R333" s="11" t="str">
        <f ca="1">IFERROR(__xludf.DUMMYFUNCTION("GOOGLETRANSLATE($B333,""en"",R$3)"),"איך לתקן Loopback ב- Windows")</f>
        <v>איך לתקן Loopback ב- Windows</v>
      </c>
      <c r="S333" s="11" t="str">
        <f ca="1">IFERROR(__xludf.DUMMYFUNCTION("GOOGLETRANSLATE($B333,""en"",S$3)"),"Hvernig á að festa sýndardiskur á Windows")</f>
        <v>Hvernig á að festa sýndardiskur á Windows</v>
      </c>
      <c r="T333" s="11" t="str">
        <f ca="1">IFERROR(__xludf.DUMMYFUNCTION("GOOGLETRANSLATE($B333,""en"",T$3)"),"Hvordan fikse Loopback på Windows")</f>
        <v>Hvordan fikse Loopback på Windows</v>
      </c>
      <c r="U333" s="11" t="str">
        <f ca="1">IFERROR(__xludf.DUMMYFUNCTION("GOOGLETRANSLATE($B333,""en"",U$3)"),"كيفية إصلاح الاسترجاع على ويندوز")</f>
        <v>كيفية إصلاح الاسترجاع على ويندوز</v>
      </c>
      <c r="V333" s="11" t="str">
        <f ca="1">IFERROR(__xludf.DUMMYFUNCTION("GOOGLETRANSLATE($B333,""en"",V$3)"),"Jak naprawić sprzężenia zwrotnego w systemie Windows")</f>
        <v>Jak naprawić sprzężenia zwrotnego w systemie Windows</v>
      </c>
      <c r="W333" s="11" t="str">
        <f ca="1">IFERROR(__xludf.DUMMYFUNCTION("GOOGLETRANSLATE($B333,""en"",W$3)"),"Как исправить Loopback В Windows")</f>
        <v>Как исправить Loopback В Windows</v>
      </c>
      <c r="X333" s="11" t="str">
        <f ca="1">IFERROR(__xludf.DUMMYFUNCTION("GOOGLETRANSLATE($B333,""en"",X$3)"),"Cómo corregir bucle invertido en Windows")</f>
        <v>Cómo corregir bucle invertido en Windows</v>
      </c>
    </row>
    <row r="334" spans="1:26" ht="32.25" customHeight="1" x14ac:dyDescent="0.2">
      <c r="A334" s="10" t="s">
        <v>782</v>
      </c>
      <c r="B334" s="10" t="s">
        <v>783</v>
      </c>
      <c r="C334" s="11" t="str">
        <f ca="1">IFERROR(__xludf.DUMMYFUNCTION("GOOGLETRANSLATE($B334,""en"",C$3)"),"Hilfe Manuals")</f>
        <v>Hilfe Manuals</v>
      </c>
      <c r="D334" s="11" t="str">
        <f ca="1">IFERROR(__xludf.DUMMYFUNCTION("GOOGLETRANSLATE($B334,""en"",D$3)"),"Hjälp Manuals")</f>
        <v>Hjälp Manuals</v>
      </c>
      <c r="E334" s="11" t="str">
        <f ca="1">IFERROR(__xludf.DUMMYFUNCTION("GOOGLETRANSLATE($B334,""en"",E$3)"),"Ajuda Manuais")</f>
        <v>Ajuda Manuais</v>
      </c>
      <c r="F334" s="11" t="str">
        <f ca="1">IFERROR(__xludf.DUMMYFUNCTION("GOOGLETRANSLATE($B334,""en"",F$3)"),"Ajuda Manuais")</f>
        <v>Ajuda Manuais</v>
      </c>
      <c r="G334" s="11" t="str">
        <f ca="1">IFERROR(__xludf.DUMMYFUNCTION("GOOGLETRANSLATE($B334,""en"",G$3)"),"Aide Manuels")</f>
        <v>Aide Manuels</v>
      </c>
      <c r="H334" s="11" t="str">
        <f ca="1">IFERROR(__xludf.DUMMYFUNCTION("GOOGLETRANSLATE($B334,""en"",H$3)"),"Laguntza eskuliburuak")</f>
        <v>Laguntza eskuliburuak</v>
      </c>
      <c r="I334" s="11" t="str">
        <f ca="1">IFERROR(__xludf.DUMMYFUNCTION("GOOGLETRANSLATE($B334,""en"",I$3)"),"ajuda Manuals")</f>
        <v>ajuda Manuals</v>
      </c>
      <c r="J334" s="11" t="str">
        <f ca="1">IFERROR(__xludf.DUMMYFUNCTION("GOOGLETRANSLATE($B334,""en"",J$3)"),"Pomoc Návody")</f>
        <v>Pomoc Návody</v>
      </c>
      <c r="K334" s="11" t="str">
        <f ca="1">IFERROR(__xludf.DUMMYFUNCTION("GOOGLETRANSLATE($B334,""en"",K$3)"),"帮助手册")</f>
        <v>帮助手册</v>
      </c>
      <c r="L334" s="11" t="str">
        <f ca="1">IFERROR(__xludf.DUMMYFUNCTION("GOOGLETRANSLATE($B334,""en"",L$3)"),"幫助手冊")</f>
        <v>幫助手冊</v>
      </c>
      <c r="M334" s="11" t="str">
        <f ca="1">IFERROR(__xludf.DUMMYFUNCTION("GOOGLETRANSLATE($B334,""en"",M$3)"),"Help Handleidingen")</f>
        <v>Help Handleidingen</v>
      </c>
      <c r="N334" s="11" t="str">
        <f ca="1">IFERROR(__xludf.DUMMYFUNCTION("GOOGLETRANSLATE($B334,""en"",N$3)"),"Βοήθεια Εγχειρίδια")</f>
        <v>Βοήθεια Εγχειρίδια</v>
      </c>
      <c r="O334" s="11" t="str">
        <f ca="1">IFERROR(__xludf.DUMMYFUNCTION("GOOGLETRANSLATE($B334,""en"",O$3)"),"Ohjeet Käyttöohjeet")</f>
        <v>Ohjeet Käyttöohjeet</v>
      </c>
      <c r="P334" s="11" t="str">
        <f ca="1">IFERROR(__xludf.DUMMYFUNCTION("GOOGLETRANSLATE($B334,""en"",P$3)"),"Cabhair Lámhleabhair")</f>
        <v>Cabhair Lámhleabhair</v>
      </c>
      <c r="Q334" s="11" t="str">
        <f ca="1">IFERROR(__xludf.DUMMYFUNCTION("GOOGLETRANSLATE($B334,""en"",Q$3)"),"راهنما دفترچه راهنما")</f>
        <v>راهنما دفترچه راهنما</v>
      </c>
      <c r="R334" s="11" t="str">
        <f ca="1">IFERROR(__xludf.DUMMYFUNCTION("GOOGLETRANSLATE($B334,""en"",R$3)"),"מדריכי עזרה")</f>
        <v>מדריכי עזרה</v>
      </c>
      <c r="S334" s="11" t="str">
        <f ca="1">IFERROR(__xludf.DUMMYFUNCTION("GOOGLETRANSLATE($B334,""en"",S$3)"),"Hjálp Handbækur")</f>
        <v>Hjálp Handbækur</v>
      </c>
      <c r="T334" s="11" t="str">
        <f ca="1">IFERROR(__xludf.DUMMYFUNCTION("GOOGLETRANSLATE($B334,""en"",T$3)"),"Hjelp Håndbøker")</f>
        <v>Hjelp Håndbøker</v>
      </c>
      <c r="U334" s="11" t="str">
        <f ca="1">IFERROR(__xludf.DUMMYFUNCTION("GOOGLETRANSLATE($B334,""en"",U$3)"),"مساعدة كتيبات")</f>
        <v>مساعدة كتيبات</v>
      </c>
      <c r="V334" s="11" t="str">
        <f ca="1">IFERROR(__xludf.DUMMYFUNCTION("GOOGLETRANSLATE($B334,""en"",V$3)"),"Pomoc Instrukcje")</f>
        <v>Pomoc Instrukcje</v>
      </c>
      <c r="W334" s="11" t="str">
        <f ca="1">IFERROR(__xludf.DUMMYFUNCTION("GOOGLETRANSLATE($B334,""en"",W$3)"),"Помощь Руководства")</f>
        <v>Помощь Руководства</v>
      </c>
      <c r="X334" s="11" t="str">
        <f ca="1">IFERROR(__xludf.DUMMYFUNCTION("GOOGLETRANSLATE($B334,""en"",X$3)"),"Ayuda Manuales")</f>
        <v>Ayuda Manuales</v>
      </c>
    </row>
    <row r="335" spans="1:26" ht="32.25" customHeight="1" x14ac:dyDescent="0.2">
      <c r="A335" s="10" t="s">
        <v>784</v>
      </c>
      <c r="B335" s="10" t="s">
        <v>785</v>
      </c>
      <c r="C335" s="11" t="str">
        <f ca="1">IFERROR(__xludf.DUMMYFUNCTION("GOOGLETRANSLATE($B335,""en"",C$3)"),"Hilfe Auf OARS")</f>
        <v>Hilfe Auf OARS</v>
      </c>
      <c r="D335" s="11" t="str">
        <f ca="1">IFERROR(__xludf.DUMMYFUNCTION("GOOGLETRANSLATE($B335,""en"",D$3)"),"Hjälp På Åror")</f>
        <v>Hjälp På Åror</v>
      </c>
      <c r="E335" s="11" t="str">
        <f ca="1">IFERROR(__xludf.DUMMYFUNCTION("GOOGLETRANSLATE($B335,""en"",E$3)"),"Ajuda On remos")</f>
        <v>Ajuda On remos</v>
      </c>
      <c r="F335" s="11" t="str">
        <f ca="1">IFERROR(__xludf.DUMMYFUNCTION("GOOGLETRANSLATE($B335,""en"",F$3)"),"Ajuda On remos")</f>
        <v>Ajuda On remos</v>
      </c>
      <c r="G335" s="11" t="str">
        <f ca="1">IFERROR(__xludf.DUMMYFUNCTION("GOOGLETRANSLATE($B335,""en"",G$3)"),"Aide en OARs")</f>
        <v>Aide en OARs</v>
      </c>
      <c r="H335" s="11" t="str">
        <f ca="1">IFERROR(__xludf.DUMMYFUNCTION("GOOGLETRANSLATE($B335,""en"",H$3)"),"Laguntza On arraunak")</f>
        <v>Laguntza On arraunak</v>
      </c>
      <c r="I335" s="11" t="str">
        <f ca="1">IFERROR(__xludf.DUMMYFUNCTION("GOOGLETRANSLATE($B335,""en"",I$3)"),"Ajuda Sobre OAR")</f>
        <v>Ajuda Sobre OAR</v>
      </c>
      <c r="J335" s="11" t="str">
        <f ca="1">IFERROR(__xludf.DUMMYFUNCTION("GOOGLETRANSLATE($B335,""en"",J$3)"),"Nápověda Na vesla")</f>
        <v>Nápověda Na vesla</v>
      </c>
      <c r="K335" s="11" t="str">
        <f ca="1">IFERROR(__xludf.DUMMYFUNCTION("GOOGLETRANSLATE($B335,""en"",K$3)"),"帮助在危及器官")</f>
        <v>帮助在危及器官</v>
      </c>
      <c r="L335" s="11" t="str">
        <f ca="1">IFERROR(__xludf.DUMMYFUNCTION("GOOGLETRANSLATE($B335,""en"",L$3)"),"幫助在危及器官")</f>
        <v>幫助在危及器官</v>
      </c>
      <c r="M335" s="11" t="str">
        <f ca="1">IFERROR(__xludf.DUMMYFUNCTION("GOOGLETRANSLATE($B335,""en"",M$3)"),"Hulp van de OAR")</f>
        <v>Hulp van de OAR</v>
      </c>
      <c r="N335" s="11" t="str">
        <f ca="1">IFERROR(__xludf.DUMMYFUNCTION("GOOGLETRANSLATE($B335,""en"",N$3)"),"Βοήθεια Στο OARs")</f>
        <v>Βοήθεια Στο OARs</v>
      </c>
      <c r="O335" s="11" t="str">
        <f ca="1">IFERROR(__xludf.DUMMYFUNCTION("GOOGLETRANSLATE($B335,""en"",O$3)"),"Ohje Airot")</f>
        <v>Ohje Airot</v>
      </c>
      <c r="P335" s="11" t="str">
        <f ca="1">IFERROR(__xludf.DUMMYFUNCTION("GOOGLETRANSLATE($B335,""en"",P$3)"),"Cabhair On maidí rámha")</f>
        <v>Cabhair On maidí rámha</v>
      </c>
      <c r="Q335" s="11" t="str">
        <f ca="1">IFERROR(__xludf.DUMMYFUNCTION("GOOGLETRANSLATE($B335,""en"",Q$3)"),"کمک در بدلس")</f>
        <v>کمک در بدلس</v>
      </c>
      <c r="R335" s="11" t="str">
        <f ca="1">IFERROR(__xludf.DUMMYFUNCTION("GOOGLETRANSLATE($B335,""en"",R$3)"),"עזרה מן החתירה")</f>
        <v>עזרה מן החתירה</v>
      </c>
      <c r="S335" s="11" t="str">
        <f ca="1">IFERROR(__xludf.DUMMYFUNCTION("GOOGLETRANSLATE($B335,""en"",S$3)"),"Hjálp á árar")</f>
        <v>Hjálp á árar</v>
      </c>
      <c r="T335" s="11" t="str">
        <f ca="1">IFERROR(__xludf.DUMMYFUNCTION("GOOGLETRANSLATE($B335,""en"",T$3)"),"Hjelp På Årer")</f>
        <v>Hjelp På Årer</v>
      </c>
      <c r="U335" s="11" t="str">
        <f ca="1">IFERROR(__xludf.DUMMYFUNCTION("GOOGLETRANSLATE($B335,""en"",U$3)"),"مساعدة في مجذاف")</f>
        <v>مساعدة في مجذاف</v>
      </c>
      <c r="V335" s="11" t="str">
        <f ca="1">IFERROR(__xludf.DUMMYFUNCTION("GOOGLETRANSLATE($B335,""en"",V$3)"),"Pomoc w wioseł")</f>
        <v>Pomoc w wioseł</v>
      </c>
      <c r="W335" s="11" t="str">
        <f ca="1">IFERROR(__xludf.DUMMYFUNCTION("GOOGLETRANSLATE($B335,""en"",W$3)"),"Помощь на веслах")</f>
        <v>Помощь на веслах</v>
      </c>
      <c r="X335" s="11" t="str">
        <f ca="1">IFERROR(__xludf.DUMMYFUNCTION("GOOGLETRANSLATE($B335,""en"",X$3)"),"Ayuda Sobre OAR")</f>
        <v>Ayuda Sobre OAR</v>
      </c>
    </row>
    <row r="336" spans="1:26" ht="32.25" customHeight="1" x14ac:dyDescent="0.2">
      <c r="A336" s="10" t="s">
        <v>786</v>
      </c>
      <c r="B336" s="10" t="s">
        <v>787</v>
      </c>
      <c r="C336" s="11" t="str">
        <f ca="1">IFERROR(__xludf.DUMMYFUNCTION("GOOGLETRANSLATE($B336,""en"",C$3)"),"Wiki-Seite auf OARS")</f>
        <v>Wiki-Seite auf OARS</v>
      </c>
      <c r="D336" s="11" t="str">
        <f ca="1">IFERROR(__xludf.DUMMYFUNCTION("GOOGLETRANSLATE($B336,""en"",D$3)"),"Wiki Page på OARS")</f>
        <v>Wiki Page på OARS</v>
      </c>
      <c r="E336" s="11" t="str">
        <f ca="1">IFERROR(__xludf.DUMMYFUNCTION("GOOGLETRANSLATE($B336,""en"",E$3)"),"Wiki página no OARS")</f>
        <v>Wiki página no OARS</v>
      </c>
      <c r="F336" s="11" t="str">
        <f ca="1">IFERROR(__xludf.DUMMYFUNCTION("GOOGLETRANSLATE($B336,""en"",F$3)"),"Wiki página no OARS")</f>
        <v>Wiki página no OARS</v>
      </c>
      <c r="G336" s="11" t="str">
        <f ca="1">IFERROR(__xludf.DUMMYFUNCTION("GOOGLETRANSLATE($B336,""en"",G$3)"),"Wiki sur la page AVIRONS")</f>
        <v>Wiki sur la page AVIRONS</v>
      </c>
      <c r="H336" s="11" t="str">
        <f ca="1">IFERROR(__xludf.DUMMYFUNCTION("GOOGLETRANSLATE($B336,""en"",H$3)"),"Wiki Page Oarso on")</f>
        <v>Wiki Page Oarso on</v>
      </c>
      <c r="I336" s="11" t="str">
        <f ca="1">IFERROR(__xludf.DUMMYFUNCTION("GOOGLETRANSLATE($B336,""en"",I$3)"),"Pàgina wiki en OARS")</f>
        <v>Pàgina wiki en OARS</v>
      </c>
      <c r="J336" s="11" t="str">
        <f ca="1">IFERROR(__xludf.DUMMYFUNCTION("GOOGLETRANSLATE($B336,""en"",J$3)"),"Wiki stránky na vesla")</f>
        <v>Wiki stránky na vesla</v>
      </c>
      <c r="K336" s="11" t="str">
        <f ca="1">IFERROR(__xludf.DUMMYFUNCTION("GOOGLETRANSLATE($B336,""en"",K$3)"),"Wiki页面上桨")</f>
        <v>Wiki页面上桨</v>
      </c>
      <c r="L336" s="11" t="str">
        <f ca="1">IFERROR(__xludf.DUMMYFUNCTION("GOOGLETRANSLATE($B336,""en"",L$3)"),"Wiki頁面上槳")</f>
        <v>Wiki頁面上槳</v>
      </c>
      <c r="M336" s="11" t="str">
        <f ca="1">IFERROR(__xludf.DUMMYFUNCTION("GOOGLETRANSLATE($B336,""en"",M$3)"),"Wiki pagina op ROEISPANEN")</f>
        <v>Wiki pagina op ROEISPANEN</v>
      </c>
      <c r="N336" s="11" t="str">
        <f ca="1">IFERROR(__xludf.DUMMYFUNCTION("GOOGLETRANSLATE($B336,""en"",N$3)"),"Wiki σελίδα στο κουπιών")</f>
        <v>Wiki σελίδα στο κουπιών</v>
      </c>
      <c r="O336" s="11" t="str">
        <f ca="1">IFERROR(__xludf.DUMMYFUNCTION("GOOGLETRANSLATE($B336,""en"",O$3)"),"Wikisivu on airot")</f>
        <v>Wikisivu on airot</v>
      </c>
      <c r="P336" s="11" t="str">
        <f ca="1">IFERROR(__xludf.DUMMYFUNCTION("GOOGLETRANSLATE($B336,""en"",P$3)"),"Wiki Leathanach ar maidí rámha")</f>
        <v>Wiki Leathanach ar maidí rámha</v>
      </c>
      <c r="Q336" s="11" t="str">
        <f ca="1">IFERROR(__xludf.DUMMYFUNCTION("GOOGLETRANSLATE($B336,""en"",Q$3)"),"ویکی صفحه در بدلس")</f>
        <v>ویکی صفحه در بدلس</v>
      </c>
      <c r="R336" s="11" t="str">
        <f ca="1">IFERROR(__xludf.DUMMYFUNCTION("GOOGLETRANSLATE($B336,""en"",R$3)"),"דף Wiki על משוטים")</f>
        <v>דף Wiki על משוטים</v>
      </c>
      <c r="S336" s="11" t="str">
        <f ca="1">IFERROR(__xludf.DUMMYFUNCTION("GOOGLETRANSLATE($B336,""en"",S$3)"),"Wiki Page á árar")</f>
        <v>Wiki Page á árar</v>
      </c>
      <c r="T336" s="11" t="str">
        <f ca="1">IFERROR(__xludf.DUMMYFUNCTION("GOOGLETRANSLATE($B336,""en"",T$3)"),"Wiki Page på ÅRER")</f>
        <v>Wiki Page på ÅRER</v>
      </c>
      <c r="U336" s="11" t="str">
        <f ca="1">IFERROR(__xludf.DUMMYFUNCTION("GOOGLETRANSLATE($B336,""en"",U$3)"),"ويكي الصفحة على المجاذيف")</f>
        <v>ويكي الصفحة على المجاذيف</v>
      </c>
      <c r="V336" s="11" t="str">
        <f ca="1">IFERROR(__xludf.DUMMYFUNCTION("GOOGLETRANSLATE($B336,""en"",V$3)"),"Wiki Strona na wiosła")</f>
        <v>Wiki Strona na wiosła</v>
      </c>
      <c r="W336" s="11" t="str">
        <f ca="1">IFERROR(__xludf.DUMMYFUNCTION("GOOGLETRANSLATE($B336,""en"",W$3)"),"Wiki Страница на веслах")</f>
        <v>Wiki Страница на веслах</v>
      </c>
      <c r="X336" s="11" t="str">
        <f ca="1">IFERROR(__xludf.DUMMYFUNCTION("GOOGLETRANSLATE($B336,""en"",X$3)"),"Página wiki en OARS")</f>
        <v>Página wiki en OARS</v>
      </c>
    </row>
    <row r="337" spans="1:26" ht="32.25" customHeight="1" x14ac:dyDescent="0.2">
      <c r="A337" s="10" t="s">
        <v>788</v>
      </c>
      <c r="B337" s="10" t="s">
        <v>789</v>
      </c>
      <c r="C337" s="11" t="str">
        <f ca="1">IFERROR(__xludf.DUMMYFUNCTION("GOOGLETRANSLATE($B337,""en"",C$3)"),"Hilfe Auf IARS")</f>
        <v>Hilfe Auf IARS</v>
      </c>
      <c r="D337" s="11" t="str">
        <f ca="1">IFERROR(__xludf.DUMMYFUNCTION("GOOGLETRANSLATE($B337,""en"",D$3)"),"Hjälp på IAR")</f>
        <v>Hjälp på IAR</v>
      </c>
      <c r="E337" s="11" t="str">
        <f ca="1">IFERROR(__xludf.DUMMYFUNCTION("GOOGLETRANSLATE($B337,""en"",E$3)"),"Ajuda On IARS")</f>
        <v>Ajuda On IARS</v>
      </c>
      <c r="F337" s="11" t="str">
        <f ca="1">IFERROR(__xludf.DUMMYFUNCTION("GOOGLETRANSLATE($B337,""en"",F$3)"),"Ajuda On IARS")</f>
        <v>Ajuda On IARS</v>
      </c>
      <c r="G337" s="11" t="str">
        <f ca="1">IFERROR(__xludf.DUMMYFUNCTION("GOOGLETRANSLATE($B337,""en"",G$3)"),"Aide en IARS")</f>
        <v>Aide en IARS</v>
      </c>
      <c r="H337" s="11" t="str">
        <f ca="1">IFERROR(__xludf.DUMMYFUNCTION("GOOGLETRANSLATE($B337,""en"",H$3)"),"Laguntza On IARS")</f>
        <v>Laguntza On IARS</v>
      </c>
      <c r="I337" s="11" t="str">
        <f ca="1">IFERROR(__xludf.DUMMYFUNCTION("GOOGLETRANSLATE($B337,""en"",I$3)"),"Ajuda En IARS")</f>
        <v>Ajuda En IARS</v>
      </c>
      <c r="J337" s="11" t="str">
        <f ca="1">IFERROR(__xludf.DUMMYFUNCTION("GOOGLETRANSLATE($B337,""en"",J$3)"),"Nápověda Na IARS")</f>
        <v>Nápověda Na IARS</v>
      </c>
      <c r="K337" s="11" t="str">
        <f ca="1">IFERROR(__xludf.DUMMYFUNCTION("GOOGLETRANSLATE($B337,""en"",K$3)"),"帮助在IARS")</f>
        <v>帮助在IARS</v>
      </c>
      <c r="L337" s="11" t="str">
        <f ca="1">IFERROR(__xludf.DUMMYFUNCTION("GOOGLETRANSLATE($B337,""en"",L$3)"),"幫助在IARS")</f>
        <v>幫助在IARS</v>
      </c>
      <c r="M337" s="11" t="str">
        <f ca="1">IFERROR(__xludf.DUMMYFUNCTION("GOOGLETRANSLATE($B337,""en"",M$3)"),"Hulp van de IAR")</f>
        <v>Hulp van de IAR</v>
      </c>
      <c r="N337" s="11" t="str">
        <f ca="1">IFERROR(__xludf.DUMMYFUNCTION("GOOGLETRANSLATE($B337,""en"",N$3)"),"Βοήθεια Στο ΑΣΕ")</f>
        <v>Βοήθεια Στο ΑΣΕ</v>
      </c>
      <c r="O337" s="11" t="str">
        <f ca="1">IFERROR(__xludf.DUMMYFUNCTION("GOOGLETRANSLATE($B337,""en"",O$3)"),"Ohje infuusioreaktiot")</f>
        <v>Ohje infuusioreaktiot</v>
      </c>
      <c r="P337" s="11" t="str">
        <f ca="1">IFERROR(__xludf.DUMMYFUNCTION("GOOGLETRANSLATE($B337,""en"",P$3)"),"Cabhair On IARS")</f>
        <v>Cabhair On IARS</v>
      </c>
      <c r="Q337" s="11" t="str">
        <f ca="1">IFERROR(__xludf.DUMMYFUNCTION("GOOGLETRANSLATE($B337,""en"",Q$3)"),"کمک در IARS")</f>
        <v>کمک در IARS</v>
      </c>
      <c r="R337" s="11" t="str">
        <f ca="1">IFERROR(__xludf.DUMMYFUNCTION("GOOGLETRANSLATE($B337,""en"",R$3)"),"עזרה ביום IARS")</f>
        <v>עזרה ביום IARS</v>
      </c>
      <c r="S337" s="11" t="str">
        <f ca="1">IFERROR(__xludf.DUMMYFUNCTION("GOOGLETRANSLATE($B337,""en"",S$3)"),"Hjálp Á IARS")</f>
        <v>Hjálp Á IARS</v>
      </c>
      <c r="T337" s="11" t="str">
        <f ca="1">IFERROR(__xludf.DUMMYFUNCTION("GOOGLETRANSLATE($B337,""en"",T$3)"),"Hjelp På IRR")</f>
        <v>Hjelp På IRR</v>
      </c>
      <c r="U337" s="11" t="str">
        <f ca="1">IFERROR(__xludf.DUMMYFUNCTION("GOOGLETRANSLATE($B337,""en"",U$3)"),"مساعدة في IARS")</f>
        <v>مساعدة في IARS</v>
      </c>
      <c r="V337" s="11" t="str">
        <f ca="1">IFERROR(__xludf.DUMMYFUNCTION("GOOGLETRANSLATE($B337,""en"",V$3)"),"Pomoc w IAR")</f>
        <v>Pomoc w IAR</v>
      </c>
      <c r="W337" s="11" t="str">
        <f ca="1">IFERROR(__xludf.DUMMYFUNCTION("GOOGLETRANSLATE($B337,""en"",W$3)"),"Помощь На ПАРС")</f>
        <v>Помощь На ПАРС</v>
      </c>
      <c r="X337" s="11" t="str">
        <f ca="1">IFERROR(__xludf.DUMMYFUNCTION("GOOGLETRANSLATE($B337,""en"",X$3)"),"Ayuda En IARS")</f>
        <v>Ayuda En IARS</v>
      </c>
    </row>
    <row r="338" spans="1:26" ht="32.25" customHeight="1" x14ac:dyDescent="0.2">
      <c r="A338" s="10" t="s">
        <v>790</v>
      </c>
      <c r="B338" s="10" t="s">
        <v>791</v>
      </c>
      <c r="C338" s="11" t="str">
        <f ca="1">IFERROR(__xludf.DUMMYFUNCTION("GOOGLETRANSLATE($B338,""en"",C$3)"),"Hilfe Auf LoopBack")</f>
        <v>Hilfe Auf LoopBack</v>
      </c>
      <c r="D338" s="11" t="str">
        <f ca="1">IFERROR(__xludf.DUMMYFUNCTION("GOOGLETRANSLATE($B338,""en"",D$3)"),"Hjälp på loopback")</f>
        <v>Hjälp på loopback</v>
      </c>
      <c r="E338" s="11" t="str">
        <f ca="1">IFERROR(__xludf.DUMMYFUNCTION("GOOGLETRANSLATE($B338,""en"",E$3)"),"Ajuda On LoopBack")</f>
        <v>Ajuda On LoopBack</v>
      </c>
      <c r="F338" s="11" t="str">
        <f ca="1">IFERROR(__xludf.DUMMYFUNCTION("GOOGLETRANSLATE($B338,""en"",F$3)"),"Ajuda On LoopBack")</f>
        <v>Ajuda On LoopBack</v>
      </c>
      <c r="G338" s="11" t="str">
        <f ca="1">IFERROR(__xludf.DUMMYFUNCTION("GOOGLETRANSLATE($B338,""en"",G$3)"),"Aide en LoopBack")</f>
        <v>Aide en LoopBack</v>
      </c>
      <c r="H338" s="11" t="str">
        <f ca="1">IFERROR(__xludf.DUMMYFUNCTION("GOOGLETRANSLATE($B338,""en"",H$3)"),"Laguntza On loopback")</f>
        <v>Laguntza On loopback</v>
      </c>
      <c r="I338" s="11" t="str">
        <f ca="1">IFERROR(__xludf.DUMMYFUNCTION("GOOGLETRANSLATE($B338,""en"",I$3)"),"Ajuda En loopback")</f>
        <v>Ajuda En loopback</v>
      </c>
      <c r="J338" s="11" t="str">
        <f ca="1">IFERROR(__xludf.DUMMYFUNCTION("GOOGLETRANSLATE($B338,""en"",J$3)"),"Nápověda Na loopback")</f>
        <v>Nápověda Na loopback</v>
      </c>
      <c r="K338" s="11" t="str">
        <f ca="1">IFERROR(__xludf.DUMMYFUNCTION("GOOGLETRANSLATE($B338,""en"",K$3)"),"说明对内环回")</f>
        <v>说明对内环回</v>
      </c>
      <c r="L338" s="11" t="str">
        <f ca="1">IFERROR(__xludf.DUMMYFUNCTION("GOOGLETRANSLATE($B338,""en"",L$3)"),"說明對內環回")</f>
        <v>說明對內環回</v>
      </c>
      <c r="M338" s="11" t="str">
        <f ca="1">IFERROR(__xludf.DUMMYFUNCTION("GOOGLETRANSLATE($B338,""en"",M$3)"),"Help Op Loopback")</f>
        <v>Help Op Loopback</v>
      </c>
      <c r="N338" s="11" t="str">
        <f ca="1">IFERROR(__xludf.DUMMYFUNCTION("GOOGLETRANSLATE($B338,""en"",N$3)"),"Βοήθεια Στο loopback")</f>
        <v>Βοήθεια Στο loopback</v>
      </c>
      <c r="O338" s="11" t="str">
        <f ca="1">IFERROR(__xludf.DUMMYFUNCTION("GOOGLETRANSLATE($B338,""en"",O$3)"),"Ohje Loopback")</f>
        <v>Ohje Loopback</v>
      </c>
      <c r="P338" s="11" t="str">
        <f ca="1">IFERROR(__xludf.DUMMYFUNCTION("GOOGLETRANSLATE($B338,""en"",P$3)"),"Cabhair On loopback")</f>
        <v>Cabhair On loopback</v>
      </c>
      <c r="Q338" s="11" t="str">
        <f ca="1">IFERROR(__xludf.DUMMYFUNCTION("GOOGLETRANSLATE($B338,""en"",Q$3)"),"کمک در خط")</f>
        <v>کمک در خط</v>
      </c>
      <c r="R338" s="11" t="str">
        <f ca="1">IFERROR(__xludf.DUMMYFUNCTION("GOOGLETRANSLATE($B338,""en"",R$3)"),"עזרה ב Loopback")</f>
        <v>עזרה ב Loopback</v>
      </c>
      <c r="S338" s="11" t="str">
        <f ca="1">IFERROR(__xludf.DUMMYFUNCTION("GOOGLETRANSLATE($B338,""en"",S$3)"),"Hjálp Á sýndardiskur")</f>
        <v>Hjálp Á sýndardiskur</v>
      </c>
      <c r="T338" s="11" t="str">
        <f ca="1">IFERROR(__xludf.DUMMYFUNCTION("GOOGLETRANSLATE($B338,""en"",T$3)"),"Hjelp På loopback")</f>
        <v>Hjelp På loopback</v>
      </c>
      <c r="U338" s="11" t="str">
        <f ca="1">IFERROR(__xludf.DUMMYFUNCTION("GOOGLETRANSLATE($B338,""en"",U$3)"),"مساعدة في استرجاع")</f>
        <v>مساعدة في استرجاع</v>
      </c>
      <c r="V338" s="11" t="str">
        <f ca="1">IFERROR(__xludf.DUMMYFUNCTION("GOOGLETRANSLATE($B338,""en"",V$3)"),"Pomoc w pętli zwrotnej")</f>
        <v>Pomoc w pętli zwrotnej</v>
      </c>
      <c r="W338" s="11" t="str">
        <f ca="1">IFERROR(__xludf.DUMMYFUNCTION("GOOGLETRANSLATE($B338,""en"",W$3)"),"Помощь На LoopBack")</f>
        <v>Помощь На LoopBack</v>
      </c>
      <c r="X338" s="11" t="str">
        <f ca="1">IFERROR(__xludf.DUMMYFUNCTION("GOOGLETRANSLATE($B338,""en"",X$3)"),"Ayuda En LoopBack")</f>
        <v>Ayuda En LoopBack</v>
      </c>
    </row>
    <row r="339" spans="1:26" ht="32.25" customHeight="1" x14ac:dyDescent="0.2">
      <c r="A339" s="10" t="s">
        <v>792</v>
      </c>
      <c r="B339" s="10" t="s">
        <v>793</v>
      </c>
      <c r="C339" s="11" t="str">
        <f ca="1">IFERROR(__xludf.DUMMYFUNCTION("GOOGLETRANSLATE($B339,""en"",C$3)"),"Hilfe zur Inbetriebnahme des ersten Mal")</f>
        <v>Hilfe zur Inbetriebnahme des ersten Mal</v>
      </c>
      <c r="D339" s="11" t="str">
        <f ca="1">IFERROR(__xludf.DUMMYFUNCTION("GOOGLETRANSLATE($B339,""en"",D$3)"),"Hjälp på Starta för första gången")</f>
        <v>Hjälp på Starta för första gången</v>
      </c>
      <c r="E339" s="11" t="str">
        <f ca="1">IFERROR(__xludf.DUMMYFUNCTION("GOOGLETRANSLATE($B339,""en"",E$3)"),"Ajuda na Iniciando pela primeira vez")</f>
        <v>Ajuda na Iniciando pela primeira vez</v>
      </c>
      <c r="F339" s="11" t="str">
        <f ca="1">IFERROR(__xludf.DUMMYFUNCTION("GOOGLETRANSLATE($B339,""en"",F$3)"),"Ajuda na Iniciando pela primeira vez")</f>
        <v>Ajuda na Iniciando pela primeira vez</v>
      </c>
      <c r="G339" s="11" t="str">
        <f ca="1">IFERROR(__xludf.DUMMYFUNCTION("GOOGLETRANSLATE($B339,""en"",G$3)"),"Aide au démarrage pour la première fois")</f>
        <v>Aide au démarrage pour la première fois</v>
      </c>
      <c r="H339" s="11" t="str">
        <f ca="1">IFERROR(__xludf.DUMMYFUNCTION("GOOGLETRANSLATE($B339,""en"",H$3)"),"Laguntza martxan lehen aldiz on")</f>
        <v>Laguntza martxan lehen aldiz on</v>
      </c>
      <c r="I339" s="11" t="str">
        <f ca="1">IFERROR(__xludf.DUMMYFUNCTION("GOOGLETRANSLATE($B339,""en"",I$3)"),"Ajuda en la posada en marxa del primer temps")</f>
        <v>Ajuda en la posada en marxa del primer temps</v>
      </c>
      <c r="J339" s="11" t="str">
        <f ca="1">IFERROR(__xludf.DUMMYFUNCTION("GOOGLETRANSLATE($B339,""en"",J$3)"),"Pomoc Spuštění poprvé")</f>
        <v>Pomoc Spuštění poprvé</v>
      </c>
      <c r="K339" s="11" t="str">
        <f ca="1">IFERROR(__xludf.DUMMYFUNCTION("GOOGLETRANSLATE($B339,""en"",K$3)"),"帮助上启动了第一次")</f>
        <v>帮助上启动了第一次</v>
      </c>
      <c r="L339" s="11" t="str">
        <f ca="1">IFERROR(__xludf.DUMMYFUNCTION("GOOGLETRANSLATE($B339,""en"",L$3)"),"幫助上啟動了第一次")</f>
        <v>幫助上啟動了第一次</v>
      </c>
      <c r="M339" s="11" t="str">
        <f ca="1">IFERROR(__xludf.DUMMYFUNCTION("GOOGLETRANSLATE($B339,""en"",M$3)"),"Hulp bij het opstarten van de eerste keer")</f>
        <v>Hulp bij het opstarten van de eerste keer</v>
      </c>
      <c r="N339" s="11" t="str">
        <f ca="1">IFERROR(__xludf.DUMMYFUNCTION("GOOGLETRANSLATE($B339,""en"",N$3)"),"Βοήθεια για Εκκίνηση για πρώτη φορά")</f>
        <v>Βοήθεια για Εκκίνηση για πρώτη φορά</v>
      </c>
      <c r="O339" s="11" t="str">
        <f ca="1">IFERROR(__xludf.DUMMYFUNCTION("GOOGLETRANSLATE($B339,""en"",O$3)"),"Ohje käynnistämiseen ensimmäisen kerran")</f>
        <v>Ohje käynnistämiseen ensimmäisen kerran</v>
      </c>
      <c r="P339" s="11" t="str">
        <f ca="1">IFERROR(__xludf.DUMMYFUNCTION("GOOGLETRANSLATE($B339,""en"",P$3)"),"Cabhair maidir le Ag tosú Up an chéad uair")</f>
        <v>Cabhair maidir le Ag tosú Up an chéad uair</v>
      </c>
      <c r="Q339" s="11" t="str">
        <f ca="1">IFERROR(__xludf.DUMMYFUNCTION("GOOGLETRANSLATE($B339,""en"",Q$3)"),"کمک در راه اندازی اولین بار")</f>
        <v>کمک در راه اندازی اولین بار</v>
      </c>
      <c r="R339" s="11" t="str">
        <f ca="1">IFERROR(__xludf.DUMMYFUNCTION("GOOGLETRANSLATE($B339,""en"",R$3)"),"עזרה על ההתחלה את הפעם הראשונה")</f>
        <v>עזרה על ההתחלה את הפעם הראשונה</v>
      </c>
      <c r="S339" s="11" t="str">
        <f ca="1">IFERROR(__xludf.DUMMYFUNCTION("GOOGLETRANSLATE($B339,""en"",S$3)"),"Hjálp á Byrjun Upp í fyrsta skipti")</f>
        <v>Hjálp á Byrjun Upp í fyrsta skipti</v>
      </c>
      <c r="T339" s="11" t="str">
        <f ca="1">IFERROR(__xludf.DUMMYFUNCTION("GOOGLETRANSLATE($B339,""en"",T$3)"),"Hjelp på Oppstart første gang")</f>
        <v>Hjelp på Oppstart første gang</v>
      </c>
      <c r="U339" s="11" t="str">
        <f ca="1">IFERROR(__xludf.DUMMYFUNCTION("GOOGLETRANSLATE($B339,""en"",U$3)"),"مساعدة على بدء أول مرة")</f>
        <v>مساعدة على بدء أول مرة</v>
      </c>
      <c r="V339" s="11" t="str">
        <f ca="1">IFERROR(__xludf.DUMMYFUNCTION("GOOGLETRANSLATE($B339,""en"",V$3)"),"Pomoc na Uruchamianie po raz pierwszy")</f>
        <v>Pomoc na Uruchamianie po raz pierwszy</v>
      </c>
      <c r="W339" s="11" t="str">
        <f ca="1">IFERROR(__xludf.DUMMYFUNCTION("GOOGLETRANSLATE($B339,""en"",W$3)"),"Помощь на Запуск в первый раз")</f>
        <v>Помощь на Запуск в первый раз</v>
      </c>
      <c r="X339" s="11" t="str">
        <f ca="1">IFERROR(__xludf.DUMMYFUNCTION("GOOGLETRANSLATE($B339,""en"",X$3)"),"Ayuda en la puesta en marcha del primer tiempo")</f>
        <v>Ayuda en la puesta en marcha del primer tiempo</v>
      </c>
    </row>
    <row r="340" spans="1:26" ht="32.25" customHeight="1" x14ac:dyDescent="0.2">
      <c r="A340" s="10" t="s">
        <v>794</v>
      </c>
      <c r="B340" s="10" t="s">
        <v>795</v>
      </c>
      <c r="C340" s="11" t="str">
        <f ca="1">IFERROR(__xludf.DUMMYFUNCTION("GOOGLETRANSLATE($B340,""en"",C$3)"),"Hilfe für Technische Info")</f>
        <v>Hilfe für Technische Info</v>
      </c>
      <c r="D340" s="11" t="str">
        <f ca="1">IFERROR(__xludf.DUMMYFUNCTION("GOOGLETRANSLATE($B340,""en"",D$3)"),"Hjälp med Teknisk information")</f>
        <v>Hjälp med Teknisk information</v>
      </c>
      <c r="E340" s="11" t="str">
        <f ca="1">IFERROR(__xludf.DUMMYFUNCTION("GOOGLETRANSLATE($B340,""en"",E$3)"),"Ajuda Informações Técnicas")</f>
        <v>Ajuda Informações Técnicas</v>
      </c>
      <c r="F340" s="11" t="str">
        <f ca="1">IFERROR(__xludf.DUMMYFUNCTION("GOOGLETRANSLATE($B340,""en"",F$3)"),"Ajuda Informações Técnicas")</f>
        <v>Ajuda Informações Técnicas</v>
      </c>
      <c r="G340" s="11" t="str">
        <f ca="1">IFERROR(__xludf.DUMMYFUNCTION("GOOGLETRANSLATE($B340,""en"",G$3)"),"Aide avec des informations techniques")</f>
        <v>Aide avec des informations techniques</v>
      </c>
      <c r="H340" s="11" t="str">
        <f ca="1">IFERROR(__xludf.DUMMYFUNCTION("GOOGLETRANSLATE($B340,""en"",H$3)"),"Laguntza Info teknikoak dituzten")</f>
        <v>Laguntza Info teknikoak dituzten</v>
      </c>
      <c r="I340" s="11" t="str">
        <f ca="1">IFERROR(__xludf.DUMMYFUNCTION("GOOGLETRANSLATE($B340,""en"",I$3)"),"Ajuda amb Informació Tècnica")</f>
        <v>Ajuda amb Informació Tècnica</v>
      </c>
      <c r="J340" s="11" t="str">
        <f ca="1">IFERROR(__xludf.DUMMYFUNCTION("GOOGLETRANSLATE($B340,""en"",J$3)"),"Pomoc při technické informace")</f>
        <v>Pomoc při technické informace</v>
      </c>
      <c r="K340" s="11" t="str">
        <f ca="1">IFERROR(__xludf.DUMMYFUNCTION("GOOGLETRANSLATE($B340,""en"",K$3)"),"帮助与技术信息")</f>
        <v>帮助与技术信息</v>
      </c>
      <c r="L340" s="11" t="str">
        <f ca="1">IFERROR(__xludf.DUMMYFUNCTION("GOOGLETRANSLATE($B340,""en"",L$3)"),"幫助與技術信息")</f>
        <v>幫助與技術信息</v>
      </c>
      <c r="M340" s="11" t="str">
        <f ca="1">IFERROR(__xludf.DUMMYFUNCTION("GOOGLETRANSLATE($B340,""en"",M$3)"),"Hulp bij Technical Info")</f>
        <v>Hulp bij Technical Info</v>
      </c>
      <c r="N340" s="11" t="str">
        <f ca="1">IFERROR(__xludf.DUMMYFUNCTION("GOOGLETRANSLATE($B340,""en"",N$3)"),"Βοήθεια με το Τεχνικό Πληροφορίες")</f>
        <v>Βοήθεια με το Τεχνικό Πληροφορίες</v>
      </c>
      <c r="O340" s="11" t="str">
        <f ca="1">IFERROR(__xludf.DUMMYFUNCTION("GOOGLETRANSLATE($B340,""en"",O$3)"),"Apua Tekniset tiedot")</f>
        <v>Apua Tekniset tiedot</v>
      </c>
      <c r="P340" s="11" t="str">
        <f ca="1">IFERROR(__xludf.DUMMYFUNCTION("GOOGLETRANSLATE($B340,""en"",P$3)"),"Cabhair leis an Info Teicniúil")</f>
        <v>Cabhair leis an Info Teicniúil</v>
      </c>
      <c r="Q340" s="11" t="str">
        <f ca="1">IFERROR(__xludf.DUMMYFUNCTION("GOOGLETRANSLATE($B340,""en"",Q$3)"),"راهنما با اطلاعات فنی")</f>
        <v>راهنما با اطلاعات فنی</v>
      </c>
      <c r="R340" s="11" t="str">
        <f ca="1">IFERROR(__xludf.DUMMYFUNCTION("GOOGLETRANSLATE($B340,""en"",R$3)"),"עזרה עם מידע טכני")</f>
        <v>עזרה עם מידע טכני</v>
      </c>
      <c r="S340" s="11" t="str">
        <f ca="1">IFERROR(__xludf.DUMMYFUNCTION("GOOGLETRANSLATE($B340,""en"",S$3)"),"Hjálp með Technical Upplýsingar")</f>
        <v>Hjálp með Technical Upplýsingar</v>
      </c>
      <c r="T340" s="11" t="str">
        <f ca="1">IFERROR(__xludf.DUMMYFUNCTION("GOOGLETRANSLATE($B340,""en"",T$3)"),"Hjelp med Teknisk Info")</f>
        <v>Hjelp med Teknisk Info</v>
      </c>
      <c r="U340" s="11" t="str">
        <f ca="1">IFERROR(__xludf.DUMMYFUNCTION("GOOGLETRANSLATE($B340,""en"",U$3)"),"مساعدة مع معلومات التقنية")</f>
        <v>مساعدة مع معلومات التقنية</v>
      </c>
      <c r="V340" s="11" t="str">
        <f ca="1">IFERROR(__xludf.DUMMYFUNCTION("GOOGLETRANSLATE($B340,""en"",V$3)"),"Pomoc z informacji technicznej")</f>
        <v>Pomoc z informacji technicznej</v>
      </c>
      <c r="W340" s="11" t="str">
        <f ca="1">IFERROR(__xludf.DUMMYFUNCTION("GOOGLETRANSLATE($B340,""en"",W$3)"),"Помощь по технической информации")</f>
        <v>Помощь по технической информации</v>
      </c>
      <c r="X340" s="11" t="str">
        <f ca="1">IFERROR(__xludf.DUMMYFUNCTION("GOOGLETRANSLATE($B340,""en"",X$3)"),"Ayuda con Información Técnica")</f>
        <v>Ayuda con Información Técnica</v>
      </c>
    </row>
    <row r="341" spans="1:26" ht="32.25" customHeight="1" x14ac:dyDescent="0.2">
      <c r="A341" s="10" t="s">
        <v>796</v>
      </c>
      <c r="B341" s="10" t="s">
        <v>797</v>
      </c>
      <c r="C341" s="11" t="str">
        <f ca="1">IFERROR(__xludf.DUMMYFUNCTION("GOOGLETRANSLATE($B341,""en"",C$3)"),"Technischer Mumbo Jumbo, wie die Dinge konfigurieren")</f>
        <v>Technischer Mumbo Jumbo, wie die Dinge konfigurieren</v>
      </c>
      <c r="D341" s="11" t="str">
        <f ca="1">IFERROR(__xludf.DUMMYFUNCTION("GOOGLETRANSLATE($B341,""en"",D$3)"),"Tekniska Mumbo Jumbo på hur man konfigurerar saker")</f>
        <v>Tekniska Mumbo Jumbo på hur man konfigurerar saker</v>
      </c>
      <c r="E341" s="11" t="str">
        <f ca="1">IFERROR(__xludf.DUMMYFUNCTION("GOOGLETRANSLATE($B341,""en"",E$3)"),"Jumbo Mumbo técnico sobre como configurar as coisas")</f>
        <v>Jumbo Mumbo técnico sobre como configurar as coisas</v>
      </c>
      <c r="F341" s="11" t="str">
        <f ca="1">IFERROR(__xludf.DUMMYFUNCTION("GOOGLETRANSLATE($B341,""en"",F$3)"),"Jumbo Mumbo técnico sobre como configurar as coisas")</f>
        <v>Jumbo Mumbo técnico sobre como configurar as coisas</v>
      </c>
      <c r="G341" s="11" t="str">
        <f ca="1">IFERROR(__xludf.DUMMYFUNCTION("GOOGLETRANSLATE($B341,""en"",G$3)"),"Mumbo Jumbo technique sur la façon de configurer les choses")</f>
        <v>Mumbo Jumbo technique sur la façon de configurer les choses</v>
      </c>
      <c r="H341" s="11" t="str">
        <f ca="1">IFERROR(__xludf.DUMMYFUNCTION("GOOGLETRANSLATE($B341,""en"",H$3)"),"Mumbo Teknikoa Jumbo gauzak konfiguratzeari buruzko")</f>
        <v>Mumbo Teknikoa Jumbo gauzak konfiguratzeari buruzko</v>
      </c>
      <c r="I341" s="11" t="str">
        <f ca="1">IFERROR(__xludf.DUMMYFUNCTION("GOOGLETRANSLATE($B341,""en"",I$3)"),"Mumbo Jumbo tècnica sobre com configurar les coses")</f>
        <v>Mumbo Jumbo tècnica sobre com configurar les coses</v>
      </c>
      <c r="J341" s="11" t="str">
        <f ca="1">IFERROR(__xludf.DUMMYFUNCTION("GOOGLETRANSLATE($B341,""en"",J$3)"),"Technické Mumbo Jumbo o konfiguraci věci")</f>
        <v>Technické Mumbo Jumbo o konfiguraci věci</v>
      </c>
      <c r="K341" s="11" t="str">
        <f ca="1">IFERROR(__xludf.DUMMYFUNCTION("GOOGLETRANSLATE($B341,""en"",K$3)"),"关于如何配置的东西技术芒博琼博")</f>
        <v>关于如何配置的东西技术芒博琼博</v>
      </c>
      <c r="L341" s="11" t="str">
        <f ca="1">IFERROR(__xludf.DUMMYFUNCTION("GOOGLETRANSLATE($B341,""en"",L$3)"),"關於如何配置的東西技術芒博瓊博")</f>
        <v>關於如何配置的東西技術芒博瓊博</v>
      </c>
      <c r="M341" s="11" t="str">
        <f ca="1">IFERROR(__xludf.DUMMYFUNCTION("GOOGLETRANSLATE($B341,""en"",M$3)"),"Technische Mumbo Jumbo over hoe om dingen te configureren")</f>
        <v>Technische Mumbo Jumbo over hoe om dingen te configureren</v>
      </c>
      <c r="N341" s="11" t="str">
        <f ca="1">IFERROR(__xludf.DUMMYFUNCTION("GOOGLETRANSLATE($B341,""en"",N$3)"),"Τεχνική Μάμπο Jumbo για το πώς να ρυθμίσετε τα πράγματα")</f>
        <v>Τεχνική Μάμπο Jumbo για το πώς να ρυθμίσετε τα πράγματα</v>
      </c>
      <c r="O341" s="11" t="str">
        <f ca="1">IFERROR(__xludf.DUMMYFUNCTION("GOOGLETRANSLATE($B341,""en"",O$3)"),"Tekninen hölynpölyä miten määrittää asiat")</f>
        <v>Tekninen hölynpölyä miten määrittää asiat</v>
      </c>
      <c r="P341" s="11" t="str">
        <f ca="1">IFERROR(__xludf.DUMMYFUNCTION("GOOGLETRANSLATE($B341,""en"",P$3)"),"Teicniúil mumbo Jumbo ar conas rudaí a chumrú")</f>
        <v>Teicniúil mumbo Jumbo ar conas rudaí a chumrú</v>
      </c>
      <c r="Q341" s="11" t="str">
        <f ca="1">IFERROR(__xludf.DUMMYFUNCTION("GOOGLETRANSLATE($B341,""en"",Q$3)"),"خرافات فنی در مورد نحوه پیکربندی چیز")</f>
        <v>خرافات فنی در مورد نحوه پیکربندی چیز</v>
      </c>
      <c r="R341" s="11" t="str">
        <f ca="1">IFERROR(__xludf.DUMMYFUNCTION("GOOGLETRANSLATE($B341,""en"",R$3)"),"קשקוש הטכני על איך להגדיר דברים")</f>
        <v>קשקוש הטכני על איך להגדיר דברים</v>
      </c>
      <c r="S341" s="11" t="str">
        <f ca="1">IFERROR(__xludf.DUMMYFUNCTION("GOOGLETRANSLATE($B341,""en"",S$3)"),"Technical Mumbo Jumbo um hvernig á að stilla það")</f>
        <v>Technical Mumbo Jumbo um hvernig á að stilla það</v>
      </c>
      <c r="T341" s="11" t="str">
        <f ca="1">IFERROR(__xludf.DUMMYFUNCTION("GOOGLETRANSLATE($B341,""en"",T$3)"),"Teknisk Mumbo Jumbo på hvordan du konfigurerer ting")</f>
        <v>Teknisk Mumbo Jumbo på hvordan du konfigurerer ting</v>
      </c>
      <c r="U341" s="11" t="str">
        <f ca="1">IFERROR(__xludf.DUMMYFUNCTION("GOOGLETRANSLATE($B341,""en"",U$3)"),"جمبو الطقوس الفنية حول كيفية تكوين الأشياء")</f>
        <v>جمبو الطقوس الفنية حول كيفية تكوين الأشياء</v>
      </c>
      <c r="V341" s="11" t="str">
        <f ca="1">IFERROR(__xludf.DUMMYFUNCTION("GOOGLETRANSLATE($B341,""en"",V$3)"),"Mumbo Jumbo techniczne na temat konfigurowania rzeczy")</f>
        <v>Mumbo Jumbo techniczne na temat konfigurowania rzeczy</v>
      </c>
      <c r="W341" s="11" t="str">
        <f ca="1">IFERROR(__xludf.DUMMYFUNCTION("GOOGLETRANSLATE($B341,""en"",W$3)"),"Технический Jumbo Mumbo о том, как настроить вещи")</f>
        <v>Технический Jumbo Mumbo о том, как настроить вещи</v>
      </c>
      <c r="X341" s="11" t="str">
        <f ca="1">IFERROR(__xludf.DUMMYFUNCTION("GOOGLETRANSLATE($B341,""en"",X$3)"),"Mumbo Jumbo técnica sobre cómo configurar las cosas")</f>
        <v>Mumbo Jumbo técnica sobre cómo configurar las cosas</v>
      </c>
    </row>
    <row r="342" spans="1:26" ht="32.25" customHeight="1" x14ac:dyDescent="0.2">
      <c r="A342" s="10" t="s">
        <v>798</v>
      </c>
      <c r="B342" s="10" t="s">
        <v>799</v>
      </c>
      <c r="C342" s="11" t="str">
        <f ca="1">IFERROR(__xludf.DUMMYFUNCTION("GOOGLETRANSLATE($B342,""en"",C$3)"),"Hilfe Fehlerbehebung")</f>
        <v>Hilfe Fehlerbehebung</v>
      </c>
      <c r="D342" s="11" t="str">
        <f ca="1">IFERROR(__xludf.DUMMYFUNCTION("GOOGLETRANSLATE($B342,""en"",D$3)"),"Hjälp Felsökning")</f>
        <v>Hjälp Felsökning</v>
      </c>
      <c r="E342" s="11" t="str">
        <f ca="1">IFERROR(__xludf.DUMMYFUNCTION("GOOGLETRANSLATE($B342,""en"",E$3)"),"Ajuda Solução de problemas")</f>
        <v>Ajuda Solução de problemas</v>
      </c>
      <c r="F342" s="11" t="str">
        <f ca="1">IFERROR(__xludf.DUMMYFUNCTION("GOOGLETRANSLATE($B342,""en"",F$3)"),"Ajuda Solução de problemas")</f>
        <v>Ajuda Solução de problemas</v>
      </c>
      <c r="G342" s="11" t="str">
        <f ca="1">IFERROR(__xludf.DUMMYFUNCTION("GOOGLETRANSLATE($B342,""en"",G$3)"),"Aide Dépannage")</f>
        <v>Aide Dépannage</v>
      </c>
      <c r="H342" s="11" t="str">
        <f ca="1">IFERROR(__xludf.DUMMYFUNCTION("GOOGLETRANSLATE($B342,""en"",H$3)"),"Laguntza Arazoak")</f>
        <v>Laguntza Arazoak</v>
      </c>
      <c r="I342" s="11" t="str">
        <f ca="1">IFERROR(__xludf.DUMMYFUNCTION("GOOGLETRANSLATE($B342,""en"",I$3)"),"Ajuda Solució de problemes")</f>
        <v>Ajuda Solució de problemes</v>
      </c>
      <c r="J342" s="11" t="str">
        <f ca="1">IFERROR(__xludf.DUMMYFUNCTION("GOOGLETRANSLATE($B342,""en"",J$3)"),"Nápověda Odstraňování")</f>
        <v>Nápověda Odstraňování</v>
      </c>
      <c r="K342" s="11" t="str">
        <f ca="1">IFERROR(__xludf.DUMMYFUNCTION("GOOGLETRANSLATE($B342,""en"",K$3)"),"帮助疑难解答")</f>
        <v>帮助疑难解答</v>
      </c>
      <c r="L342" s="11" t="str">
        <f ca="1">IFERROR(__xludf.DUMMYFUNCTION("GOOGLETRANSLATE($B342,""en"",L$3)"),"幫助疑難解答")</f>
        <v>幫助疑難解答</v>
      </c>
      <c r="M342" s="11" t="str">
        <f ca="1">IFERROR(__xludf.DUMMYFUNCTION("GOOGLETRANSLATE($B342,""en"",M$3)"),"Help Problemen oplossen")</f>
        <v>Help Problemen oplossen</v>
      </c>
      <c r="N342" s="11" t="str">
        <f ca="1">IFERROR(__xludf.DUMMYFUNCTION("GOOGLETRANSLATE($B342,""en"",N$3)"),"Βοήθεια Αντιμετώπιση προβλημάτων")</f>
        <v>Βοήθεια Αντιμετώπιση προβλημάτων</v>
      </c>
      <c r="O342" s="11" t="str">
        <f ca="1">IFERROR(__xludf.DUMMYFUNCTION("GOOGLETRANSLATE($B342,""en"",O$3)"),"vianetsintävinkkeihin")</f>
        <v>vianetsintävinkkeihin</v>
      </c>
      <c r="P342" s="11" t="str">
        <f ca="1">IFERROR(__xludf.DUMMYFUNCTION("GOOGLETRANSLATE($B342,""en"",P$3)"),"Cabhair Fabhtcheartú")</f>
        <v>Cabhair Fabhtcheartú</v>
      </c>
      <c r="Q342" s="11" t="str">
        <f ca="1">IFERROR(__xludf.DUMMYFUNCTION("GOOGLETRANSLATE($B342,""en"",Q$3)"),"راهنما عیب یابی")</f>
        <v>راهنما عیب یابی</v>
      </c>
      <c r="R342" s="11" t="str">
        <f ca="1">IFERROR(__xludf.DUMMYFUNCTION("GOOGLETRANSLATE($B342,""en"",R$3)"),"פתרון בעיות עזרה")</f>
        <v>פתרון בעיות עזרה</v>
      </c>
      <c r="S342" s="11" t="str">
        <f ca="1">IFERROR(__xludf.DUMMYFUNCTION("GOOGLETRANSLATE($B342,""en"",S$3)"),"Hjálp Úrræðaleit")</f>
        <v>Hjálp Úrræðaleit</v>
      </c>
      <c r="T342" s="11" t="str">
        <f ca="1">IFERROR(__xludf.DUMMYFUNCTION("GOOGLETRANSLATE($B342,""en"",T$3)"),"Hjelp Feilsøking")</f>
        <v>Hjelp Feilsøking</v>
      </c>
      <c r="U342" s="11" t="str">
        <f ca="1">IFERROR(__xludf.DUMMYFUNCTION("GOOGLETRANSLATE($B342,""en"",U$3)"),"مساعدة استكشاف الأخطاء وإصلاحها")</f>
        <v>مساعدة استكشاف الأخطاء وإصلاحها</v>
      </c>
      <c r="V342" s="11" t="str">
        <f ca="1">IFERROR(__xludf.DUMMYFUNCTION("GOOGLETRANSLATE($B342,""en"",V$3)"),"Pomoc Rozwiązywanie problemów")</f>
        <v>Pomoc Rozwiązywanie problemów</v>
      </c>
      <c r="W342" s="11" t="str">
        <f ca="1">IFERROR(__xludf.DUMMYFUNCTION("GOOGLETRANSLATE($B342,""en"",W$3)"),"Помощь Поиск и устранение неисправностей")</f>
        <v>Помощь Поиск и устранение неисправностей</v>
      </c>
      <c r="X342" s="11" t="str">
        <f ca="1">IFERROR(__xludf.DUMMYFUNCTION("GOOGLETRANSLATE($B342,""en"",X$3)"),"Ayuda Solución de problemas")</f>
        <v>Ayuda Solución de problemas</v>
      </c>
    </row>
    <row r="343" spans="1:26" ht="32.25" customHeight="1" x14ac:dyDescent="0.2">
      <c r="A343" s="17" t="s">
        <v>800</v>
      </c>
      <c r="B343" s="17" t="s">
        <v>801</v>
      </c>
      <c r="C343" s="21" t="str">
        <f ca="1">IFERROR(__xludf.DUMMYFUNCTION("GOOGLETRANSLATE($B343,""en"",C$3)"),"Hilfe")</f>
        <v>Hilfe</v>
      </c>
      <c r="D343" s="21" t="str">
        <f ca="1">IFERROR(__xludf.DUMMYFUNCTION("GOOGLETRANSLATE($B343,""en"",D$3)"),"Hjälp")</f>
        <v>Hjälp</v>
      </c>
      <c r="E343" s="21" t="str">
        <f ca="1">IFERROR(__xludf.DUMMYFUNCTION("GOOGLETRANSLATE($B343,""en"",E$3)"),"Socorro")</f>
        <v>Socorro</v>
      </c>
      <c r="F343" s="21" t="str">
        <f ca="1">IFERROR(__xludf.DUMMYFUNCTION("GOOGLETRANSLATE($B343,""en"",F$3)"),"Socorro")</f>
        <v>Socorro</v>
      </c>
      <c r="G343" s="21" t="str">
        <f ca="1">IFERROR(__xludf.DUMMYFUNCTION("GOOGLETRANSLATE($B343,""en"",G$3)"),"Aidez-moi")</f>
        <v>Aidez-moi</v>
      </c>
      <c r="H343" s="21" t="str">
        <f ca="1">IFERROR(__xludf.DUMMYFUNCTION("GOOGLETRANSLATE($B343,""en"",H$3)"),"Laguntza")</f>
        <v>Laguntza</v>
      </c>
      <c r="I343" s="21" t="str">
        <f ca="1">IFERROR(__xludf.DUMMYFUNCTION("GOOGLETRANSLATE($B343,""en"",I$3)"),"ajuda")</f>
        <v>ajuda</v>
      </c>
      <c r="J343" s="21" t="str">
        <f ca="1">IFERROR(__xludf.DUMMYFUNCTION("GOOGLETRANSLATE($B343,""en"",J$3)"),"Pomoc")</f>
        <v>Pomoc</v>
      </c>
      <c r="K343" s="21" t="str">
        <f ca="1">IFERROR(__xludf.DUMMYFUNCTION("GOOGLETRANSLATE($B343,""en"",K$3)"),"救命")</f>
        <v>救命</v>
      </c>
      <c r="L343" s="21" t="str">
        <f ca="1">IFERROR(__xludf.DUMMYFUNCTION("GOOGLETRANSLATE($B343,""en"",L$3)"),"救命")</f>
        <v>救命</v>
      </c>
      <c r="M343" s="21" t="str">
        <f ca="1">IFERROR(__xludf.DUMMYFUNCTION("GOOGLETRANSLATE($B343,""en"",M$3)"),"Helpen")</f>
        <v>Helpen</v>
      </c>
      <c r="N343" s="21" t="str">
        <f ca="1">IFERROR(__xludf.DUMMYFUNCTION("GOOGLETRANSLATE($B343,""en"",N$3)"),"Βοήθεια")</f>
        <v>Βοήθεια</v>
      </c>
      <c r="O343" s="21" t="str">
        <f ca="1">IFERROR(__xludf.DUMMYFUNCTION("GOOGLETRANSLATE($B343,""en"",O$3)"),"auta")</f>
        <v>auta</v>
      </c>
      <c r="P343" s="21" t="str">
        <f ca="1">IFERROR(__xludf.DUMMYFUNCTION("GOOGLETRANSLATE($B343,""en"",P$3)"),"Cabhrú")</f>
        <v>Cabhrú</v>
      </c>
      <c r="Q343" s="21" t="str">
        <f ca="1">IFERROR(__xludf.DUMMYFUNCTION("GOOGLETRANSLATE($B343,""en"",Q$3)"),"کمک")</f>
        <v>کمک</v>
      </c>
      <c r="R343" s="21" t="str">
        <f ca="1">IFERROR(__xludf.DUMMYFUNCTION("GOOGLETRANSLATE($B343,""en"",R$3)"),"עֶזרָה")</f>
        <v>עֶזרָה</v>
      </c>
      <c r="S343" s="21" t="str">
        <f ca="1">IFERROR(__xludf.DUMMYFUNCTION("GOOGLETRANSLATE($B343,""en"",S$3)"),"Hjálp")</f>
        <v>Hjálp</v>
      </c>
      <c r="T343" s="21" t="str">
        <f ca="1">IFERROR(__xludf.DUMMYFUNCTION("GOOGLETRANSLATE($B343,""en"",T$3)"),"Hjelp")</f>
        <v>Hjelp</v>
      </c>
      <c r="U343" s="21" t="str">
        <f ca="1">IFERROR(__xludf.DUMMYFUNCTION("GOOGLETRANSLATE($B343,""en"",U$3)"),"مساعدة")</f>
        <v>مساعدة</v>
      </c>
      <c r="V343" s="21" t="str">
        <f ca="1">IFERROR(__xludf.DUMMYFUNCTION("GOOGLETRANSLATE($B343,""en"",V$3)"),"Wsparcie")</f>
        <v>Wsparcie</v>
      </c>
      <c r="W343" s="21" t="str">
        <f ca="1">IFERROR(__xludf.DUMMYFUNCTION("GOOGLETRANSLATE($B343,""en"",W$3)"),"Помогите")</f>
        <v>Помогите</v>
      </c>
      <c r="X343" s="21" t="str">
        <f ca="1">IFERROR(__xludf.DUMMYFUNCTION("GOOGLETRANSLATE($B343,""en"",X$3)"),"Ayuda")</f>
        <v>Ayuda</v>
      </c>
      <c r="Y343" s="21"/>
      <c r="Z343" s="21"/>
    </row>
    <row r="344" spans="1:26" ht="32.25" customHeight="1" x14ac:dyDescent="0.2">
      <c r="A344" s="17" t="s">
        <v>802</v>
      </c>
      <c r="B344" s="17" t="s">
        <v>803</v>
      </c>
      <c r="C344" s="21" t="str">
        <f ca="1">IFERROR(__xludf.DUMMYFUNCTION("GOOGLETRANSLATE($B344,""en"",C$3)"),"Hypergrid Diagnose fehlgeschlagen. Diese können jederzeit wieder ausgeführt werden. Sie Hilfe-&gt; Netzwerkdiagnose, 'Loopback' und 'Port Forwards'")</f>
        <v>Hypergrid Diagnose fehlgeschlagen. Diese können jederzeit wieder ausgeführt werden. Sie Hilfe-&gt; Netzwerkdiagnose, 'Loopback' und 'Port Forwards'</v>
      </c>
      <c r="D344" s="21" t="str">
        <f ca="1">IFERROR(__xludf.DUMMYFUNCTION("GOOGLETRANSLATE($B344,""en"",D$3)"),"Hypergrid diagnostik misslyckades. Dessa kan åter köras när som helst. Se Hjälp-&gt; Nätverksdiagnostik, 'Loopback' och 'Port Forwards'")</f>
        <v>Hypergrid diagnostik misslyckades. Dessa kan åter köras när som helst. Se Hjälp-&gt; Nätverksdiagnostik, 'Loopback' och 'Port Forwards'</v>
      </c>
      <c r="E344" s="21" t="str">
        <f ca="1">IFERROR(__xludf.DUMMYFUNCTION("GOOGLETRANSLATE($B344,""en"",E$3)"),"Hypergrid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F344" s="21" t="str">
        <f ca="1">IFERROR(__xludf.DUMMYFUNCTION("GOOGLETRANSLATE($B344,""en"",F$3)"),"Hypergrid Diagnostics falhou. Estes podem ser a qualquer momento executar re-. Veja Ajuda-&gt; Diagnóstico de Rede, 'auto-retorno' e 'Porto Forwards'")</f>
        <v>Hypergrid Diagnostics falhou. Estes podem ser a qualquer momento executar re-. Veja Ajuda-&gt; Diagnóstico de Rede, 'auto-retorno' e 'Porto Forwards'</v>
      </c>
      <c r="G344" s="21" t="str">
        <f ca="1">IFERROR(__xludf.DUMMYFUNCTION("GOOGLETRANSLATE($B344,""en"",G$3)"),"Hypergrid Diagnostics a échoué. Ceux-ci peuvent être re-exécuter à tout moment. Voir Aide-&gt; Diagnostics du réseau, 'Bouclage' et 'Port' Forwards")</f>
        <v>Hypergrid Diagnostics a échoué. Ceux-ci peuvent être re-exécuter à tout moment. Voir Aide-&gt; Diagnostics du réseau, 'Bouclage' et 'Port' Forwards</v>
      </c>
      <c r="H344" s="21" t="str">
        <f ca="1">IFERROR(__xludf.DUMMYFUNCTION("GOOGLETRANSLATE($B344,""en"",H$3)"),"Hypergrid diagnostikoak huts egin du. Hauek berriro exekutatu, edozein unetan izan daiteke. Aukeratu Laguntza-&gt; Sare-diagnostikoak ',' loopback ', eta' Port Aurrelariak '")</f>
        <v>Hypergrid diagnostikoak huts egin du. Hauek berriro exekutatu, edozein unetan izan daiteke. Aukeratu Laguntza-&gt; Sare-diagnostikoak ',' loopback ', eta' Port Aurrelariak '</v>
      </c>
      <c r="I344" s="21" t="str">
        <f ca="1">IFERROR(__xludf.DUMMYFUNCTION("GOOGLETRANSLATE($B344,""en"",I$3)"),"HyperGrid diagnòstics fallits. Aquests poden ser re-executar en qualsevol moment. Veure Ajuda-&gt; Diagnòstic de la xarxa, 'bucle invertit', i '' port reenvia")</f>
        <v>HyperGrid diagnòstics fallits. Aquests poden ser re-executar en qualsevol moment. Veure Ajuda-&gt; Diagnòstic de la xarxa, 'bucle invertit', i '' port reenvia</v>
      </c>
      <c r="J344" s="21" t="str">
        <f ca="1">IFERROR(__xludf.DUMMYFUNCTION("GOOGLETRANSLATE($B344,""en"",J$3)"),"Hypergrid Diagnostics selhal. Ty mohou být re-spustit kdykoliv. Viz Nápověda-&gt; Diagnostika sítě, ‚Loopback‘ a ‚Port směrem dopředu‘")</f>
        <v>Hypergrid Diagnostics selhal. Ty mohou být re-spustit kdykoliv. Viz Nápověda-&gt; Diagnostika sítě, ‚Loopback‘ a ‚Port směrem dopředu‘</v>
      </c>
      <c r="K344" s="21" t="str">
        <f ca="1">IFERROR(__xludf.DUMMYFUNCTION("GOOGLETRANSLATE($B344,""en"",K$3)"),"Hypergrid诊断失败。这些都可以重新运行在任何时间。参见帮助 - &gt;网络诊断，‘环回’和‘端口转发’")</f>
        <v>Hypergrid诊断失败。这些都可以重新运行在任何时间。参见帮助 - &gt;网络诊断，‘环回’和‘端口转发’</v>
      </c>
      <c r="L344" s="21" t="str">
        <f ca="1">IFERROR(__xludf.DUMMYFUNCTION("GOOGLETRANSLATE($B344,""en"",L$3)"),"Hypergrid診斷失敗。這些都可以重新運行在任何時間。參見幫助 - &gt;網絡診斷“，”環回“和”端口轉發“")</f>
        <v>Hypergrid診斷失敗。這些都可以重新運行在任何時間。參見幫助 - &gt;網絡診斷“，”環回“和”端口轉發“</v>
      </c>
      <c r="M344" s="21" t="str">
        <f ca="1">IFERROR(__xludf.DUMMYFUNCTION("GOOGLETRANSLATE($B344,""en"",M$3)"),"HyperGrid Diagnostics is mislukt. Deze kunnen re-run op elk gewenst moment. Zie Help-&gt; Network Diagnostics', 'Loopback' en 'Port Forwards'")</f>
        <v>HyperGrid Diagnostics is mislukt. Deze kunnen re-run op elk gewenst moment. Zie Help-&gt; Network Diagnostics', 'Loopback' en 'Port Forwards'</v>
      </c>
      <c r="N344" s="21" t="str">
        <f ca="1">IFERROR(__xludf.DUMMYFUNCTION("GOOGLETRANSLATE($B344,""en"",N$3)"),"Hypergrid Διαγνωστικά απέτυχε. Αυτά μπορεί να είναι εκ νέου τρέχουν ανά πάσα στιγμή. Δείτε Βοήθεια-&gt; Network Diagnostics', 'Loopback', και 'Port Εμπρός'")</f>
        <v>Hypergrid Διαγνωστικά απέτυχε. Αυτά μπορεί να είναι εκ νέου τρέχουν ανά πάσα στιγμή. Δείτε Βοήθεια-&gt; Network Diagnostics', 'Loopback', και 'Port Εμπρός'</v>
      </c>
      <c r="O344" s="21" t="str">
        <f ca="1">IFERROR(__xludf.DUMMYFUNCTION("GOOGLETRANSLATE($B344,""en"",O$3)"),"Hypergrid Diagnostiikka epäonnistui. Nämä voivat olla uusinnassa milloin tahansa. Katso Ohje&gt; Verkkodiagnostiikka, 'Loopback' ja 'Port Hyökkääjät'")</f>
        <v>Hypergrid Diagnostiikka epäonnistui. Nämä voivat olla uusinnassa milloin tahansa. Katso Ohje&gt; Verkkodiagnostiikka, 'Loopback' ja 'Port Hyökkääjät'</v>
      </c>
      <c r="P344" s="21" t="str">
        <f ca="1">IFERROR(__xludf.DUMMYFUNCTION("GOOGLETRANSLATE($B344,""en"",P$3)"),"Theip ar Hypergrid Diagnóisic. Is féidir leis na ath-reáchtáil ag am ar bith. Féach Cabhair-&gt; Tús Eolais Diagnóisic Líonra ',' loopback "", agus 'Ar aghaidh Port'")</f>
        <v>Theip ar Hypergrid Diagnóisic. Is féidir leis na ath-reáchtáil ag am ar bith. Féach Cabhair-&gt; Tús Eolais Diagnóisic Líonra ',' loopback ", agus 'Ar aghaidh Port'</v>
      </c>
      <c r="Q344" s="21" t="str">
        <f ca="1">IFERROR(__xludf.DUMMYFUNCTION("GOOGLETRANSLATE($B344,""en"",Q$3)"),"Hypergrid تشخیص شکست خورده است. این می تواند دوباره اجرا در هر زمان. مشاهده راهنما&gt; تشخیص شبکه '،' دور برگردان »و« بندر مهاجمان:")</f>
        <v>Hypergrid تشخیص شکست خورده است. این می تواند دوباره اجرا در هر زمان. مشاهده راهنما&gt; تشخیص شبکه '،' دور برگردان »و« بندر مهاجمان:</v>
      </c>
      <c r="R344" s="21" t="str">
        <f ca="1">IFERROR(__xludf.DUMMYFUNCTION("GOOGLETRANSLATE($B344,""en"",R$3)"),"Hypergrid אבחון נכשל. אלה יכולים להיות מחדש להפעיל בכל עת. ראה Help-&gt; אבחון רשת, 'Loopback', ו 'פורט פורוורד'")</f>
        <v>Hypergrid אבחון נכשל. אלה יכולים להיות מחדש להפעיל בכל עת. ראה Help-&gt; אבחון רשת, 'Loopback', ו 'פורט פורוורד'</v>
      </c>
      <c r="S344" s="21" t="str">
        <f ca="1">IFERROR(__xludf.DUMMYFUNCTION("GOOGLETRANSLATE($B344,""en"",S$3)"),"Hypergrid Diagnostics mistókst. Þetta getur verið aftur hlaupa hvenær sem er. Sjá Hjálp-&gt; Network Diagnostics, 'sýndardiskur' og 'Port Sóknarmenn """)</f>
        <v>Hypergrid Diagnostics mistókst. Þetta getur verið aftur hlaupa hvenær sem er. Sjá Hjálp-&gt; Network Diagnostics, 'sýndardiskur' og 'Port Sóknarmenn "</v>
      </c>
      <c r="T344" s="21" t="str">
        <f ca="1">IFERROR(__xludf.DUMMYFUNCTION("GOOGLETRANSLATE($B344,""en"",T$3)"),"Hypergrid Diagnostics mislyktes. Disse kan være re-run når som helst. Se Hjelp-&gt; Nettverksdiagnostikk, 'Loopback' og 'Port Forwards'")</f>
        <v>Hypergrid Diagnostics mislyktes. Disse kan være re-run når som helst. Se Hjelp-&gt; Nettverksdiagnostikk, 'Loopback' og 'Port Forwards'</v>
      </c>
      <c r="U344" s="21" t="str">
        <f ca="1">IFERROR(__xludf.DUMMYFUNCTION("GOOGLETRANSLATE($B344,""en"",U$3)"),"فشل Hypergrid التشخيص. هذه يمكن أن تكون في أي وقت أعد تشغيل. انظر مساعدة-&gt; تشخيص الشبكة '،' الاسترجاع '، و' المهاجمون ميناء """)</f>
        <v>فشل Hypergrid التشخيص. هذه يمكن أن تكون في أي وقت أعد تشغيل. انظر مساعدة-&gt; تشخيص الشبكة '،' الاسترجاع '، و' المهاجمون ميناء "</v>
      </c>
      <c r="V344" s="21" t="str">
        <f ca="1">IFERROR(__xludf.DUMMYFUNCTION("GOOGLETRANSLATE($B344,""en"",V$3)"),"Hypergrid Diagnostyka nie powiodło się. Te mogą być ponownie uruchomić w dowolnym momencie. Zobacz Pomoc-&gt; Diagnostyka sieci, «Sprzężenie zwrotne» i «Port» do przodu")</f>
        <v>Hypergrid Diagnostyka nie powiodło się. Te mogą być ponownie uruchomić w dowolnym momencie. Zobacz Pomoc-&gt; Diagnostyka sieci, «Sprzężenie zwrotne» i «Port» do przodu</v>
      </c>
      <c r="W344" s="21" t="str">
        <f ca="1">IFERROR(__xludf.DUMMYFUNCTION("GOOGLETRANSLATE($B344,""en"",W$3)"),"не удалось Hypergrid Diagnostics. Они могут быть повторно запустить в любое время. См Справка-&gt; Диагностика сети, „Loopback“ и „Порт форвардов“")</f>
        <v>не удалось Hypergrid Diagnostics. Они могут быть повторно запустить в любое время. См Справка-&gt; Диагностика сети, „Loopback“ и „Порт форвардов“</v>
      </c>
      <c r="X344" s="21" t="str">
        <f ca="1">IFERROR(__xludf.DUMMYFUNCTION("GOOGLETRANSLATE($B344,""en"",X$3)"),"HyperGrid diagnósticos fallidos. Estos pueden ser re-ejecutar en cualquier momento. Ver Ayuda-&gt; Diagnóstico de la red, 'bucle invertido', y '' puerto reenvía")</f>
        <v>HyperGrid diagnósticos fallidos. Estos pueden ser re-ejecutar en cualquier momento. Ver Ayuda-&gt; Diagnóstico de la red, 'bucle invertido', y '' puerto reenvía</v>
      </c>
      <c r="Y344" s="21"/>
      <c r="Z344" s="21"/>
    </row>
    <row r="345" spans="1:26" ht="32.25" customHeight="1" x14ac:dyDescent="0.2">
      <c r="A345" s="17" t="s">
        <v>804</v>
      </c>
      <c r="B345" s="17" t="s">
        <v>805</v>
      </c>
      <c r="C345" s="21" t="str">
        <f ca="1">IFERROR(__xludf.DUMMYFUNCTION("GOOGLETRANSLATE($B345,""en"",C$3)"),"Hypergrid sollte funktionieren.")</f>
        <v>Hypergrid sollte funktionieren.</v>
      </c>
      <c r="D345" s="21" t="str">
        <f ca="1">IFERROR(__xludf.DUMMYFUNCTION("GOOGLETRANSLATE($B345,""en"",D$3)"),"Hypergrid borde arbeta.")</f>
        <v>Hypergrid borde arbeta.</v>
      </c>
      <c r="E345" s="21" t="str">
        <f ca="1">IFERROR(__xludf.DUMMYFUNCTION("GOOGLETRANSLATE($B345,""en"",E$3)"),"Hypergrid deveria estar trabalhando.")</f>
        <v>Hypergrid deveria estar trabalhando.</v>
      </c>
      <c r="F345" s="21" t="str">
        <f ca="1">IFERROR(__xludf.DUMMYFUNCTION("GOOGLETRANSLATE($B345,""en"",F$3)"),"Hypergrid deveria estar trabalhando.")</f>
        <v>Hypergrid deveria estar trabalhando.</v>
      </c>
      <c r="G345" s="21" t="str">
        <f ca="1">IFERROR(__xludf.DUMMYFUNCTION("GOOGLETRANSLATE($B345,""en"",G$3)"),"Hypergrid devrait fonctionner.")</f>
        <v>Hypergrid devrait fonctionner.</v>
      </c>
      <c r="H345" s="21" t="str">
        <f ca="1">IFERROR(__xludf.DUMMYFUNCTION("GOOGLETRANSLATE($B345,""en"",H$3)"),"Hypergrid lan egin behar da.")</f>
        <v>Hypergrid lan egin behar da.</v>
      </c>
      <c r="I345" s="21" t="str">
        <f ca="1">IFERROR(__xludf.DUMMYFUNCTION("GOOGLETRANSLATE($B345,""en"",I$3)"),"Hypergrid hauria d'estar treballant.")</f>
        <v>Hypergrid hauria d'estar treballant.</v>
      </c>
      <c r="J345" s="21" t="str">
        <f ca="1">IFERROR(__xludf.DUMMYFUNCTION("GOOGLETRANSLATE($B345,""en"",J$3)"),"Hypergrid je třeba pracovat.")</f>
        <v>Hypergrid je třeba pracovat.</v>
      </c>
      <c r="K345" s="21" t="str">
        <f ca="1">IFERROR(__xludf.DUMMYFUNCTION("GOOGLETRANSLATE($B345,""en"",K$3)"),"Hypergrid应该是工作。")</f>
        <v>Hypergrid应该是工作。</v>
      </c>
      <c r="L345" s="21" t="str">
        <f ca="1">IFERROR(__xludf.DUMMYFUNCTION("GOOGLETRANSLATE($B345,""en"",L$3)"),"Hypergrid應該是工作。")</f>
        <v>Hypergrid應該是工作。</v>
      </c>
      <c r="M345" s="21" t="str">
        <f ca="1">IFERROR(__xludf.DUMMYFUNCTION("GOOGLETRANSLATE($B345,""en"",M$3)"),"HyperGrid zou moeten werken.")</f>
        <v>HyperGrid zou moeten werken.</v>
      </c>
      <c r="N345" s="21" t="str">
        <f ca="1">IFERROR(__xludf.DUMMYFUNCTION("GOOGLETRANSLATE($B345,""en"",N$3)"),"Hypergrid θα πρέπει να λειτουργεί.")</f>
        <v>Hypergrid θα πρέπει να λειτουργεί.</v>
      </c>
      <c r="O345" s="21" t="str">
        <f ca="1">IFERROR(__xludf.DUMMYFUNCTION("GOOGLETRANSLATE($B345,""en"",O$3)"),"Hypergrid pitäisi toimia.")</f>
        <v>Hypergrid pitäisi toimia.</v>
      </c>
      <c r="P345" s="21" t="str">
        <f ca="1">IFERROR(__xludf.DUMMYFUNCTION("GOOGLETRANSLATE($B345,""en"",P$3)"),"Ba cheart Hypergrid bheith ag obair ar.")</f>
        <v>Ba cheart Hypergrid bheith ag obair ar.</v>
      </c>
      <c r="Q345" s="21" t="str">
        <f ca="1">IFERROR(__xludf.DUMMYFUNCTION("GOOGLETRANSLATE($B345,""en"",Q$3)"),"Hypergrid باید کار شود.")</f>
        <v>Hypergrid باید کار شود.</v>
      </c>
      <c r="R345" s="21" t="str">
        <f ca="1">IFERROR(__xludf.DUMMYFUNCTION("GOOGLETRANSLATE($B345,""en"",R$3)"),"Hypergrid צריך לעבוד.")</f>
        <v>Hypergrid צריך לעבוד.</v>
      </c>
      <c r="S345" s="21" t="str">
        <f ca="1">IFERROR(__xludf.DUMMYFUNCTION("GOOGLETRANSLATE($B345,""en"",S$3)"),"Hypergrid ætti að vinna.")</f>
        <v>Hypergrid ætti að vinna.</v>
      </c>
      <c r="T345" s="21" t="str">
        <f ca="1">IFERROR(__xludf.DUMMYFUNCTION("GOOGLETRANSLATE($B345,""en"",T$3)"),"Hypergrid skal jobbe.")</f>
        <v>Hypergrid skal jobbe.</v>
      </c>
      <c r="U345" s="21" t="str">
        <f ca="1">IFERROR(__xludf.DUMMYFUNCTION("GOOGLETRANSLATE($B345,""en"",U$3)"),"Hypergrid ينبغي أن تعمل.")</f>
        <v>Hypergrid ينبغي أن تعمل.</v>
      </c>
      <c r="V345" s="21" t="str">
        <f ca="1">IFERROR(__xludf.DUMMYFUNCTION("GOOGLETRANSLATE($B345,""en"",V$3)"),"Hypergrid powinno działać.")</f>
        <v>Hypergrid powinno działać.</v>
      </c>
      <c r="W345" s="21" t="str">
        <f ca="1">IFERROR(__xludf.DUMMYFUNCTION("GOOGLETRANSLATE($B345,""en"",W$3)"),"Hypergrid должны работать.")</f>
        <v>Hypergrid должны работать.</v>
      </c>
      <c r="X345" s="21" t="str">
        <f ca="1">IFERROR(__xludf.DUMMYFUNCTION("GOOGLETRANSLATE($B345,""en"",X$3)"),"Hypergrid debería estar trabajando.")</f>
        <v>Hypergrid debería estar trabajando.</v>
      </c>
      <c r="Y345" s="21"/>
      <c r="Z345" s="21"/>
    </row>
    <row r="346" spans="1:26" ht="32.25" customHeight="1" x14ac:dyDescent="0.2">
      <c r="A346" s="17" t="s">
        <v>806</v>
      </c>
      <c r="B346" s="17" t="s">
        <v>807</v>
      </c>
      <c r="C346" s="21" t="str">
        <f ca="1">IFERROR(__xludf.DUMMYFUNCTION("GOOGLETRANSLATE($B346,""en"",C$3)"),"Ausblenden Regionen Wenn Sie fertig")</f>
        <v>Ausblenden Regionen Wenn Sie fertig</v>
      </c>
      <c r="D346" s="21" t="str">
        <f ca="1">IFERROR(__xludf.DUMMYFUNCTION("GOOGLETRANSLATE($B346,""en"",D$3)"),"Göm Regioner när du är klar")</f>
        <v>Göm Regioner när du är klar</v>
      </c>
      <c r="E346" s="21" t="str">
        <f ca="1">IFERROR(__xludf.DUMMYFUNCTION("GOOGLETRANSLATE($B346,""en"",E$3)"),"Esconder Regiões quando terminar")</f>
        <v>Esconder Regiões quando terminar</v>
      </c>
      <c r="F346" s="21" t="str">
        <f ca="1">IFERROR(__xludf.DUMMYFUNCTION("GOOGLETRANSLATE($B346,""en"",F$3)"),"Esconder Regiões quando terminar")</f>
        <v>Esconder Regiões quando terminar</v>
      </c>
      <c r="G346" s="21" t="str">
        <f ca="1">IFERROR(__xludf.DUMMYFUNCTION("GOOGLETRANSLATE($B346,""en"",G$3)"),"Régions Masquer Lorsque vous avez terminé")</f>
        <v>Régions Masquer Lorsque vous avez terminé</v>
      </c>
      <c r="H346" s="21" t="str">
        <f ca="1">IFERROR(__xludf.DUMMYFUNCTION("GOOGLETRANSLATE($B346,""en"",H$3)"),"Ezkutatu Eskualde Amaitutakoan")</f>
        <v>Ezkutatu Eskualde Amaitutakoan</v>
      </c>
      <c r="I346" s="21" t="str">
        <f ca="1">IFERROR(__xludf.DUMMYFUNCTION("GOOGLETRANSLATE($B346,""en"",I$3)"),"Amaga Regions quan hagi acabat")</f>
        <v>Amaga Regions quan hagi acabat</v>
      </c>
      <c r="J346" s="21" t="str">
        <f ca="1">IFERROR(__xludf.DUMMYFUNCTION("GOOGLETRANSLATE($B346,""en"",J$3)"),"Skrýt Regiony Po dokončení")</f>
        <v>Skrýt Regiony Po dokončení</v>
      </c>
      <c r="K346" s="21" t="str">
        <f ca="1">IFERROR(__xludf.DUMMYFUNCTION("GOOGLETRANSLATE($B346,""en"",K$3)"),"隐藏区域完成后")</f>
        <v>隐藏区域完成后</v>
      </c>
      <c r="L346" s="21" t="str">
        <f ca="1">IFERROR(__xludf.DUMMYFUNCTION("GOOGLETRANSLATE($B346,""en"",L$3)"),"隱藏區域完成後")</f>
        <v>隱藏區域完成後</v>
      </c>
      <c r="M346" s="21" t="str">
        <f ca="1">IFERROR(__xludf.DUMMYFUNCTION("GOOGLETRANSLATE($B346,""en"",M$3)"),"Hide Regio Wanneer u klaar bent")</f>
        <v>Hide Regio Wanneer u klaar bent</v>
      </c>
      <c r="N346" s="21" t="str">
        <f ca="1">IFERROR(__xludf.DUMMYFUNCTION("GOOGLETRANSLATE($B346,""en"",N$3)"),"Απόκρυψη Περιφερειών όταν τελειώσετε")</f>
        <v>Απόκρυψη Περιφερειών όταν τελειώσετε</v>
      </c>
      <c r="O346" s="21" t="str">
        <f ca="1">IFERROR(__xludf.DUMMYFUNCTION("GOOGLETRANSLATE($B346,""en"",O$3)"),"Piilota Alueet kun olet valmis")</f>
        <v>Piilota Alueet kun olet valmis</v>
      </c>
      <c r="P346" s="21" t="str">
        <f ca="1">IFERROR(__xludf.DUMMYFUNCTION("GOOGLETRANSLATE($B346,""en"",P$3)"),"Réigiúin Folaigh Nuair Críochnaithe")</f>
        <v>Réigiúin Folaigh Nuair Críochnaithe</v>
      </c>
      <c r="Q346" s="21" t="str">
        <f ca="1">IFERROR(__xludf.DUMMYFUNCTION("GOOGLETRANSLATE($B346,""en"",Q$3)"),"مخفی کردن مناطق که به پایان رسید")</f>
        <v>مخفی کردن مناطق که به پایان رسید</v>
      </c>
      <c r="R346" s="21" t="str">
        <f ca="1">IFERROR(__xludf.DUMMYFUNCTION("GOOGLETRANSLATE($B346,""en"",R$3)"),"אזורי סתר בסיום")</f>
        <v>אזורי סתר בסיום</v>
      </c>
      <c r="S346" s="21" t="str">
        <f ca="1">IFERROR(__xludf.DUMMYFUNCTION("GOOGLETRANSLATE($B346,""en"",S$3)"),"Fela Svæði þegar lokið")</f>
        <v>Fela Svæði þegar lokið</v>
      </c>
      <c r="T346" s="21" t="str">
        <f ca="1">IFERROR(__xludf.DUMMYFUNCTION("GOOGLETRANSLATE($B346,""en"",T$3)"),"Skjul Regioner Når du er ferdig")</f>
        <v>Skjul Regioner Når du er ferdig</v>
      </c>
      <c r="U346" s="21" t="str">
        <f ca="1">IFERROR(__xludf.DUMMYFUNCTION("GOOGLETRANSLATE($B346,""en"",U$3)"),"إخفاء المناطق عندما انتهى")</f>
        <v>إخفاء المناطق عندما انتهى</v>
      </c>
      <c r="V346" s="21" t="str">
        <f ca="1">IFERROR(__xludf.DUMMYFUNCTION("GOOGLETRANSLATE($B346,""en"",V$3)"),"Schowaj Regiony Po zakończeniu")</f>
        <v>Schowaj Regiony Po zakończeniu</v>
      </c>
      <c r="W346" s="21" t="str">
        <f ca="1">IFERROR(__xludf.DUMMYFUNCTION("GOOGLETRANSLATE($B346,""en"",W$3)"),"Скрыть Регионы После завершения")</f>
        <v>Скрыть Регионы После завершения</v>
      </c>
      <c r="X346" s="21" t="str">
        <f ca="1">IFERROR(__xludf.DUMMYFUNCTION("GOOGLETRANSLATE($B346,""en"",X$3)"),"Ocultar Regiones cuando haya terminado")</f>
        <v>Ocultar Regiones cuando haya terminado</v>
      </c>
      <c r="Y346" s="21"/>
      <c r="Z346" s="21"/>
    </row>
    <row r="347" spans="1:26" ht="32.25" customHeight="1" x14ac:dyDescent="0.2">
      <c r="A347" s="17" t="s">
        <v>808</v>
      </c>
      <c r="B347" s="17" t="s">
        <v>809</v>
      </c>
      <c r="C347" s="21" t="str">
        <f ca="1">IFERROR(__xludf.DUMMYFUNCTION("GOOGLETRANSLATE($B347,""en"",C$3)"),"Immer ausblenden Regionen")</f>
        <v>Immer ausblenden Regionen</v>
      </c>
      <c r="D347" s="21" t="str">
        <f ca="1">IFERROR(__xludf.DUMMYFUNCTION("GOOGLETRANSLATE($B347,""en"",D$3)"),"Alltid Göm Regioner")</f>
        <v>Alltid Göm Regioner</v>
      </c>
      <c r="E347" s="21" t="str">
        <f ca="1">IFERROR(__xludf.DUMMYFUNCTION("GOOGLETRANSLATE($B347,""en"",E$3)"),"Sempre ocultar Regiões")</f>
        <v>Sempre ocultar Regiões</v>
      </c>
      <c r="F347" s="21" t="str">
        <f ca="1">IFERROR(__xludf.DUMMYFUNCTION("GOOGLETRANSLATE($B347,""en"",F$3)"),"Sempre ocultar Regiões")</f>
        <v>Sempre ocultar Regiões</v>
      </c>
      <c r="G347" s="21" t="str">
        <f ca="1">IFERROR(__xludf.DUMMYFUNCTION("GOOGLETRANSLATE($B347,""en"",G$3)"),"Toujours régions Masquer")</f>
        <v>Toujours régions Masquer</v>
      </c>
      <c r="H347" s="21" t="str">
        <f ca="1">IFERROR(__xludf.DUMMYFUNCTION("GOOGLETRANSLATE($B347,""en"",H$3)"),"Beti ezkutatu Eskualde")</f>
        <v>Beti ezkutatu Eskualde</v>
      </c>
      <c r="I347" s="21" t="str">
        <f ca="1">IFERROR(__xludf.DUMMYFUNCTION("GOOGLETRANSLATE($B347,""en"",I$3)"),"Amaga sempre Regions")</f>
        <v>Amaga sempre Regions</v>
      </c>
      <c r="J347" s="21" t="str">
        <f ca="1">IFERROR(__xludf.DUMMYFUNCTION("GOOGLETRANSLATE($B347,""en"",J$3)"),"Vždy skrýt Regiony")</f>
        <v>Vždy skrýt Regiony</v>
      </c>
      <c r="K347" s="21" t="str">
        <f ca="1">IFERROR(__xludf.DUMMYFUNCTION("GOOGLETRANSLATE($B347,""en"",K$3)"),"始终隐藏地区")</f>
        <v>始终隐藏地区</v>
      </c>
      <c r="L347" s="21" t="str">
        <f ca="1">IFERROR(__xludf.DUMMYFUNCTION("GOOGLETRANSLATE($B347,""en"",L$3)"),"始終隱藏地區")</f>
        <v>始終隱藏地區</v>
      </c>
      <c r="M347" s="21" t="str">
        <f ca="1">IFERROR(__xludf.DUMMYFUNCTION("GOOGLETRANSLATE($B347,""en"",M$3)"),"Altijd verbergen Regio")</f>
        <v>Altijd verbergen Regio</v>
      </c>
      <c r="N347" s="21" t="str">
        <f ca="1">IFERROR(__xludf.DUMMYFUNCTION("GOOGLETRANSLATE($B347,""en"",N$3)"),"Πάντα Απόκρυψη Περιφερειών")</f>
        <v>Πάντα Απόκρυψη Περιφερειών</v>
      </c>
      <c r="O347" s="21" t="str">
        <f ca="1">IFERROR(__xludf.DUMMYFUNCTION("GOOGLETRANSLATE($B347,""en"",O$3)"),"Aina Piilota Alueet")</f>
        <v>Aina Piilota Alueet</v>
      </c>
      <c r="P347" s="21" t="str">
        <f ca="1">IFERROR(__xludf.DUMMYFUNCTION("GOOGLETRANSLATE($B347,""en"",P$3)"),"I gcónaí Réigiúin Folaigh")</f>
        <v>I gcónaí Réigiúin Folaigh</v>
      </c>
      <c r="Q347" s="21" t="str">
        <f ca="1">IFERROR(__xludf.DUMMYFUNCTION("GOOGLETRANSLATE($B347,""en"",Q$3)"),"همیشه مخفی کردن مناطق")</f>
        <v>همیشه مخفی کردن مناطق</v>
      </c>
      <c r="R347" s="21" t="str">
        <f ca="1">IFERROR(__xludf.DUMMYFUNCTION("GOOGLETRANSLATE($B347,""en"",R$3)"),"אזורי סתר תמיד")</f>
        <v>אזורי סתר תמיד</v>
      </c>
      <c r="S347" s="21" t="str">
        <f ca="1">IFERROR(__xludf.DUMMYFUNCTION("GOOGLETRANSLATE($B347,""en"",S$3)"),"Fela alltaf Svæði")</f>
        <v>Fela alltaf Svæði</v>
      </c>
      <c r="T347" s="21" t="str">
        <f ca="1">IFERROR(__xludf.DUMMYFUNCTION("GOOGLETRANSLATE($B347,""en"",T$3)"),"Alltid Skjul Regioner")</f>
        <v>Alltid Skjul Regioner</v>
      </c>
      <c r="U347" s="21" t="str">
        <f ca="1">IFERROR(__xludf.DUMMYFUNCTION("GOOGLETRANSLATE($B347,""en"",U$3)"),"دائما إخفاء المناطق")</f>
        <v>دائما إخفاء المناطق</v>
      </c>
      <c r="V347" s="21" t="str">
        <f ca="1">IFERROR(__xludf.DUMMYFUNCTION("GOOGLETRANSLATE($B347,""en"",V$3)"),"Zawsze ukrywaj Regiony")</f>
        <v>Zawsze ukrywaj Regiony</v>
      </c>
      <c r="W347" s="21" t="str">
        <f ca="1">IFERROR(__xludf.DUMMYFUNCTION("GOOGLETRANSLATE($B347,""en"",W$3)"),"Всегда Скрыть регионы")</f>
        <v>Всегда Скрыть регионы</v>
      </c>
      <c r="X347" s="21" t="str">
        <f ca="1">IFERROR(__xludf.DUMMYFUNCTION("GOOGLETRANSLATE($B347,""en"",X$3)"),"Ocultar siempre Regiones")</f>
        <v>Ocultar siempre Regiones</v>
      </c>
      <c r="Y347" s="21"/>
      <c r="Z347" s="21"/>
    </row>
    <row r="348" spans="1:26" ht="32.25" customHeight="1" x14ac:dyDescent="0.2">
      <c r="A348" s="17" t="s">
        <v>810</v>
      </c>
      <c r="B348" s="17" t="s">
        <v>811</v>
      </c>
      <c r="C348" s="21" t="str">
        <f ca="1">IFERROR(__xludf.DUMMYFUNCTION("GOOGLETRANSLATE($B348,""en"",C$3)"),"Hohe Wasserstand")</f>
        <v>Hohe Wasserstand</v>
      </c>
      <c r="D348" s="21" t="str">
        <f ca="1">IFERROR(__xludf.DUMMYFUNCTION("GOOGLETRANSLATE($B348,""en"",D$3)"),"Hög vattennivå")</f>
        <v>Hög vattennivå</v>
      </c>
      <c r="E348" s="21" t="str">
        <f ca="1">IFERROR(__xludf.DUMMYFUNCTION("GOOGLETRANSLATE($B348,""en"",E$3)"),"Nível de água elevado")</f>
        <v>Nível de água elevado</v>
      </c>
      <c r="F348" s="21" t="str">
        <f ca="1">IFERROR(__xludf.DUMMYFUNCTION("GOOGLETRANSLATE($B348,""en"",F$3)"),"Nível de água elevado")</f>
        <v>Nível de água elevado</v>
      </c>
      <c r="G348" s="21" t="str">
        <f ca="1">IFERROR(__xludf.DUMMYFUNCTION("GOOGLETRANSLATE($B348,""en"",G$3)"),"Niveau élevé d'eau")</f>
        <v>Niveau élevé d'eau</v>
      </c>
      <c r="H348" s="21" t="str">
        <f ca="1">IFERROR(__xludf.DUMMYFUNCTION("GOOGLETRANSLATE($B348,""en"",H$3)"),"High Water Maila")</f>
        <v>High Water Maila</v>
      </c>
      <c r="I348" s="21" t="str">
        <f ca="1">IFERROR(__xludf.DUMMYFUNCTION("GOOGLETRANSLATE($B348,""en"",I$3)"),"Nivell d'aigua alt")</f>
        <v>Nivell d'aigua alt</v>
      </c>
      <c r="J348" s="21" t="str">
        <f ca="1">IFERROR(__xludf.DUMMYFUNCTION("GOOGLETRANSLATE($B348,""en"",J$3)"),"High Level Water")</f>
        <v>High Level Water</v>
      </c>
      <c r="K348" s="21" t="str">
        <f ca="1">IFERROR(__xludf.DUMMYFUNCTION("GOOGLETRANSLATE($B348,""en"",K$3)"),"高水位")</f>
        <v>高水位</v>
      </c>
      <c r="L348" s="21" t="str">
        <f ca="1">IFERROR(__xludf.DUMMYFUNCTION("GOOGLETRANSLATE($B348,""en"",L$3)"),"高水位")</f>
        <v>高水位</v>
      </c>
      <c r="M348" s="21" t="str">
        <f ca="1">IFERROR(__xludf.DUMMYFUNCTION("GOOGLETRANSLATE($B348,""en"",M$3)"),"Hoge waterstand")</f>
        <v>Hoge waterstand</v>
      </c>
      <c r="N348" s="21" t="str">
        <f ca="1">IFERROR(__xludf.DUMMYFUNCTION("GOOGLETRANSLATE($B348,""en"",N$3)"),"Υψηλού επιπέδου νερού")</f>
        <v>Υψηλού επιπέδου νερού</v>
      </c>
      <c r="O348" s="21" t="str">
        <f ca="1">IFERROR(__xludf.DUMMYFUNCTION("GOOGLETRANSLATE($B348,""en"",O$3)"),"Korkean veden")</f>
        <v>Korkean veden</v>
      </c>
      <c r="P348" s="21" t="str">
        <f ca="1">IFERROR(__xludf.DUMMYFUNCTION("GOOGLETRANSLATE($B348,""en"",P$3)"),"Leibhéal Uisce Ard")</f>
        <v>Leibhéal Uisce Ard</v>
      </c>
      <c r="Q348" s="21" t="str">
        <f ca="1">IFERROR(__xludf.DUMMYFUNCTION("GOOGLETRANSLATE($B348,""en"",Q$3)"),"سطح آب بالا")</f>
        <v>سطح آب بالا</v>
      </c>
      <c r="R348" s="21" t="str">
        <f ca="1">IFERROR(__xludf.DUMMYFUNCTION("GOOGLETRANSLATE($B348,""en"",R$3)"),"מים גבוהים רמה")</f>
        <v>מים גבוהים רמה</v>
      </c>
      <c r="S348" s="21" t="str">
        <f ca="1">IFERROR(__xludf.DUMMYFUNCTION("GOOGLETRANSLATE($B348,""en"",S$3)"),"High vatn Level")</f>
        <v>High vatn Level</v>
      </c>
      <c r="T348" s="21" t="str">
        <f ca="1">IFERROR(__xludf.DUMMYFUNCTION("GOOGLETRANSLATE($B348,""en"",T$3)"),"Høy vannstand")</f>
        <v>Høy vannstand</v>
      </c>
      <c r="U348" s="21" t="str">
        <f ca="1">IFERROR(__xludf.DUMMYFUNCTION("GOOGLETRANSLATE($B348,""en"",U$3)"),"ارتفاع مستوى المياه")</f>
        <v>ارتفاع مستوى المياه</v>
      </c>
      <c r="V348" s="21" t="str">
        <f ca="1">IFERROR(__xludf.DUMMYFUNCTION("GOOGLETRANSLATE($B348,""en"",V$3)"),"High Water Level")</f>
        <v>High Water Level</v>
      </c>
      <c r="W348" s="21" t="str">
        <f ca="1">IFERROR(__xludf.DUMMYFUNCTION("GOOGLETRANSLATE($B348,""en"",W$3)"),"Высокий уровень воды")</f>
        <v>Высокий уровень воды</v>
      </c>
      <c r="X348" s="21" t="str">
        <f ca="1">IFERROR(__xludf.DUMMYFUNCTION("GOOGLETRANSLATE($B348,""en"",X$3)"),"Nivel de agua alto")</f>
        <v>Nivel de agua alto</v>
      </c>
      <c r="Y348" s="21"/>
      <c r="Z348" s="21"/>
    </row>
    <row r="349" spans="1:26" ht="32.25" customHeight="1" x14ac:dyDescent="0.2">
      <c r="A349" s="17" t="s">
        <v>812</v>
      </c>
      <c r="B349" s="17" t="s">
        <v>813</v>
      </c>
      <c r="C349" s="21" t="str">
        <f ca="1">IFERROR(__xludf.DUMMYFUNCTION("GOOGLETRANSLATE($B349,""en"",C$3)"),"Hochwassermarken in Metern")</f>
        <v>Hochwassermarken in Metern</v>
      </c>
      <c r="D349" s="21" t="str">
        <f ca="1">IFERROR(__xludf.DUMMYFUNCTION("GOOGLETRANSLATE($B349,""en"",D$3)"),"Höga vattentecken i meter")</f>
        <v>Höga vattentecken i meter</v>
      </c>
      <c r="E349" s="21" t="str">
        <f ca="1">IFERROR(__xludf.DUMMYFUNCTION("GOOGLETRANSLATE($B349,""en"",E$3)"),"marcas de água elevados em metros")</f>
        <v>marcas de água elevados em metros</v>
      </c>
      <c r="F349" s="21" t="str">
        <f ca="1">IFERROR(__xludf.DUMMYFUNCTION("GOOGLETRANSLATE($B349,""en"",F$3)"),"marcas de água elevados em metros")</f>
        <v>marcas de água elevados em metros</v>
      </c>
      <c r="G349" s="21" t="str">
        <f ca="1">IFERROR(__xludf.DUMMYFUNCTION("GOOGLETRANSLATE($B349,""en"",G$3)"),"traces d'eau haute en mètres")</f>
        <v>traces d'eau haute en mètres</v>
      </c>
      <c r="H349" s="21" t="str">
        <f ca="1">IFERROR(__xludf.DUMMYFUNCTION("GOOGLETRANSLATE($B349,""en"",H$3)"),"High ur metrotan markak")</f>
        <v>High ur metrotan markak</v>
      </c>
      <c r="I349" s="21" t="str">
        <f ca="1">IFERROR(__xludf.DUMMYFUNCTION("GOOGLETRANSLATE($B349,""en"",I$3)"),"una alta qualificació d'aigua en metres")</f>
        <v>una alta qualificació d'aigua en metres</v>
      </c>
      <c r="J349" s="21" t="str">
        <f ca="1">IFERROR(__xludf.DUMMYFUNCTION("GOOGLETRANSLATE($B349,""en"",J$3)"),"zn vysoké vody v metrech")</f>
        <v>zn vysoké vody v metrech</v>
      </c>
      <c r="K349" s="21" t="str">
        <f ca="1">IFERROR(__xludf.DUMMYFUNCTION("GOOGLETRANSLATE($B349,""en"",K$3)"),"在米多高的水痕")</f>
        <v>在米多高的水痕</v>
      </c>
      <c r="L349" s="21" t="str">
        <f ca="1">IFERROR(__xludf.DUMMYFUNCTION("GOOGLETRANSLATE($B349,""en"",L$3)"),"在米多高的水痕")</f>
        <v>在米多高的水痕</v>
      </c>
      <c r="M349" s="21" t="str">
        <f ca="1">IFERROR(__xludf.DUMMYFUNCTION("GOOGLETRANSLATE($B349,""en"",M$3)"),"Hoog water merken in meters")</f>
        <v>Hoog water merken in meters</v>
      </c>
      <c r="N349" s="21" t="str">
        <f ca="1">IFERROR(__xludf.DUMMYFUNCTION("GOOGLETRANSLATE($B349,""en"",N$3)"),"Υψηλή βαθμολογία νερού σε μέτρα")</f>
        <v>Υψηλή βαθμολογία νερού σε μέτρα</v>
      </c>
      <c r="O349" s="21" t="str">
        <f ca="1">IFERROR(__xludf.DUMMYFUNCTION("GOOGLETRANSLATE($B349,""en"",O$3)"),"Korkea vesitahrat metreinä")</f>
        <v>Korkea vesitahrat metreinä</v>
      </c>
      <c r="P349" s="21" t="str">
        <f ca="1">IFERROR(__xludf.DUMMYFUNCTION("GOOGLETRANSLATE($B349,""en"",P$3)"),"marcanna uisce High i méadair")</f>
        <v>marcanna uisce High i méadair</v>
      </c>
      <c r="Q349" s="21" t="str">
        <f ca="1">IFERROR(__xludf.DUMMYFUNCTION("GOOGLETRANSLATE($B349,""en"",Q$3)"),"بالای آب در متر")</f>
        <v>بالای آب در متر</v>
      </c>
      <c r="R349" s="21" t="str">
        <f ca="1">IFERROR(__xludf.DUMMYFUNCTION("GOOGLETRANSLATE($B349,""en"",R$3)"),"סימני מים גבוהים במטר")</f>
        <v>סימני מים גבוהים במטר</v>
      </c>
      <c r="S349" s="21" t="str">
        <f ca="1">IFERROR(__xludf.DUMMYFUNCTION("GOOGLETRANSLATE($B349,""en"",S$3)"),"High markar vatn í metrum")</f>
        <v>High markar vatn í metrum</v>
      </c>
      <c r="T349" s="21" t="str">
        <f ca="1">IFERROR(__xludf.DUMMYFUNCTION("GOOGLETRANSLATE($B349,""en"",T$3)"),"Høye vann merker i meter")</f>
        <v>Høye vann merker i meter</v>
      </c>
      <c r="U349" s="21" t="str">
        <f ca="1">IFERROR(__xludf.DUMMYFUNCTION("GOOGLETRANSLATE($B349,""en"",U$3)"),"علامات مائية عالية في متر")</f>
        <v>علامات مائية عالية في متر</v>
      </c>
      <c r="V349" s="21" t="str">
        <f ca="1">IFERROR(__xludf.DUMMYFUNCTION("GOOGLETRANSLATE($B349,""en"",V$3)"),"Wysokie noty wody w metrach")</f>
        <v>Wysokie noty wody w metrach</v>
      </c>
      <c r="W349" s="21" t="str">
        <f ca="1">IFERROR(__xludf.DUMMYFUNCTION("GOOGLETRANSLATE($B349,""en"",W$3)"),"Высокие оценки воды в метрах")</f>
        <v>Высокие оценки воды в метрах</v>
      </c>
      <c r="X349" s="21" t="str">
        <f ca="1">IFERROR(__xludf.DUMMYFUNCTION("GOOGLETRANSLATE($B349,""en"",X$3)"),"una alta calificación de agua en metros")</f>
        <v>una alta calificación de agua en metros</v>
      </c>
      <c r="Y349" s="21"/>
      <c r="Z349" s="21"/>
    </row>
    <row r="350" spans="1:26" ht="32.25" customHeight="1" x14ac:dyDescent="0.2">
      <c r="A350" s="17" t="s">
        <v>814</v>
      </c>
      <c r="B350" s="17" t="s">
        <v>815</v>
      </c>
      <c r="C350" s="21" t="str">
        <f ca="1">IFERROR(__xludf.DUMMYFUNCTION("GOOGLETRANSLATE($B350,""en"",C$3)"),"Höchste verwendet:")</f>
        <v>Höchste verwendet:</v>
      </c>
      <c r="D350" s="21" t="str">
        <f ca="1">IFERROR(__xludf.DUMMYFUNCTION("GOOGLETRANSLATE($B350,""en"",D$3)"),"Högsta används:")</f>
        <v>Högsta används:</v>
      </c>
      <c r="E350" s="21" t="str">
        <f ca="1">IFERROR(__xludf.DUMMYFUNCTION("GOOGLETRANSLATE($B350,""en"",E$3)"),"Mais elevada utilizada:")</f>
        <v>Mais elevada utilizada:</v>
      </c>
      <c r="F350" s="21" t="str">
        <f ca="1">IFERROR(__xludf.DUMMYFUNCTION("GOOGLETRANSLATE($B350,""en"",F$3)"),"Mais elevada utilizada:")</f>
        <v>Mais elevada utilizada:</v>
      </c>
      <c r="G350" s="21" t="str">
        <f ca="1">IFERROR(__xludf.DUMMYFUNCTION("GOOGLETRANSLATE($B350,""en"",G$3)"),"Le plus utilisé:")</f>
        <v>Le plus utilisé:</v>
      </c>
      <c r="H350" s="21" t="str">
        <f ca="1">IFERROR(__xludf.DUMMYFUNCTION("GOOGLETRANSLATE($B350,""en"",H$3)"),"Highest erabili:")</f>
        <v>Highest erabili:</v>
      </c>
      <c r="I350" s="21" t="str">
        <f ca="1">IFERROR(__xludf.DUMMYFUNCTION("GOOGLETRANSLATE($B350,""en"",I$3)"),"Més alta utilitzada:")</f>
        <v>Més alta utilitzada:</v>
      </c>
      <c r="J350" s="21" t="str">
        <f ca="1">IFERROR(__xludf.DUMMYFUNCTION("GOOGLETRANSLATE($B350,""en"",J$3)"),"Nejvyšší použít:")</f>
        <v>Nejvyšší použít:</v>
      </c>
      <c r="K350" s="21" t="str">
        <f ca="1">IFERROR(__xludf.DUMMYFUNCTION("GOOGLETRANSLATE($B350,""en"",K$3)"),"最高使用：")</f>
        <v>最高使用：</v>
      </c>
      <c r="L350" s="21" t="str">
        <f ca="1">IFERROR(__xludf.DUMMYFUNCTION("GOOGLETRANSLATE($B350,""en"",L$3)"),"最高使用：")</f>
        <v>最高使用：</v>
      </c>
      <c r="M350" s="21" t="str">
        <f ca="1">IFERROR(__xludf.DUMMYFUNCTION("GOOGLETRANSLATE($B350,""en"",M$3)"),"Hoogste gebruikt:")</f>
        <v>Hoogste gebruikt:</v>
      </c>
      <c r="N350" s="21" t="str">
        <f ca="1">IFERROR(__xludf.DUMMYFUNCTION("GOOGLETRANSLATE($B350,""en"",N$3)"),"Υψηλότερη χρησιμοποιούνται:")</f>
        <v>Υψηλότερη χρησιμοποιούνται:</v>
      </c>
      <c r="O350" s="21" t="str">
        <f ca="1">IFERROR(__xludf.DUMMYFUNCTION("GOOGLETRANSLATE($B350,""en"",O$3)"),"Korkein käytetty:")</f>
        <v>Korkein käytetty:</v>
      </c>
      <c r="P350" s="21" t="str">
        <f ca="1">IFERROR(__xludf.DUMMYFUNCTION("GOOGLETRANSLATE($B350,""en"",P$3)"),"Is airde úsáidtear:")</f>
        <v>Is airde úsáidtear:</v>
      </c>
      <c r="Q350" s="21" t="str">
        <f ca="1">IFERROR(__xludf.DUMMYFUNCTION("GOOGLETRANSLATE($B350,""en"",Q$3)"),"بالاترین استفاده می شود:")</f>
        <v>بالاترین استفاده می شود:</v>
      </c>
      <c r="R350" s="21" t="str">
        <f ca="1">IFERROR(__xludf.DUMMYFUNCTION("GOOGLETRANSLATE($B350,""en"",R$3)"),"הגבוה ביותר בשימוש:")</f>
        <v>הגבוה ביותר בשימוש:</v>
      </c>
      <c r="S350" s="21" t="str">
        <f ca="1">IFERROR(__xludf.DUMMYFUNCTION("GOOGLETRANSLATE($B350,""en"",S$3)"),"Hæsta notuð:")</f>
        <v>Hæsta notuð:</v>
      </c>
      <c r="T350" s="21" t="str">
        <f ca="1">IFERROR(__xludf.DUMMYFUNCTION("GOOGLETRANSLATE($B350,""en"",T$3)"),"Høyeste brukt:")</f>
        <v>Høyeste brukt:</v>
      </c>
      <c r="U350" s="21" t="str">
        <f ca="1">IFERROR(__xludf.DUMMYFUNCTION("GOOGLETRANSLATE($B350,""en"",U$3)"),"أعلى المستخدمة:")</f>
        <v>أعلى المستخدمة:</v>
      </c>
      <c r="V350" s="21" t="str">
        <f ca="1">IFERROR(__xludf.DUMMYFUNCTION("GOOGLETRANSLATE($B350,""en"",V$3)"),"Najwyższa stosowane:")</f>
        <v>Najwyższa stosowane:</v>
      </c>
      <c r="W350" s="21" t="str">
        <f ca="1">IFERROR(__xludf.DUMMYFUNCTION("GOOGLETRANSLATE($B350,""en"",W$3)"),"Самый используемый:")</f>
        <v>Самый используемый:</v>
      </c>
      <c r="X350" s="21" t="str">
        <f ca="1">IFERROR(__xludf.DUMMYFUNCTION("GOOGLETRANSLATE($B350,""en"",X$3)"),"Más alta utilizada:")</f>
        <v>Más alta utilizada:</v>
      </c>
      <c r="Y350" s="21"/>
      <c r="Z350" s="21"/>
    </row>
    <row r="351" spans="1:26" ht="32.25" customHeight="1" x14ac:dyDescent="0.2">
      <c r="A351" s="17" t="s">
        <v>816</v>
      </c>
      <c r="B351" s="17" t="s">
        <v>817</v>
      </c>
      <c r="C351" s="21" t="str">
        <f ca="1">IFERROR(__xludf.DUMMYFUNCTION("GOOGLETRANSLATE($B351,""en"",C$3)"),"Zuhause")</f>
        <v>Zuhause</v>
      </c>
      <c r="D351" s="21" t="str">
        <f ca="1">IFERROR(__xludf.DUMMYFUNCTION("GOOGLETRANSLATE($B351,""en"",D$3)"),"Hem")</f>
        <v>Hem</v>
      </c>
      <c r="E351" s="21" t="str">
        <f ca="1">IFERROR(__xludf.DUMMYFUNCTION("GOOGLETRANSLATE($B351,""en"",E$3)"),"Casa")</f>
        <v>Casa</v>
      </c>
      <c r="F351" s="21" t="str">
        <f ca="1">IFERROR(__xludf.DUMMYFUNCTION("GOOGLETRANSLATE($B351,""en"",F$3)"),"Casa")</f>
        <v>Casa</v>
      </c>
      <c r="G351" s="21" t="str">
        <f ca="1">IFERROR(__xludf.DUMMYFUNCTION("GOOGLETRANSLATE($B351,""en"",G$3)"),"Accueil")</f>
        <v>Accueil</v>
      </c>
      <c r="H351" s="21" t="str">
        <f ca="1">IFERROR(__xludf.DUMMYFUNCTION("GOOGLETRANSLATE($B351,""en"",H$3)"),"Hasiera")</f>
        <v>Hasiera</v>
      </c>
      <c r="I351" s="21" t="str">
        <f ca="1">IFERROR(__xludf.DUMMYFUNCTION("GOOGLETRANSLATE($B351,""en"",I$3)"),"casa")</f>
        <v>casa</v>
      </c>
      <c r="J351" s="21" t="str">
        <f ca="1">IFERROR(__xludf.DUMMYFUNCTION("GOOGLETRANSLATE($B351,""en"",J$3)"),"Domov")</f>
        <v>Domov</v>
      </c>
      <c r="K351" s="21" t="str">
        <f ca="1">IFERROR(__xludf.DUMMYFUNCTION("GOOGLETRANSLATE($B351,""en"",K$3)"),"家")</f>
        <v>家</v>
      </c>
      <c r="L351" s="21" t="str">
        <f ca="1">IFERROR(__xludf.DUMMYFUNCTION("GOOGLETRANSLATE($B351,""en"",L$3)"),"家")</f>
        <v>家</v>
      </c>
      <c r="M351" s="21" t="str">
        <f ca="1">IFERROR(__xludf.DUMMYFUNCTION("GOOGLETRANSLATE($B351,""en"",M$3)"),"Huis")</f>
        <v>Huis</v>
      </c>
      <c r="N351" s="21" t="str">
        <f ca="1">IFERROR(__xludf.DUMMYFUNCTION("GOOGLETRANSLATE($B351,""en"",N$3)"),"Σπίτι")</f>
        <v>Σπίτι</v>
      </c>
      <c r="O351" s="21" t="str">
        <f ca="1">IFERROR(__xludf.DUMMYFUNCTION("GOOGLETRANSLATE($B351,""en"",O$3)"),"Koti")</f>
        <v>Koti</v>
      </c>
      <c r="P351" s="21" t="str">
        <f ca="1">IFERROR(__xludf.DUMMYFUNCTION("GOOGLETRANSLATE($B351,""en"",P$3)"),"Baile")</f>
        <v>Baile</v>
      </c>
      <c r="Q351" s="21" t="str">
        <f ca="1">IFERROR(__xludf.DUMMYFUNCTION("GOOGLETRANSLATE($B351,""en"",Q$3)"),"خانه")</f>
        <v>خانه</v>
      </c>
      <c r="R351" s="21" t="str">
        <f ca="1">IFERROR(__xludf.DUMMYFUNCTION("GOOGLETRANSLATE($B351,""en"",R$3)"),"בית")</f>
        <v>בית</v>
      </c>
      <c r="S351" s="21" t="str">
        <f ca="1">IFERROR(__xludf.DUMMYFUNCTION("GOOGLETRANSLATE($B351,""en"",S$3)"),"Heim")</f>
        <v>Heim</v>
      </c>
      <c r="T351" s="21" t="str">
        <f ca="1">IFERROR(__xludf.DUMMYFUNCTION("GOOGLETRANSLATE($B351,""en"",T$3)"),"Hjem")</f>
        <v>Hjem</v>
      </c>
      <c r="U351" s="21" t="str">
        <f ca="1">IFERROR(__xludf.DUMMYFUNCTION("GOOGLETRANSLATE($B351,""en"",U$3)"),"الصفحة الرئيسية")</f>
        <v>الصفحة الرئيسية</v>
      </c>
      <c r="V351" s="21" t="str">
        <f ca="1">IFERROR(__xludf.DUMMYFUNCTION("GOOGLETRANSLATE($B351,""en"",V$3)"),"Dom")</f>
        <v>Dom</v>
      </c>
      <c r="W351" s="21" t="str">
        <f ca="1">IFERROR(__xludf.DUMMYFUNCTION("GOOGLETRANSLATE($B351,""en"",W$3)"),"Домой")</f>
        <v>Домой</v>
      </c>
      <c r="X351" s="21" t="str">
        <f ca="1">IFERROR(__xludf.DUMMYFUNCTION("GOOGLETRANSLATE($B351,""en"",X$3)"),"Hogar")</f>
        <v>Hogar</v>
      </c>
      <c r="Y351" s="21"/>
      <c r="Z351" s="21"/>
    </row>
    <row r="352" spans="1:26" ht="32.25" customHeight="1" x14ac:dyDescent="0.2">
      <c r="A352" s="10" t="s">
        <v>818</v>
      </c>
      <c r="B352" s="10" t="s">
        <v>819</v>
      </c>
      <c r="C352" s="11" t="str">
        <f ca="1">IFERROR(__xludf.DUMMYFUNCTION("GOOGLETRANSLATE($B352,""en"",C$3)"),"Std")</f>
        <v>Std</v>
      </c>
      <c r="D352" s="11" t="str">
        <f ca="1">IFERROR(__xludf.DUMMYFUNCTION("GOOGLETRANSLATE($B352,""en"",D$3)"),"timmar")</f>
        <v>timmar</v>
      </c>
      <c r="E352" s="11" t="str">
        <f ca="1">IFERROR(__xludf.DUMMYFUNCTION("GOOGLETRANSLATE($B352,""en"",E$3)"),"horas")</f>
        <v>horas</v>
      </c>
      <c r="F352" s="11" t="str">
        <f ca="1">IFERROR(__xludf.DUMMYFUNCTION("GOOGLETRANSLATE($B352,""en"",F$3)"),"horas")</f>
        <v>horas</v>
      </c>
      <c r="G352" s="11" t="str">
        <f ca="1">IFERROR(__xludf.DUMMYFUNCTION("GOOGLETRANSLATE($B352,""en"",G$3)"),"Heures")</f>
        <v>Heures</v>
      </c>
      <c r="H352" s="11" t="str">
        <f ca="1">IFERROR(__xludf.DUMMYFUNCTION("GOOGLETRANSLATE($B352,""en"",H$3)"),"Orduak")</f>
        <v>Orduak</v>
      </c>
      <c r="I352" s="11" t="str">
        <f ca="1">IFERROR(__xludf.DUMMYFUNCTION("GOOGLETRANSLATE($B352,""en"",I$3)"),"hores")</f>
        <v>hores</v>
      </c>
      <c r="J352" s="11" t="str">
        <f ca="1">IFERROR(__xludf.DUMMYFUNCTION("GOOGLETRANSLATE($B352,""en"",J$3)"),"hodiny")</f>
        <v>hodiny</v>
      </c>
      <c r="K352" s="11" t="str">
        <f ca="1">IFERROR(__xludf.DUMMYFUNCTION("GOOGLETRANSLATE($B352,""en"",K$3)"),"小时")</f>
        <v>小时</v>
      </c>
      <c r="L352" s="11" t="str">
        <f ca="1">IFERROR(__xludf.DUMMYFUNCTION("GOOGLETRANSLATE($B352,""en"",L$3)"),"小時")</f>
        <v>小時</v>
      </c>
      <c r="M352" s="11" t="str">
        <f ca="1">IFERROR(__xludf.DUMMYFUNCTION("GOOGLETRANSLATE($B352,""en"",M$3)"),"uren")</f>
        <v>uren</v>
      </c>
      <c r="N352" s="11" t="str">
        <f ca="1">IFERROR(__xludf.DUMMYFUNCTION("GOOGLETRANSLATE($B352,""en"",N$3)"),"Ωρες")</f>
        <v>Ωρες</v>
      </c>
      <c r="O352" s="11" t="str">
        <f ca="1">IFERROR(__xludf.DUMMYFUNCTION("GOOGLETRANSLATE($B352,""en"",O$3)"),"tuntia")</f>
        <v>tuntia</v>
      </c>
      <c r="P352" s="11" t="str">
        <f ca="1">IFERROR(__xludf.DUMMYFUNCTION("GOOGLETRANSLATE($B352,""en"",P$3)"),"Uaireanta")</f>
        <v>Uaireanta</v>
      </c>
      <c r="Q352" s="11" t="str">
        <f ca="1">IFERROR(__xludf.DUMMYFUNCTION("GOOGLETRANSLATE($B352,""en"",Q$3)"),"ساعت ها")</f>
        <v>ساعت ها</v>
      </c>
      <c r="R352" s="11" t="str">
        <f ca="1">IFERROR(__xludf.DUMMYFUNCTION("GOOGLETRANSLATE($B352,""en"",R$3)"),"שעה (ות")</f>
        <v>שעה (ות</v>
      </c>
      <c r="S352" s="11" t="str">
        <f ca="1">IFERROR(__xludf.DUMMYFUNCTION("GOOGLETRANSLATE($B352,""en"",S$3)"),"klukkustundir")</f>
        <v>klukkustundir</v>
      </c>
      <c r="T352" s="11" t="str">
        <f ca="1">IFERROR(__xludf.DUMMYFUNCTION("GOOGLETRANSLATE($B352,""en"",T$3)"),"timer")</f>
        <v>timer</v>
      </c>
      <c r="U352" s="11" t="str">
        <f ca="1">IFERROR(__xludf.DUMMYFUNCTION("GOOGLETRANSLATE($B352,""en"",U$3)"),"ساعات")</f>
        <v>ساعات</v>
      </c>
      <c r="V352" s="11" t="str">
        <f ca="1">IFERROR(__xludf.DUMMYFUNCTION("GOOGLETRANSLATE($B352,""en"",V$3)"),"godziny")</f>
        <v>godziny</v>
      </c>
      <c r="W352" s="11" t="str">
        <f ca="1">IFERROR(__xludf.DUMMYFUNCTION("GOOGLETRANSLATE($B352,""en"",W$3)"),"часов")</f>
        <v>часов</v>
      </c>
      <c r="X352" s="11" t="str">
        <f ca="1">IFERROR(__xludf.DUMMYFUNCTION("GOOGLETRANSLATE($B352,""en"",X$3)"),"horas")</f>
        <v>horas</v>
      </c>
    </row>
    <row r="353" spans="1:26" ht="32.25" customHeight="1" x14ac:dyDescent="0.2">
      <c r="A353" s="17" t="s">
        <v>820</v>
      </c>
      <c r="B353" s="17" t="s">
        <v>821</v>
      </c>
      <c r="C353" s="21" t="str">
        <f ca="1">IFERROR(__xludf.DUMMYFUNCTION("GOOGLETRANSLATE($B353,""en"",C$3)"),"Wie der Nähe der Ränder der Dinge können wir ohne Sorgen machen ist?")</f>
        <v>Wie der Nähe der Ränder der Dinge können wir ohne Sorgen machen ist?</v>
      </c>
      <c r="D353" s="21" t="str">
        <f ca="1">IFERROR(__xludf.DUMMYFUNCTION("GOOGLETRANSLATE($B353,""en"",D$3)"),"Hur nära kanterna av saker kan vi få utan att vara orolig?")</f>
        <v>Hur nära kanterna av saker kan vi få utan att vara orolig?</v>
      </c>
      <c r="E353" s="21" t="str">
        <f ca="1">IFERROR(__xludf.DUMMYFUNCTION("GOOGLETRANSLATE($B353,""en"",E$3)"),"Como perto das bordas das coisas que podemos obter sem estar preocupado?")</f>
        <v>Como perto das bordas das coisas que podemos obter sem estar preocupado?</v>
      </c>
      <c r="F353" s="21" t="str">
        <f ca="1">IFERROR(__xludf.DUMMYFUNCTION("GOOGLETRANSLATE($B353,""en"",F$3)"),"Como perto das bordas das coisas que podemos obter sem estar preocupado?")</f>
        <v>Como perto das bordas das coisas que podemos obter sem estar preocupado?</v>
      </c>
      <c r="G353" s="21" t="str">
        <f ca="1">IFERROR(__xludf.DUMMYFUNCTION("GOOGLETRANSLATE($B353,""en"",G$3)"),"Comment peut-on se sans être inquiété près des bords des choses?")</f>
        <v>Comment peut-on se sans être inquiété près des bords des choses?</v>
      </c>
      <c r="H353" s="21" t="str">
        <f ca="1">IFERROR(__xludf.DUMMYFUNCTION("GOOGLETRANSLATE($B353,""en"",H$3)"),"Nola gauza ertzak hurbil daiteke ari emateko dugun kezkatuta gabe?")</f>
        <v>Nola gauza ertzak hurbil daiteke ari emateko dugun kezkatuta gabe?</v>
      </c>
      <c r="I353" s="21" t="str">
        <f ca="1">IFERROR(__xludf.DUMMYFUNCTION("GOOGLETRANSLATE($B353,""en"",I$3)"),"Com podem aconseguir sense estar preocupat prop de les vores de les coses?")</f>
        <v>Com podem aconseguir sense estar preocupat prop de les vores de les coses?</v>
      </c>
      <c r="J353" s="21" t="str">
        <f ca="1">IFERROR(__xludf.DUMMYFUNCTION("GOOGLETRANSLATE($B353,""en"",J$3)"),"Jak blízko k okrajům, co můžeme získat, aniž by byl strach?")</f>
        <v>Jak blízko k okrajům, co můžeme získat, aniž by byl strach?</v>
      </c>
      <c r="K353" s="21" t="str">
        <f ca="1">IFERROR(__xludf.DUMMYFUNCTION("GOOGLETRANSLATE($B353,""en"",K$3)"),"如何接近事物的边缘才能得到，而不担心吗？")</f>
        <v>如何接近事物的边缘才能得到，而不担心吗？</v>
      </c>
      <c r="L353" s="21" t="str">
        <f ca="1">IFERROR(__xludf.DUMMYFUNCTION("GOOGLETRANSLATE($B353,""en"",L$3)"),"如何接近事物的邊緣才能得到，而不擔心嗎？")</f>
        <v>如何接近事物的邊緣才能得到，而不擔心嗎？</v>
      </c>
      <c r="M353" s="21" t="str">
        <f ca="1">IFERROR(__xludf.DUMMYFUNCTION("GOOGLETRANSLATE($B353,""en"",M$3)"),"Hoe dicht bij de randen van de dingen die we kunnen krijgen zonder zorgen maken?")</f>
        <v>Hoe dicht bij de randen van de dingen die we kunnen krijgen zonder zorgen maken?</v>
      </c>
      <c r="N353" s="21" t="str">
        <f ca="1">IFERROR(__xludf.DUMMYFUNCTION("GOOGLETRANSLATE($B353,""en"",N$3)"),"Πόσο κοντά στις άκρες των πραγμάτων να παίρνουμε χωρίς να ανησυχούν;")</f>
        <v>Πόσο κοντά στις άκρες των πραγμάτων να παίρνουμε χωρίς να ανησυχούν;</v>
      </c>
      <c r="O353" s="21" t="str">
        <f ca="1">IFERROR(__xludf.DUMMYFUNCTION("GOOGLETRANSLATE($B353,""en"",O$3)"),"Kuinka lähellä reunoja asioita voimme saada ilman huolissaan?")</f>
        <v>Kuinka lähellä reunoja asioita voimme saada ilman huolissaan?</v>
      </c>
      <c r="P353" s="21" t="str">
        <f ca="1">IFERROR(__xludf.DUMMYFUNCTION("GOOGLETRANSLATE($B353,""en"",P$3)"),"Conas in aice leis an imill na rudaí is féidir a fháil againn a bheith buartha gan?")</f>
        <v>Conas in aice leis an imill na rudaí is féidir a fháil againn a bheith buartha gan?</v>
      </c>
      <c r="Q353" s="21" t="str">
        <f ca="1">IFERROR(__xludf.DUMMYFUNCTION("GOOGLETRANSLATE($B353,""en"",Q$3)"),"چگونه نزدیک به لبه از همه چیز می توان از بدون نگرانی؟")</f>
        <v>چگونه نزدیک به لبه از همه چیز می توان از بدون نگرانی؟</v>
      </c>
      <c r="R353" s="21" t="str">
        <f ca="1">IFERROR(__xludf.DUMMYFUNCTION("GOOGLETRANSLATE($B353,""en"",R$3)"),"כמה קרוב אל הקצוות של דברים נוכל לקבל בלי להיות מודאג?")</f>
        <v>כמה קרוב אל הקצוות של דברים נוכל לקבל בלי להיות מודאג?</v>
      </c>
      <c r="S353" s="21" t="str">
        <f ca="1">IFERROR(__xludf.DUMMYFUNCTION("GOOGLETRANSLATE($B353,""en"",S$3)"),"Hversu nálægt brúnum hlutum getum við fengið án þess að vera áhyggjufull?")</f>
        <v>Hversu nálægt brúnum hlutum getum við fengið án þess að vera áhyggjufull?</v>
      </c>
      <c r="T353" s="21" t="str">
        <f ca="1">IFERROR(__xludf.DUMMYFUNCTION("GOOGLETRANSLATE($B353,""en"",T$3)"),"Hvor nær kantene på ting vi kan få uten å være bekymret?")</f>
        <v>Hvor nær kantene på ting vi kan få uten å være bekymret?</v>
      </c>
      <c r="U353" s="21" t="str">
        <f ca="1">IFERROR(__xludf.DUMMYFUNCTION("GOOGLETRANSLATE($B353,""en"",U$3)"),"كيف مقربة من حواف الأشياء يمكن أن نحصل دون أن نشعر بالقلق؟")</f>
        <v>كيف مقربة من حواف الأشياء يمكن أن نحصل دون أن نشعر بالقلق؟</v>
      </c>
      <c r="V353" s="21" t="str">
        <f ca="1">IFERROR(__xludf.DUMMYFUNCTION("GOOGLETRANSLATE($B353,""en"",V$3)"),"Jak blisko krawędzi rzeczy możemy się bez martwić?")</f>
        <v>Jak blisko krawędzi rzeczy możemy się bez martwić?</v>
      </c>
      <c r="W353" s="21" t="str">
        <f ca="1">IFERROR(__xludf.DUMMYFUNCTION("GOOGLETRANSLATE($B353,""en"",W$3)"),"Как близко к краям вещей, мы можем получить, не будучи обеспокоены?")</f>
        <v>Как близко к краям вещей, мы можем получить, не будучи обеспокоены?</v>
      </c>
      <c r="X353" s="21" t="str">
        <f ca="1">IFERROR(__xludf.DUMMYFUNCTION("GOOGLETRANSLATE($B353,""en"",X$3)"),"¿Cómo podemos conseguir sin estar preocupado cerca de los bordes de las cosas?")</f>
        <v>¿Cómo podemos conseguir sin estar preocupado cerca de los bordes de las cosas?</v>
      </c>
      <c r="Y353" s="21"/>
      <c r="Z353" s="21"/>
    </row>
    <row r="354" spans="1:26" ht="32.25" customHeight="1" x14ac:dyDescent="0.2">
      <c r="A354" s="17" t="s">
        <v>822</v>
      </c>
      <c r="B354" s="17" t="s">
        <v>823</v>
      </c>
      <c r="C354" s="21" t="str">
        <f ca="1">IFERROR(__xludf.DUMMYFUNCTION("GOOGLETRANSLATE($B354,""en"",C$3)"),"Wie weit weg von anderen Vögeln würden wir gerne?")</f>
        <v>Wie weit weg von anderen Vögeln würden wir gerne?</v>
      </c>
      <c r="D354" s="21" t="str">
        <f ca="1">IFERROR(__xludf.DUMMYFUNCTION("GOOGLETRANSLATE($B354,""en"",D$3)"),"Hur långt bort från andra fåglar som vi skulle vilja bo?")</f>
        <v>Hur långt bort från andra fåglar som vi skulle vilja bo?</v>
      </c>
      <c r="E354" s="21" t="str">
        <f ca="1">IFERROR(__xludf.DUMMYFUNCTION("GOOGLETRANSLATE($B354,""en"",E$3)"),"Como longe de outras aves que gostaria de ficar?")</f>
        <v>Como longe de outras aves que gostaria de ficar?</v>
      </c>
      <c r="F354" s="21" t="str">
        <f ca="1">IFERROR(__xludf.DUMMYFUNCTION("GOOGLETRANSLATE($B354,""en"",F$3)"),"Como longe de outras aves que gostaria de ficar?")</f>
        <v>Como longe de outras aves que gostaria de ficar?</v>
      </c>
      <c r="G354" s="21" t="str">
        <f ca="1">IFERROR(__xludf.DUMMYFUNCTION("GOOGLETRANSLATE($B354,""en"",G$3)"),"nous aimerions rester Comment loin des autres oiseaux?")</f>
        <v>nous aimerions rester Comment loin des autres oiseaux?</v>
      </c>
      <c r="H354" s="21" t="str">
        <f ca="1">IFERROR(__xludf.DUMMYFUNCTION("GOOGLETRANSLATE($B354,""en"",H$3)"),"Nola urrun beste hegazti tik egoteko nahi genuke?")</f>
        <v>Nola urrun beste hegazti tik egoteko nahi genuke?</v>
      </c>
      <c r="I354" s="21" t="str">
        <f ca="1">IFERROR(__xludf.DUMMYFUNCTION("GOOGLETRANSLATE($B354,""en"",I$3)"),"A quina distància d'altres aus ens agradaria quedar-se?")</f>
        <v>A quina distància d'altres aus ens agradaria quedar-se?</v>
      </c>
      <c r="J354" s="21" t="str">
        <f ca="1">IFERROR(__xludf.DUMMYFUNCTION("GOOGLETRANSLATE($B354,""en"",J$3)"),"Jak daleko od ostatních ptáků bychom rádi, aby zůstali?")</f>
        <v>Jak daleko od ostatních ptáků bychom rádi, aby zůstali?</v>
      </c>
      <c r="K354" s="21" t="str">
        <f ca="1">IFERROR(__xludf.DUMMYFUNCTION("GOOGLETRANSLATE($B354,""en"",K$3)"),"我们将如何远离其他鸟类喜欢留？")</f>
        <v>我们将如何远离其他鸟类喜欢留？</v>
      </c>
      <c r="L354" s="21" t="str">
        <f ca="1">IFERROR(__xludf.DUMMYFUNCTION("GOOGLETRANSLATE($B354,""en"",L$3)"),"我們將如何遠離其他鳥類喜歡留？")</f>
        <v>我們將如何遠離其他鳥類喜歡留？</v>
      </c>
      <c r="M354" s="21" t="str">
        <f ca="1">IFERROR(__xludf.DUMMYFUNCTION("GOOGLETRANSLATE($B354,""en"",M$3)"),"Hoe ver uit de buurt van andere vogels zouden we willen verblijven?")</f>
        <v>Hoe ver uit de buurt van andere vogels zouden we willen verblijven?</v>
      </c>
      <c r="N354" s="21" t="str">
        <f ca="1">IFERROR(__xludf.DUMMYFUNCTION("GOOGLETRANSLATE($B354,""en"",N$3)"),"Πόσο μακριά από άλλα πουλιά θα επιθυμούσατε να μείνετε;")</f>
        <v>Πόσο μακριά από άλλα πουλιά θα επιθυμούσατε να μείνετε;</v>
      </c>
      <c r="O354" s="21" t="str">
        <f ca="1">IFERROR(__xludf.DUMMYFUNCTION("GOOGLETRANSLATE($B354,""en"",O$3)"),"Kuinka kaukana muista linnuista haluaisimme jäädä?")</f>
        <v>Kuinka kaukana muista linnuista haluaisimme jäädä?</v>
      </c>
      <c r="P354" s="21" t="str">
        <f ca="1">IFERROR(__xludf.DUMMYFUNCTION("GOOGLETRANSLATE($B354,""en"",P$3)"),"Cé chomh fada ar shiúl ó éin eile ba mhaith linn buíochas a fanacht?")</f>
        <v>Cé chomh fada ar shiúl ó éin eile ba mhaith linn buíochas a fanacht?</v>
      </c>
      <c r="Q354" s="21" t="str">
        <f ca="1">IFERROR(__xludf.DUMMYFUNCTION("GOOGLETRANSLATE($B354,""en"",Q$3)"),"چگونه دور از پرندگان دیگر ما دوست داریم که به ماندن؟")</f>
        <v>چگونه دور از پرندگان دیگر ما دوست داریم که به ماندن؟</v>
      </c>
      <c r="R354" s="21" t="str">
        <f ca="1">IFERROR(__xludf.DUMMYFUNCTION("GOOGLETRANSLATE($B354,""en"",R$3)"),"כמה רחוק ציפורים אחרות שהיינו רוצים להישאר?")</f>
        <v>כמה רחוק ציפורים אחרות שהיינו רוצים להישאר?</v>
      </c>
      <c r="S354" s="21" t="str">
        <f ca="1">IFERROR(__xludf.DUMMYFUNCTION("GOOGLETRANSLATE($B354,""en"",S$3)"),"Hversu langt í burtu frá öðrum fuglum sem við viljum gista?")</f>
        <v>Hversu langt í burtu frá öðrum fuglum sem við viljum gista?</v>
      </c>
      <c r="T354" s="21" t="str">
        <f ca="1">IFERROR(__xludf.DUMMYFUNCTION("GOOGLETRANSLATE($B354,""en"",T$3)"),"Hvor langt unna andre fugler vi ønsker å bo?")</f>
        <v>Hvor langt unna andre fugler vi ønsker å bo?</v>
      </c>
      <c r="U354" s="21" t="str">
        <f ca="1">IFERROR(__xludf.DUMMYFUNCTION("GOOGLETRANSLATE($B354,""en"",U$3)"),"كيف بعيدا عن غيرها من الطيور نود أن البقاء؟")</f>
        <v>كيف بعيدا عن غيرها من الطيور نود أن البقاء؟</v>
      </c>
      <c r="V354" s="21" t="str">
        <f ca="1">IFERROR(__xludf.DUMMYFUNCTION("GOOGLETRANSLATE($B354,""en"",V$3)"),"Jak daleko od innych ptaków chcielibyśmy zatrzymać?")</f>
        <v>Jak daleko od innych ptaków chcielibyśmy zatrzymać?</v>
      </c>
      <c r="W354" s="21" t="str">
        <f ca="1">IFERROR(__xludf.DUMMYFUNCTION("GOOGLETRANSLATE($B354,""en"",W$3)"),"Как далеко от других птиц, мы хотели бы остановиться?")</f>
        <v>Как далеко от других птиц, мы хотели бы остановиться?</v>
      </c>
      <c r="X354" s="21" t="str">
        <f ca="1">IFERROR(__xludf.DUMMYFUNCTION("GOOGLETRANSLATE($B354,""en"",X$3)"),"¿A qué distancia de otras aves nos gustaría quedarse?")</f>
        <v>¿A qué distancia de otras aves nos gustaría quedarse?</v>
      </c>
      <c r="Y354" s="21"/>
      <c r="Z354" s="21"/>
    </row>
    <row r="355" spans="1:26" ht="32.25" customHeight="1" x14ac:dyDescent="0.2">
      <c r="A355" s="17" t="s">
        <v>824</v>
      </c>
      <c r="B355" s="17" t="s">
        <v>825</v>
      </c>
      <c r="C355" s="21" t="str">
        <f ca="1">IFERROR(__xludf.DUMMYFUNCTION("GOOGLETRANSLATE($B355,""en"",C$3)"),"Wie weit in Metern kann jeder Vogel pro Update reisen?")</f>
        <v>Wie weit in Metern kann jeder Vogel pro Update reisen?</v>
      </c>
      <c r="D355" s="21" t="str">
        <f ca="1">IFERROR(__xludf.DUMMYFUNCTION("GOOGLETRANSLATE($B355,""en"",D$3)"),"Hur långt i meter varje fågel kan resa per uppdatering?")</f>
        <v>Hur långt i meter varje fågel kan resa per uppdatering?</v>
      </c>
      <c r="E355" s="21" t="str">
        <f ca="1">IFERROR(__xludf.DUMMYFUNCTION("GOOGLETRANSLATE($B355,""en"",E$3)"),"Com quanto tempo de metros cada ave pode viajar por atualização?")</f>
        <v>Com quanto tempo de metros cada ave pode viajar por atualização?</v>
      </c>
      <c r="F355" s="21" t="str">
        <f ca="1">IFERROR(__xludf.DUMMYFUNCTION("GOOGLETRANSLATE($B355,""en"",F$3)"),"Com quanto tempo de metros cada ave pode viajar por atualização?")</f>
        <v>Com quanto tempo de metros cada ave pode viajar por atualização?</v>
      </c>
      <c r="G355" s="21" t="str">
        <f ca="1">IFERROR(__xludf.DUMMYFUNCTION("GOOGLETRANSLATE($B355,""en"",G$3)"),"Dans quelle mesure en mètres chaque oiseau peut se déplacer par jour?")</f>
        <v>Dans quelle mesure en mètres chaque oiseau peut se déplacer par jour?</v>
      </c>
      <c r="H355" s="21" t="str">
        <f ca="1">IFERROR(__xludf.DUMMYFUNCTION("GOOGLETRANSLATE($B355,""en"",H$3)"),"Noraino metrotan txori bakoitzari eguneratzea per bidaiatu daiteke?")</f>
        <v>Noraino metrotan txori bakoitzari eguneratzea per bidaiatu daiteke?</v>
      </c>
      <c r="I355" s="21" t="str">
        <f ca="1">IFERROR(__xludf.DUMMYFUNCTION("GOOGLETRANSLATE($B355,""en"",I$3)"),"A quina distància en metres cada au pot viatjar per l'actualització?")</f>
        <v>A quina distància en metres cada au pot viatjar per l'actualització?</v>
      </c>
      <c r="J355" s="21" t="str">
        <f ca="1">IFERROR(__xludf.DUMMYFUNCTION("GOOGLETRANSLATE($B355,""en"",J$3)"),"Jak daleko v metrech každý pták může cestovat na aktualizaci?")</f>
        <v>Jak daleko v metrech každý pták může cestovat na aktualizaci?</v>
      </c>
      <c r="K355" s="21" t="str">
        <f ca="1">IFERROR(__xludf.DUMMYFUNCTION("GOOGLETRANSLATE($B355,""en"",K$3)"),"多远米每只鸡可每次更新旅行？")</f>
        <v>多远米每只鸡可每次更新旅行？</v>
      </c>
      <c r="L355" s="21" t="str">
        <f ca="1">IFERROR(__xludf.DUMMYFUNCTION("GOOGLETRANSLATE($B355,""en"",L$3)"),"多遠米每隻雞可每次更新旅行？")</f>
        <v>多遠米每隻雞可每次更新旅行？</v>
      </c>
      <c r="M355" s="21" t="str">
        <f ca="1">IFERROR(__xludf.DUMMYFUNCTION("GOOGLETRANSLATE($B355,""en"",M$3)"),"Hoe ver in meters per vogel per update kan reizen?")</f>
        <v>Hoe ver in meters per vogel per update kan reizen?</v>
      </c>
      <c r="N355" s="21" t="str">
        <f ca="1">IFERROR(__xludf.DUMMYFUNCTION("GOOGLETRANSLATE($B355,""en"",N$3)"),"Πόσο πιο μακριά κάθε πτηνό μπορούν να ταξιδεύουν ανά την ενημέρωση;")</f>
        <v>Πόσο πιο μακριά κάθε πτηνό μπορούν να ταξιδεύουν ανά την ενημέρωση;</v>
      </c>
      <c r="O355" s="21" t="str">
        <f ca="1">IFERROR(__xludf.DUMMYFUNCTION("GOOGLETRANSLATE($B355,""en"",O$3)"),"Kuinka pitkälle metreinä jokainen lintu voi matkustaa kohti päivitys?")</f>
        <v>Kuinka pitkälle metreinä jokainen lintu voi matkustaa kohti päivitys?</v>
      </c>
      <c r="P355" s="21" t="str">
        <f ca="1">IFERROR(__xludf.DUMMYFUNCTION("GOOGLETRANSLATE($B355,""en"",P$3)"),"Cé chomh fada i méadair is féidir le gach éan taisteal in aghaidh nuashonrú?")</f>
        <v>Cé chomh fada i méadair is féidir le gach éan taisteal in aghaidh nuashonrú?</v>
      </c>
      <c r="Q355" s="21" t="str">
        <f ca="1">IFERROR(__xludf.DUMMYFUNCTION("GOOGLETRANSLATE($B355,""en"",Q$3)"),"تا چه حد در متر هر پرنده می تواند در هر به روز رسانی سفر؟")</f>
        <v>تا چه حد در متر هر پرنده می تواند در هر به روز رسانی سفر؟</v>
      </c>
      <c r="R355" s="21" t="str">
        <f ca="1">IFERROR(__xludf.DUMMYFUNCTION("GOOGLETRANSLATE($B355,""en"",R$3)"),"כמה רחוק במטרים כל ציפור יכול לנסוע לכל עדכון?")</f>
        <v>כמה רחוק במטרים כל ציפור יכול לנסוע לכל עדכון?</v>
      </c>
      <c r="S355" s="21" t="str">
        <f ca="1">IFERROR(__xludf.DUMMYFUNCTION("GOOGLETRANSLATE($B355,""en"",S$3)"),"Hversu langt í metrum hver fugl getur ferðast á uppfærslu?")</f>
        <v>Hversu langt í metrum hver fugl getur ferðast á uppfærslu?</v>
      </c>
      <c r="T355" s="21" t="str">
        <f ca="1">IFERROR(__xludf.DUMMYFUNCTION("GOOGLETRANSLATE($B355,""en"",T$3)"),"Hvor langt i meter hver fugl kan reise per oppdatering?")</f>
        <v>Hvor langt i meter hver fugl kan reise per oppdatering?</v>
      </c>
      <c r="U355" s="21" t="str">
        <f ca="1">IFERROR(__xludf.DUMMYFUNCTION("GOOGLETRANSLATE($B355,""en"",U$3)"),"إلى أي مدى متر كل الطيور يمكن أن تنتقل في التحديث؟")</f>
        <v>إلى أي مدى متر كل الطيور يمكن أن تنتقل في التحديث؟</v>
      </c>
      <c r="V355" s="21" t="str">
        <f ca="1">IFERROR(__xludf.DUMMYFUNCTION("GOOGLETRANSLATE($B355,""en"",V$3)"),"Jak daleko w metrach każdy ptak może podróżować za aktualizację?")</f>
        <v>Jak daleko w metrach każdy ptak może podróżować za aktualizację?</v>
      </c>
      <c r="W355" s="21" t="str">
        <f ca="1">IFERROR(__xludf.DUMMYFUNCTION("GOOGLETRANSLATE($B355,""en"",W$3)"),"Как далеко метров каждая птица может путешествовать за обновление?")</f>
        <v>Как далеко метров каждая птица может путешествовать за обновление?</v>
      </c>
      <c r="X355" s="21" t="str">
        <f ca="1">IFERROR(__xludf.DUMMYFUNCTION("GOOGLETRANSLATE($B355,""en"",X$3)"),"¿A qué distancia en metros cada ave puede viajar por la actualización?")</f>
        <v>¿A qué distancia en metros cada ave puede viajar por la actualización?</v>
      </c>
      <c r="Y355" s="21"/>
      <c r="Z355" s="21"/>
    </row>
    <row r="356" spans="1:26" ht="32.25" customHeight="1" x14ac:dyDescent="0.2">
      <c r="A356" s="17" t="s">
        <v>826</v>
      </c>
      <c r="B356" s="17" t="s">
        <v>827</v>
      </c>
      <c r="C356" s="21" t="str">
        <f ca="1">IFERROR(__xludf.DUMMYFUNCTION("GOOGLETRANSLATE($B356,""en"",C$3)"),"Wie hoch sind wir zu strömen erlaubt?")</f>
        <v>Wie hoch sind wir zu strömen erlaubt?</v>
      </c>
      <c r="D356" s="21" t="str">
        <f ca="1">IFERROR(__xludf.DUMMYFUNCTION("GOOGLETRANSLATE($B356,""en"",D$3)"),"Hur höga är vi får flock?")</f>
        <v>Hur höga är vi får flock?</v>
      </c>
      <c r="E356" s="21" t="str">
        <f ca="1">IFERROR(__xludf.DUMMYFUNCTION("GOOGLETRANSLATE($B356,""en"",E$3)"),"Quão alto somos autorizados a se reunir?")</f>
        <v>Quão alto somos autorizados a se reunir?</v>
      </c>
      <c r="F356" s="21" t="str">
        <f ca="1">IFERROR(__xludf.DUMMYFUNCTION("GOOGLETRANSLATE($B356,""en"",F$3)"),"Quão alto somos autorizados a se reunir?")</f>
        <v>Quão alto somos autorizados a se reunir?</v>
      </c>
      <c r="G356" s="21" t="str">
        <f ca="1">IFERROR(__xludf.DUMMYFUNCTION("GOOGLETRANSLATE($B356,""en"",G$3)"),"Quelle est la hauteur nous a permis de troupeau?")</f>
        <v>Quelle est la hauteur nous a permis de troupeau?</v>
      </c>
      <c r="H356" s="21" t="str">
        <f ca="1">IFERROR(__xludf.DUMMYFUNCTION("GOOGLETRANSLATE($B356,""en"",H$3)"),"Nola altua dira artaldea onartzen dugu?")</f>
        <v>Nola altua dira artaldea onartzen dugu?</v>
      </c>
      <c r="I356" s="21" t="str">
        <f ca="1">IFERROR(__xludf.DUMMYFUNCTION("GOOGLETRANSLATE($B356,""en"",I$3)"),"A quina altura se'ns permet ramat?")</f>
        <v>A quina altura se'ns permet ramat?</v>
      </c>
      <c r="J356" s="21" t="str">
        <f ca="1">IFERROR(__xludf.DUMMYFUNCTION("GOOGLETRANSLATE($B356,""en"",J$3)"),"Jak vysoko jsme dovoleno stádo?")</f>
        <v>Jak vysoko jsme dovoleno stádo?</v>
      </c>
      <c r="K356" s="21" t="str">
        <f ca="1">IFERROR(__xludf.DUMMYFUNCTION("GOOGLETRANSLATE($B356,""en"",K$3)"),"有多高，我们允许趋之若鹜？")</f>
        <v>有多高，我们允许趋之若鹜？</v>
      </c>
      <c r="L356" s="21" t="str">
        <f ca="1">IFERROR(__xludf.DUMMYFUNCTION("GOOGLETRANSLATE($B356,""en"",L$3)"),"有多高，我們允許趨之若鶩？")</f>
        <v>有多高，我們允許趨之若鶩？</v>
      </c>
      <c r="M356" s="21" t="str">
        <f ca="1">IFERROR(__xludf.DUMMYFUNCTION("GOOGLETRANSLATE($B356,""en"",M$3)"),"Hoe hoog mogen we massaal?")</f>
        <v>Hoe hoog mogen we massaal?</v>
      </c>
      <c r="N356" s="21" t="str">
        <f ca="1">IFERROR(__xludf.DUMMYFUNCTION("GOOGLETRANSLATE($B356,""en"",N$3)"),"Πόσο ψηλά μας επιτρέπεται να συρρέουν;")</f>
        <v>Πόσο ψηλά μας επιτρέπεται να συρρέουν;</v>
      </c>
      <c r="O356" s="21" t="str">
        <f ca="1">IFERROR(__xludf.DUMMYFUNCTION("GOOGLETRANSLATE($B356,""en"",O$3)"),"Kuinka suuri on annoimme parven?")</f>
        <v>Kuinka suuri on annoimme parven?</v>
      </c>
      <c r="P356" s="21" t="str">
        <f ca="1">IFERROR(__xludf.DUMMYFUNCTION("GOOGLETRANSLATE($B356,""en"",P$3)"),"Cé chomh hard is atá cead againn a flock?")</f>
        <v>Cé chomh hard is atá cead againn a flock?</v>
      </c>
      <c r="Q356" s="21" t="str">
        <f ca="1">IFERROR(__xludf.DUMMYFUNCTION("GOOGLETRANSLATE($B356,""en"",Q$3)"),"چگونه بالا اجازه داریم که گله؟")</f>
        <v>چگونه بالا اجازه داریم که گله؟</v>
      </c>
      <c r="R356" s="21" t="str">
        <f ca="1">IFERROR(__xludf.DUMMYFUNCTION("GOOGLETRANSLATE($B356,""en"",R$3)"),"כמה גבוה הם אפשרנו לנהור?")</f>
        <v>כמה גבוה הם אפשרנו לנהור?</v>
      </c>
      <c r="S356" s="21" t="str">
        <f ca="1">IFERROR(__xludf.DUMMYFUNCTION("GOOGLETRANSLATE($B356,""en"",S$3)"),"Hversu hátt erum við leyft að flykkjast?")</f>
        <v>Hversu hátt erum við leyft að flykkjast?</v>
      </c>
      <c r="T356" s="21" t="str">
        <f ca="1">IFERROR(__xludf.DUMMYFUNCTION("GOOGLETRANSLATE($B356,""en"",T$3)"),"Hvor høye er vi lov til å strømme?")</f>
        <v>Hvor høye er vi lov til å strømme?</v>
      </c>
      <c r="U356" s="21" t="str">
        <f ca="1">IFERROR(__xludf.DUMMYFUNCTION("GOOGLETRANSLATE($B356,""en"",U$3)"),"كيف عالية هي سمحنا لقطيع؟")</f>
        <v>كيف عالية هي سمحنا لقطيع؟</v>
      </c>
      <c r="V356" s="21" t="str">
        <f ca="1">IFERROR(__xludf.DUMMYFUNCTION("GOOGLETRANSLATE($B356,""en"",V$3)"),"Jak wysokie są wolno nam stada?")</f>
        <v>Jak wysokie są wolno nam stada?</v>
      </c>
      <c r="W356" s="21" t="str">
        <f ca="1">IFERROR(__xludf.DUMMYFUNCTION("GOOGLETRANSLATE($B356,""en"",W$3)"),"Как высоко мы разрешили стадо?")</f>
        <v>Как высоко мы разрешили стадо?</v>
      </c>
      <c r="X356" s="21" t="str">
        <f ca="1">IFERROR(__xludf.DUMMYFUNCTION("GOOGLETRANSLATE($B356,""en"",X$3)"),"¿A qué altura se nos permite rebaño?")</f>
        <v>¿A qué altura se nos permite rebaño?</v>
      </c>
      <c r="Y356" s="21"/>
      <c r="Z356" s="21"/>
    </row>
    <row r="357" spans="1:26" ht="32.25" customHeight="1" x14ac:dyDescent="0.2">
      <c r="A357" s="17" t="s">
        <v>828</v>
      </c>
      <c r="B357" s="17" t="s">
        <v>829</v>
      </c>
      <c r="C357" s="21" t="str">
        <f ca="1">IFERROR(__xludf.DUMMYFUNCTION("GOOGLETRANSLATE($B357,""en"",C$3)"),"Wie lange die Sicherungen zu halten. Die älteste get gelöscht nach dieser Zeit in Tagen,")</f>
        <v>Wie lange die Sicherungen zu halten. Die älteste get gelöscht nach dieser Zeit in Tagen,</v>
      </c>
      <c r="D357" s="21" t="str">
        <f ca="1">IFERROR(__xludf.DUMMYFUNCTION("GOOGLETRANSLATE($B357,""en"",D$3)"),"Hur lång tid att hålla säkerhetskopior. Den äldsta få bort efter denna tid i dagar,")</f>
        <v>Hur lång tid att hålla säkerhetskopior. Den äldsta få bort efter denna tid i dagar,</v>
      </c>
      <c r="E357" s="21" t="str">
        <f ca="1">IFERROR(__xludf.DUMMYFUNCTION("GOOGLETRANSLATE($B357,""en"",E$3)"),"Quanto tempo para manter os backups. O get mais antigo eliminado após este tempo em dias,")</f>
        <v>Quanto tempo para manter os backups. O get mais antigo eliminado após este tempo em dias,</v>
      </c>
      <c r="F357" s="21" t="str">
        <f ca="1">IFERROR(__xludf.DUMMYFUNCTION("GOOGLETRANSLATE($B357,""en"",F$3)"),"Quanto tempo para manter os backups. O get mais antigo eliminado após este tempo em dias,")</f>
        <v>Quanto tempo para manter os backups. O get mais antigo eliminado após este tempo em dias,</v>
      </c>
      <c r="G357" s="21" t="str">
        <f ca="1">IFERROR(__xludf.DUMMYFUNCTION("GOOGLETRANSLATE($B357,""en"",G$3)"),"Combien de temps pour garder les sauvegardes. Le plus ancien sont supprimés après cette heure en jours,")</f>
        <v>Combien de temps pour garder les sauvegardes. Le plus ancien sont supprimés après cette heure en jours,</v>
      </c>
      <c r="H357" s="21" t="str">
        <f ca="1">IFERROR(__xludf.DUMMYFUNCTION("GOOGLETRANSLATE($B357,""en"",H$3)"),"Zenbat denbora backups mantentzeko. get zaharrenak oraingoan ondoren ezabatu egunetan,")</f>
        <v>Zenbat denbora backups mantentzeko. get zaharrenak oraingoan ondoren ezabatu egunetan,</v>
      </c>
      <c r="I357" s="21" t="str">
        <f ca="1">IFERROR(__xludf.DUMMYFUNCTION("GOOGLETRANSLATE($B357,""en"",I$3)"),"Per quant de temps mantenir les còpies de seguretat. El aconseguir més antiga serà eliminada després d'aquest temps en dies,")</f>
        <v>Per quant de temps mantenir les còpies de seguretat. El aconseguir més antiga serà eliminada després d'aquest temps en dies,</v>
      </c>
      <c r="J357" s="21" t="str">
        <f ca="1">IFERROR(__xludf.DUMMYFUNCTION("GOOGLETRANSLATE($B357,""en"",J$3)"),"Jak dlouho uchovávat zálohy. Nejstarší get vymazány po uplynutí této doby ve dnech,")</f>
        <v>Jak dlouho uchovávat zálohy. Nejstarší get vymazány po uplynutí této doby ve dnech,</v>
      </c>
      <c r="K357" s="21" t="str">
        <f ca="1">IFERROR(__xludf.DUMMYFUNCTION("GOOGLETRANSLATE($B357,""en"",K$3)"),"如何长期保持备份。在天在此时间之后最古老的被删除，")</f>
        <v>如何长期保持备份。在天在此时间之后最古老的被删除，</v>
      </c>
      <c r="L357" s="21" t="str">
        <f ca="1">IFERROR(__xludf.DUMMYFUNCTION("GOOGLETRANSLATE($B357,""en"",L$3)"),"如何長期保持備份。在天在此時間之後最古老的被刪除，")</f>
        <v>如何長期保持備份。在天在此時間之後最古老的被刪除，</v>
      </c>
      <c r="M357" s="21" t="str">
        <f ca="1">IFERROR(__xludf.DUMMYFUNCTION("GOOGLETRANSLATE($B357,""en"",M$3)"),"Hoe lang om de back-ups te houden. De oudste krijgen geschrapt na deze tijd in dagen,")</f>
        <v>Hoe lang om de back-ups te houden. De oudste krijgen geschrapt na deze tijd in dagen,</v>
      </c>
      <c r="N357" s="21" t="str">
        <f ca="1">IFERROR(__xludf.DUMMYFUNCTION("GOOGLETRANSLATE($B357,""en"",N$3)"),"Πόσο καιρό για να κρατήσει τα αντίγραφα ασφαλείας. Το παλαιότερο πάρει διαγράφονται μετά από αυτό το χρονικό διάστημα σε ημέρες,")</f>
        <v>Πόσο καιρό για να κρατήσει τα αντίγραφα ασφαλείας. Το παλαιότερο πάρει διαγράφονται μετά από αυτό το χρονικό διάστημα σε ημέρες,</v>
      </c>
      <c r="O357" s="21" t="str">
        <f ca="1">IFERROR(__xludf.DUMMYFUNCTION("GOOGLETRANSLATE($B357,""en"",O$3)"),"Kuinka kauan pitää varmuuskopioita. Vanhin saa poistaa tämän jälkeen päivinä,")</f>
        <v>Kuinka kauan pitää varmuuskopioita. Vanhin saa poistaa tämän jälkeen päivinä,</v>
      </c>
      <c r="P357" s="21" t="str">
        <f ca="1">IFERROR(__xludf.DUMMYFUNCTION("GOOGLETRANSLATE($B357,""en"",P$3)"),"Cé chomh fada a choinneáil ar an backups. An fháil sine scriosadh tar éis an ama i laethanta,")</f>
        <v>Cé chomh fada a choinneáil ar an backups. An fháil sine scriosadh tar éis an ama i laethanta,</v>
      </c>
      <c r="Q357" s="21" t="str">
        <f ca="1">IFERROR(__xludf.DUMMYFUNCTION("GOOGLETRANSLATE($B357,""en"",Q$3)"),"چه مدت برای حفظ پشتیبان گیری. قدیمی ترین بعد از این زمان در روز حذف،")</f>
        <v>چه مدت برای حفظ پشتیبان گیری. قدیمی ترین بعد از این زمان در روز حذف،</v>
      </c>
      <c r="R357" s="21" t="str">
        <f ca="1">IFERROR(__xludf.DUMMYFUNCTION("GOOGLETRANSLATE($B357,""en"",R$3)"),"כמה זמן לשמור את הגיבויים. הגט ותיק שנמחק אחרי הפעם ימים,")</f>
        <v>כמה זמן לשמור את הגיבויים. הגט ותיק שנמחק אחרי הפעם ימים,</v>
      </c>
      <c r="S357" s="21" t="str">
        <f ca="1">IFERROR(__xludf.DUMMYFUNCTION("GOOGLETRANSLATE($B357,""en"",S$3)"),"Hversu lengi á að halda afrit. Elsti fá eytt eftir þennan tíma í dögum,")</f>
        <v>Hversu lengi á að halda afrit. Elsti fá eytt eftir þennan tíma í dögum,</v>
      </c>
      <c r="T357" s="21" t="str">
        <f ca="1">IFERROR(__xludf.DUMMYFUNCTION("GOOGLETRANSLATE($B357,""en"",T$3)"),"Hvor lenge å holde sikkerhetskopier. Den eldste blir slettet etter denne tid i dager,")</f>
        <v>Hvor lenge å holde sikkerhetskopier. Den eldste blir slettet etter denne tid i dager,</v>
      </c>
      <c r="U357" s="21" t="str">
        <f ca="1">IFERROR(__xludf.DUMMYFUNCTION("GOOGLETRANSLATE($B357,""en"",U$3)"),"كم من الوقت للحفاظ على النسخ الاحتياطي. حذف أقدم الحصول بعد هذا الوقت في أيام،")</f>
        <v>كم من الوقت للحفاظ على النسخ الاحتياطي. حذف أقدم الحصول بعد هذا الوقت في أيام،</v>
      </c>
      <c r="V357" s="21" t="str">
        <f ca="1">IFERROR(__xludf.DUMMYFUNCTION("GOOGLETRANSLATE($B357,""en"",V$3)"),"Jak długo przechowywać kopie zapasowe. Najstarsza zostaną usunięte po upływie tego czasu w dniach,")</f>
        <v>Jak długo przechowywać kopie zapasowe. Najstarsza zostaną usunięte po upływie tego czasu w dniach,</v>
      </c>
      <c r="W357" s="21" t="str">
        <f ca="1">IFERROR(__xludf.DUMMYFUNCTION("GOOGLETRANSLATE($B357,""en"",W$3)"),"Как долго хранить резервные копии. Старейший удаляются по истечении этого времени в днях,")</f>
        <v>Как долго хранить резервные копии. Старейший удаляются по истечении этого времени в днях,</v>
      </c>
      <c r="X357" s="21" t="str">
        <f ca="1">IFERROR(__xludf.DUMMYFUNCTION("GOOGLETRANSLATE($B357,""en"",X$3)"),"¿Por cuánto tiempo mantener las copias de seguridad. El conseguir más antigua será eliminada después de este tiempo en días,")</f>
        <v>¿Por cuánto tiempo mantener las copias de seguridad. El conseguir más antigua será eliminada después de este tiempo en días,</v>
      </c>
      <c r="Y357" s="21"/>
      <c r="Z357" s="21"/>
    </row>
    <row r="358" spans="1:26" ht="32.25" customHeight="1" x14ac:dyDescent="0.2">
      <c r="A358" s="17" t="s">
        <v>830</v>
      </c>
      <c r="B358" s="17" t="s">
        <v>831</v>
      </c>
      <c r="C358" s="21" t="str">
        <f ca="1">IFERROR(__xludf.DUMMYFUNCTION("GOOGLETRANSLATE($B358,""en"",C$3)"),"Wie lange Opensim ausgeführt wird, bevor ein Auto Sicherung stattfindet")</f>
        <v>Wie lange Opensim ausgeführt wird, bevor ein Auto Sicherung stattfindet</v>
      </c>
      <c r="D358" s="21" t="str">
        <f ca="1">IFERROR(__xludf.DUMMYFUNCTION("GOOGLETRANSLATE($B358,""en"",D$3)"),"Hur länge Opensim körs innan en automatisk backup inträffar")</f>
        <v>Hur länge Opensim körs innan en automatisk backup inträffar</v>
      </c>
      <c r="E358" s="21" t="str">
        <f ca="1">IFERROR(__xludf.DUMMYFUNCTION("GOOGLETRANSLATE($B358,""en"",E$3)"),"Quanto tempo Opensim é executado antes que ocorra um backup automático")</f>
        <v>Quanto tempo Opensim é executado antes que ocorra um backup automático</v>
      </c>
      <c r="F358" s="21" t="str">
        <f ca="1">IFERROR(__xludf.DUMMYFUNCTION("GOOGLETRANSLATE($B358,""en"",F$3)"),"Quanto tempo Opensim é executado antes que ocorra um backup automático")</f>
        <v>Quanto tempo Opensim é executado antes que ocorra um backup automático</v>
      </c>
      <c r="G358" s="21" t="str">
        <f ca="1">IFERROR(__xludf.DUMMYFUNCTION("GOOGLETRANSLATE($B358,""en"",G$3)"),"Depuis combien de temps Opensim fonctionne avant une sauvegarde automatique se produit")</f>
        <v>Depuis combien de temps Opensim fonctionne avant une sauvegarde automatique se produit</v>
      </c>
      <c r="H358" s="21" t="str">
        <f ca="1">IFERROR(__xludf.DUMMYFUNCTION("GOOGLETRANSLATE($B358,""en"",H$3)"),"Zenbat denbora Opensim exekutatzen Auto backup bat gertatzen aurretik")</f>
        <v>Zenbat denbora Opensim exekutatzen Auto backup bat gertatzen aurretik</v>
      </c>
      <c r="I358" s="21" t="str">
        <f ca="1">IFERROR(__xludf.DUMMYFUNCTION("GOOGLETRANSLATE($B358,""en"",I$3)"),"Quant de temps Opensim s'executa abans que passi una còpia de seguretat automàtica")</f>
        <v>Quant de temps Opensim s'executa abans que passi una còpia de seguretat automàtica</v>
      </c>
      <c r="J358" s="21" t="str">
        <f ca="1">IFERROR(__xludf.DUMMYFUNCTION("GOOGLETRANSLATE($B358,""en"",J$3)"),"Jak dlouho Opensim jízd, než dojde k automatické zálohování")</f>
        <v>Jak dlouho Opensim jízd, než dojde k automatické zálohování</v>
      </c>
      <c r="K358" s="21" t="str">
        <f ca="1">IFERROR(__xludf.DUMMYFUNCTION("GOOGLETRANSLATE($B358,""en"",K$3)"),"多久的OpenSim运行的自动备份之前")</f>
        <v>多久的OpenSim运行的自动备份之前</v>
      </c>
      <c r="L358" s="21" t="str">
        <f ca="1">IFERROR(__xludf.DUMMYFUNCTION("GOOGLETRANSLATE($B358,""en"",L$3)"),"多久的OpenSim運行的自動備份之前")</f>
        <v>多久的OpenSim運行的自動備份之前</v>
      </c>
      <c r="M358" s="21" t="str">
        <f ca="1">IFERROR(__xludf.DUMMYFUNCTION("GOOGLETRANSLATE($B358,""en"",M$3)"),"Hoe lang OpenSim uitgevoerd voordat een automatische back-up optreedt")</f>
        <v>Hoe lang OpenSim uitgevoerd voordat een automatische back-up optreedt</v>
      </c>
      <c r="N358" s="21" t="str">
        <f ca="1">IFERROR(__xludf.DUMMYFUNCTION("GOOGLETRANSLATE($B358,""en"",N$3)"),"Πόσο καιρό Opensim τρέχει πριν παρουσιαστεί Αυτόματη δημιουργία αντιγράφων ασφαλείας")</f>
        <v>Πόσο καιρό Opensim τρέχει πριν παρουσιαστεί Αυτόματη δημιουργία αντιγράφων ασφαλείας</v>
      </c>
      <c r="O358" s="21" t="str">
        <f ca="1">IFERROR(__xludf.DUMMYFUNCTION("GOOGLETRANSLATE($B358,""en"",O$3)"),"Kuinka kauan Opensim suoritetaan ennen automaattisen varmuuskopioinnin tapahtuu")</f>
        <v>Kuinka kauan Opensim suoritetaan ennen automaattisen varmuuskopioinnin tapahtuu</v>
      </c>
      <c r="P358" s="21" t="str">
        <f ca="1">IFERROR(__xludf.DUMMYFUNCTION("GOOGLETRANSLATE($B358,""en"",P$3)"),"Ritheann Opensim Cé ​​chomh fada sula dtarlaíonn cúltaca Auto")</f>
        <v>Ritheann Opensim Cé ​​chomh fada sula dtarlaíonn cúltaca Auto</v>
      </c>
      <c r="Q358" s="21" t="str">
        <f ca="1">IFERROR(__xludf.DUMMYFUNCTION("GOOGLETRANSLATE($B358,""en"",Q$3)"),"چه مدت Opensim اجرا می شود قبل از پشتیبان گیری خودکار رخ می دهد")</f>
        <v>چه مدت Opensim اجرا می شود قبل از پشتیبان گیری خودکار رخ می دهد</v>
      </c>
      <c r="R358" s="21" t="str">
        <f ca="1">IFERROR(__xludf.DUMMYFUNCTION("GOOGLETRANSLATE($B358,""en"",R$3)"),"כמה זמן Opensim רץ לפני גיבוי אוטומטי מתרחש")</f>
        <v>כמה זמן Opensim רץ לפני גיבוי אוטומטי מתרחש</v>
      </c>
      <c r="S358" s="21" t="str">
        <f ca="1">IFERROR(__xludf.DUMMYFUNCTION("GOOGLETRANSLATE($B358,""en"",S$3)"),"Hversu lengi Opensim keyrir fyrir sjálfvirkt öryggisafrit stað")</f>
        <v>Hversu lengi Opensim keyrir fyrir sjálfvirkt öryggisafrit stað</v>
      </c>
      <c r="T358" s="21" t="str">
        <f ca="1">IFERROR(__xludf.DUMMYFUNCTION("GOOGLETRANSLATE($B358,""en"",T$3)"),"Hvor lenge OpenSim går før en Auto backup skjer")</f>
        <v>Hvor lenge OpenSim går før en Auto backup skjer</v>
      </c>
      <c r="U358" s="21" t="str">
        <f ca="1">IFERROR(__xludf.DUMMYFUNCTION("GOOGLETRANSLATE($B358,""en"",U$3)"),"يدير متى Opensim قبل حدوث النسخ الاحتياطي التلقائي")</f>
        <v>يدير متى Opensim قبل حدوث النسخ الاحتياطي التلقائي</v>
      </c>
      <c r="V358" s="21" t="str">
        <f ca="1">IFERROR(__xludf.DUMMYFUNCTION("GOOGLETRANSLATE($B358,""en"",V$3)"),"Jak długo Opensim biegnie zanim wystąpi Automatyczna kopia zapasowa")</f>
        <v>Jak długo Opensim biegnie zanim wystąpi Automatyczna kopia zapasowa</v>
      </c>
      <c r="W358" s="21" t="str">
        <f ca="1">IFERROR(__xludf.DUMMYFUNCTION("GOOGLETRANSLATE($B358,""en"",W$3)"),"Как долго OpenSim работает до возникновения автоматического резервного копирования")</f>
        <v>Как долго OpenSim работает до возникновения автоматического резервного копирования</v>
      </c>
      <c r="X358" s="21" t="str">
        <f ca="1">IFERROR(__xludf.DUMMYFUNCTION("GOOGLETRANSLATE($B358,""en"",X$3)"),"¿Cuánto tiempo Opensim se ejecuta antes de que ocurra una copia de seguridad automática")</f>
        <v>¿Cuánto tiempo Opensim se ejecuta antes de que ocurra una copia de seguridad automática</v>
      </c>
      <c r="Y358" s="21"/>
      <c r="Z358" s="21"/>
    </row>
    <row r="359" spans="1:26" ht="32.25" customHeight="1" x14ac:dyDescent="0.2">
      <c r="A359" s="17" t="s">
        <v>832</v>
      </c>
      <c r="B359" s="17" t="s">
        <v>833</v>
      </c>
      <c r="C359" s="21" t="str">
        <f ca="1">IFERROR(__xludf.DUMMYFUNCTION("GOOGLETRANSLATE($B359,""en"",C$3)"),"Wie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359" s="21" t="str">
        <f ca="1">IFERROR(__xludf.DUMMYFUNCTION("GOOGLETRANSLATE($B359,""en"",D$3)"),"Hur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359" s="21" t="str">
        <f ca="1">IFERROR(__xludf.DUMMYFUNCTION("GOOGLETRANSLATE($B359,""en"",E$3)"),"Quantos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359" s="21" t="str">
        <f ca="1">IFERROR(__xludf.DUMMYFUNCTION("GOOGLETRANSLATE($B359,""en"",F$3)"),"Quantos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359" s="21" t="str">
        <f ca="1">IFERROR(__xludf.DUMMYFUNCTION("GOOGLETRANSLATE($B359,""en"",G$3)"),"Combien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359" s="21" t="str">
        <f ca="1">IFERROR(__xludf.DUMMYFUNCTION("GOOGLETRANSLATE($B359,""en"",H$3)"),"Zenbat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359" s="21" t="str">
        <f ca="1">IFERROR(__xludf.DUMMYFUNCTION("GOOGLETRANSLATE($B359,""en"",I$3)"),"Quantes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359" s="21" t="str">
        <f ca="1">IFERROR(__xludf.DUMMYFUNCTION("GOOGLETRANSLATE($B359,""en"",J$3)"),"Kolik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359" s="21" t="str">
        <f ca="1">IFERROR(__xludf.DUMMYFUNCTION("GOOGLETRANSLATE($B359,""en"",K$3)"),"有多少化身+ NPC的可以在一个区域之前显示为完整的区域。实际值在浏览器中设定的设置村。")</f>
        <v>有多少化身+ NPC的可以在一个区域之前显示为完整的区域。实际值在浏览器中设定的设置村。</v>
      </c>
      <c r="L359" s="21" t="str">
        <f ca="1">IFERROR(__xludf.DUMMYFUNCTION("GOOGLETRANSLATE($B359,""en"",L$3)"),"有多少化身+ NPC的可以在一個區域之前顯示為完整的區域。實際值在瀏覽器中設定的設置村。")</f>
        <v>有多少化身+ NPC的可以在一個區域之前顯示為完整的區域。實際值在瀏覽器中設定的設置村。</v>
      </c>
      <c r="M359" s="21" t="str">
        <f ca="1">IFERROR(__xludf.DUMMYFUNCTION("GOOGLETRANSLATE($B359,""en"",M$3)"),"Hoeveel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359" s="21" t="str">
        <f ca="1">IFERROR(__xludf.DUMMYFUNCTION("GOOGLETRANSLATE($B359,""en"",N$3)"),"Πόσες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359" s="21" t="str">
        <f ca="1">IFERROR(__xludf.DUMMYFUNCTION("GOOGLETRANSLATE($B359,""en"",O$3)"),"Kuinka monta hahmot + NPC voi olla alueella ennen alue näkyy koko. Todellinen arvo asetetaan Estate asetukset katsojalle.")</f>
        <v>Kuinka monta hahmot + NPC voi olla alueella ennen alue näkyy koko. Todellinen arvo asetetaan Estate asetukset katsojalle.</v>
      </c>
      <c r="P359" s="21" t="str">
        <f ca="1">IFERROR(__xludf.DUMMYFUNCTION("GOOGLETRANSLATE($B359,""en"",P$3)"),"Cé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359" s="21" t="str">
        <f ca="1">IFERROR(__xludf.DUMMYFUNCTION("GOOGLETRANSLATE($B359,""en"",Q$3)"),"چگونه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359" s="21" t="str">
        <f ca="1">IFERROR(__xludf.DUMMYFUNCTION("GOOGLETRANSLATE($B359,""en"",R$3)"),"כמה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359" s="21" t="str">
        <f ca="1">IFERROR(__xludf.DUMMYFUNCTION("GOOGLETRANSLATE($B359,""en"",S$3)"),"Hversu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359" s="21" t="str">
        <f ca="1">IFERROR(__xludf.DUMMYFUNCTION("GOOGLETRANSLATE($B359,""en"",T$3)"),"Hvor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359" s="21" t="str">
        <f ca="1">IFERROR(__xludf.DUMMYFUNCTION("GOOGLETRANSLATE($B359,""en"",U$3)"),"كم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359" s="21" t="str">
        <f ca="1">IFERROR(__xludf.DUMMYFUNCTION("GOOGLETRANSLATE($B359,""en"",V$3)"),"Ile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359" s="21" t="str">
        <f ca="1">IFERROR(__xludf.DUMMYFUNCTION("GOOGLETRANSLATE($B359,""en"",W$3)"),"Сколько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359" s="21" t="str">
        <f ca="1">IFERROR(__xludf.DUMMYFUNCTION("GOOGLETRANSLATE($B359,""en"",X$3)"),"¿Cuántas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359" s="21"/>
      <c r="Z359" s="21"/>
    </row>
    <row r="360" spans="1:26" ht="32.25" customHeight="1" x14ac:dyDescent="0.2">
      <c r="A360" s="17" t="s">
        <v>834</v>
      </c>
      <c r="B360" s="17" t="s">
        <v>835</v>
      </c>
      <c r="C360" s="21" t="str">
        <f ca="1">IFERROR(__xludf.DUMMYFUNCTION("GOOGLETRANSLATE($B360,""en"",C$3)"),"http-Port")</f>
        <v>http-Port</v>
      </c>
      <c r="D360" s="21" t="str">
        <f ca="1">IFERROR(__xludf.DUMMYFUNCTION("GOOGLETRANSLATE($B360,""en"",D$3)"),"http Port")</f>
        <v>http Port</v>
      </c>
      <c r="E360" s="21" t="str">
        <f ca="1">IFERROR(__xludf.DUMMYFUNCTION("GOOGLETRANSLATE($B360,""en"",E$3)"),"http Porto")</f>
        <v>http Porto</v>
      </c>
      <c r="F360" s="21" t="str">
        <f ca="1">IFERROR(__xludf.DUMMYFUNCTION("GOOGLETRANSLATE($B360,""en"",F$3)"),"http Porto")</f>
        <v>http Porto</v>
      </c>
      <c r="G360" s="21" t="str">
        <f ca="1">IFERROR(__xludf.DUMMYFUNCTION("GOOGLETRANSLATE($B360,""en"",G$3)"),"Http Port")</f>
        <v>Http Port</v>
      </c>
      <c r="H360" s="21" t="str">
        <f ca="1">IFERROR(__xludf.DUMMYFUNCTION("GOOGLETRANSLATE($B360,""en"",H$3)"),"http Port")</f>
        <v>http Port</v>
      </c>
      <c r="I360" s="21" t="str">
        <f ca="1">IFERROR(__xludf.DUMMYFUNCTION("GOOGLETRANSLATE($B360,""en"",I$3)"),"port HTTP")</f>
        <v>port HTTP</v>
      </c>
      <c r="J360" s="21" t="str">
        <f ca="1">IFERROR(__xludf.DUMMYFUNCTION("GOOGLETRANSLATE($B360,""en"",J$3)"),"http Port")</f>
        <v>http Port</v>
      </c>
      <c r="K360" s="21" t="str">
        <f ca="1">IFERROR(__xludf.DUMMYFUNCTION("GOOGLETRANSLATE($B360,""en"",K$3)"),"HTTP端口")</f>
        <v>HTTP端口</v>
      </c>
      <c r="L360" s="21" t="str">
        <f ca="1">IFERROR(__xludf.DUMMYFUNCTION("GOOGLETRANSLATE($B360,""en"",L$3)"),"HTTP端口")</f>
        <v>HTTP端口</v>
      </c>
      <c r="M360" s="21" t="str">
        <f ca="1">IFERROR(__xludf.DUMMYFUNCTION("GOOGLETRANSLATE($B360,""en"",M$3)"),"http Port")</f>
        <v>http Port</v>
      </c>
      <c r="N360" s="21" t="str">
        <f ca="1">IFERROR(__xludf.DUMMYFUNCTION("GOOGLETRANSLATE($B360,""en"",N$3)"),"θύρα HTTP")</f>
        <v>θύρα HTTP</v>
      </c>
      <c r="O360" s="21" t="str">
        <f ca="1">IFERROR(__xludf.DUMMYFUNCTION("GOOGLETRANSLATE($B360,""en"",O$3)"),"http Port")</f>
        <v>http Port</v>
      </c>
      <c r="P360" s="21" t="str">
        <f ca="1">IFERROR(__xludf.DUMMYFUNCTION("GOOGLETRANSLATE($B360,""en"",P$3)"),"http Port")</f>
        <v>http Port</v>
      </c>
      <c r="Q360" s="21" t="str">
        <f ca="1">IFERROR(__xludf.DUMMYFUNCTION("GOOGLETRANSLATE($B360,""en"",Q$3)"),"HTTP پورت")</f>
        <v>HTTP پورت</v>
      </c>
      <c r="R360" s="21" t="str">
        <f ca="1">IFERROR(__xludf.DUMMYFUNCTION("GOOGLETRANSLATE($B360,""en"",R$3)"),"Http פורט")</f>
        <v>Http פורט</v>
      </c>
      <c r="S360" s="21" t="str">
        <f ca="1">IFERROR(__xludf.DUMMYFUNCTION("GOOGLETRANSLATE($B360,""en"",S$3)"),"http Port")</f>
        <v>http Port</v>
      </c>
      <c r="T360" s="21" t="str">
        <f ca="1">IFERROR(__xludf.DUMMYFUNCTION("GOOGLETRANSLATE($B360,""en"",T$3)"),"hTTP-port")</f>
        <v>hTTP-port</v>
      </c>
      <c r="U360" s="21" t="str">
        <f ca="1">IFERROR(__xludf.DUMMYFUNCTION("GOOGLETRANSLATE($B360,""en"",U$3)"),"ميناء المتشعب")</f>
        <v>ميناء المتشعب</v>
      </c>
      <c r="V360" s="21" t="str">
        <f ca="1">IFERROR(__xludf.DUMMYFUNCTION("GOOGLETRANSLATE($B360,""en"",V$3)"),"http Port")</f>
        <v>http Port</v>
      </c>
      <c r="W360" s="21" t="str">
        <f ca="1">IFERROR(__xludf.DUMMYFUNCTION("GOOGLETRANSLATE($B360,""en"",W$3)"),"Порт Http")</f>
        <v>Порт Http</v>
      </c>
      <c r="X360" s="21" t="str">
        <f ca="1">IFERROR(__xludf.DUMMYFUNCTION("GOOGLETRANSLATE($B360,""en"",X$3)"),"puerto HTTP")</f>
        <v>puerto HTTP</v>
      </c>
      <c r="Y360" s="21"/>
      <c r="Z360" s="21"/>
    </row>
    <row r="361" spans="1:26" ht="32.25" customHeight="1" x14ac:dyDescent="0.2">
      <c r="A361" s="17" t="s">
        <v>836</v>
      </c>
      <c r="B361" s="17" t="s">
        <v>837</v>
      </c>
      <c r="C361" s="21" t="str">
        <f ca="1">IFERROR(__xludf.DUMMYFUNCTION("GOOGLETRANSLATE($B361,""en"",C$3)"),"Hypergrid DNS-Namen")</f>
        <v>Hypergrid DNS-Namen</v>
      </c>
      <c r="D361" s="21" t="str">
        <f ca="1">IFERROR(__xludf.DUMMYFUNCTION("GOOGLETRANSLATE($B361,""en"",D$3)"),"Hypergrid DNS-namn")</f>
        <v>Hypergrid DNS-namn</v>
      </c>
      <c r="E361" s="21" t="str">
        <f ca="1">IFERROR(__xludf.DUMMYFUNCTION("GOOGLETRANSLATE($B361,""en"",E$3)"),"Hypergrid Nome DNS")</f>
        <v>Hypergrid Nome DNS</v>
      </c>
      <c r="F361" s="21" t="str">
        <f ca="1">IFERROR(__xludf.DUMMYFUNCTION("GOOGLETRANSLATE($B361,""en"",F$3)"),"Hypergrid Nome DNS")</f>
        <v>Hypergrid Nome DNS</v>
      </c>
      <c r="G361" s="21" t="str">
        <f ca="1">IFERROR(__xludf.DUMMYFUNCTION("GOOGLETRANSLATE($B361,""en"",G$3)"),"Hypergrid Nom DNS")</f>
        <v>Hypergrid Nom DNS</v>
      </c>
      <c r="H361" s="21" t="str">
        <f ca="1">IFERROR(__xludf.DUMMYFUNCTION("GOOGLETRANSLATE($B361,""en"",H$3)"),"Hypergrid DNS izena")</f>
        <v>Hypergrid DNS izena</v>
      </c>
      <c r="I361" s="21" t="str">
        <f ca="1">IFERROR(__xludf.DUMMYFUNCTION("GOOGLETRANSLATE($B361,""en"",I$3)"),"Hypergrid Nom DNS")</f>
        <v>Hypergrid Nom DNS</v>
      </c>
      <c r="J361" s="21" t="str">
        <f ca="1">IFERROR(__xludf.DUMMYFUNCTION("GOOGLETRANSLATE($B361,""en"",J$3)"),"Hypergrid DNS Name")</f>
        <v>Hypergrid DNS Name</v>
      </c>
      <c r="K361" s="21" t="str">
        <f ca="1">IFERROR(__xludf.DUMMYFUNCTION("GOOGLETRANSLATE($B361,""en"",K$3)"),"Hypergrid DNS名称")</f>
        <v>Hypergrid DNS名称</v>
      </c>
      <c r="L361" s="21" t="str">
        <f ca="1">IFERROR(__xludf.DUMMYFUNCTION("GOOGLETRANSLATE($B361,""en"",L$3)"),"Hypergrid DNS名稱")</f>
        <v>Hypergrid DNS名稱</v>
      </c>
      <c r="M361" s="21" t="str">
        <f ca="1">IFERROR(__xludf.DUMMYFUNCTION("GOOGLETRANSLATE($B361,""en"",M$3)"),"HyperGrid DNS-naam")</f>
        <v>HyperGrid DNS-naam</v>
      </c>
      <c r="N361" s="21" t="str">
        <f ca="1">IFERROR(__xludf.DUMMYFUNCTION("GOOGLETRANSLATE($B361,""en"",N$3)"),"Hypergrid DNS Name")</f>
        <v>Hypergrid DNS Name</v>
      </c>
      <c r="O361" s="21" t="str">
        <f ca="1">IFERROR(__xludf.DUMMYFUNCTION("GOOGLETRANSLATE($B361,""en"",O$3)"),"Hypergrid DNS-nimi")</f>
        <v>Hypergrid DNS-nimi</v>
      </c>
      <c r="P361" s="21" t="str">
        <f ca="1">IFERROR(__xludf.DUMMYFUNCTION("GOOGLETRANSLATE($B361,""en"",P$3)"),"Hypergrid DNS Ainm")</f>
        <v>Hypergrid DNS Ainm</v>
      </c>
      <c r="Q361" s="21" t="str">
        <f ca="1">IFERROR(__xludf.DUMMYFUNCTION("GOOGLETRANSLATE($B361,""en"",Q$3)"),"Hypergrid نام DNS")</f>
        <v>Hypergrid نام DNS</v>
      </c>
      <c r="R361" s="21" t="str">
        <f ca="1">IFERROR(__xludf.DUMMYFUNCTION("GOOGLETRANSLATE($B361,""en"",R$3)"),"Hypergrid DNS שם")</f>
        <v>Hypergrid DNS שם</v>
      </c>
      <c r="S361" s="21" t="str">
        <f ca="1">IFERROR(__xludf.DUMMYFUNCTION("GOOGLETRANSLATE($B361,""en"",S$3)"),"Hypergrid DNS nafn")</f>
        <v>Hypergrid DNS nafn</v>
      </c>
      <c r="T361" s="21" t="str">
        <f ca="1">IFERROR(__xludf.DUMMYFUNCTION("GOOGLETRANSLATE($B361,""en"",T$3)"),"Hypergrid DNS-navn")</f>
        <v>Hypergrid DNS-navn</v>
      </c>
      <c r="U361" s="21" t="str">
        <f ca="1">IFERROR(__xludf.DUMMYFUNCTION("GOOGLETRANSLATE($B361,""en"",U$3)"),"Hypergrid اسم DNS")</f>
        <v>Hypergrid اسم DNS</v>
      </c>
      <c r="V361" s="21" t="str">
        <f ca="1">IFERROR(__xludf.DUMMYFUNCTION("GOOGLETRANSLATE($B361,""en"",V$3)"),"Hypergrid Nazwa DNS")</f>
        <v>Hypergrid Nazwa DNS</v>
      </c>
      <c r="W361" s="21" t="str">
        <f ca="1">IFERROR(__xludf.DUMMYFUNCTION("GOOGLETRANSLATE($B361,""en"",W$3)"),"Hypergrid Имя DNS")</f>
        <v>Hypergrid Имя DNS</v>
      </c>
      <c r="X361" s="21" t="str">
        <f ca="1">IFERROR(__xludf.DUMMYFUNCTION("GOOGLETRANSLATE($B361,""en"",X$3)"),"Hypergrid Nombre DNS")</f>
        <v>Hypergrid Nombre DNS</v>
      </c>
      <c r="Y361" s="21"/>
      <c r="Z361" s="21"/>
    </row>
    <row r="362" spans="1:26" ht="32.25" customHeight="1" x14ac:dyDescent="0.2">
      <c r="A362" s="10" t="s">
        <v>838</v>
      </c>
      <c r="B362" s="10" t="s">
        <v>836</v>
      </c>
      <c r="C362" s="11" t="str">
        <f ca="1">IFERROR(__xludf.DUMMYFUNCTION("GOOGLETRANSLATE($B362,""en"",C$3)"),"Hypergrid")</f>
        <v>Hypergrid</v>
      </c>
      <c r="D362" s="11" t="str">
        <f ca="1">IFERROR(__xludf.DUMMYFUNCTION("GOOGLETRANSLATE($B362,""en"",D$3)"),"Hypergrid")</f>
        <v>Hypergrid</v>
      </c>
      <c r="E362" s="11" t="str">
        <f ca="1">IFERROR(__xludf.DUMMYFUNCTION("GOOGLETRANSLATE($B362,""en"",E$3)"),"Hypergrid")</f>
        <v>Hypergrid</v>
      </c>
      <c r="F362" s="11" t="str">
        <f ca="1">IFERROR(__xludf.DUMMYFUNCTION("GOOGLETRANSLATE($B362,""en"",F$3)"),"Hypergrid")</f>
        <v>Hypergrid</v>
      </c>
      <c r="G362" s="11" t="str">
        <f ca="1">IFERROR(__xludf.DUMMYFUNCTION("GOOGLETRANSLATE($B362,""en"",G$3)"),"Hypergrid")</f>
        <v>Hypergrid</v>
      </c>
      <c r="H362" s="11" t="str">
        <f ca="1">IFERROR(__xludf.DUMMYFUNCTION("GOOGLETRANSLATE($B362,""en"",H$3)"),"Hypergrid")</f>
        <v>Hypergrid</v>
      </c>
      <c r="I362" s="11" t="str">
        <f ca="1">IFERROR(__xludf.DUMMYFUNCTION("GOOGLETRANSLATE($B362,""en"",I$3)"),"Hypergrid")</f>
        <v>Hypergrid</v>
      </c>
      <c r="J362" s="11" t="str">
        <f ca="1">IFERROR(__xludf.DUMMYFUNCTION("GOOGLETRANSLATE($B362,""en"",J$3)"),"Hypergrid")</f>
        <v>Hypergrid</v>
      </c>
      <c r="K362" s="11" t="str">
        <f ca="1">IFERROR(__xludf.DUMMYFUNCTION("GOOGLETRANSLATE($B362,""en"",K$3)"),"Hypergrid")</f>
        <v>Hypergrid</v>
      </c>
      <c r="L362" s="11" t="str">
        <f ca="1">IFERROR(__xludf.DUMMYFUNCTION("GOOGLETRANSLATE($B362,""en"",L$3)"),"Hypergrid")</f>
        <v>Hypergrid</v>
      </c>
      <c r="M362" s="11" t="str">
        <f ca="1">IFERROR(__xludf.DUMMYFUNCTION("GOOGLETRANSLATE($B362,""en"",M$3)"),"HyperGrid")</f>
        <v>HyperGrid</v>
      </c>
      <c r="N362" s="11" t="str">
        <f ca="1">IFERROR(__xludf.DUMMYFUNCTION("GOOGLETRANSLATE($B362,""en"",N$3)"),"Hypergrid")</f>
        <v>Hypergrid</v>
      </c>
      <c r="O362" s="11" t="str">
        <f ca="1">IFERROR(__xludf.DUMMYFUNCTION("GOOGLETRANSLATE($B362,""en"",O$3)"),"Hypergrid")</f>
        <v>Hypergrid</v>
      </c>
      <c r="P362" s="11" t="str">
        <f ca="1">IFERROR(__xludf.DUMMYFUNCTION("GOOGLETRANSLATE($B362,""en"",P$3)"),"Hypergrid")</f>
        <v>Hypergrid</v>
      </c>
      <c r="Q362" s="11" t="str">
        <f ca="1">IFERROR(__xludf.DUMMYFUNCTION("GOOGLETRANSLATE($B362,""en"",Q$3)"),"Hypergrid")</f>
        <v>Hypergrid</v>
      </c>
      <c r="R362" s="11" t="str">
        <f ca="1">IFERROR(__xludf.DUMMYFUNCTION("GOOGLETRANSLATE($B362,""en"",R$3)"),"Hypergrid")</f>
        <v>Hypergrid</v>
      </c>
      <c r="S362" s="11" t="str">
        <f ca="1">IFERROR(__xludf.DUMMYFUNCTION("GOOGLETRANSLATE($B362,""en"",S$3)"),"Hypergrid")</f>
        <v>Hypergrid</v>
      </c>
      <c r="T362" s="11" t="str">
        <f ca="1">IFERROR(__xludf.DUMMYFUNCTION("GOOGLETRANSLATE($B362,""en"",T$3)"),"Hypergrid")</f>
        <v>Hypergrid</v>
      </c>
      <c r="U362" s="11" t="str">
        <f ca="1">IFERROR(__xludf.DUMMYFUNCTION("GOOGLETRANSLATE($B362,""en"",U$3)"),"Hypergrid")</f>
        <v>Hypergrid</v>
      </c>
      <c r="V362" s="11" t="str">
        <f ca="1">IFERROR(__xludf.DUMMYFUNCTION("GOOGLETRANSLATE($B362,""en"",V$3)"),"Hypergrid")</f>
        <v>Hypergrid</v>
      </c>
      <c r="W362" s="11" t="str">
        <f ca="1">IFERROR(__xludf.DUMMYFUNCTION("GOOGLETRANSLATE($B362,""en"",W$3)"),"Hypergrid")</f>
        <v>Hypergrid</v>
      </c>
      <c r="X362" s="11" t="str">
        <f ca="1">IFERROR(__xludf.DUMMYFUNCTION("GOOGLETRANSLATE($B362,""en"",X$3)"),"Hypergrid")</f>
        <v>Hypergrid</v>
      </c>
    </row>
    <row r="363" spans="1:26" ht="32.25" customHeight="1" x14ac:dyDescent="0.2">
      <c r="A363" s="17" t="s">
        <v>839</v>
      </c>
      <c r="B363" s="17" t="s">
        <v>840</v>
      </c>
      <c r="C363" s="21" t="str">
        <f ca="1">IFERROR(__xludf.DUMMYFUNCTION("GOOGLETRANSLATE($B363,""en"",C$3)"),"IAR Laden und Speichern")</f>
        <v>IAR Laden und Speichern</v>
      </c>
      <c r="D363" s="21" t="str">
        <f ca="1">IFERROR(__xludf.DUMMYFUNCTION("GOOGLETRANSLATE($B363,""en"",D$3)"),"IAR Load och spara")</f>
        <v>IAR Load och spara</v>
      </c>
      <c r="E363" s="21" t="str">
        <f ca="1">IFERROR(__xludf.DUMMYFUNCTION("GOOGLETRANSLATE($B363,""en"",E$3)"),"IAR carregar e salvar")</f>
        <v>IAR carregar e salvar</v>
      </c>
      <c r="F363" s="21" t="str">
        <f ca="1">IFERROR(__xludf.DUMMYFUNCTION("GOOGLETRANSLATE($B363,""en"",F$3)"),"IAR carregar e salvar")</f>
        <v>IAR carregar e salvar</v>
      </c>
      <c r="G363" s="21" t="str">
        <f ca="1">IFERROR(__xludf.DUMMYFUNCTION("GOOGLETRANSLATE($B363,""en"",G$3)"),"IAR Charger et Enregistrer")</f>
        <v>IAR Charger et Enregistrer</v>
      </c>
      <c r="H363" s="21" t="str">
        <f ca="1">IFERROR(__xludf.DUMMYFUNCTION("GOOGLETRANSLATE($B363,""en"",H$3)"),"Iar kargatu eta gorde")</f>
        <v>Iar kargatu eta gorde</v>
      </c>
      <c r="I363" s="21" t="str">
        <f ca="1">IFERROR(__xludf.DUMMYFUNCTION("GOOGLETRANSLATE($B363,""en"",I$3)"),"IAR Carregar i Desa")</f>
        <v>IAR Carregar i Desa</v>
      </c>
      <c r="J363" s="21" t="str">
        <f ca="1">IFERROR(__xludf.DUMMYFUNCTION("GOOGLETRANSLATE($B363,""en"",J$3)"),"IAR Load a uložit")</f>
        <v>IAR Load a uložit</v>
      </c>
      <c r="K363" s="21" t="str">
        <f ca="1">IFERROR(__xludf.DUMMYFUNCTION("GOOGLETRANSLATE($B363,""en"",K$3)"),"IAR加载和保存")</f>
        <v>IAR加载和保存</v>
      </c>
      <c r="L363" s="21" t="str">
        <f ca="1">IFERROR(__xludf.DUMMYFUNCTION("GOOGLETRANSLATE($B363,""en"",L$3)"),"IAR加載和保存")</f>
        <v>IAR加載和保存</v>
      </c>
      <c r="M363" s="21" t="str">
        <f ca="1">IFERROR(__xludf.DUMMYFUNCTION("GOOGLETRANSLATE($B363,""en"",M$3)"),"IAR Laden en opslaan")</f>
        <v>IAR Laden en opslaan</v>
      </c>
      <c r="N363" s="21" t="str">
        <f ca="1">IFERROR(__xludf.DUMMYFUNCTION("GOOGLETRANSLATE($B363,""en"",N$3)"),"IAR Φόρτωση και Αποθήκευση")</f>
        <v>IAR Φόρτωση και Αποθήκευση</v>
      </c>
      <c r="O363" s="21" t="str">
        <f ca="1">IFERROR(__xludf.DUMMYFUNCTION("GOOGLETRANSLATE($B363,""en"",O$3)"),"IAR Lataa ja tallenna")</f>
        <v>IAR Lataa ja tallenna</v>
      </c>
      <c r="P363" s="21" t="str">
        <f ca="1">IFERROR(__xludf.DUMMYFUNCTION("GOOGLETRANSLATE($B363,""en"",P$3)"),"IAR Luchtaigh agus Sábháil")</f>
        <v>IAR Luchtaigh agus Sábháil</v>
      </c>
      <c r="Q363" s="21" t="str">
        <f ca="1">IFERROR(__xludf.DUMMYFUNCTION("GOOGLETRANSLATE($B363,""en"",Q$3)"),"بار IAR و ذخیره")</f>
        <v>بار IAR و ذخیره</v>
      </c>
      <c r="R363" s="21" t="str">
        <f ca="1">IFERROR(__xludf.DUMMYFUNCTION("GOOGLETRANSLATE($B363,""en"",R$3)"),"טען IAR ולחסוך")</f>
        <v>טען IAR ולחסוך</v>
      </c>
      <c r="S363" s="21" t="str">
        <f ca="1">IFERROR(__xludf.DUMMYFUNCTION("GOOGLETRANSLATE($B363,""en"",S$3)"),"IAR hlaða og vista")</f>
        <v>IAR hlaða og vista</v>
      </c>
      <c r="T363" s="21" t="str">
        <f ca="1">IFERROR(__xludf.DUMMYFUNCTION("GOOGLETRANSLATE($B363,""en"",T$3)"),"IAR Last inn og lagre")</f>
        <v>IAR Last inn og lagre</v>
      </c>
      <c r="U363" s="21" t="str">
        <f ca="1">IFERROR(__xludf.DUMMYFUNCTION("GOOGLETRANSLATE($B363,""en"",U$3)"),"IAR تحميل وحفظ")</f>
        <v>IAR تحميل وحفظ</v>
      </c>
      <c r="V363" s="21" t="str">
        <f ca="1">IFERROR(__xludf.DUMMYFUNCTION("GOOGLETRANSLATE($B363,""en"",V$3)"),"IAR obciążenia i Zapisz")</f>
        <v>IAR obciążenia i Zapisz</v>
      </c>
      <c r="W363" s="21" t="str">
        <f ca="1">IFERROR(__xludf.DUMMYFUNCTION("GOOGLETRANSLATE($B363,""en"",W$3)"),"IAR Загрузка и сохранение")</f>
        <v>IAR Загрузка и сохранение</v>
      </c>
      <c r="X363" s="21" t="str">
        <f ca="1">IFERROR(__xludf.DUMMYFUNCTION("GOOGLETRANSLATE($B363,""en"",X$3)"),"IAR Cargar y Guardar")</f>
        <v>IAR Cargar y Guardar</v>
      </c>
      <c r="Y363" s="21"/>
      <c r="Z363" s="21"/>
    </row>
    <row r="364" spans="1:26" ht="32.25" customHeight="1" x14ac:dyDescent="0.2">
      <c r="A364" s="17" t="s">
        <v>841</v>
      </c>
      <c r="B364" s="17" t="s">
        <v>842</v>
      </c>
      <c r="C364" s="21" t="str">
        <f ca="1">IFERROR(__xludf.DUMMYFUNCTION("GOOGLETRANSLATE($B364,""en"",C$3)"),"Icecast können Sie Musik in Ihrem sim streamen. Musik URL:")</f>
        <v>Icecast können Sie Musik in Ihrem sim streamen. Musik URL:</v>
      </c>
      <c r="D364" s="21" t="str">
        <f ca="1">IFERROR(__xludf.DUMMYFUNCTION("GOOGLETRANSLATE($B364,""en"",D$3)"),"Icecast låter dig strömma musik till din sim. Musik URL:")</f>
        <v>Icecast låter dig strömma musik till din sim. Musik URL:</v>
      </c>
      <c r="E364" s="21" t="str">
        <f ca="1">IFERROR(__xludf.DUMMYFUNCTION("GOOGLETRANSLATE($B364,""en"",E$3)"),"Icecast permite transmitir música em seu sim. Música URL:")</f>
        <v>Icecast permite transmitir música em seu sim. Música URL:</v>
      </c>
      <c r="F364" s="21" t="str">
        <f ca="1">IFERROR(__xludf.DUMMYFUNCTION("GOOGLETRANSLATE($B364,""en"",F$3)"),"Icecast permite transmitir música em seu sim. Música URL:")</f>
        <v>Icecast permite transmitir música em seu sim. Música URL:</v>
      </c>
      <c r="G364" s="21" t="str">
        <f ca="1">IFERROR(__xludf.DUMMYFUNCTION("GOOGLETRANSLATE($B364,""en"",G$3)"),"Icecast vous permet d'écouter de la musique dans votre sim. Musique URL:")</f>
        <v>Icecast vous permet d'écouter de la musique dans votre sim. Musique URL:</v>
      </c>
      <c r="H364" s="21" t="str">
        <f ca="1">IFERROR(__xludf.DUMMYFUNCTION("GOOGLETRANSLATE($B364,""en"",H$3)"),"Icecast musika airetik SIM sartu aukera ematen dizu. Musika URL:")</f>
        <v>Icecast musika airetik SIM sartu aukera ematen dizu. Musika URL:</v>
      </c>
      <c r="I364" s="21" t="str">
        <f ca="1">IFERROR(__xludf.DUMMYFUNCTION("GOOGLETRANSLATE($B364,""en"",I$3)"),"Icecast li permet transmetre música a la targeta SIM. Música URL:")</f>
        <v>Icecast li permet transmetre música a la targeta SIM. Música URL:</v>
      </c>
      <c r="J364" s="21" t="str">
        <f ca="1">IFERROR(__xludf.DUMMYFUNCTION("GOOGLETRANSLATE($B364,""en"",J$3)"),"Icecast umožňuje přenášet hudbu do svého sim. Hudba URL:")</f>
        <v>Icecast umožňuje přenášet hudbu do svého sim. Hudba URL:</v>
      </c>
      <c r="K364" s="21" t="str">
        <f ca="1">IFERROR(__xludf.DUMMYFUNCTION("GOOGLETRANSLATE($B364,""en"",K$3)"),"的Icecast可以让你将音乐串流到你的SIM卡。音乐网址：")</f>
        <v>的Icecast可以让你将音乐串流到你的SIM卡。音乐网址：</v>
      </c>
      <c r="L364" s="21" t="str">
        <f ca="1">IFERROR(__xludf.DUMMYFUNCTION("GOOGLETRANSLATE($B364,""en"",L$3)"),"的Icecast可以讓你將音樂串流到你的SIM卡。音樂網址：")</f>
        <v>的Icecast可以讓你將音樂串流到你的SIM卡。音樂網址：</v>
      </c>
      <c r="M364" s="21" t="str">
        <f ca="1">IFERROR(__xludf.DUMMYFUNCTION("GOOGLETRANSLATE($B364,""en"",M$3)"),"Icecast kun je muziek streamen naar je sim. Muziek URL:")</f>
        <v>Icecast kun je muziek streamen naar je sim. Muziek URL:</v>
      </c>
      <c r="N364" s="21" t="str">
        <f ca="1">IFERROR(__xludf.DUMMYFUNCTION("GOOGLETRANSLATE($B364,""en"",N$3)"),"Icecast σας επιτρέπει να κάνετε streaming μουσικής σε sim σας. Μουσική διεύθυνση:")</f>
        <v>Icecast σας επιτρέπει να κάνετε streaming μουσικής σε sim σας. Μουσική διεύθυνση:</v>
      </c>
      <c r="O364" s="21" t="str">
        <f ca="1">IFERROR(__xludf.DUMMYFUNCTION("GOOGLETRANSLATE($B364,""en"",O$3)"),"Icecast avulla voit suoratoistaa musiikkia omaan sim. Music URL:")</f>
        <v>Icecast avulla voit suoratoistaa musiikkia omaan sim. Music URL:</v>
      </c>
      <c r="P364" s="21" t="str">
        <f ca="1">IFERROR(__xludf.DUMMYFUNCTION("GOOGLETRANSLATE($B364,""en"",P$3)"),"Ligeann Icecast leat a sruth ceol i do SIM. Ceol URL:")</f>
        <v>Ligeann Icecast leat a sruth ceol i do SIM. Ceol URL:</v>
      </c>
      <c r="Q364" s="21" t="str">
        <f ca="1">IFERROR(__xludf.DUMMYFUNCTION("GOOGLETRANSLATE($B364,""en"",Q$3)"),"IceCast به شما اجازه می دهد جریان موسیقی را به سیم کارت خود را. موسیقی URL:")</f>
        <v>IceCast به شما اجازه می دهد جریان موسیقی را به سیم کارت خود را. موسیقی URL:</v>
      </c>
      <c r="R364" s="21" t="str">
        <f ca="1">IFERROR(__xludf.DUMMYFUNCTION("GOOGLETRANSLATE($B364,""en"",R$3)"),"Icecast מאפשר לך להזרים מוסיקה לתוך ה- SIM שלך. כתובת האתר מוסיקה:")</f>
        <v>Icecast מאפשר לך להזרים מוסיקה לתוך ה- SIM שלך. כתובת האתר מוסיקה:</v>
      </c>
      <c r="S364" s="21" t="str">
        <f ca="1">IFERROR(__xludf.DUMMYFUNCTION("GOOGLETRANSLATE($B364,""en"",S$3)"),"Icecast leyfir þér að streyma tónlist í sim þína. Tónlist URL:")</f>
        <v>Icecast leyfir þér að streyma tónlist í sim þína. Tónlist URL:</v>
      </c>
      <c r="T364" s="21" t="str">
        <f ca="1">IFERROR(__xludf.DUMMYFUNCTION("GOOGLETRANSLATE($B364,""en"",T$3)"),"Icecast lar deg streame musikk til din sim. Musikk URL:")</f>
        <v>Icecast lar deg streame musikk til din sim. Musikk URL:</v>
      </c>
      <c r="U364" s="21" t="str">
        <f ca="1">IFERROR(__xludf.DUMMYFUNCTION("GOOGLETRANSLATE($B364,""en"",U$3)"),"يسكاست يتيح لك بث الموسيقى إلى بطاقة SIM. الموسيقى URL:")</f>
        <v>يسكاست يتيح لك بث الموسيقى إلى بطاقة SIM. الموسيقى URL:</v>
      </c>
      <c r="V364" s="21" t="str">
        <f ca="1">IFERROR(__xludf.DUMMYFUNCTION("GOOGLETRANSLATE($B364,""en"",V$3)"),"Icecast pozwala przesyłać muzykę na karcie SIM. Muzyka URL:")</f>
        <v>Icecast pozwala przesyłać muzykę na karcie SIM. Muzyka URL:</v>
      </c>
      <c r="W364" s="21" t="str">
        <f ca="1">IFERROR(__xludf.DUMMYFUNCTION("GOOGLETRANSLATE($B364,""en"",W$3)"),"Icecast позволяет передавать музыку в свой сим. Музыка URL:")</f>
        <v>Icecast позволяет передавать музыку в свой сим. Музыка URL:</v>
      </c>
      <c r="X364" s="21" t="str">
        <f ca="1">IFERROR(__xludf.DUMMYFUNCTION("GOOGLETRANSLATE($B364,""en"",X$3)"),"Icecast le permite transmitir música en la tarjeta SIM. Música URL:")</f>
        <v>Icecast le permite transmitir música en la tarjeta SIM. Música URL:</v>
      </c>
      <c r="Y364" s="21"/>
      <c r="Z364" s="21"/>
    </row>
    <row r="365" spans="1:26" ht="32.25" customHeight="1" x14ac:dyDescent="0.2">
      <c r="A365" s="17" t="s">
        <v>843</v>
      </c>
      <c r="B365" s="17" t="s">
        <v>844</v>
      </c>
      <c r="C365" s="21" t="str">
        <f ca="1">IFERROR(__xludf.DUMMYFUNCTION("GOOGLETRANSLATE($B365,""en"",C$3)"),"Icecast ist deaktiviert")</f>
        <v>Icecast ist deaktiviert</v>
      </c>
      <c r="D365" s="21" t="str">
        <f ca="1">IFERROR(__xludf.DUMMYFUNCTION("GOOGLETRANSLATE($B365,""en"",D$3)"),"Icecast är inaktiverad")</f>
        <v>Icecast är inaktiverad</v>
      </c>
      <c r="E365" s="21" t="str">
        <f ca="1">IFERROR(__xludf.DUMMYFUNCTION("GOOGLETRANSLATE($B365,""en"",E$3)"),"Icecast é desativado")</f>
        <v>Icecast é desativado</v>
      </c>
      <c r="F365" s="21" t="str">
        <f ca="1">IFERROR(__xludf.DUMMYFUNCTION("GOOGLETRANSLATE($B365,""en"",F$3)"),"Icecast é desativado")</f>
        <v>Icecast é desativado</v>
      </c>
      <c r="G365" s="21" t="str">
        <f ca="1">IFERROR(__xludf.DUMMYFUNCTION("GOOGLETRANSLATE($B365,""en"",G$3)"),"Icecast est désactivé")</f>
        <v>Icecast est désactivé</v>
      </c>
      <c r="H365" s="21" t="str">
        <f ca="1">IFERROR(__xludf.DUMMYFUNCTION("GOOGLETRANSLATE($B365,""en"",H$3)"),"Icecast desgaituta dago")</f>
        <v>Icecast desgaituta dago</v>
      </c>
      <c r="I365" s="21" t="str">
        <f ca="1">IFERROR(__xludf.DUMMYFUNCTION("GOOGLETRANSLATE($B365,""en"",I$3)"),"Icecast està desactivat")</f>
        <v>Icecast està desactivat</v>
      </c>
      <c r="J365" s="21" t="str">
        <f ca="1">IFERROR(__xludf.DUMMYFUNCTION("GOOGLETRANSLATE($B365,""en"",J$3)"),"Icecast je zakázán")</f>
        <v>Icecast je zakázán</v>
      </c>
      <c r="K365" s="21" t="str">
        <f ca="1">IFERROR(__xludf.DUMMYFUNCTION("GOOGLETRANSLATE($B365,""en"",K$3)"),"的Icecast被禁用")</f>
        <v>的Icecast被禁用</v>
      </c>
      <c r="L365" s="21" t="str">
        <f ca="1">IFERROR(__xludf.DUMMYFUNCTION("GOOGLETRANSLATE($B365,""en"",L$3)"),"的Icecast被禁用")</f>
        <v>的Icecast被禁用</v>
      </c>
      <c r="M365" s="21" t="str">
        <f ca="1">IFERROR(__xludf.DUMMYFUNCTION("GOOGLETRANSLATE($B365,""en"",M$3)"),"Icecast uitgeschakeld")</f>
        <v>Icecast uitgeschakeld</v>
      </c>
      <c r="N365" s="21" t="str">
        <f ca="1">IFERROR(__xludf.DUMMYFUNCTION("GOOGLETRANSLATE($B365,""en"",N$3)"),"Icecast είναι άτομα με ειδικές ανάγκες")</f>
        <v>Icecast είναι άτομα με ειδικές ανάγκες</v>
      </c>
      <c r="O365" s="21" t="str">
        <f ca="1">IFERROR(__xludf.DUMMYFUNCTION("GOOGLETRANSLATE($B365,""en"",O$3)"),"Icecast on poistettu käytöstä")</f>
        <v>Icecast on poistettu käytöstä</v>
      </c>
      <c r="P365" s="21" t="str">
        <f ca="1">IFERROR(__xludf.DUMMYFUNCTION("GOOGLETRANSLATE($B365,""en"",P$3)"),"Is Icecast díchumasaithe")</f>
        <v>Is Icecast díchumasaithe</v>
      </c>
      <c r="Q365" s="21" t="str">
        <f ca="1">IFERROR(__xludf.DUMMYFUNCTION("GOOGLETRANSLATE($B365,""en"",Q$3)"),"IceCast به غیر فعال است")</f>
        <v>IceCast به غیر فعال است</v>
      </c>
      <c r="R365" s="21" t="str">
        <f ca="1">IFERROR(__xludf.DUMMYFUNCTION("GOOGLETRANSLATE($B365,""en"",R$3)"),"Icecast מושבתת")</f>
        <v>Icecast מושבתת</v>
      </c>
      <c r="S365" s="21" t="str">
        <f ca="1">IFERROR(__xludf.DUMMYFUNCTION("GOOGLETRANSLATE($B365,""en"",S$3)"),"Icecast er óvirk")</f>
        <v>Icecast er óvirk</v>
      </c>
      <c r="T365" s="21" t="str">
        <f ca="1">IFERROR(__xludf.DUMMYFUNCTION("GOOGLETRANSLATE($B365,""en"",T$3)"),"Icecast er deaktivert")</f>
        <v>Icecast er deaktivert</v>
      </c>
      <c r="U365" s="21" t="str">
        <f ca="1">IFERROR(__xludf.DUMMYFUNCTION("GOOGLETRANSLATE($B365,""en"",U$3)"),"يتم تعطيل يسكاست")</f>
        <v>يتم تعطيل يسكاست</v>
      </c>
      <c r="V365" s="21" t="str">
        <f ca="1">IFERROR(__xludf.DUMMYFUNCTION("GOOGLETRANSLATE($B365,""en"",V$3)"),"Icecast jest wyłączony")</f>
        <v>Icecast jest wyłączony</v>
      </c>
      <c r="W365" s="21" t="str">
        <f ca="1">IFERROR(__xludf.DUMMYFUNCTION("GOOGLETRANSLATE($B365,""en"",W$3)"),"Icecast отключен")</f>
        <v>Icecast отключен</v>
      </c>
      <c r="X365" s="21" t="str">
        <f ca="1">IFERROR(__xludf.DUMMYFUNCTION("GOOGLETRANSLATE($B365,""en"",X$3)"),"Icecast está desactivado")</f>
        <v>Icecast está desactivado</v>
      </c>
      <c r="Y365" s="21"/>
      <c r="Z365" s="21"/>
    </row>
    <row r="366" spans="1:26" ht="32.25" customHeight="1" x14ac:dyDescent="0.2">
      <c r="A366" s="17" t="s">
        <v>845</v>
      </c>
      <c r="B366" s="17" t="s">
        <v>846</v>
      </c>
      <c r="C366" s="21" t="str">
        <f ca="1">IFERROR(__xludf.DUMMYFUNCTION("GOOGLETRANSLATE($B366,""en"",C$3)"),"Icecast verlassen. Möchten Sie das Fehlerprotokoll-Datei sehen?")</f>
        <v>Icecast verlassen. Möchten Sie das Fehlerprotokoll-Datei sehen?</v>
      </c>
      <c r="D366" s="21" t="str">
        <f ca="1">IFERROR(__xludf.DUMMYFUNCTION("GOOGLETRANSLATE($B366,""en"",D$3)"),"Icecast avslutas. Vill du se felloggfilen?")</f>
        <v>Icecast avslutas. Vill du se felloggfilen?</v>
      </c>
      <c r="E366" s="21" t="str">
        <f ca="1">IFERROR(__xludf.DUMMYFUNCTION("GOOGLETRANSLATE($B366,""en"",E$3)"),"Icecast saiu. Você quer ver o arquivo de log de erro?")</f>
        <v>Icecast saiu. Você quer ver o arquivo de log de erro?</v>
      </c>
      <c r="F366" s="21" t="str">
        <f ca="1">IFERROR(__xludf.DUMMYFUNCTION("GOOGLETRANSLATE($B366,""en"",F$3)"),"Icecast saiu. Você quer ver o arquivo de log de erro?")</f>
        <v>Icecast saiu. Você quer ver o arquivo de log de erro?</v>
      </c>
      <c r="G366" s="21" t="str">
        <f ca="1">IFERROR(__xludf.DUMMYFUNCTION("GOOGLETRANSLATE($B366,""en"",G$3)"),"sorti Icecast. Voulez-vous voir le fichier journal des erreurs?")</f>
        <v>sorti Icecast. Voulez-vous voir le fichier journal des erreurs?</v>
      </c>
      <c r="H366" s="21" t="str">
        <f ca="1">IFERROR(__xludf.DUMMYFUNCTION("GOOGLETRANSLATE($B366,""en"",H$3)"),"Icecast irten da. Ez error log fitxategia ikusi nahi al duzu?")</f>
        <v>Icecast irten da. Ez error log fitxategia ikusi nahi al duzu?</v>
      </c>
      <c r="I366" s="21" t="str">
        <f ca="1">IFERROR(__xludf.DUMMYFUNCTION("GOOGLETRANSLATE($B366,""en"",I$3)"),"Icecast va sortir. Vols veure el fitxer de registre d'errors?")</f>
        <v>Icecast va sortir. Vols veure el fitxer de registre d'errors?</v>
      </c>
      <c r="J366" s="21" t="str">
        <f ca="1">IFERROR(__xludf.DUMMYFUNCTION("GOOGLETRANSLATE($B366,""en"",J$3)"),"Icecast ukončen. Chcete vidět soubor protokolu chyb?")</f>
        <v>Icecast ukončen. Chcete vidět soubor protokolu chyb?</v>
      </c>
      <c r="K366" s="21" t="str">
        <f ca="1">IFERROR(__xludf.DUMMYFUNCTION("GOOGLETRANSLATE($B366,""en"",K$3)"),"退出的Icecast。你想看到错误日志文件？")</f>
        <v>退出的Icecast。你想看到错误日志文件？</v>
      </c>
      <c r="L366" s="21" t="str">
        <f ca="1">IFERROR(__xludf.DUMMYFUNCTION("GOOGLETRANSLATE($B366,""en"",L$3)"),"退出的Icecast。你想看到錯誤日誌文件？")</f>
        <v>退出的Icecast。你想看到錯誤日誌文件？</v>
      </c>
      <c r="M366" s="21" t="str">
        <f ca="1">IFERROR(__xludf.DUMMYFUNCTION("GOOGLETRANSLATE($B366,""en"",M$3)"),"Icecast verlaten. Wilt u de fout logbestand zien?")</f>
        <v>Icecast verlaten. Wilt u de fout logbestand zien?</v>
      </c>
      <c r="N366" s="21" t="str">
        <f ca="1">IFERROR(__xludf.DUMMYFUNCTION("GOOGLETRANSLATE($B366,""en"",N$3)"),"Icecast αποχώρησε. Θέλετε να δείτε το αρχείο καταγραφής σφαλμάτων;")</f>
        <v>Icecast αποχώρησε. Θέλετε να δείτε το αρχείο καταγραφής σφαλμάτων;</v>
      </c>
      <c r="O366" s="21" t="str">
        <f ca="1">IFERROR(__xludf.DUMMYFUNCTION("GOOGLETRANSLATE($B366,""en"",O$3)"),"Icecast poistui. Haluatko nähdä virhelokitiedostoon?")</f>
        <v>Icecast poistui. Haluatko nähdä virhelokitiedostoon?</v>
      </c>
      <c r="P366" s="21" t="str">
        <f ca="1">IFERROR(__xludf.DUMMYFUNCTION("GOOGLETRANSLATE($B366,""en"",P$3)"),"Icecast sendmail. Ar mhaith leat a fheiceáil ar an comhad a logáil earráid?")</f>
        <v>Icecast sendmail. Ar mhaith leat a fheiceáil ar an comhad a logáil earráid?</v>
      </c>
      <c r="Q366" s="21" t="str">
        <f ca="1">IFERROR(__xludf.DUMMYFUNCTION("GOOGLETRANSLATE($B366,""en"",Q$3)"),"IceCast به خارج می شود. آیا شما می خواهید برای دیدن فایل ورود به خطا؟")</f>
        <v>IceCast به خارج می شود. آیا شما می خواهید برای دیدن فایل ورود به خطا؟</v>
      </c>
      <c r="R366" s="21" t="str">
        <f ca="1">IFERROR(__xludf.DUMMYFUNCTION("GOOGLETRANSLATE($B366,""en"",R$3)"),"Icecast יצא. האם אתה רוצה לראות את קובץ היומן השגיא?")</f>
        <v>Icecast יצא. האם אתה רוצה לראות את קובץ היומן השגיא?</v>
      </c>
      <c r="S366" s="21" t="str">
        <f ca="1">IFERROR(__xludf.DUMMYFUNCTION("GOOGLETRANSLATE($B366,""en"",S$3)"),"Icecast lauk. Viltu sjá Villuannáll?")</f>
        <v>Icecast lauk. Viltu sjá Villuannáll?</v>
      </c>
      <c r="T366" s="21" t="str">
        <f ca="1">IFERROR(__xludf.DUMMYFUNCTION("GOOGLETRANSLATE($B366,""en"",T$3)"),"Icecast gått ut. Ønsker du å se feilloggfilen?")</f>
        <v>Icecast gått ut. Ønsker du å se feilloggfilen?</v>
      </c>
      <c r="U366" s="21" t="str">
        <f ca="1">IFERROR(__xludf.DUMMYFUNCTION("GOOGLETRANSLATE($B366,""en"",U$3)"),"خرجت يسكاست. هل تريد أن ترى ملف سجل خطأ؟")</f>
        <v>خرجت يسكاست. هل تريد أن ترى ملف سجل خطأ؟</v>
      </c>
      <c r="V366" s="21" t="str">
        <f ca="1">IFERROR(__xludf.DUMMYFUNCTION("GOOGLETRANSLATE($B366,""en"",V$3)"),"Icecast wyszedł. Chcesz zobaczyć plik dziennika błędów?")</f>
        <v>Icecast wyszedł. Chcesz zobaczyć plik dziennika błędów?</v>
      </c>
      <c r="W366" s="21" t="str">
        <f ca="1">IFERROR(__xludf.DUMMYFUNCTION("GOOGLETRANSLATE($B366,""en"",W$3)"),"Icecast вышел. Вы хотите, чтобы увидеть файл журнала ошибок?")</f>
        <v>Icecast вышел. Вы хотите, чтобы увидеть файл журнала ошибок?</v>
      </c>
      <c r="X366" s="21" t="str">
        <f ca="1">IFERROR(__xludf.DUMMYFUNCTION("GOOGLETRANSLATE($B366,""en"",X$3)"),"Icecast salió. ¿Quieres ver el archivo de registro de errores?")</f>
        <v>Icecast salió. ¿Quieres ver el archivo de registro de errores?</v>
      </c>
      <c r="Y366" s="21"/>
      <c r="Z366" s="21"/>
    </row>
    <row r="367" spans="1:26" ht="32.25" customHeight="1" x14ac:dyDescent="0.2">
      <c r="A367" s="17" t="s">
        <v>847</v>
      </c>
      <c r="B367" s="17" t="s">
        <v>848</v>
      </c>
      <c r="C367" s="21" t="str">
        <f ca="1">IFERROR(__xludf.DUMMYFUNCTION("GOOGLETRANSLATE($B367,""en"",C$3)"),"Icecast nicht starten")</f>
        <v>Icecast nicht starten</v>
      </c>
      <c r="D367" s="21" t="str">
        <f ca="1">IFERROR(__xludf.DUMMYFUNCTION("GOOGLETRANSLATE($B367,""en"",D$3)"),"Icecast inte starta")</f>
        <v>Icecast inte starta</v>
      </c>
      <c r="E367" s="21" t="str">
        <f ca="1">IFERROR(__xludf.DUMMYFUNCTION("GOOGLETRANSLATE($B367,""en"",E$3)"),"Icecast não começou")</f>
        <v>Icecast não começou</v>
      </c>
      <c r="F367" s="21" t="str">
        <f ca="1">IFERROR(__xludf.DUMMYFUNCTION("GOOGLETRANSLATE($B367,""en"",F$3)"),"Icecast não começou")</f>
        <v>Icecast não começou</v>
      </c>
      <c r="G367" s="21" t="str">
        <f ca="1">IFERROR(__xludf.DUMMYFUNCTION("GOOGLETRANSLATE($B367,""en"",G$3)"),"Icecast n'a pas commencé")</f>
        <v>Icecast n'a pas commencé</v>
      </c>
      <c r="H367" s="21" t="str">
        <f ca="1">IFERROR(__xludf.DUMMYFUNCTION("GOOGLETRANSLATE($B367,""en"",H$3)"),"Icecast ez da hasi")</f>
        <v>Icecast ez da hasi</v>
      </c>
      <c r="I367" s="21" t="str">
        <f ca="1">IFERROR(__xludf.DUMMYFUNCTION("GOOGLETRANSLATE($B367,""en"",I$3)"),"Icecast no va començar")</f>
        <v>Icecast no va començar</v>
      </c>
      <c r="J367" s="21" t="str">
        <f ca="1">IFERROR(__xludf.DUMMYFUNCTION("GOOGLETRANSLATE($B367,""en"",J$3)"),"Icecast nezačal")</f>
        <v>Icecast nezačal</v>
      </c>
      <c r="K367" s="21" t="str">
        <f ca="1">IFERROR(__xludf.DUMMYFUNCTION("GOOGLETRANSLATE($B367,""en"",K$3)"),"的Icecast没有启动")</f>
        <v>的Icecast没有启动</v>
      </c>
      <c r="L367" s="21" t="str">
        <f ca="1">IFERROR(__xludf.DUMMYFUNCTION("GOOGLETRANSLATE($B367,""en"",L$3)"),"的Icecast沒有啟動")</f>
        <v>的Icecast沒有啟動</v>
      </c>
      <c r="M367" s="21" t="str">
        <f ca="1">IFERROR(__xludf.DUMMYFUNCTION("GOOGLETRANSLATE($B367,""en"",M$3)"),"Icecast niet gestart")</f>
        <v>Icecast niet gestart</v>
      </c>
      <c r="N367" s="21" t="str">
        <f ca="1">IFERROR(__xludf.DUMMYFUNCTION("GOOGLETRANSLATE($B367,""en"",N$3)"),"Icecast δεν ξεκίνησε")</f>
        <v>Icecast δεν ξεκίνησε</v>
      </c>
      <c r="O367" s="21" t="str">
        <f ca="1">IFERROR(__xludf.DUMMYFUNCTION("GOOGLETRANSLATE($B367,""en"",O$3)"),"Icecast ei käynnistynyt")</f>
        <v>Icecast ei käynnistynyt</v>
      </c>
      <c r="P367" s="21" t="str">
        <f ca="1">IFERROR(__xludf.DUMMYFUNCTION("GOOGLETRANSLATE($B367,""en"",P$3)"),"Ní raibh Icecast tosú")</f>
        <v>Ní raibh Icecast tosú</v>
      </c>
      <c r="Q367" s="21" t="str">
        <f ca="1">IFERROR(__xludf.DUMMYFUNCTION("GOOGLETRANSLATE($B367,""en"",Q$3)"),"IceCast به شروع نکردند")</f>
        <v>IceCast به شروع نکردند</v>
      </c>
      <c r="R367" s="21" t="str">
        <f ca="1">IFERROR(__xludf.DUMMYFUNCTION("GOOGLETRANSLATE($B367,""en"",R$3)"),"Icecast לא התחיל")</f>
        <v>Icecast לא התחיל</v>
      </c>
      <c r="S367" s="21" t="str">
        <f ca="1">IFERROR(__xludf.DUMMYFUNCTION("GOOGLETRANSLATE($B367,""en"",S$3)"),"Icecast ekki að byrja")</f>
        <v>Icecast ekki að byrja</v>
      </c>
      <c r="T367" s="21" t="str">
        <f ca="1">IFERROR(__xludf.DUMMYFUNCTION("GOOGLETRANSLATE($B367,""en"",T$3)"),"Icecast startet ikke")</f>
        <v>Icecast startet ikke</v>
      </c>
      <c r="U367" s="21" t="str">
        <f ca="1">IFERROR(__xludf.DUMMYFUNCTION("GOOGLETRANSLATE($B367,""en"",U$3)"),"يسكاست لم تبدأ")</f>
        <v>يسكاست لم تبدأ</v>
      </c>
      <c r="V367" s="21" t="str">
        <f ca="1">IFERROR(__xludf.DUMMYFUNCTION("GOOGLETRANSLATE($B367,""en"",V$3)"),"Icecast nie zaczęła")</f>
        <v>Icecast nie zaczęła</v>
      </c>
      <c r="W367" s="21" t="str">
        <f ca="1">IFERROR(__xludf.DUMMYFUNCTION("GOOGLETRANSLATE($B367,""en"",W$3)"),"Icecast не началась")</f>
        <v>Icecast не началась</v>
      </c>
      <c r="X367" s="21" t="str">
        <f ca="1">IFERROR(__xludf.DUMMYFUNCTION("GOOGLETRANSLATE($B367,""en"",X$3)"),"Icecast no empezó")</f>
        <v>Icecast no empezó</v>
      </c>
      <c r="Y367" s="21"/>
      <c r="Z367" s="21"/>
    </row>
    <row r="368" spans="1:26" ht="32.25" customHeight="1" x14ac:dyDescent="0.2">
      <c r="A368" s="17" t="s">
        <v>849</v>
      </c>
      <c r="B368" s="17" t="s">
        <v>850</v>
      </c>
      <c r="C368" s="21" t="str">
        <f ca="1">IFERROR(__xludf.DUMMYFUNCTION("GOOGLETRANSLATE($B368,""en"",C$3)"),"Klicken Sie für Hilfe zum Einrichten von Icecast")</f>
        <v>Klicken Sie für Hilfe zum Einrichten von Icecast</v>
      </c>
      <c r="D368" s="21" t="str">
        <f ca="1">IFERROR(__xludf.DUMMYFUNCTION("GOOGLETRANSLATE($B368,""en"",D$3)"),"Klicka för att få hjälp att inrätta Icecast")</f>
        <v>Klicka för att få hjälp att inrätta Icecast</v>
      </c>
      <c r="E368" s="21" t="str">
        <f ca="1">IFERROR(__xludf.DUMMYFUNCTION("GOOGLETRANSLATE($B368,""en"",E$3)"),"Clique para ajuda sobre a configuração Icecast")</f>
        <v>Clique para ajuda sobre a configuração Icecast</v>
      </c>
      <c r="F368" s="21" t="str">
        <f ca="1">IFERROR(__xludf.DUMMYFUNCTION("GOOGLETRANSLATE($B368,""en"",F$3)"),"Clique para ajuda sobre a configuração Icecast")</f>
        <v>Clique para ajuda sobre a configuração Icecast</v>
      </c>
      <c r="G368" s="21" t="str">
        <f ca="1">IFERROR(__xludf.DUMMYFUNCTION("GOOGLETRANSLATE($B368,""en"",G$3)"),"Cliquez pour l'aide sur la configuration Icecast")</f>
        <v>Cliquez pour l'aide sur la configuration Icecast</v>
      </c>
      <c r="H368" s="21" t="str">
        <f ca="1">IFERROR(__xludf.DUMMYFUNCTION("GOOGLETRANSLATE($B368,""en"",H$3)"),"Klik Laguntza Icecast konfiguratzeko")</f>
        <v>Klik Laguntza Icecast konfiguratzeko</v>
      </c>
      <c r="I368" s="21" t="str">
        <f ca="1">IFERROR(__xludf.DUMMYFUNCTION("GOOGLETRANSLATE($B368,""en"",I$3)"),"Feu clic per obtenir ajuda sobre la configuració d'Icecast")</f>
        <v>Feu clic per obtenir ajuda sobre la configuració d'Icecast</v>
      </c>
      <c r="J368" s="21" t="str">
        <f ca="1">IFERROR(__xludf.DUMMYFUNCTION("GOOGLETRANSLATE($B368,""en"",J$3)"),"Klikněte pro nápovědu o nastavení Icecast")</f>
        <v>Klikněte pro nápovědu o nastavení Icecast</v>
      </c>
      <c r="K368" s="21" t="str">
        <f ca="1">IFERROR(__xludf.DUMMYFUNCTION("GOOGLETRANSLATE($B368,""en"",K$3)"),"点击帮助上设置的Icecast")</f>
        <v>点击帮助上设置的Icecast</v>
      </c>
      <c r="L368" s="21" t="str">
        <f ca="1">IFERROR(__xludf.DUMMYFUNCTION("GOOGLETRANSLATE($B368,""en"",L$3)"),"點擊幫助上設置的Icecast")</f>
        <v>點擊幫助上設置的Icecast</v>
      </c>
      <c r="M368" s="21" t="str">
        <f ca="1">IFERROR(__xludf.DUMMYFUNCTION("GOOGLETRANSLATE($B368,""en"",M$3)"),"Klik voor hulp bij het instellen Icecast")</f>
        <v>Klik voor hulp bij het instellen Icecast</v>
      </c>
      <c r="N368" s="21" t="str">
        <f ca="1">IFERROR(__xludf.DUMMYFUNCTION("GOOGLETRANSLATE($B368,""en"",N$3)"),"Κάντε κλικ για βοήθεια σχετικά με τη ρύθμιση Icecast")</f>
        <v>Κάντε κλικ για βοήθεια σχετικά με τη ρύθμιση Icecast</v>
      </c>
      <c r="O368" s="21" t="str">
        <f ca="1">IFERROR(__xludf.DUMMYFUNCTION("GOOGLETRANSLATE($B368,""en"",O$3)"),"Klikkaa Ohje asettamisesta Icecast")</f>
        <v>Klikkaa Ohje asettamisesta Icecast</v>
      </c>
      <c r="P368" s="21" t="str">
        <f ca="1">IFERROR(__xludf.DUMMYFUNCTION("GOOGLETRANSLATE($B368,""en"",P$3)"),"Click for Cabhair ar bun Icecast")</f>
        <v>Click for Cabhair ar bun Icecast</v>
      </c>
      <c r="Q368" s="21" t="str">
        <f ca="1">IFERROR(__xludf.DUMMYFUNCTION("GOOGLETRANSLATE($B368,""en"",Q$3)"),"برای راهنما را کلیک کنید در راه اندازی IceCast به")</f>
        <v>برای راهنما را کلیک کنید در راه اندازی IceCast به</v>
      </c>
      <c r="R368" s="21" t="str">
        <f ca="1">IFERROR(__xludf.DUMMYFUNCTION("GOOGLETRANSLATE($B368,""en"",R$3)"),"לחץ על עזרה בהגדרת Icecast")</f>
        <v>לחץ על עזרה בהגדרת Icecast</v>
      </c>
      <c r="S368" s="21" t="str">
        <f ca="1">IFERROR(__xludf.DUMMYFUNCTION("GOOGLETRANSLATE($B368,""en"",S$3)"),"Smelltu á hjálp á að setja upp Icecast")</f>
        <v>Smelltu á hjálp á að setja upp Icecast</v>
      </c>
      <c r="T368" s="21" t="str">
        <f ca="1">IFERROR(__xludf.DUMMYFUNCTION("GOOGLETRANSLATE($B368,""en"",T$3)"),"Klikk for hjelp til å sette opp Icecast")</f>
        <v>Klikk for hjelp til å sette opp Icecast</v>
      </c>
      <c r="U368" s="21" t="str">
        <f ca="1">IFERROR(__xludf.DUMMYFUNCTION("GOOGLETRANSLATE($B368,""en"",U$3)"),"انقر للحصول على مساعدة حول إعداد يسكاست")</f>
        <v>انقر للحصول على مساعدة حول إعداد يسكاست</v>
      </c>
      <c r="V368" s="21" t="str">
        <f ca="1">IFERROR(__xludf.DUMMYFUNCTION("GOOGLETRANSLATE($B368,""en"",V$3)"),"Kliknij na Pomoc na utworzenie Icecast")</f>
        <v>Kliknij na Pomoc na utworzenie Icecast</v>
      </c>
      <c r="W368" s="21" t="str">
        <f ca="1">IFERROR(__xludf.DUMMYFUNCTION("GOOGLETRANSLATE($B368,""en"",W$3)"),"Нажмите для справки по настройке Icecast")</f>
        <v>Нажмите для справки по настройке Icecast</v>
      </c>
      <c r="X368" s="21" t="str">
        <f ca="1">IFERROR(__xludf.DUMMYFUNCTION("GOOGLETRANSLATE($B368,""en"",X$3)"),"Haga clic para obtener ayuda sobre la configuración de Icecast")</f>
        <v>Haga clic para obtener ayuda sobre la configuración de Icecast</v>
      </c>
      <c r="Y368" s="21"/>
      <c r="Z368" s="21"/>
    </row>
    <row r="369" spans="1:26" ht="32.25" customHeight="1" x14ac:dyDescent="0.2">
      <c r="A369" s="17" t="s">
        <v>851</v>
      </c>
      <c r="B369" s="17" t="s">
        <v>852</v>
      </c>
      <c r="C369" s="21" t="str">
        <f ca="1">IFERROR(__xludf.DUMMYFUNCTION("GOOGLETRANSLATE($B369,""en"",C$3)"),"Icecast-Port ist Set")</f>
        <v>Icecast-Port ist Set</v>
      </c>
      <c r="D369" s="21" t="str">
        <f ca="1">IFERROR(__xludf.DUMMYFUNCTION("GOOGLETRANSLATE($B369,""en"",D$3)"),"Icecast Port är Set")</f>
        <v>Icecast Port är Set</v>
      </c>
      <c r="E369" s="21" t="str">
        <f ca="1">IFERROR(__xludf.DUMMYFUNCTION("GOOGLETRANSLATE($B369,""en"",E$3)"),"Icecast porta está definida")</f>
        <v>Icecast porta está definida</v>
      </c>
      <c r="F369" s="21" t="str">
        <f ca="1">IFERROR(__xludf.DUMMYFUNCTION("GOOGLETRANSLATE($B369,""en"",F$3)"),"Icecast porta está definida")</f>
        <v>Icecast porta está definida</v>
      </c>
      <c r="G369" s="21" t="str">
        <f ca="1">IFERROR(__xludf.DUMMYFUNCTION("GOOGLETRANSLATE($B369,""en"",G$3)"),"Icecast Port est situé")</f>
        <v>Icecast Port est situé</v>
      </c>
      <c r="H369" s="21" t="str">
        <f ca="1">IFERROR(__xludf.DUMMYFUNCTION("GOOGLETRANSLATE($B369,""en"",H$3)"),"Icecast Port ezarri da")</f>
        <v>Icecast Port ezarri da</v>
      </c>
      <c r="I369" s="21" t="str">
        <f ca="1">IFERROR(__xludf.DUMMYFUNCTION("GOOGLETRANSLATE($B369,""en"",I$3)"),"Icecast port s'estableix")</f>
        <v>Icecast port s'estableix</v>
      </c>
      <c r="J369" s="21" t="str">
        <f ca="1">IFERROR(__xludf.DUMMYFUNCTION("GOOGLETRANSLATE($B369,""en"",J$3)"),"Icecast port nastaven")</f>
        <v>Icecast port nastaven</v>
      </c>
      <c r="K369" s="21" t="str">
        <f ca="1">IFERROR(__xludf.DUMMYFUNCTION("GOOGLETRANSLATE($B369,""en"",K$3)"),"的Icecast端口设置")</f>
        <v>的Icecast端口设置</v>
      </c>
      <c r="L369" s="21" t="str">
        <f ca="1">IFERROR(__xludf.DUMMYFUNCTION("GOOGLETRANSLATE($B369,""en"",L$3)"),"的Icecast端口設置")</f>
        <v>的Icecast端口設置</v>
      </c>
      <c r="M369" s="21" t="str">
        <f ca="1">IFERROR(__xludf.DUMMYFUNCTION("GOOGLETRANSLATE($B369,""en"",M$3)"),"Icecast poort is ingesteld")</f>
        <v>Icecast poort is ingesteld</v>
      </c>
      <c r="N369" s="21" t="str">
        <f ca="1">IFERROR(__xludf.DUMMYFUNCTION("GOOGLETRANSLATE($B369,""en"",N$3)"),"Icecast λιμάνι έχει οριστεί")</f>
        <v>Icecast λιμάνι έχει οριστεί</v>
      </c>
      <c r="O369" s="21" t="str">
        <f ca="1">IFERROR(__xludf.DUMMYFUNCTION("GOOGLETRANSLATE($B369,""en"",O$3)"),"Icecast portti on")</f>
        <v>Icecast portti on</v>
      </c>
      <c r="P369" s="21" t="str">
        <f ca="1">IFERROR(__xludf.DUMMYFUNCTION("GOOGLETRANSLATE($B369,""en"",P$3)"),"Is Icecast Port Set")</f>
        <v>Is Icecast Port Set</v>
      </c>
      <c r="Q369" s="21" t="str">
        <f ca="1">IFERROR(__xludf.DUMMYFUNCTION("GOOGLETRANSLATE($B369,""en"",Q$3)"),"IceCast به Port تنظیم است")</f>
        <v>IceCast به Port تنظیم است</v>
      </c>
      <c r="R369" s="21" t="str">
        <f ca="1">IFERROR(__xludf.DUMMYFUNCTION("GOOGLETRANSLATE($B369,""en"",R$3)"),"Icecast היציאה מוגדרת")</f>
        <v>Icecast היציאה מוגדרת</v>
      </c>
      <c r="S369" s="21" t="str">
        <f ca="1">IFERROR(__xludf.DUMMYFUNCTION("GOOGLETRANSLATE($B369,""en"",S$3)"),"Icecast Port er sett")</f>
        <v>Icecast Port er sett</v>
      </c>
      <c r="T369" s="21" t="str">
        <f ca="1">IFERROR(__xludf.DUMMYFUNCTION("GOOGLETRANSLATE($B369,""en"",T$3)"),"Icecast Port er Set")</f>
        <v>Icecast Port er Set</v>
      </c>
      <c r="U369" s="21" t="str">
        <f ca="1">IFERROR(__xludf.DUMMYFUNCTION("GOOGLETRANSLATE($B369,""en"",U$3)"),"ميناء يسكاست هو مجموعة")</f>
        <v>ميناء يسكاست هو مجموعة</v>
      </c>
      <c r="V369" s="21" t="str">
        <f ca="1">IFERROR(__xludf.DUMMYFUNCTION("GOOGLETRANSLATE($B369,""en"",V$3)"),"Icecast jest ustawiony port")</f>
        <v>Icecast jest ustawiony port</v>
      </c>
      <c r="W369" s="21" t="str">
        <f ca="1">IFERROR(__xludf.DUMMYFUNCTION("GOOGLETRANSLATE($B369,""en"",W$3)"),"Icecast Порт Set")</f>
        <v>Icecast Порт Set</v>
      </c>
      <c r="X369" s="21" t="str">
        <f ca="1">IFERROR(__xludf.DUMMYFUNCTION("GOOGLETRANSLATE($B369,""en"",X$3)"),"Icecast puerto se establece")</f>
        <v>Icecast puerto se establece</v>
      </c>
      <c r="Y369" s="21"/>
      <c r="Z369" s="21"/>
    </row>
    <row r="370" spans="1:26" ht="32.25" customHeight="1" x14ac:dyDescent="0.2">
      <c r="A370" s="10" t="s">
        <v>853</v>
      </c>
      <c r="B370" s="10" t="s">
        <v>854</v>
      </c>
      <c r="C370" s="11" t="str">
        <f ca="1">IFERROR(__xludf.DUMMYFUNCTION("GOOGLETRANSLATE($B370,""en"",C$3)"),"IceCast Server")</f>
        <v>IceCast Server</v>
      </c>
      <c r="D370" s="11" t="str">
        <f ca="1">IFERROR(__xludf.DUMMYFUNCTION("GOOGLETRANSLATE($B370,""en"",D$3)"),"Icecast Server")</f>
        <v>Icecast Server</v>
      </c>
      <c r="E370" s="11" t="str">
        <f ca="1">IFERROR(__xludf.DUMMYFUNCTION("GOOGLETRANSLATE($B370,""en"",E$3)"),"IceCast Servidor")</f>
        <v>IceCast Servidor</v>
      </c>
      <c r="F370" s="11" t="str">
        <f ca="1">IFERROR(__xludf.DUMMYFUNCTION("GOOGLETRANSLATE($B370,""en"",F$3)"),"IceCast Servidor")</f>
        <v>IceCast Servidor</v>
      </c>
      <c r="G370" s="11" t="str">
        <f ca="1">IFERROR(__xludf.DUMMYFUNCTION("GOOGLETRANSLATE($B370,""en"",G$3)"),"serveur Icecast")</f>
        <v>serveur Icecast</v>
      </c>
      <c r="H370" s="11" t="str">
        <f ca="1">IFERROR(__xludf.DUMMYFUNCTION("GOOGLETRANSLATE($B370,""en"",H$3)"),"Icecast zerbitzaria")</f>
        <v>Icecast zerbitzaria</v>
      </c>
      <c r="I370" s="11" t="str">
        <f ca="1">IFERROR(__xludf.DUMMYFUNCTION("GOOGLETRANSLATE($B370,""en"",I$3)"),"Icecast servidor")</f>
        <v>Icecast servidor</v>
      </c>
      <c r="J370" s="11" t="str">
        <f ca="1">IFERROR(__xludf.DUMMYFUNCTION("GOOGLETRANSLATE($B370,""en"",J$3)"),"Icecast Server")</f>
        <v>Icecast Server</v>
      </c>
      <c r="K370" s="11" t="str">
        <f ca="1">IFERROR(__xludf.DUMMYFUNCTION("GOOGLETRANSLATE($B370,""en"",K$3)"),"icecast服务，")</f>
        <v>icecast服务，</v>
      </c>
      <c r="L370" s="11" t="str">
        <f ca="1">IFERROR(__xludf.DUMMYFUNCTION("GOOGLETRANSLATE($B370,""en"",L$3)"),"icecast服務，")</f>
        <v>icecast服務，</v>
      </c>
      <c r="M370" s="11" t="str">
        <f ca="1">IFERROR(__xludf.DUMMYFUNCTION("GOOGLETRANSLATE($B370,""en"",M$3)"),"IceCast Server")</f>
        <v>IceCast Server</v>
      </c>
      <c r="N370" s="11" t="str">
        <f ca="1">IFERROR(__xludf.DUMMYFUNCTION("GOOGLETRANSLATE($B370,""en"",N$3)"),"Icecast διακομιστή")</f>
        <v>Icecast διακομιστή</v>
      </c>
      <c r="O370" s="11" t="str">
        <f ca="1">IFERROR(__xludf.DUMMYFUNCTION("GOOGLETRANSLATE($B370,""en"",O$3)"),"IceCast Server")</f>
        <v>IceCast Server</v>
      </c>
      <c r="P370" s="11" t="str">
        <f ca="1">IFERROR(__xludf.DUMMYFUNCTION("GOOGLETRANSLATE($B370,""en"",P$3)"),"Icecast Freastalaí")</f>
        <v>Icecast Freastalaí</v>
      </c>
      <c r="Q370" s="11" t="str">
        <f ca="1">IFERROR(__xludf.DUMMYFUNCTION("GOOGLETRANSLATE($B370,""en"",Q$3)"),"IceCast به سرور")</f>
        <v>IceCast به سرور</v>
      </c>
      <c r="R370" s="11" t="str">
        <f ca="1">IFERROR(__xludf.DUMMYFUNCTION("GOOGLETRANSLATE($B370,""en"",R$3)"),"Icecast שרת")</f>
        <v>Icecast שרת</v>
      </c>
      <c r="S370" s="11" t="str">
        <f ca="1">IFERROR(__xludf.DUMMYFUNCTION("GOOGLETRANSLATE($B370,""en"",S$3)"),"IceCast Server")</f>
        <v>IceCast Server</v>
      </c>
      <c r="T370" s="11" t="str">
        <f ca="1">IFERROR(__xludf.DUMMYFUNCTION("GOOGLETRANSLATE($B370,""en"",T$3)"),"Icecast Server")</f>
        <v>Icecast Server</v>
      </c>
      <c r="U370" s="11" t="str">
        <f ca="1">IFERROR(__xludf.DUMMYFUNCTION("GOOGLETRANSLATE($B370,""en"",U$3)"),"يسكاست خادم")</f>
        <v>يسكاست خادم</v>
      </c>
      <c r="V370" s="11" t="str">
        <f ca="1">IFERROR(__xludf.DUMMYFUNCTION("GOOGLETRANSLATE($B370,""en"",V$3)"),"Serwer Icecast")</f>
        <v>Serwer Icecast</v>
      </c>
      <c r="W370" s="11" t="str">
        <f ca="1">IFERROR(__xludf.DUMMYFUNCTION("GOOGLETRANSLATE($B370,""en"",W$3)"),"IceCast сервера")</f>
        <v>IceCast сервера</v>
      </c>
      <c r="X370" s="11" t="str">
        <f ca="1">IFERROR(__xludf.DUMMYFUNCTION("GOOGLETRANSLATE($B370,""en"",X$3)"),"IceCast servidor")</f>
        <v>IceCast servidor</v>
      </c>
    </row>
    <row r="371" spans="1:26" ht="32.25" customHeight="1" x14ac:dyDescent="0.2">
      <c r="A371" s="17" t="s">
        <v>855</v>
      </c>
      <c r="B371" s="17" t="s">
        <v>856</v>
      </c>
      <c r="C371" s="21" t="str">
        <f ca="1">IFERROR(__xludf.DUMMYFUNCTION("GOOGLETRANSLATE($B371,""en"",C$3)"),"Icecast gestartet")</f>
        <v>Icecast gestartet</v>
      </c>
      <c r="D371" s="21" t="str">
        <f ca="1">IFERROR(__xludf.DUMMYFUNCTION("GOOGLETRANSLATE($B371,""en"",D$3)"),"icecast igång")</f>
        <v>icecast igång</v>
      </c>
      <c r="E371" s="21" t="str">
        <f ca="1">IFERROR(__xludf.DUMMYFUNCTION("GOOGLETRANSLATE($B371,""en"",E$3)"),"Icecast Iniciado")</f>
        <v>Icecast Iniciado</v>
      </c>
      <c r="F371" s="21" t="str">
        <f ca="1">IFERROR(__xludf.DUMMYFUNCTION("GOOGLETRANSLATE($B371,""en"",F$3)"),"Icecast Iniciado")</f>
        <v>Icecast Iniciado</v>
      </c>
      <c r="G371" s="21" t="str">
        <f ca="1">IFERROR(__xludf.DUMMYFUNCTION("GOOGLETRANSLATE($B371,""en"",G$3)"),"Icecast commencé")</f>
        <v>Icecast commencé</v>
      </c>
      <c r="H371" s="21" t="str">
        <f ca="1">IFERROR(__xludf.DUMMYFUNCTION("GOOGLETRANSLATE($B371,""en"",H$3)"),"Icecast hasita:")</f>
        <v>Icecast hasita:</v>
      </c>
      <c r="I371" s="21" t="str">
        <f ca="1">IFERROR(__xludf.DUMMYFUNCTION("GOOGLETRANSLATE($B371,""en"",I$3)"),"comença icecast")</f>
        <v>comença icecast</v>
      </c>
      <c r="J371" s="21" t="str">
        <f ca="1">IFERROR(__xludf.DUMMYFUNCTION("GOOGLETRANSLATE($B371,""en"",J$3)"),"Icecast Started")</f>
        <v>Icecast Started</v>
      </c>
      <c r="K371" s="21" t="str">
        <f ca="1">IFERROR(__xludf.DUMMYFUNCTION("GOOGLETRANSLATE($B371,""en"",K$3)"),"开始的Icecast")</f>
        <v>开始的Icecast</v>
      </c>
      <c r="L371" s="21" t="str">
        <f ca="1">IFERROR(__xludf.DUMMYFUNCTION("GOOGLETRANSLATE($B371,""en"",L$3)"),"開始的Icecast")</f>
        <v>開始的Icecast</v>
      </c>
      <c r="M371" s="21" t="str">
        <f ca="1">IFERROR(__xludf.DUMMYFUNCTION("GOOGLETRANSLATE($B371,""en"",M$3)"),"Icecast Gestart")</f>
        <v>Icecast Gestart</v>
      </c>
      <c r="N371" s="21" t="str">
        <f ca="1">IFERROR(__xludf.DUMMYFUNCTION("GOOGLETRANSLATE($B371,""en"",N$3)"),"Icecast Ξεκίνησε")</f>
        <v>Icecast Ξεκίνησε</v>
      </c>
      <c r="O371" s="21" t="str">
        <f ca="1">IFERROR(__xludf.DUMMYFUNCTION("GOOGLETRANSLATE($B371,""en"",O$3)"),"Icecast aloittaminen")</f>
        <v>Icecast aloittaminen</v>
      </c>
      <c r="P371" s="21" t="str">
        <f ca="1">IFERROR(__xludf.DUMMYFUNCTION("GOOGLETRANSLATE($B371,""en"",P$3)"),"Icecast Started")</f>
        <v>Icecast Started</v>
      </c>
      <c r="Q371" s="21" t="str">
        <f ca="1">IFERROR(__xludf.DUMMYFUNCTION("GOOGLETRANSLATE($B371,""en"",Q$3)"),"IceCast به آغاز")</f>
        <v>IceCast به آغاز</v>
      </c>
      <c r="R371" s="21" t="str">
        <f ca="1">IFERROR(__xludf.DUMMYFUNCTION("GOOGLETRANSLATE($B371,""en"",R$3)"),"Icecast Started")</f>
        <v>Icecast Started</v>
      </c>
      <c r="S371" s="21" t="str">
        <f ca="1">IFERROR(__xludf.DUMMYFUNCTION("GOOGLETRANSLATE($B371,""en"",S$3)"),"Icecast Byrjað")</f>
        <v>Icecast Byrjað</v>
      </c>
      <c r="T371" s="21" t="str">
        <f ca="1">IFERROR(__xludf.DUMMYFUNCTION("GOOGLETRANSLATE($B371,""en"",T$3)"),"Icecast Startet")</f>
        <v>Icecast Startet</v>
      </c>
      <c r="U371" s="21" t="str">
        <f ca="1">IFERROR(__xludf.DUMMYFUNCTION("GOOGLETRANSLATE($B371,""en"",U$3)"),"يسكاست كتبت")</f>
        <v>يسكاست كتبت</v>
      </c>
      <c r="V371" s="21" t="str">
        <f ca="1">IFERROR(__xludf.DUMMYFUNCTION("GOOGLETRANSLATE($B371,""en"",V$3)"),"Icecast Rozpoczęte")</f>
        <v>Icecast Rozpoczęte</v>
      </c>
      <c r="W371" s="21" t="str">
        <f ca="1">IFERROR(__xludf.DUMMYFUNCTION("GOOGLETRANSLATE($B371,""en"",W$3)"),"Icecast работы")</f>
        <v>Icecast работы</v>
      </c>
      <c r="X371" s="21" t="str">
        <f ca="1">IFERROR(__xludf.DUMMYFUNCTION("GOOGLETRANSLATE($B371,""en"",X$3)"),"Comienza icecast")</f>
        <v>Comienza icecast</v>
      </c>
      <c r="Y371" s="21"/>
      <c r="Z371" s="21"/>
    </row>
    <row r="372" spans="1:26" ht="32.25" customHeight="1" x14ac:dyDescent="0.2">
      <c r="A372" s="17" t="s">
        <v>857</v>
      </c>
      <c r="B372" s="17" t="s">
        <v>858</v>
      </c>
      <c r="C372" s="21" t="str">
        <f ca="1">IFERROR(__xludf.DUMMYFUNCTION("GOOGLETRANSLATE($B372,""en"",C$3)"),"Ab Icecast")</f>
        <v>Ab Icecast</v>
      </c>
      <c r="D372" s="21" t="str">
        <f ca="1">IFERROR(__xludf.DUMMYFUNCTION("GOOGLETRANSLATE($B372,""en"",D$3)"),"Starta Icecast")</f>
        <v>Starta Icecast</v>
      </c>
      <c r="E372" s="21" t="str">
        <f ca="1">IFERROR(__xludf.DUMMYFUNCTION("GOOGLETRANSLATE($B372,""en"",E$3)"),"começando Icecast")</f>
        <v>começando Icecast</v>
      </c>
      <c r="F372" s="21" t="str">
        <f ca="1">IFERROR(__xludf.DUMMYFUNCTION("GOOGLETRANSLATE($B372,""en"",F$3)"),"começando Icecast")</f>
        <v>começando Icecast</v>
      </c>
      <c r="G372" s="21" t="str">
        <f ca="1">IFERROR(__xludf.DUMMYFUNCTION("GOOGLETRANSLATE($B372,""en"",G$3)"),"À partir Icecast")</f>
        <v>À partir Icecast</v>
      </c>
      <c r="H372" s="21" t="str">
        <f ca="1">IFERROR(__xludf.DUMMYFUNCTION("GOOGLETRANSLATE($B372,""en"",H$3)"),"Icecast aurrera")</f>
        <v>Icecast aurrera</v>
      </c>
      <c r="I372" s="21" t="str">
        <f ca="1">IFERROR(__xludf.DUMMYFUNCTION("GOOGLETRANSLATE($B372,""en"",I$3)"),"A partir d'Icecast")</f>
        <v>A partir d'Icecast</v>
      </c>
      <c r="J372" s="21" t="str">
        <f ca="1">IFERROR(__xludf.DUMMYFUNCTION("GOOGLETRANSLATE($B372,""en"",J$3)"),"Spuštění Icecast")</f>
        <v>Spuštění Icecast</v>
      </c>
      <c r="K372" s="21" t="str">
        <f ca="1">IFERROR(__xludf.DUMMYFUNCTION("GOOGLETRANSLATE($B372,""en"",K$3)"),"开始的Icecast")</f>
        <v>开始的Icecast</v>
      </c>
      <c r="L372" s="21" t="str">
        <f ca="1">IFERROR(__xludf.DUMMYFUNCTION("GOOGLETRANSLATE($B372,""en"",L$3)"),"開始的Icecast")</f>
        <v>開始的Icecast</v>
      </c>
      <c r="M372" s="21" t="str">
        <f ca="1">IFERROR(__xludf.DUMMYFUNCTION("GOOGLETRANSLATE($B372,""en"",M$3)"),"Vanaf Icecast")</f>
        <v>Vanaf Icecast</v>
      </c>
      <c r="N372" s="21" t="str">
        <f ca="1">IFERROR(__xludf.DUMMYFUNCTION("GOOGLETRANSLATE($B372,""en"",N$3)"),"ξεκινώντας Icecast")</f>
        <v>ξεκινώντας Icecast</v>
      </c>
      <c r="O372" s="21" t="str">
        <f ca="1">IFERROR(__xludf.DUMMYFUNCTION("GOOGLETRANSLATE($B372,""en"",O$3)"),"Starting Icecast")</f>
        <v>Starting Icecast</v>
      </c>
      <c r="P372" s="21" t="str">
        <f ca="1">IFERROR(__xludf.DUMMYFUNCTION("GOOGLETRANSLATE($B372,""en"",P$3)"),"Ag tosú Icecast")</f>
        <v>Ag tosú Icecast</v>
      </c>
      <c r="Q372" s="21" t="str">
        <f ca="1">IFERROR(__xludf.DUMMYFUNCTION("GOOGLETRANSLATE($B372,""en"",Q$3)"),"شروع IceCast به")</f>
        <v>شروع IceCast به</v>
      </c>
      <c r="R372" s="21" t="str">
        <f ca="1">IFERROR(__xludf.DUMMYFUNCTION("GOOGLETRANSLATE($B372,""en"",R$3)"),"החל Icecast")</f>
        <v>החל Icecast</v>
      </c>
      <c r="S372" s="21" t="str">
        <f ca="1">IFERROR(__xludf.DUMMYFUNCTION("GOOGLETRANSLATE($B372,""en"",S$3)"),"Byrjar Icecast")</f>
        <v>Byrjar Icecast</v>
      </c>
      <c r="T372" s="21" t="str">
        <f ca="1">IFERROR(__xludf.DUMMYFUNCTION("GOOGLETRANSLATE($B372,""en"",T$3)"),"starter Icecast")</f>
        <v>starter Icecast</v>
      </c>
      <c r="U372" s="21" t="str">
        <f ca="1">IFERROR(__xludf.DUMMYFUNCTION("GOOGLETRANSLATE($B372,""en"",U$3)"),"بدءا يسكاست")</f>
        <v>بدءا يسكاست</v>
      </c>
      <c r="V372" s="21" t="str">
        <f ca="1">IFERROR(__xludf.DUMMYFUNCTION("GOOGLETRANSLATE($B372,""en"",V$3)"),"począwszy Icecast")</f>
        <v>począwszy Icecast</v>
      </c>
      <c r="W372" s="21" t="str">
        <f ca="1">IFERROR(__xludf.DUMMYFUNCTION("GOOGLETRANSLATE($B372,""en"",W$3)"),"Начиная Icecast")</f>
        <v>Начиная Icecast</v>
      </c>
      <c r="X372" s="21" t="str">
        <f ca="1">IFERROR(__xludf.DUMMYFUNCTION("GOOGLETRANSLATE($B372,""en"",X$3)"),"A partir de Icecast")</f>
        <v>A partir de Icecast</v>
      </c>
      <c r="Y372" s="21"/>
      <c r="Z372" s="21"/>
    </row>
    <row r="373" spans="1:26" ht="32.25" customHeight="1" x14ac:dyDescent="0.2">
      <c r="A373" s="17" t="s">
        <v>859</v>
      </c>
      <c r="B373" s="17" t="s">
        <v>860</v>
      </c>
      <c r="C373" s="21" t="str">
        <f ca="1">IFERROR(__xludf.DUMMYFUNCTION("GOOGLETRANSLATE($B373,""en"",C$3)"),"Icecast")</f>
        <v>Icecast</v>
      </c>
      <c r="D373" s="21" t="str">
        <f ca="1">IFERROR(__xludf.DUMMYFUNCTION("GOOGLETRANSLATE($B373,""en"",D$3)"),"Icecast")</f>
        <v>Icecast</v>
      </c>
      <c r="E373" s="21" t="str">
        <f ca="1">IFERROR(__xludf.DUMMYFUNCTION("GOOGLETRANSLATE($B373,""en"",E$3)"),"Icecast")</f>
        <v>Icecast</v>
      </c>
      <c r="F373" s="21" t="str">
        <f ca="1">IFERROR(__xludf.DUMMYFUNCTION("GOOGLETRANSLATE($B373,""en"",F$3)"),"Icecast")</f>
        <v>Icecast</v>
      </c>
      <c r="G373" s="21" t="str">
        <f ca="1">IFERROR(__xludf.DUMMYFUNCTION("GOOGLETRANSLATE($B373,""en"",G$3)"),"Icecast")</f>
        <v>Icecast</v>
      </c>
      <c r="H373" s="21" t="str">
        <f ca="1">IFERROR(__xludf.DUMMYFUNCTION("GOOGLETRANSLATE($B373,""en"",H$3)"),"Icecast")</f>
        <v>Icecast</v>
      </c>
      <c r="I373" s="21" t="str">
        <f ca="1">IFERROR(__xludf.DUMMYFUNCTION("GOOGLETRANSLATE($B373,""en"",I$3)"),"icecast")</f>
        <v>icecast</v>
      </c>
      <c r="J373" s="21" t="str">
        <f ca="1">IFERROR(__xludf.DUMMYFUNCTION("GOOGLETRANSLATE($B373,""en"",J$3)"),"Icecast")</f>
        <v>Icecast</v>
      </c>
      <c r="K373" s="21" t="str">
        <f ca="1">IFERROR(__xludf.DUMMYFUNCTION("GOOGLETRANSLATE($B373,""en"",K$3)"),"的Icecast")</f>
        <v>的Icecast</v>
      </c>
      <c r="L373" s="21" t="str">
        <f ca="1">IFERROR(__xludf.DUMMYFUNCTION("GOOGLETRANSLATE($B373,""en"",L$3)"),"的Icecast")</f>
        <v>的Icecast</v>
      </c>
      <c r="M373" s="21" t="str">
        <f ca="1">IFERROR(__xludf.DUMMYFUNCTION("GOOGLETRANSLATE($B373,""en"",M$3)"),"Icecast")</f>
        <v>Icecast</v>
      </c>
      <c r="N373" s="21" t="str">
        <f ca="1">IFERROR(__xludf.DUMMYFUNCTION("GOOGLETRANSLATE($B373,""en"",N$3)"),"Icecast")</f>
        <v>Icecast</v>
      </c>
      <c r="O373" s="21" t="str">
        <f ca="1">IFERROR(__xludf.DUMMYFUNCTION("GOOGLETRANSLATE($B373,""en"",O$3)"),"Icecast")</f>
        <v>Icecast</v>
      </c>
      <c r="P373" s="21" t="str">
        <f ca="1">IFERROR(__xludf.DUMMYFUNCTION("GOOGLETRANSLATE($B373,""en"",P$3)"),"Icecast")</f>
        <v>Icecast</v>
      </c>
      <c r="Q373" s="21" t="str">
        <f ca="1">IFERROR(__xludf.DUMMYFUNCTION("GOOGLETRANSLATE($B373,""en"",Q$3)"),"IceCast به")</f>
        <v>IceCast به</v>
      </c>
      <c r="R373" s="21" t="str">
        <f ca="1">IFERROR(__xludf.DUMMYFUNCTION("GOOGLETRANSLATE($B373,""en"",R$3)"),"Icecast")</f>
        <v>Icecast</v>
      </c>
      <c r="S373" s="21" t="str">
        <f ca="1">IFERROR(__xludf.DUMMYFUNCTION("GOOGLETRANSLATE($B373,""en"",S$3)"),"Icecast")</f>
        <v>Icecast</v>
      </c>
      <c r="T373" s="21" t="str">
        <f ca="1">IFERROR(__xludf.DUMMYFUNCTION("GOOGLETRANSLATE($B373,""en"",T$3)"),"Icecast")</f>
        <v>Icecast</v>
      </c>
      <c r="U373" s="21" t="str">
        <f ca="1">IFERROR(__xludf.DUMMYFUNCTION("GOOGLETRANSLATE($B373,""en"",U$3)"),"يسكاست")</f>
        <v>يسكاست</v>
      </c>
      <c r="V373" s="21" t="str">
        <f ca="1">IFERROR(__xludf.DUMMYFUNCTION("GOOGLETRANSLATE($B373,""en"",V$3)"),"Icecast")</f>
        <v>Icecast</v>
      </c>
      <c r="W373" s="21" t="str">
        <f ca="1">IFERROR(__xludf.DUMMYFUNCTION("GOOGLETRANSLATE($B373,""en"",W$3)"),"Icecast")</f>
        <v>Icecast</v>
      </c>
      <c r="X373" s="21" t="str">
        <f ca="1">IFERROR(__xludf.DUMMYFUNCTION("GOOGLETRANSLATE($B373,""en"",X$3)"),"icecast")</f>
        <v>icecast</v>
      </c>
      <c r="Y373" s="21"/>
      <c r="Z373" s="21"/>
    </row>
    <row r="374" spans="1:26" ht="32.25" customHeight="1" x14ac:dyDescent="0.2">
      <c r="A374" s="10" t="s">
        <v>17</v>
      </c>
      <c r="B374" s="10" t="s">
        <v>17</v>
      </c>
      <c r="C374" s="11" t="str">
        <f ca="1">IFERROR(__xludf.DUMMYFUNCTION("GOOGLETRANSLATE($B374,""en"",C$3)"),"isländisch")</f>
        <v>isländisch</v>
      </c>
      <c r="D374" s="11" t="str">
        <f ca="1">IFERROR(__xludf.DUMMYFUNCTION("GOOGLETRANSLATE($B374,""en"",D$3)"),"isländsk")</f>
        <v>isländsk</v>
      </c>
      <c r="E374" s="11" t="str">
        <f ca="1">IFERROR(__xludf.DUMMYFUNCTION("GOOGLETRANSLATE($B374,""en"",E$3)"),"islandês")</f>
        <v>islandês</v>
      </c>
      <c r="F374" s="11" t="str">
        <f ca="1">IFERROR(__xludf.DUMMYFUNCTION("GOOGLETRANSLATE($B374,""en"",F$3)"),"islandês")</f>
        <v>islandês</v>
      </c>
      <c r="G374" s="11" t="str">
        <f ca="1">IFERROR(__xludf.DUMMYFUNCTION("GOOGLETRANSLATE($B374,""en"",G$3)"),"islandais")</f>
        <v>islandais</v>
      </c>
      <c r="H374" s="11" t="str">
        <f ca="1">IFERROR(__xludf.DUMMYFUNCTION("GOOGLETRANSLATE($B374,""en"",H$3)"),"icelandic")</f>
        <v>icelandic</v>
      </c>
      <c r="I374" s="11" t="str">
        <f ca="1">IFERROR(__xludf.DUMMYFUNCTION("GOOGLETRANSLATE($B374,""en"",I$3)"),"islandès")</f>
        <v>islandès</v>
      </c>
      <c r="J374" s="11" t="str">
        <f ca="1">IFERROR(__xludf.DUMMYFUNCTION("GOOGLETRANSLATE($B374,""en"",J$3)"),"islandský")</f>
        <v>islandský</v>
      </c>
      <c r="K374" s="11" t="str">
        <f ca="1">IFERROR(__xludf.DUMMYFUNCTION("GOOGLETRANSLATE($B374,""en"",K$3)"),"冰岛的")</f>
        <v>冰岛的</v>
      </c>
      <c r="L374" s="11" t="str">
        <f ca="1">IFERROR(__xludf.DUMMYFUNCTION("GOOGLETRANSLATE($B374,""en"",L$3)"),"冰島的")</f>
        <v>冰島的</v>
      </c>
      <c r="M374" s="11" t="str">
        <f ca="1">IFERROR(__xludf.DUMMYFUNCTION("GOOGLETRANSLATE($B374,""en"",M$3)"),"IJslands")</f>
        <v>IJslands</v>
      </c>
      <c r="N374" s="11" t="str">
        <f ca="1">IFERROR(__xludf.DUMMYFUNCTION("GOOGLETRANSLATE($B374,""en"",N$3)"),"ισλανδικός")</f>
        <v>ισλανδικός</v>
      </c>
      <c r="O374" s="11" t="str">
        <f ca="1">IFERROR(__xludf.DUMMYFUNCTION("GOOGLETRANSLATE($B374,""en"",O$3)"),"islantilainen")</f>
        <v>islantilainen</v>
      </c>
      <c r="P374" s="11" t="str">
        <f ca="1">IFERROR(__xludf.DUMMYFUNCTION("GOOGLETRANSLATE($B374,""en"",P$3)"),"Íoslainnis")</f>
        <v>Íoslainnis</v>
      </c>
      <c r="Q374" s="11" t="str">
        <f ca="1">IFERROR(__xludf.DUMMYFUNCTION("GOOGLETRANSLATE($B374,""en"",Q$3)"),"ایسلندی")</f>
        <v>ایسلندی</v>
      </c>
      <c r="R374" s="11" t="str">
        <f ca="1">IFERROR(__xludf.DUMMYFUNCTION("GOOGLETRANSLATE($B374,""en"",R$3)"),"איסלנדי")</f>
        <v>איסלנדי</v>
      </c>
      <c r="S374" s="11" t="str">
        <f ca="1">IFERROR(__xludf.DUMMYFUNCTION("GOOGLETRANSLATE($B374,""en"",S$3)"),"icelandic")</f>
        <v>icelandic</v>
      </c>
      <c r="T374" s="11" t="str">
        <f ca="1">IFERROR(__xludf.DUMMYFUNCTION("GOOGLETRANSLATE($B374,""en"",T$3)"),"islandsk")</f>
        <v>islandsk</v>
      </c>
      <c r="U374" s="11" t="str">
        <f ca="1">IFERROR(__xludf.DUMMYFUNCTION("GOOGLETRANSLATE($B374,""en"",U$3)"),"أيسلندي")</f>
        <v>أيسلندي</v>
      </c>
      <c r="V374" s="11" t="str">
        <f ca="1">IFERROR(__xludf.DUMMYFUNCTION("GOOGLETRANSLATE($B374,""en"",V$3)"),"islandzki")</f>
        <v>islandzki</v>
      </c>
      <c r="W374" s="11" t="str">
        <f ca="1">IFERROR(__xludf.DUMMYFUNCTION("GOOGLETRANSLATE($B374,""en"",W$3)"),"исландский")</f>
        <v>исландский</v>
      </c>
      <c r="X374" s="11" t="str">
        <f ca="1">IFERROR(__xludf.DUMMYFUNCTION("GOOGLETRANSLATE($B374,""en"",X$3)"),"islandés")</f>
        <v>islandés</v>
      </c>
    </row>
    <row r="375" spans="1:26" ht="32.25" customHeight="1" x14ac:dyDescent="0.2">
      <c r="A375" s="17" t="s">
        <v>861</v>
      </c>
      <c r="B375" s="17" t="s">
        <v>862</v>
      </c>
      <c r="C375" s="21" t="str">
        <f ca="1">IFERROR(__xludf.DUMMYFUNCTION("GOOGLETRANSLATE($B375,""en"",C$3)"),"Icons")</f>
        <v>Icons</v>
      </c>
      <c r="D375" s="21" t="str">
        <f ca="1">IFERROR(__xludf.DUMMYFUNCTION("GOOGLETRANSLATE($B375,""en"",D$3)"),"ikoner")</f>
        <v>ikoner</v>
      </c>
      <c r="E375" s="21" t="str">
        <f ca="1">IFERROR(__xludf.DUMMYFUNCTION("GOOGLETRANSLATE($B375,""en"",E$3)"),"ícones")</f>
        <v>ícones</v>
      </c>
      <c r="F375" s="21" t="str">
        <f ca="1">IFERROR(__xludf.DUMMYFUNCTION("GOOGLETRANSLATE($B375,""en"",F$3)"),"ícones")</f>
        <v>ícones</v>
      </c>
      <c r="G375" s="21" t="str">
        <f ca="1">IFERROR(__xludf.DUMMYFUNCTION("GOOGLETRANSLATE($B375,""en"",G$3)"),"Icônes")</f>
        <v>Icônes</v>
      </c>
      <c r="H375" s="21" t="str">
        <f ca="1">IFERROR(__xludf.DUMMYFUNCTION("GOOGLETRANSLATE($B375,""en"",H$3)"),"Icons")</f>
        <v>Icons</v>
      </c>
      <c r="I375" s="21" t="str">
        <f ca="1">IFERROR(__xludf.DUMMYFUNCTION("GOOGLETRANSLATE($B375,""en"",I$3)"),"icones")</f>
        <v>icones</v>
      </c>
      <c r="J375" s="21" t="str">
        <f ca="1">IFERROR(__xludf.DUMMYFUNCTION("GOOGLETRANSLATE($B375,""en"",J$3)"),"ikony")</f>
        <v>ikony</v>
      </c>
      <c r="K375" s="21" t="str">
        <f ca="1">IFERROR(__xludf.DUMMYFUNCTION("GOOGLETRANSLATE($B375,""en"",K$3)"),"图标")</f>
        <v>图标</v>
      </c>
      <c r="L375" s="21" t="str">
        <f ca="1">IFERROR(__xludf.DUMMYFUNCTION("GOOGLETRANSLATE($B375,""en"",L$3)"),"圖標")</f>
        <v>圖標</v>
      </c>
      <c r="M375" s="21" t="str">
        <f ca="1">IFERROR(__xludf.DUMMYFUNCTION("GOOGLETRANSLATE($B375,""en"",M$3)"),"Icons")</f>
        <v>Icons</v>
      </c>
      <c r="N375" s="21" t="str">
        <f ca="1">IFERROR(__xludf.DUMMYFUNCTION("GOOGLETRANSLATE($B375,""en"",N$3)"),"εικόνες")</f>
        <v>εικόνες</v>
      </c>
      <c r="O375" s="21" t="str">
        <f ca="1">IFERROR(__xludf.DUMMYFUNCTION("GOOGLETRANSLATE($B375,""en"",O$3)"),"kuvakkeet")</f>
        <v>kuvakkeet</v>
      </c>
      <c r="P375" s="21" t="str">
        <f ca="1">IFERROR(__xludf.DUMMYFUNCTION("GOOGLETRANSLATE($B375,""en"",P$3)"),"deilbhíní")</f>
        <v>deilbhíní</v>
      </c>
      <c r="Q375" s="21" t="str">
        <f ca="1">IFERROR(__xludf.DUMMYFUNCTION("GOOGLETRANSLATE($B375,""en"",Q$3)"),"آیکن")</f>
        <v>آیکن</v>
      </c>
      <c r="R375" s="21" t="str">
        <f ca="1">IFERROR(__xludf.DUMMYFUNCTION("GOOGLETRANSLATE($B375,""en"",R$3)"),"סמלים")</f>
        <v>סמלים</v>
      </c>
      <c r="S375" s="21" t="str">
        <f ca="1">IFERROR(__xludf.DUMMYFUNCTION("GOOGLETRANSLATE($B375,""en"",S$3)"),"Tákn")</f>
        <v>Tákn</v>
      </c>
      <c r="T375" s="21" t="str">
        <f ca="1">IFERROR(__xludf.DUMMYFUNCTION("GOOGLETRANSLATE($B375,""en"",T$3)"),"ikoner")</f>
        <v>ikoner</v>
      </c>
      <c r="U375" s="21" t="str">
        <f ca="1">IFERROR(__xludf.DUMMYFUNCTION("GOOGLETRANSLATE($B375,""en"",U$3)"),"الرموز")</f>
        <v>الرموز</v>
      </c>
      <c r="V375" s="21" t="str">
        <f ca="1">IFERROR(__xludf.DUMMYFUNCTION("GOOGLETRANSLATE($B375,""en"",V$3)"),"ikony")</f>
        <v>ikony</v>
      </c>
      <c r="W375" s="21" t="str">
        <f ca="1">IFERROR(__xludf.DUMMYFUNCTION("GOOGLETRANSLATE($B375,""en"",W$3)"),"Иконки")</f>
        <v>Иконки</v>
      </c>
      <c r="X375" s="21" t="str">
        <f ca="1">IFERROR(__xludf.DUMMYFUNCTION("GOOGLETRANSLATE($B375,""en"",X$3)"),"iconos")</f>
        <v>iconos</v>
      </c>
      <c r="Y375" s="21"/>
      <c r="Z375" s="21"/>
    </row>
    <row r="376" spans="1:26" ht="32.25" customHeight="1" x14ac:dyDescent="0.2">
      <c r="A376" s="17" t="s">
        <v>863</v>
      </c>
      <c r="B376" s="17" t="s">
        <v>864</v>
      </c>
      <c r="C376" s="18" t="s">
        <v>865</v>
      </c>
      <c r="D376" s="12" t="str">
        <f ca="1">IFERROR(__xludf.DUMMYFUNCTION("GOOGLETRANSLATE($B375,""en"",D$3)"),"ikoner")</f>
        <v>ikoner</v>
      </c>
      <c r="E376" s="12" t="str">
        <f ca="1">IFERROR(__xludf.DUMMYFUNCTION("GOOGLETRANSLATE($B375,""en"",E$3)"),"ícones")</f>
        <v>ícones</v>
      </c>
      <c r="F376" s="12" t="str">
        <f ca="1">IFERROR(__xludf.DUMMYFUNCTION("GOOGLETRANSLATE($B375,""en"",F$3)"),"ícones")</f>
        <v>ícones</v>
      </c>
      <c r="G376" s="12" t="str">
        <f ca="1">IFERROR(__xludf.DUMMYFUNCTION("GOOGLETRANSLATE($B375,""en"",G$3)"),"Icônes")</f>
        <v>Icônes</v>
      </c>
      <c r="H376" s="12" t="str">
        <f ca="1">IFERROR(__xludf.DUMMYFUNCTION("GOOGLETRANSLATE($B375,""en"",H$3)"),"Icons")</f>
        <v>Icons</v>
      </c>
      <c r="I376" s="12" t="str">
        <f ca="1">IFERROR(__xludf.DUMMYFUNCTION("GOOGLETRANSLATE($B375,""en"",I$3)"),"icones")</f>
        <v>icones</v>
      </c>
      <c r="J376" s="12" t="str">
        <f ca="1">IFERROR(__xludf.DUMMYFUNCTION("GOOGLETRANSLATE($B375,""en"",J$3)"),"ikony")</f>
        <v>ikony</v>
      </c>
      <c r="K376" s="12" t="str">
        <f ca="1">IFERROR(__xludf.DUMMYFUNCTION("GOOGLETRANSLATE($B375,""en"",K$3)"),"图标")</f>
        <v>图标</v>
      </c>
      <c r="L376" s="12" t="str">
        <f ca="1">IFERROR(__xludf.DUMMYFUNCTION("GOOGLETRANSLATE($B375,""en"",L$3)"),"圖標")</f>
        <v>圖標</v>
      </c>
      <c r="M376" s="12" t="str">
        <f ca="1">IFERROR(__xludf.DUMMYFUNCTION("GOOGLETRANSLATE($B375,""en"",M$3)"),"Icons")</f>
        <v>Icons</v>
      </c>
      <c r="N376" s="12" t="str">
        <f ca="1">IFERROR(__xludf.DUMMYFUNCTION("GOOGLETRANSLATE($B375,""en"",N$3)"),"εικόνες")</f>
        <v>εικόνες</v>
      </c>
      <c r="O376" s="12" t="str">
        <f ca="1">IFERROR(__xludf.DUMMYFUNCTION("GOOGLETRANSLATE($B375,""en"",O$3)"),"kuvakkeet")</f>
        <v>kuvakkeet</v>
      </c>
      <c r="P376" s="12" t="str">
        <f ca="1">IFERROR(__xludf.DUMMYFUNCTION("GOOGLETRANSLATE($B375,""en"",P$3)"),"deilbhíní")</f>
        <v>deilbhíní</v>
      </c>
      <c r="Q376" s="12" t="str">
        <f ca="1">IFERROR(__xludf.DUMMYFUNCTION("GOOGLETRANSLATE($B375,""en"",Q$3)"),"آیکن")</f>
        <v>آیکن</v>
      </c>
      <c r="R376" s="12" t="str">
        <f ca="1">IFERROR(__xludf.DUMMYFUNCTION("GOOGLETRANSLATE($B375,""en"",R$3)"),"סמלים")</f>
        <v>סמלים</v>
      </c>
      <c r="S376" s="12" t="str">
        <f ca="1">IFERROR(__xludf.DUMMYFUNCTION("GOOGLETRANSLATE($B375,""en"",S$3)"),"Tákn")</f>
        <v>Tákn</v>
      </c>
      <c r="T376" s="12" t="str">
        <f ca="1">IFERROR(__xludf.DUMMYFUNCTION("GOOGLETRANSLATE($B375,""en"",T$3)"),"ikoner")</f>
        <v>ikoner</v>
      </c>
      <c r="U376" s="12" t="str">
        <f ca="1">IFERROR(__xludf.DUMMYFUNCTION("GOOGLETRANSLATE($B375,""en"",U$3)"),"الرموز")</f>
        <v>الرموز</v>
      </c>
      <c r="V376" s="12" t="str">
        <f ca="1">IFERROR(__xludf.DUMMYFUNCTION("GOOGLETRANSLATE($B375,""en"",V$3)"),"ikony")</f>
        <v>ikony</v>
      </c>
      <c r="W376" s="12" t="str">
        <f ca="1">IFERROR(__xludf.DUMMYFUNCTION("GOOGLETRANSLATE($B375,""en"",W$3)"),"Иконки")</f>
        <v>Иконки</v>
      </c>
      <c r="X376" s="12" t="str">
        <f ca="1">IFERROR(__xludf.DUMMYFUNCTION("GOOGLETRANSLATE($B375,""en"",X$3)"),"iconos")</f>
        <v>iconos</v>
      </c>
      <c r="Y376" s="12"/>
      <c r="Z376" s="12"/>
    </row>
    <row r="377" spans="1:26" ht="32.25" customHeight="1" x14ac:dyDescent="0.2">
      <c r="A377" s="17" t="s">
        <v>866</v>
      </c>
      <c r="B377" s="17" t="s">
        <v>867</v>
      </c>
      <c r="C377" s="21" t="str">
        <f ca="1">IFERROR(__xludf.DUMMYFUNCTION("GOOGLETRANSLATE($B377,""en"",C$3)"),"ignorieren Parcel")</f>
        <v>ignorieren Parcel</v>
      </c>
      <c r="D377" s="21" t="str">
        <f ca="1">IFERROR(__xludf.DUMMYFUNCTION("GOOGLETRANSLATE($B377,""en"",D$3)"),"ignorera Parcel")</f>
        <v>ignorera Parcel</v>
      </c>
      <c r="E377" s="21" t="str">
        <f ca="1">IFERROR(__xludf.DUMMYFUNCTION("GOOGLETRANSLATE($B377,""en"",E$3)"),"ignorar Parcel")</f>
        <v>ignorar Parcel</v>
      </c>
      <c r="F377" s="21" t="str">
        <f ca="1">IFERROR(__xludf.DUMMYFUNCTION("GOOGLETRANSLATE($B377,""en"",F$3)"),"ignorar Parcel")</f>
        <v>ignorar Parcel</v>
      </c>
      <c r="G377" s="21" t="str">
        <f ca="1">IFERROR(__xludf.DUMMYFUNCTION("GOOGLETRANSLATE($B377,""en"",G$3)"),"ignorer la parcelle")</f>
        <v>ignorer la parcelle</v>
      </c>
      <c r="H377" s="21" t="str">
        <f ca="1">IFERROR(__xludf.DUMMYFUNCTION("GOOGLETRANSLATE($B377,""en"",H$3)"),"Ez ikusi Paketeen")</f>
        <v>Ez ikusi Paketeen</v>
      </c>
      <c r="I377" s="21" t="str">
        <f ca="1">IFERROR(__xludf.DUMMYFUNCTION("GOOGLETRANSLATE($B377,""en"",I$3)"),"No feu cas de la parcel·la")</f>
        <v>No feu cas de la parcel·la</v>
      </c>
      <c r="J377" s="21" t="str">
        <f ca="1">IFERROR(__xludf.DUMMYFUNCTION("GOOGLETRANSLATE($B377,""en"",J$3)"),"ignorovat Parcel")</f>
        <v>ignorovat Parcel</v>
      </c>
      <c r="K377" s="21" t="str">
        <f ca="1">IFERROR(__xludf.DUMMYFUNCTION("GOOGLETRANSLATE($B377,""en"",K$3)"),"忽略包裹")</f>
        <v>忽略包裹</v>
      </c>
      <c r="L377" s="21" t="str">
        <f ca="1">IFERROR(__xludf.DUMMYFUNCTION("GOOGLETRANSLATE($B377,""en"",L$3)"),"忽略包裹")</f>
        <v>忽略包裹</v>
      </c>
      <c r="M377" s="21" t="str">
        <f ca="1">IFERROR(__xludf.DUMMYFUNCTION("GOOGLETRANSLATE($B377,""en"",M$3)"),"Negeer Parcel")</f>
        <v>Negeer Parcel</v>
      </c>
      <c r="N377" s="21" t="str">
        <f ca="1">IFERROR(__xludf.DUMMYFUNCTION("GOOGLETRANSLATE($B377,""en"",N$3)"),"Αγνοήστε Αγροτεμάχιο")</f>
        <v>Αγνοήστε Αγροτεμάχιο</v>
      </c>
      <c r="O377" s="21" t="str">
        <f ca="1">IFERROR(__xludf.DUMMYFUNCTION("GOOGLETRANSLATE($B377,""en"",O$3)"),"Ohita Parcel")</f>
        <v>Ohita Parcel</v>
      </c>
      <c r="P377" s="21" t="str">
        <f ca="1">IFERROR(__xludf.DUMMYFUNCTION("GOOGLETRANSLATE($B377,""en"",P$3)"),"Déan neamhaird Beartán")</f>
        <v>Déan neamhaird Beartán</v>
      </c>
      <c r="Q377" s="21" t="str">
        <f ca="1">IFERROR(__xludf.DUMMYFUNCTION("GOOGLETRANSLATE($B377,""en"",Q$3)"),"نادیده گرفتن بسته")</f>
        <v>نادیده گرفتن بسته</v>
      </c>
      <c r="R377" s="21" t="str">
        <f ca="1">IFERROR(__xludf.DUMMYFUNCTION("GOOGLETRANSLATE($B377,""en"",R$3)"),"התעלם Parcel")</f>
        <v>התעלם Parcel</v>
      </c>
      <c r="S377" s="21" t="str">
        <f ca="1">IFERROR(__xludf.DUMMYFUNCTION("GOOGLETRANSLATE($B377,""en"",S$3)"),"Hunsa Parcel")</f>
        <v>Hunsa Parcel</v>
      </c>
      <c r="T377" s="21" t="str">
        <f ca="1">IFERROR(__xludf.DUMMYFUNCTION("GOOGLETRANSLATE($B377,""en"",T$3)"),"Ignorer Parcel")</f>
        <v>Ignorer Parcel</v>
      </c>
      <c r="U377" s="21" t="str">
        <f ca="1">IFERROR(__xludf.DUMMYFUNCTION("GOOGLETRANSLATE($B377,""en"",U$3)"),"تجاهل الطرود")</f>
        <v>تجاهل الطرود</v>
      </c>
      <c r="V377" s="21" t="str">
        <f ca="1">IFERROR(__xludf.DUMMYFUNCTION("GOOGLETRANSLATE($B377,""en"",V$3)"),"Ignoruj ​​Parcel")</f>
        <v>Ignoruj ​​Parcel</v>
      </c>
      <c r="W377" s="21" t="str">
        <f ca="1">IFERROR(__xludf.DUMMYFUNCTION("GOOGLETRANSLATE($B377,""en"",W$3)"),"Игнорирование посылок")</f>
        <v>Игнорирование посылок</v>
      </c>
      <c r="X377" s="21" t="str">
        <f ca="1">IFERROR(__xludf.DUMMYFUNCTION("GOOGLETRANSLATE($B377,""en"",X$3)"),"No haga caso de la parcela")</f>
        <v>No haga caso de la parcela</v>
      </c>
      <c r="Y377" s="21"/>
      <c r="Z377" s="21"/>
    </row>
    <row r="378" spans="1:26" ht="32.25" customHeight="1" x14ac:dyDescent="0.2">
      <c r="A378" s="17" t="s">
        <v>868</v>
      </c>
      <c r="B378" s="17" t="s">
        <v>869</v>
      </c>
      <c r="C378" s="21" t="str">
        <f ca="1">IFERROR(__xludf.DUMMYFUNCTION("GOOGLETRANSLATE($B378,""en"",C$3)"),"ignorieren Terrain")</f>
        <v>ignorieren Terrain</v>
      </c>
      <c r="D378" s="21" t="str">
        <f ca="1">IFERROR(__xludf.DUMMYFUNCTION("GOOGLETRANSLATE($B378,""en"",D$3)"),"ignorera Terrain")</f>
        <v>ignorera Terrain</v>
      </c>
      <c r="E378" s="21" t="str">
        <f ca="1">IFERROR(__xludf.DUMMYFUNCTION("GOOGLETRANSLATE($B378,""en"",E$3)"),"ignorar Terrain")</f>
        <v>ignorar Terrain</v>
      </c>
      <c r="F378" s="21" t="str">
        <f ca="1">IFERROR(__xludf.DUMMYFUNCTION("GOOGLETRANSLATE($B378,""en"",F$3)"),"ignorar Terrain")</f>
        <v>ignorar Terrain</v>
      </c>
      <c r="G378" s="21" t="str">
        <f ca="1">IFERROR(__xludf.DUMMYFUNCTION("GOOGLETRANSLATE($B378,""en"",G$3)"),"ignorer Terrain")</f>
        <v>ignorer Terrain</v>
      </c>
      <c r="H378" s="21" t="str">
        <f ca="1">IFERROR(__xludf.DUMMYFUNCTION("GOOGLETRANSLATE($B378,""en"",H$3)"),"Ez ikusi Lur")</f>
        <v>Ez ikusi Lur</v>
      </c>
      <c r="I378" s="21" t="str">
        <f ca="1">IFERROR(__xludf.DUMMYFUNCTION("GOOGLETRANSLATE($B378,""en"",I$3)"),"No feu cas de Terreny")</f>
        <v>No feu cas de Terreny</v>
      </c>
      <c r="J378" s="21" t="str">
        <f ca="1">IFERROR(__xludf.DUMMYFUNCTION("GOOGLETRANSLATE($B378,""en"",J$3)"),"ignorovat terén")</f>
        <v>ignorovat terén</v>
      </c>
      <c r="K378" s="21" t="str">
        <f ca="1">IFERROR(__xludf.DUMMYFUNCTION("GOOGLETRANSLATE($B378,""en"",K$3)"),"忽略地形")</f>
        <v>忽略地形</v>
      </c>
      <c r="L378" s="21" t="str">
        <f ca="1">IFERROR(__xludf.DUMMYFUNCTION("GOOGLETRANSLATE($B378,""en"",L$3)"),"忽略地形")</f>
        <v>忽略地形</v>
      </c>
      <c r="M378" s="21" t="str">
        <f ca="1">IFERROR(__xludf.DUMMYFUNCTION("GOOGLETRANSLATE($B378,""en"",M$3)"),"Negeer Terrain")</f>
        <v>Negeer Terrain</v>
      </c>
      <c r="N378" s="21" t="str">
        <f ca="1">IFERROR(__xludf.DUMMYFUNCTION("GOOGLETRANSLATE($B378,""en"",N$3)"),"Αγνοήστε εδάφους")</f>
        <v>Αγνοήστε εδάφους</v>
      </c>
      <c r="O378" s="21" t="str">
        <f ca="1">IFERROR(__xludf.DUMMYFUNCTION("GOOGLETRANSLATE($B378,""en"",O$3)"),"Ohita Terrain")</f>
        <v>Ohita Terrain</v>
      </c>
      <c r="P378" s="21" t="str">
        <f ca="1">IFERROR(__xludf.DUMMYFUNCTION("GOOGLETRANSLATE($B378,""en"",P$3)"),"Déan neamhaird tír-raon")</f>
        <v>Déan neamhaird tír-raon</v>
      </c>
      <c r="Q378" s="21" t="str">
        <f ca="1">IFERROR(__xludf.DUMMYFUNCTION("GOOGLETRANSLATE($B378,""en"",Q$3)"),"نادیده گرفتن عوارض زمین")</f>
        <v>نادیده گرفتن عوارض زمین</v>
      </c>
      <c r="R378" s="21" t="str">
        <f ca="1">IFERROR(__xludf.DUMMYFUNCTION("GOOGLETRANSLATE($B378,""en"",R$3)"),"התעלם Terrain")</f>
        <v>התעלם Terrain</v>
      </c>
      <c r="S378" s="21" t="str">
        <f ca="1">IFERROR(__xludf.DUMMYFUNCTION("GOOGLETRANSLATE($B378,""en"",S$3)"),"Hunsa Landsvæði")</f>
        <v>Hunsa Landsvæði</v>
      </c>
      <c r="T378" s="21" t="str">
        <f ca="1">IFERROR(__xludf.DUMMYFUNCTION("GOOGLETRANSLATE($B378,""en"",T$3)"),"Ignorer Terreng")</f>
        <v>Ignorer Terreng</v>
      </c>
      <c r="U378" s="21" t="str">
        <f ca="1">IFERROR(__xludf.DUMMYFUNCTION("GOOGLETRANSLATE($B378,""en"",U$3)"),"تجاهل التضاريس")</f>
        <v>تجاهل التضاريس</v>
      </c>
      <c r="V378" s="21" t="str">
        <f ca="1">IFERROR(__xludf.DUMMYFUNCTION("GOOGLETRANSLATE($B378,""en"",V$3)"),"ignorować terenu")</f>
        <v>ignorować terenu</v>
      </c>
      <c r="W378" s="21" t="str">
        <f ca="1">IFERROR(__xludf.DUMMYFUNCTION("GOOGLETRANSLATE($B378,""en"",W$3)"),"Игнорировать Terrain")</f>
        <v>Игнорировать Terrain</v>
      </c>
      <c r="X378" s="21" t="str">
        <f ca="1">IFERROR(__xludf.DUMMYFUNCTION("GOOGLETRANSLATE($B378,""en"",X$3)"),"No haga caso de Terreno")</f>
        <v>No haga caso de Terreno</v>
      </c>
      <c r="Y378" s="21"/>
      <c r="Z378" s="21"/>
    </row>
    <row r="379" spans="1:26" ht="32.25" customHeight="1" x14ac:dyDescent="0.2">
      <c r="A379" s="17" t="s">
        <v>870</v>
      </c>
      <c r="B379" s="17" t="s">
        <v>871</v>
      </c>
      <c r="C379" s="21" t="str">
        <f ca="1">IFERROR(__xludf.DUMMYFUNCTION("GOOGLETRANSLATE($B379,""en"",C$3)"),"Bild Cache")</f>
        <v>Bild Cache</v>
      </c>
      <c r="D379" s="21" t="str">
        <f ca="1">IFERROR(__xludf.DUMMYFUNCTION("GOOGLETRANSLATE($B379,""en"",D$3)"),"bild Cache")</f>
        <v>bild Cache</v>
      </c>
      <c r="E379" s="21" t="str">
        <f ca="1">IFERROR(__xludf.DUMMYFUNCTION("GOOGLETRANSLATE($B379,""en"",E$3)"),"cache imagem")</f>
        <v>cache imagem</v>
      </c>
      <c r="F379" s="21" t="str">
        <f ca="1">IFERROR(__xludf.DUMMYFUNCTION("GOOGLETRANSLATE($B379,""en"",F$3)"),"cache imagem")</f>
        <v>cache imagem</v>
      </c>
      <c r="G379" s="21" t="str">
        <f ca="1">IFERROR(__xludf.DUMMYFUNCTION("GOOGLETRANSLATE($B379,""en"",G$3)"),"image Cache")</f>
        <v>image Cache</v>
      </c>
      <c r="H379" s="21" t="str">
        <f ca="1">IFERROR(__xludf.DUMMYFUNCTION("GOOGLETRANSLATE($B379,""en"",H$3)"),"Image Cache")</f>
        <v>Image Cache</v>
      </c>
      <c r="I379" s="21" t="str">
        <f ca="1">IFERROR(__xludf.DUMMYFUNCTION("GOOGLETRANSLATE($B379,""en"",I$3)"),"memòria cau d'imatge")</f>
        <v>memòria cau d'imatge</v>
      </c>
      <c r="J379" s="21" t="str">
        <f ca="1">IFERROR(__xludf.DUMMYFUNCTION("GOOGLETRANSLATE($B379,""en"",J$3)"),"Cache obrázek")</f>
        <v>Cache obrázek</v>
      </c>
      <c r="K379" s="21" t="str">
        <f ca="1">IFERROR(__xludf.DUMMYFUNCTION("GOOGLETRANSLATE($B379,""en"",K$3)"),"图像缓存")</f>
        <v>图像缓存</v>
      </c>
      <c r="L379" s="21" t="str">
        <f ca="1">IFERROR(__xludf.DUMMYFUNCTION("GOOGLETRANSLATE($B379,""en"",L$3)"),"圖像緩存")</f>
        <v>圖像緩存</v>
      </c>
      <c r="M379" s="21" t="str">
        <f ca="1">IFERROR(__xludf.DUMMYFUNCTION("GOOGLETRANSLATE($B379,""en"",M$3)"),"afbeelding Cache")</f>
        <v>afbeelding Cache</v>
      </c>
      <c r="N379" s="21" t="str">
        <f ca="1">IFERROR(__xludf.DUMMYFUNCTION("GOOGLETRANSLATE($B379,""en"",N$3)"),"Cache εικόνα")</f>
        <v>Cache εικόνα</v>
      </c>
      <c r="O379" s="21" t="str">
        <f ca="1">IFERROR(__xludf.DUMMYFUNCTION("GOOGLETRANSLATE($B379,""en"",O$3)"),"Kuvavälimuisti")</f>
        <v>Kuvavälimuisti</v>
      </c>
      <c r="P379" s="21" t="str">
        <f ca="1">IFERROR(__xludf.DUMMYFUNCTION("GOOGLETRANSLATE($B379,""en"",P$3)"),"Cache íomhá")</f>
        <v>Cache íomhá</v>
      </c>
      <c r="Q379" s="21" t="str">
        <f ca="1">IFERROR(__xludf.DUMMYFUNCTION("GOOGLETRANSLATE($B379,""en"",Q$3)"),"کش تصویر")</f>
        <v>کش تصویر</v>
      </c>
      <c r="R379" s="21" t="str">
        <f ca="1">IFERROR(__xludf.DUMMYFUNCTION("GOOGLETRANSLATE($B379,""en"",R$3)"),"מטמון תמונה")</f>
        <v>מטמון תמונה</v>
      </c>
      <c r="S379" s="21" t="str">
        <f ca="1">IFERROR(__xludf.DUMMYFUNCTION("GOOGLETRANSLATE($B379,""en"",S$3)"),"Image Cache")</f>
        <v>Image Cache</v>
      </c>
      <c r="T379" s="21" t="str">
        <f ca="1">IFERROR(__xludf.DUMMYFUNCTION("GOOGLETRANSLATE($B379,""en"",T$3)"),"Bilde Cache")</f>
        <v>Bilde Cache</v>
      </c>
      <c r="U379" s="21" t="str">
        <f ca="1">IFERROR(__xludf.DUMMYFUNCTION("GOOGLETRANSLATE($B379,""en"",U$3)"),"صورة مخبأ")</f>
        <v>صورة مخبأ</v>
      </c>
      <c r="V379" s="21" t="str">
        <f ca="1">IFERROR(__xludf.DUMMYFUNCTION("GOOGLETRANSLATE($B379,""en"",V$3)"),"Cache obraz")</f>
        <v>Cache obraz</v>
      </c>
      <c r="W379" s="21" t="str">
        <f ca="1">IFERROR(__xludf.DUMMYFUNCTION("GOOGLETRANSLATE($B379,""en"",W$3)"),"кэш изображений")</f>
        <v>кэш изображений</v>
      </c>
      <c r="X379" s="21" t="str">
        <f ca="1">IFERROR(__xludf.DUMMYFUNCTION("GOOGLETRANSLATE($B379,""en"",X$3)"),"caché de imagen")</f>
        <v>caché de imagen</v>
      </c>
      <c r="Y379" s="21"/>
      <c r="Z379" s="21"/>
    </row>
    <row r="380" spans="1:26" ht="32.25" customHeight="1" x14ac:dyDescent="0.2">
      <c r="A380" s="17" t="s">
        <v>872</v>
      </c>
      <c r="B380" s="17" t="s">
        <v>873</v>
      </c>
      <c r="C380" s="21" t="str">
        <f ca="1">IFERROR(__xludf.DUMMYFUNCTION("GOOGLETRANSLATE($B380,""en"",C$3)"),"Importieren")</f>
        <v>Importieren</v>
      </c>
      <c r="D380" s="21" t="str">
        <f ca="1">IFERROR(__xludf.DUMMYFUNCTION("GOOGLETRANSLATE($B380,""en"",D$3)"),"Importera")</f>
        <v>Importera</v>
      </c>
      <c r="E380" s="21" t="str">
        <f ca="1">IFERROR(__xludf.DUMMYFUNCTION("GOOGLETRANSLATE($B380,""en"",E$3)"),"Importar")</f>
        <v>Importar</v>
      </c>
      <c r="F380" s="21" t="str">
        <f ca="1">IFERROR(__xludf.DUMMYFUNCTION("GOOGLETRANSLATE($B380,""en"",F$3)"),"Importar")</f>
        <v>Importar</v>
      </c>
      <c r="G380" s="21" t="str">
        <f ca="1">IFERROR(__xludf.DUMMYFUNCTION("GOOGLETRANSLATE($B380,""en"",G$3)"),"Importer")</f>
        <v>Importer</v>
      </c>
      <c r="H380" s="21" t="str">
        <f ca="1">IFERROR(__xludf.DUMMYFUNCTION("GOOGLETRANSLATE($B380,""en"",H$3)"),"Inportazio")</f>
        <v>Inportazio</v>
      </c>
      <c r="I380" s="21" t="str">
        <f ca="1">IFERROR(__xludf.DUMMYFUNCTION("GOOGLETRANSLATE($B380,""en"",I$3)"),"importació")</f>
        <v>importació</v>
      </c>
      <c r="J380" s="21" t="str">
        <f ca="1">IFERROR(__xludf.DUMMYFUNCTION("GOOGLETRANSLATE($B380,""en"",J$3)"),"Import")</f>
        <v>Import</v>
      </c>
      <c r="K380" s="21" t="str">
        <f ca="1">IFERROR(__xludf.DUMMYFUNCTION("GOOGLETRANSLATE($B380,""en"",K$3)"),"进口")</f>
        <v>进口</v>
      </c>
      <c r="L380" s="21" t="str">
        <f ca="1">IFERROR(__xludf.DUMMYFUNCTION("GOOGLETRANSLATE($B380,""en"",L$3)"),"進口")</f>
        <v>進口</v>
      </c>
      <c r="M380" s="21" t="str">
        <f ca="1">IFERROR(__xludf.DUMMYFUNCTION("GOOGLETRANSLATE($B380,""en"",M$3)"),"Importeren")</f>
        <v>Importeren</v>
      </c>
      <c r="N380" s="21" t="str">
        <f ca="1">IFERROR(__xludf.DUMMYFUNCTION("GOOGLETRANSLATE($B380,""en"",N$3)"),"Εισαγωγή")</f>
        <v>Εισαγωγή</v>
      </c>
      <c r="O380" s="21" t="str">
        <f ca="1">IFERROR(__xludf.DUMMYFUNCTION("GOOGLETRANSLATE($B380,""en"",O$3)"),"Tuonti")</f>
        <v>Tuonti</v>
      </c>
      <c r="P380" s="21" t="str">
        <f ca="1">IFERROR(__xludf.DUMMYFUNCTION("GOOGLETRANSLATE($B380,""en"",P$3)"),"Iompórtáil")</f>
        <v>Iompórtáil</v>
      </c>
      <c r="Q380" s="21" t="str">
        <f ca="1">IFERROR(__xludf.DUMMYFUNCTION("GOOGLETRANSLATE($B380,""en"",Q$3)"),"وارد كردن")</f>
        <v>وارد كردن</v>
      </c>
      <c r="R380" s="21" t="str">
        <f ca="1">IFERROR(__xludf.DUMMYFUNCTION("GOOGLETRANSLATE($B380,""en"",R$3)"),"יְבוּא")</f>
        <v>יְבוּא</v>
      </c>
      <c r="S380" s="21" t="str">
        <f ca="1">IFERROR(__xludf.DUMMYFUNCTION("GOOGLETRANSLATE($B380,""en"",S$3)"),"Flytja inn")</f>
        <v>Flytja inn</v>
      </c>
      <c r="T380" s="21" t="str">
        <f ca="1">IFERROR(__xludf.DUMMYFUNCTION("GOOGLETRANSLATE($B380,""en"",T$3)"),"Importere")</f>
        <v>Importere</v>
      </c>
      <c r="U380" s="21" t="str">
        <f ca="1">IFERROR(__xludf.DUMMYFUNCTION("GOOGLETRANSLATE($B380,""en"",U$3)"),"استيراد")</f>
        <v>استيراد</v>
      </c>
      <c r="V380" s="21" t="str">
        <f ca="1">IFERROR(__xludf.DUMMYFUNCTION("GOOGLETRANSLATE($B380,""en"",V$3)"),"Import")</f>
        <v>Import</v>
      </c>
      <c r="W380" s="21" t="str">
        <f ca="1">IFERROR(__xludf.DUMMYFUNCTION("GOOGLETRANSLATE($B380,""en"",W$3)"),"Импортировать")</f>
        <v>Импортировать</v>
      </c>
      <c r="X380" s="21" t="str">
        <f ca="1">IFERROR(__xludf.DUMMYFUNCTION("GOOGLETRANSLATE($B380,""en"",X$3)"),"Importar")</f>
        <v>Importar</v>
      </c>
      <c r="Y380" s="21"/>
      <c r="Z380" s="21"/>
    </row>
    <row r="381" spans="1:26" ht="32.25" customHeight="1" x14ac:dyDescent="0.2">
      <c r="A381" s="17" t="s">
        <v>874</v>
      </c>
      <c r="B381" s="17" t="s">
        <v>875</v>
      </c>
      <c r="C381" s="21" t="str">
        <f ca="1">IFERROR(__xludf.DUMMYFUNCTION("GOOGLETRANSLATE($B381,""en"",C$3)"),"Import Region INI-Dateien")</f>
        <v>Import Region INI-Dateien</v>
      </c>
      <c r="D381" s="21" t="str">
        <f ca="1">IFERROR(__xludf.DUMMYFUNCTION("GOOGLETRANSLATE($B381,""en"",D$3)"),"Import Region ini-filer")</f>
        <v>Import Region ini-filer</v>
      </c>
      <c r="E381" s="21" t="str">
        <f ca="1">IFERROR(__xludf.DUMMYFUNCTION("GOOGLETRANSLATE($B381,""en"",E$3)"),"Importar arquivos Região INI")</f>
        <v>Importar arquivos Região INI</v>
      </c>
      <c r="F381" s="21" t="str">
        <f ca="1">IFERROR(__xludf.DUMMYFUNCTION("GOOGLETRANSLATE($B381,""en"",F$3)"),"Importar arquivos Região INI")</f>
        <v>Importar arquivos Região INI</v>
      </c>
      <c r="G381" s="21" t="str">
        <f ca="1">IFERROR(__xludf.DUMMYFUNCTION("GOOGLETRANSLATE($B381,""en"",G$3)"),"Importer des fichiers INI Région")</f>
        <v>Importer des fichiers INI Région</v>
      </c>
      <c r="H381" s="21" t="str">
        <f ca="1">IFERROR(__xludf.DUMMYFUNCTION("GOOGLETRANSLATE($B381,""en"",H$3)"),"Inportazio eskualdea INI fitxategiak")</f>
        <v>Inportazio eskualdea INI fitxategiak</v>
      </c>
      <c r="I381" s="21" t="str">
        <f ca="1">IFERROR(__xludf.DUMMYFUNCTION("GOOGLETRANSLATE($B381,""en"",I$3)"),"Importa arxius INI Regió")</f>
        <v>Importa arxius INI Regió</v>
      </c>
      <c r="J381" s="21" t="str">
        <f ca="1">IFERROR(__xludf.DUMMYFUNCTION("GOOGLETRANSLATE($B381,""en"",J$3)"),"Import souborů Region INI")</f>
        <v>Import souborů Region INI</v>
      </c>
      <c r="K381" s="21" t="str">
        <f ca="1">IFERROR(__xludf.DUMMYFUNCTION("GOOGLETRANSLATE($B381,""en"",K$3)"),"进口地区INI文件")</f>
        <v>进口地区INI文件</v>
      </c>
      <c r="L381" s="21" t="str">
        <f ca="1">IFERROR(__xludf.DUMMYFUNCTION("GOOGLETRANSLATE($B381,""en"",L$3)"),"進口地區INI文件")</f>
        <v>進口地區INI文件</v>
      </c>
      <c r="M381" s="21" t="str">
        <f ca="1">IFERROR(__xludf.DUMMYFUNCTION("GOOGLETRANSLATE($B381,""en"",M$3)"),"Import Region INI-bestanden")</f>
        <v>Import Region INI-bestanden</v>
      </c>
      <c r="N381" s="21" t="str">
        <f ca="1">IFERROR(__xludf.DUMMYFUNCTION("GOOGLETRANSLATE($B381,""en"",N$3)"),"Εισαγωγή αρχείων Περιφέρεια INI")</f>
        <v>Εισαγωγή αρχείων Περιφέρεια INI</v>
      </c>
      <c r="O381" s="21" t="str">
        <f ca="1">IFERROR(__xludf.DUMMYFUNCTION("GOOGLETRANSLATE($B381,""en"",O$3)"),"Tuonti Region INI tiedostoja")</f>
        <v>Tuonti Region INI tiedostoja</v>
      </c>
      <c r="P381" s="21" t="str">
        <f ca="1">IFERROR(__xludf.DUMMYFUNCTION("GOOGLETRANSLATE($B381,""en"",P$3)"),"Iompórtáil comhaid Réigiún INI")</f>
        <v>Iompórtáil comhaid Réigiún INI</v>
      </c>
      <c r="Q381" s="21" t="str">
        <f ca="1">IFERROR(__xludf.DUMMYFUNCTION("GOOGLETRANSLATE($B381,""en"",Q$3)"),"وارد کردن فایل های INI منطقه")</f>
        <v>وارد کردن فایل های INI منطقه</v>
      </c>
      <c r="R381" s="21" t="str">
        <f ca="1">IFERROR(__xludf.DUMMYFUNCTION("GOOGLETRANSLATE($B381,""en"",R$3)"),"קבצי INI אזור ייבוא")</f>
        <v>קבצי INI אזור ייבוא</v>
      </c>
      <c r="S381" s="21" t="str">
        <f ca="1">IFERROR(__xludf.DUMMYFUNCTION("GOOGLETRANSLATE($B381,""en"",S$3)"),"Innflutningur Region INI skrár")</f>
        <v>Innflutningur Region INI skrár</v>
      </c>
      <c r="T381" s="21" t="str">
        <f ca="1">IFERROR(__xludf.DUMMYFUNCTION("GOOGLETRANSLATE($B381,""en"",T$3)"),"Import Region INI-filer")</f>
        <v>Import Region INI-filer</v>
      </c>
      <c r="U381" s="21" t="str">
        <f ca="1">IFERROR(__xludf.DUMMYFUNCTION("GOOGLETRANSLATE($B381,""en"",U$3)"),"استيراد ملفات المنطقة INI")</f>
        <v>استيراد ملفات المنطقة INI</v>
      </c>
      <c r="V381" s="21" t="str">
        <f ca="1">IFERROR(__xludf.DUMMYFUNCTION("GOOGLETRANSLATE($B381,""en"",V$3)"),"Import plików INI Region")</f>
        <v>Import plików INI Region</v>
      </c>
      <c r="W381" s="21" t="str">
        <f ca="1">IFERROR(__xludf.DUMMYFUNCTION("GOOGLETRANSLATE($B381,""en"",W$3)"),"Импорт INI файлов область")</f>
        <v>Импорт INI файлов область</v>
      </c>
      <c r="X381" s="21" t="str">
        <f ca="1">IFERROR(__xludf.DUMMYFUNCTION("GOOGLETRANSLATE($B381,""en"",X$3)"),"Importar archivos INI Región")</f>
        <v>Importar archivos INI Región</v>
      </c>
      <c r="Y381" s="21"/>
      <c r="Z381" s="21"/>
    </row>
    <row r="382" spans="1:26" ht="32.25" customHeight="1" x14ac:dyDescent="0.2">
      <c r="A382" s="17" t="s">
        <v>876</v>
      </c>
      <c r="B382" s="17" t="s">
        <v>877</v>
      </c>
      <c r="C382" s="21" t="str">
        <f ca="1">IFERROR(__xludf.DUMMYFUNCTION("GOOGLETRANSLATE($B382,""en"",C$3)"),"Ankommende Hypergrid arbeitet")</f>
        <v>Ankommende Hypergrid arbeitet</v>
      </c>
      <c r="D382" s="21" t="str">
        <f ca="1">IFERROR(__xludf.DUMMYFUNCTION("GOOGLETRANSLATE($B382,""en"",D$3)"),"Inkommande Hypergrid arbetar")</f>
        <v>Inkommande Hypergrid arbetar</v>
      </c>
      <c r="E382" s="21" t="str">
        <f ca="1">IFERROR(__xludf.DUMMYFUNCTION("GOOGLETRANSLATE($B382,""en"",E$3)"),"Incoming Hypergrid está trabalhando")</f>
        <v>Incoming Hypergrid está trabalhando</v>
      </c>
      <c r="F382" s="21" t="str">
        <f ca="1">IFERROR(__xludf.DUMMYFUNCTION("GOOGLETRANSLATE($B382,""en"",F$3)"),"Incoming Hypergrid está trabalhando")</f>
        <v>Incoming Hypergrid está trabalhando</v>
      </c>
      <c r="G382" s="21" t="str">
        <f ca="1">IFERROR(__xludf.DUMMYFUNCTION("GOOGLETRANSLATE($B382,""en"",G$3)"),"Entrant Hypergrid est travail")</f>
        <v>Entrant Hypergrid est travail</v>
      </c>
      <c r="H382" s="21" t="str">
        <f ca="1">IFERROR(__xludf.DUMMYFUNCTION("GOOGLETRANSLATE($B382,""en"",H$3)"),"Sarrerako Hypergrid lan da")</f>
        <v>Sarrerako Hypergrid lan da</v>
      </c>
      <c r="I382" s="21" t="str">
        <f ca="1">IFERROR(__xludf.DUMMYFUNCTION("GOOGLETRANSLATE($B382,""en"",I$3)"),"Hypergrid entrant és de treball")</f>
        <v>Hypergrid entrant és de treball</v>
      </c>
      <c r="J382" s="21" t="str">
        <f ca="1">IFERROR(__xludf.DUMMYFUNCTION("GOOGLETRANSLATE($B382,""en"",J$3)"),"Příchozí Hypergrid je pracovní")</f>
        <v>Příchozí Hypergrid je pracovní</v>
      </c>
      <c r="K382" s="21" t="str">
        <f ca="1">IFERROR(__xludf.DUMMYFUNCTION("GOOGLETRANSLATE($B382,""en"",K$3)"),"传入Hypergrid是工作")</f>
        <v>传入Hypergrid是工作</v>
      </c>
      <c r="L382" s="21" t="str">
        <f ca="1">IFERROR(__xludf.DUMMYFUNCTION("GOOGLETRANSLATE($B382,""en"",L$3)"),"傳入Hypergrid是工作")</f>
        <v>傳入Hypergrid是工作</v>
      </c>
      <c r="M382" s="21" t="str">
        <f ca="1">IFERROR(__xludf.DUMMYFUNCTION("GOOGLETRANSLATE($B382,""en"",M$3)"),"Inkomende HyperGrid werkt")</f>
        <v>Inkomende HyperGrid werkt</v>
      </c>
      <c r="N382" s="21" t="str">
        <f ca="1">IFERROR(__xludf.DUMMYFUNCTION("GOOGLETRANSLATE($B382,""en"",N$3)"),"Εισερχόμενη Hypergrid είναι εργάσιμη")</f>
        <v>Εισερχόμενη Hypergrid είναι εργάσιμη</v>
      </c>
      <c r="O382" s="21" t="str">
        <f ca="1">IFERROR(__xludf.DUMMYFUNCTION("GOOGLETRANSLATE($B382,""en"",O$3)"),"Saapuvat Hypergrid toimii")</f>
        <v>Saapuvat Hypergrid toimii</v>
      </c>
      <c r="P382" s="21" t="str">
        <f ca="1">IFERROR(__xludf.DUMMYFUNCTION("GOOGLETRANSLATE($B382,""en"",P$3)"),"Is Isteach Hypergrid obair")</f>
        <v>Is Isteach Hypergrid obair</v>
      </c>
      <c r="Q382" s="21" t="str">
        <f ca="1">IFERROR(__xludf.DUMMYFUNCTION("GOOGLETRANSLATE($B382,""en"",Q$3)"),"ورودی Hypergrid کارگر است")</f>
        <v>ورودی Hypergrid کارگر است</v>
      </c>
      <c r="R382" s="21" t="str">
        <f ca="1">IFERROR(__xludf.DUMMYFUNCTION("GOOGLETRANSLATE($B382,""en"",R$3)"),"נכנס Hypergrid הוא עובד")</f>
        <v>נכנס Hypergrid הוא עובד</v>
      </c>
      <c r="S382" s="21" t="str">
        <f ca="1">IFERROR(__xludf.DUMMYFUNCTION("GOOGLETRANSLATE($B382,""en"",S$3)"),"Komandi Hypergrid er vinna")</f>
        <v>Komandi Hypergrid er vinna</v>
      </c>
      <c r="T382" s="21" t="str">
        <f ca="1">IFERROR(__xludf.DUMMYFUNCTION("GOOGLETRANSLATE($B382,""en"",T$3)"),"Innkommende Hypergrid er arbeids")</f>
        <v>Innkommende Hypergrid er arbeids</v>
      </c>
      <c r="U382" s="21" t="str">
        <f ca="1">IFERROR(__xludf.DUMMYFUNCTION("GOOGLETRANSLATE($B382,""en"",U$3)"),"الواردة Hypergrid هو العمل")</f>
        <v>الواردة Hypergrid هو العمل</v>
      </c>
      <c r="V382" s="21" t="str">
        <f ca="1">IFERROR(__xludf.DUMMYFUNCTION("GOOGLETRANSLATE($B382,""en"",V$3)"),"Przychodzące Hypergrid pracuje")</f>
        <v>Przychodzące Hypergrid pracuje</v>
      </c>
      <c r="W382" s="21" t="str">
        <f ca="1">IFERROR(__xludf.DUMMYFUNCTION("GOOGLETRANSLATE($B382,""en"",W$3)"),"Входящий Hypergrid работает")</f>
        <v>Входящий Hypergrid работает</v>
      </c>
      <c r="X382" s="21" t="str">
        <f ca="1">IFERROR(__xludf.DUMMYFUNCTION("GOOGLETRANSLATE($B382,""en"",X$3)"),"Hypergrid entrante es de trabajo")</f>
        <v>Hypergrid entrante es de trabajo</v>
      </c>
      <c r="Y382" s="21"/>
      <c r="Z382" s="21"/>
    </row>
    <row r="383" spans="1:26" ht="32.25" customHeight="1" x14ac:dyDescent="0.2">
      <c r="A383" s="17" t="s">
        <v>878</v>
      </c>
      <c r="B383" s="17" t="s">
        <v>879</v>
      </c>
      <c r="C383" s="21" t="str">
        <f ca="1">IFERROR(__xludf.DUMMYFUNCTION("GOOGLETRANSLATE($B383,""en"",C$3)"),"Zunehmende Zeit")</f>
        <v>Zunehmende Zeit</v>
      </c>
      <c r="D383" s="21" t="str">
        <f ca="1">IFERROR(__xludf.DUMMYFUNCTION("GOOGLETRANSLATE($B383,""en"",D$3)"),"Ökande tid till")</f>
        <v>Ökande tid till</v>
      </c>
      <c r="E383" s="21" t="str">
        <f ca="1">IFERROR(__xludf.DUMMYFUNCTION("GOOGLETRANSLATE($B383,""en"",E$3)"),"Aumentando o tempo de")</f>
        <v>Aumentando o tempo de</v>
      </c>
      <c r="F383" s="21" t="str">
        <f ca="1">IFERROR(__xludf.DUMMYFUNCTION("GOOGLETRANSLATE($B383,""en"",F$3)"),"Aumentando o tempo de")</f>
        <v>Aumentando o tempo de</v>
      </c>
      <c r="G383" s="21" t="str">
        <f ca="1">IFERROR(__xludf.DUMMYFUNCTION("GOOGLETRANSLATE($B383,""en"",G$3)"),"L'augmentation du temps de")</f>
        <v>L'augmentation du temps de</v>
      </c>
      <c r="H383" s="21" t="str">
        <f ca="1">IFERROR(__xludf.DUMMYFUNCTION("GOOGLETRANSLATE($B383,""en"",H$3)"),"Areagotzea Denbora")</f>
        <v>Areagotzea Denbora</v>
      </c>
      <c r="I383" s="21" t="str">
        <f ca="1">IFERROR(__xludf.DUMMYFUNCTION("GOOGLETRANSLATE($B383,""en"",I$3)"),"L'augment de el temps de")</f>
        <v>L'augment de el temps de</v>
      </c>
      <c r="J383" s="21" t="str">
        <f ca="1">IFERROR(__xludf.DUMMYFUNCTION("GOOGLETRANSLATE($B383,""en"",J$3)"),"Zvyšování Čas")</f>
        <v>Zvyšování Čas</v>
      </c>
      <c r="K383" s="21" t="str">
        <f ca="1">IFERROR(__xludf.DUMMYFUNCTION("GOOGLETRANSLATE($B383,""en"",K$3)"),"增加时间")</f>
        <v>增加时间</v>
      </c>
      <c r="L383" s="21" t="str">
        <f ca="1">IFERROR(__xludf.DUMMYFUNCTION("GOOGLETRANSLATE($B383,""en"",L$3)"),"增加時間")</f>
        <v>增加時間</v>
      </c>
      <c r="M383" s="21" t="str">
        <f ca="1">IFERROR(__xludf.DUMMYFUNCTION("GOOGLETRANSLATE($B383,""en"",M$3)"),"Toenemende Tijd om")</f>
        <v>Toenemende Tijd om</v>
      </c>
      <c r="N383" s="21" t="str">
        <f ca="1">IFERROR(__xludf.DUMMYFUNCTION("GOOGLETRANSLATE($B383,""en"",N$3)"),"Αύξηση Ώρα να")</f>
        <v>Αύξηση Ώρα να</v>
      </c>
      <c r="O383" s="21" t="str">
        <f ca="1">IFERROR(__xludf.DUMMYFUNCTION("GOOGLETRANSLATE($B383,""en"",O$3)"),"Lisääntyvä Aika")</f>
        <v>Lisääntyvä Aika</v>
      </c>
      <c r="P383" s="21" t="str">
        <f ca="1">IFERROR(__xludf.DUMMYFUNCTION("GOOGLETRANSLATE($B383,""en"",P$3)"),"Méadú Am")</f>
        <v>Méadú Am</v>
      </c>
      <c r="Q383" s="21" t="str">
        <f ca="1">IFERROR(__xludf.DUMMYFUNCTION("GOOGLETRANSLATE($B383,""en"",Q$3)"),"افزایش زمان به")</f>
        <v>افزایش زمان به</v>
      </c>
      <c r="R383" s="21" t="str">
        <f ca="1">IFERROR(__xludf.DUMMYFUNCTION("GOOGLETRANSLATE($B383,""en"",R$3)"),"הגדלת זמן כדי")</f>
        <v>הגדלת זמן כדי</v>
      </c>
      <c r="S383" s="21" t="str">
        <f ca="1">IFERROR(__xludf.DUMMYFUNCTION("GOOGLETRANSLATE($B383,""en"",S$3)"),"Aukning Tími til")</f>
        <v>Aukning Tími til</v>
      </c>
      <c r="T383" s="21" t="str">
        <f ca="1">IFERROR(__xludf.DUMMYFUNCTION("GOOGLETRANSLATE($B383,""en"",T$3)"),"Økende Tid for å")</f>
        <v>Økende Tid for å</v>
      </c>
      <c r="U383" s="21" t="str">
        <f ca="1">IFERROR(__xludf.DUMMYFUNCTION("GOOGLETRANSLATE($B383,""en"",U$3)"),"زيادة الوقت ل")</f>
        <v>زيادة الوقت ل</v>
      </c>
      <c r="V383" s="21" t="str">
        <f ca="1">IFERROR(__xludf.DUMMYFUNCTION("GOOGLETRANSLATE($B383,""en"",V$3)"),"Zwiększenie Czas")</f>
        <v>Zwiększenie Czas</v>
      </c>
      <c r="W383" s="21" t="str">
        <f ca="1">IFERROR(__xludf.DUMMYFUNCTION("GOOGLETRANSLATE($B383,""en"",W$3)"),"Увеличение времени для")</f>
        <v>Увеличение времени для</v>
      </c>
      <c r="X383" s="21" t="str">
        <f ca="1">IFERROR(__xludf.DUMMYFUNCTION("GOOGLETRANSLATE($B383,""en"",X$3)"),"El aumento del tiempo de")</f>
        <v>El aumento del tiempo de</v>
      </c>
      <c r="Y383" s="21"/>
      <c r="Z383" s="21"/>
    </row>
    <row r="384" spans="1:26" ht="32.25" customHeight="1" x14ac:dyDescent="0.2">
      <c r="A384" s="17" t="s">
        <v>880</v>
      </c>
      <c r="B384" s="17" t="s">
        <v>881</v>
      </c>
      <c r="C384" s="21" t="str">
        <f ca="1">IFERROR(__xludf.DUMMYFUNCTION("GOOGLETRANSLATE($B384,""en"",C$3)"),"Die Info")</f>
        <v>Die Info</v>
      </c>
      <c r="D384" s="21" t="str">
        <f ca="1">IFERROR(__xludf.DUMMYFUNCTION("GOOGLETRANSLATE($B384,""en"",D$3)"),"Info")</f>
        <v>Info</v>
      </c>
      <c r="E384" s="21" t="str">
        <f ca="1">IFERROR(__xludf.DUMMYFUNCTION("GOOGLETRANSLATE($B384,""en"",E$3)"),"informações")</f>
        <v>informações</v>
      </c>
      <c r="F384" s="21" t="str">
        <f ca="1">IFERROR(__xludf.DUMMYFUNCTION("GOOGLETRANSLATE($B384,""en"",F$3)"),"informações")</f>
        <v>informações</v>
      </c>
      <c r="G384" s="21" t="str">
        <f ca="1">IFERROR(__xludf.DUMMYFUNCTION("GOOGLETRANSLATE($B384,""en"",G$3)"),"Info")</f>
        <v>Info</v>
      </c>
      <c r="H384" s="21" t="str">
        <f ca="1">IFERROR(__xludf.DUMMYFUNCTION("GOOGLETRANSLATE($B384,""en"",H$3)"),"info")</f>
        <v>info</v>
      </c>
      <c r="I384" s="21" t="str">
        <f ca="1">IFERROR(__xludf.DUMMYFUNCTION("GOOGLETRANSLATE($B384,""en"",I$3)"),"informació")</f>
        <v>informació</v>
      </c>
      <c r="J384" s="21" t="str">
        <f ca="1">IFERROR(__xludf.DUMMYFUNCTION("GOOGLETRANSLATE($B384,""en"",J$3)"),"Info")</f>
        <v>Info</v>
      </c>
      <c r="K384" s="21" t="str">
        <f ca="1">IFERROR(__xludf.DUMMYFUNCTION("GOOGLETRANSLATE($B384,""en"",K$3)"),"信息")</f>
        <v>信息</v>
      </c>
      <c r="L384" s="21" t="str">
        <f ca="1">IFERROR(__xludf.DUMMYFUNCTION("GOOGLETRANSLATE($B384,""en"",L$3)"),"信息")</f>
        <v>信息</v>
      </c>
      <c r="M384" s="21" t="str">
        <f ca="1">IFERROR(__xludf.DUMMYFUNCTION("GOOGLETRANSLATE($B384,""en"",M$3)"),"info")</f>
        <v>info</v>
      </c>
      <c r="N384" s="21" t="str">
        <f ca="1">IFERROR(__xludf.DUMMYFUNCTION("GOOGLETRANSLATE($B384,""en"",N$3)"),"Πληροφορίες")</f>
        <v>Πληροφορίες</v>
      </c>
      <c r="O384" s="21" t="str">
        <f ca="1">IFERROR(__xludf.DUMMYFUNCTION("GOOGLETRANSLATE($B384,""en"",O$3)"),"Tiedot")</f>
        <v>Tiedot</v>
      </c>
      <c r="P384" s="21" t="str">
        <f ca="1">IFERROR(__xludf.DUMMYFUNCTION("GOOGLETRANSLATE($B384,""en"",P$3)"),"Eolas")</f>
        <v>Eolas</v>
      </c>
      <c r="Q384" s="21" t="str">
        <f ca="1">IFERROR(__xludf.DUMMYFUNCTION("GOOGLETRANSLATE($B384,""en"",Q$3)"),"اطلاعات")</f>
        <v>اطلاعات</v>
      </c>
      <c r="R384" s="21" t="str">
        <f ca="1">IFERROR(__xludf.DUMMYFUNCTION("GOOGLETRANSLATE($B384,""en"",R$3)"),"מידע")</f>
        <v>מידע</v>
      </c>
      <c r="S384" s="21" t="str">
        <f ca="1">IFERROR(__xludf.DUMMYFUNCTION("GOOGLETRANSLATE($B384,""en"",S$3)"),"upplýsingar")</f>
        <v>upplýsingar</v>
      </c>
      <c r="T384" s="21" t="str">
        <f ca="1">IFERROR(__xludf.DUMMYFUNCTION("GOOGLETRANSLATE($B384,""en"",T$3)"),"info")</f>
        <v>info</v>
      </c>
      <c r="U384" s="21" t="str">
        <f ca="1">IFERROR(__xludf.DUMMYFUNCTION("GOOGLETRANSLATE($B384,""en"",U$3)"),"معلومات")</f>
        <v>معلومات</v>
      </c>
      <c r="V384" s="21" t="str">
        <f ca="1">IFERROR(__xludf.DUMMYFUNCTION("GOOGLETRANSLATE($B384,""en"",V$3)"),"Info")</f>
        <v>Info</v>
      </c>
      <c r="W384" s="21" t="str">
        <f ca="1">IFERROR(__xludf.DUMMYFUNCTION("GOOGLETRANSLATE($B384,""en"",W$3)"),"Информация")</f>
        <v>Информация</v>
      </c>
      <c r="X384" s="21" t="str">
        <f ca="1">IFERROR(__xludf.DUMMYFUNCTION("GOOGLETRANSLATE($B384,""en"",X$3)"),"información")</f>
        <v>información</v>
      </c>
      <c r="Y384" s="21"/>
      <c r="Z384" s="21"/>
    </row>
    <row r="385" spans="1:26" ht="32.25" customHeight="1" x14ac:dyDescent="0.2">
      <c r="A385" s="17" t="s">
        <v>882</v>
      </c>
      <c r="B385" s="17" t="s">
        <v>883</v>
      </c>
      <c r="C385" s="21" t="str">
        <f ca="1">IFERROR(__xludf.DUMMYFUNCTION("GOOGLETRANSLATE($B385,""en"",C$3)"),"Information")</f>
        <v>Information</v>
      </c>
      <c r="D385" s="21" t="str">
        <f ca="1">IFERROR(__xludf.DUMMYFUNCTION("GOOGLETRANSLATE($B385,""en"",D$3)"),"Information")</f>
        <v>Information</v>
      </c>
      <c r="E385" s="21" t="str">
        <f ca="1">IFERROR(__xludf.DUMMYFUNCTION("GOOGLETRANSLATE($B385,""en"",E$3)"),"Em formação")</f>
        <v>Em formação</v>
      </c>
      <c r="F385" s="21" t="str">
        <f ca="1">IFERROR(__xludf.DUMMYFUNCTION("GOOGLETRANSLATE($B385,""en"",F$3)"),"Em formação")</f>
        <v>Em formação</v>
      </c>
      <c r="G385" s="21" t="str">
        <f ca="1">IFERROR(__xludf.DUMMYFUNCTION("GOOGLETRANSLATE($B385,""en"",G$3)"),"Information")</f>
        <v>Information</v>
      </c>
      <c r="H385" s="21" t="str">
        <f ca="1">IFERROR(__xludf.DUMMYFUNCTION("GOOGLETRANSLATE($B385,""en"",H$3)"),"informazioa")</f>
        <v>informazioa</v>
      </c>
      <c r="I385" s="21" t="str">
        <f ca="1">IFERROR(__xludf.DUMMYFUNCTION("GOOGLETRANSLATE($B385,""en"",I$3)"),"informació")</f>
        <v>informació</v>
      </c>
      <c r="J385" s="21" t="str">
        <f ca="1">IFERROR(__xludf.DUMMYFUNCTION("GOOGLETRANSLATE($B385,""en"",J$3)"),"Informace")</f>
        <v>Informace</v>
      </c>
      <c r="K385" s="21" t="str">
        <f ca="1">IFERROR(__xludf.DUMMYFUNCTION("GOOGLETRANSLATE($B385,""en"",K$3)"),"信息")</f>
        <v>信息</v>
      </c>
      <c r="L385" s="21" t="str">
        <f ca="1">IFERROR(__xludf.DUMMYFUNCTION("GOOGLETRANSLATE($B385,""en"",L$3)"),"信息")</f>
        <v>信息</v>
      </c>
      <c r="M385" s="21" t="str">
        <f ca="1">IFERROR(__xludf.DUMMYFUNCTION("GOOGLETRANSLATE($B385,""en"",M$3)"),"Informatie")</f>
        <v>Informatie</v>
      </c>
      <c r="N385" s="21" t="str">
        <f ca="1">IFERROR(__xludf.DUMMYFUNCTION("GOOGLETRANSLATE($B385,""en"",N$3)"),"Πληροφορίες")</f>
        <v>Πληροφορίες</v>
      </c>
      <c r="O385" s="21" t="str">
        <f ca="1">IFERROR(__xludf.DUMMYFUNCTION("GOOGLETRANSLATE($B385,""en"",O$3)"),"Tiedot")</f>
        <v>Tiedot</v>
      </c>
      <c r="P385" s="21" t="str">
        <f ca="1">IFERROR(__xludf.DUMMYFUNCTION("GOOGLETRANSLATE($B385,""en"",P$3)"),"Eolas")</f>
        <v>Eolas</v>
      </c>
      <c r="Q385" s="21" t="str">
        <f ca="1">IFERROR(__xludf.DUMMYFUNCTION("GOOGLETRANSLATE($B385,""en"",Q$3)"),"اطلاعات")</f>
        <v>اطلاعات</v>
      </c>
      <c r="R385" s="21" t="str">
        <f ca="1">IFERROR(__xludf.DUMMYFUNCTION("GOOGLETRANSLATE($B385,""en"",R$3)"),"מֵידָע")</f>
        <v>מֵידָע</v>
      </c>
      <c r="S385" s="21" t="str">
        <f ca="1">IFERROR(__xludf.DUMMYFUNCTION("GOOGLETRANSLATE($B385,""en"",S$3)"),"upplýsingar")</f>
        <v>upplýsingar</v>
      </c>
      <c r="T385" s="21" t="str">
        <f ca="1">IFERROR(__xludf.DUMMYFUNCTION("GOOGLETRANSLATE($B385,""en"",T$3)"),"Informasjon")</f>
        <v>Informasjon</v>
      </c>
      <c r="U385" s="21" t="str">
        <f ca="1">IFERROR(__xludf.DUMMYFUNCTION("GOOGLETRANSLATE($B385,""en"",U$3)"),"معلومات")</f>
        <v>معلومات</v>
      </c>
      <c r="V385" s="21" t="str">
        <f ca="1">IFERROR(__xludf.DUMMYFUNCTION("GOOGLETRANSLATE($B385,""en"",V$3)"),"Informacja")</f>
        <v>Informacja</v>
      </c>
      <c r="W385" s="21" t="str">
        <f ca="1">IFERROR(__xludf.DUMMYFUNCTION("GOOGLETRANSLATE($B385,""en"",W$3)"),"Информация")</f>
        <v>Информация</v>
      </c>
      <c r="X385" s="21" t="str">
        <f ca="1">IFERROR(__xludf.DUMMYFUNCTION("GOOGLETRANSLATE($B385,""en"",X$3)"),"Información")</f>
        <v>Información</v>
      </c>
      <c r="Y385" s="21"/>
      <c r="Z385" s="21"/>
    </row>
    <row r="386" spans="1:26" ht="32.25" customHeight="1" x14ac:dyDescent="0.2">
      <c r="A386" s="17" t="s">
        <v>884</v>
      </c>
      <c r="B386" s="17" t="s">
        <v>885</v>
      </c>
      <c r="C386" s="21" t="str">
        <f ca="1">IFERROR(__xludf.DUMMYFUNCTION("GOOGLETRANSLATE($B386,""en"",C$3)"),"INI-Dateien (* .ini) | ini | Alle Dateien (*. *) | *. *")</f>
        <v>INI-Dateien (* .ini) | ini | Alle Dateien (*. *) | *. *</v>
      </c>
      <c r="D386" s="21" t="str">
        <f ca="1">IFERROR(__xludf.DUMMYFUNCTION("GOOGLETRANSLATE($B386,""en"",D$3)"),"ini-filer (* .ini) | * INI | Alla filer (*.) | *. *")</f>
        <v>ini-filer (* .ini) | * INI | Alla filer (*.) | *. *</v>
      </c>
      <c r="E386" s="21" t="str">
        <f ca="1">IFERROR(__xludf.DUMMYFUNCTION("GOOGLETRANSLATE($B386,""en"",E$3)"),"ini (* .ini) | * ini | Todos os arquivos (*. *) | *. *")</f>
        <v>ini (* .ini) | * ini | Todos os arquivos (*. *) | *. *</v>
      </c>
      <c r="F386" s="21" t="str">
        <f ca="1">IFERROR(__xludf.DUMMYFUNCTION("GOOGLETRANSLATE($B386,""en"",F$3)"),"ini (* .ini) | * ini | Todos os arquivos (*. *) | *. *")</f>
        <v>ini (* .ini) | * ini | Todos os arquivos (*. *) | *. *</v>
      </c>
      <c r="G386" s="21" t="str">
        <f ca="1">IFERROR(__xludf.DUMMYFUNCTION("GOOGLETRANSLATE($B386,""en"",G$3)"),"fichiers ini (* .ini) | * .ini | Tous les fichiers (*. *) | *. *")</f>
        <v>fichiers ini (* .ini) | * .ini | Tous les fichiers (*. *) | *. *</v>
      </c>
      <c r="H386" s="21" t="str">
        <f ca="1">IFERROR(__xludf.DUMMYFUNCTION("GOOGLETRANSLATE($B386,""en"",H$3)"),"ini fitxategiak (* .ini) | * .ini | Fitxategi guztiak (*.) | *. *")</f>
        <v>ini fitxategiak (* .ini) | * .ini | Fitxategi guztiak (*.) | *. *</v>
      </c>
      <c r="I386" s="21" t="str">
        <f ca="1">IFERROR(__xludf.DUMMYFUNCTION("GOOGLETRANSLATE($B386,""en"",I$3)"),"arxius ini (* .ini) | * | Tots els arxius ini (*. *) | *. *")</f>
        <v>arxius ini (* .ini) | * | Tots els arxius ini (*. *) | *. *</v>
      </c>
      <c r="J386" s="21" t="str">
        <f ca="1">IFERROR(__xludf.DUMMYFUNCTION("GOOGLETRANSLATE($B386,""en"",J$3)"),"ini soubory (* .ini) | * .ini | Všechny soubory (*. *) | *. *")</f>
        <v>ini soubory (* .ini) | * .ini | Všechny soubory (*. *) | *. *</v>
      </c>
      <c r="K386" s="21" t="str">
        <f ca="1">IFERROR(__xludf.DUMMYFUNCTION("GOOGLETRANSLATE($B386,""en"",K$3)"),"INI文件（* .INI）| *的.ini |所有文件（*。*）| *。*")</f>
        <v>INI文件（* .INI）| *的.ini |所有文件（*。*）| *。*</v>
      </c>
      <c r="L386" s="21" t="str">
        <f ca="1">IFERROR(__xludf.DUMMYFUNCTION("GOOGLETRANSLATE($B386,""en"",L$3)"),"INI文件（* .INI）| *的.ini |所有文件（*。*）| *。*")</f>
        <v>INI文件（* .INI）| *的.ini |所有文件（*。*）| *。*</v>
      </c>
      <c r="M386" s="21" t="str">
        <f ca="1">IFERROR(__xludf.DUMMYFUNCTION("GOOGLETRANSLATE($B386,""en"",M$3)"),"ini-bestanden (* .ini) | * .ini | Alle bestanden (*. *) | *. *")</f>
        <v>ini-bestanden (* .ini) | * .ini | Alle bestanden (*. *) | *. *</v>
      </c>
      <c r="N386" s="21" t="str">
        <f ca="1">IFERROR(__xludf.DUMMYFUNCTION("GOOGLETRANSLATE($B386,""en"",N$3)"),"ini αρχεία (* .ini) | * .ini | Όλα τα αρχεία (*. *) | *. *")</f>
        <v>ini αρχεία (* .ini) | * .ini | Όλα τα αρχεία (*. *) | *. *</v>
      </c>
      <c r="O386" s="21" t="str">
        <f ca="1">IFERROR(__xludf.DUMMYFUNCTION("GOOGLETRANSLATE($B386,""en"",O$3)"),"ini-tiedostot (* .ini) | * .ini | Kaikki tiedostot (*. *) | *. *")</f>
        <v>ini-tiedostot (* .ini) | * .ini | Kaikki tiedostot (*. *) | *. *</v>
      </c>
      <c r="P386" s="21" t="str">
        <f ca="1">IFERROR(__xludf.DUMMYFUNCTION("GOOGLETRANSLATE($B386,""en"",P$3)"),"Comhaid INI (* .ini) | * .ini | Gach comhad (* *.) |. * *")</f>
        <v>Comhaid INI (* .ini) | * .ini | Gach comhad (* *.) |. * *</v>
      </c>
      <c r="Q386" s="21" t="str">
        <f ca="1">IFERROR(__xludf.DUMMYFUNCTION("GOOGLETRANSLATE($B386,""en"",Q$3)"),"فایل های ini (* .INI) | * .INI | تمام فایل (*. *) | *. *")</f>
        <v>فایل های ini (* .INI) | * .INI | تمام فایل (*. *) | *. *</v>
      </c>
      <c r="R386" s="21" t="str">
        <f ca="1">IFERROR(__xludf.DUMMYFUNCTION("GOOGLETRANSLATE($B386,""en"",R$3)"),"קבצי INI (* .ini) | * .ini | כל הקבצים (*. *) |. * *")</f>
        <v>קבצי INI (* .ini) | * .ini | כל הקבצים (*. *) |. * *</v>
      </c>
      <c r="S386" s="21" t="str">
        <f ca="1">IFERROR(__xludf.DUMMYFUNCTION("GOOGLETRANSLATE($B386,""en"",S$3)"),"INI skrár (* .ini) | * .ini | Allar skrár (*. *) |. * *")</f>
        <v>INI skrár (* .ini) | * .ini | Allar skrár (*. *) |. * *</v>
      </c>
      <c r="T386" s="21" t="str">
        <f ca="1">IFERROR(__xludf.DUMMYFUNCTION("GOOGLETRANSLATE($B386,""en"",T$3)"),"INI-filer (* .ini) | * INI | Alle filer (*. *) | *. *")</f>
        <v>INI-filer (* .ini) | * INI | Alle filer (*. *) | *. *</v>
      </c>
      <c r="U386" s="21" t="str">
        <f ca="1">IFERROR(__xludf.DUMMYFUNCTION("GOOGLETRANSLATE($B386,""en"",U$3)"),"ملفات INI (* .INI) | * .INI | جميع الملفات (*. *) | *. *")</f>
        <v>ملفات INI (* .INI) | * .INI | جميع الملفات (*. *) | *. *</v>
      </c>
      <c r="V386" s="21" t="str">
        <f ca="1">IFERROR(__xludf.DUMMYFUNCTION("GOOGLETRANSLATE($B386,""en"",V$3)"),"pliki INI (* .ini) | * .ini | Wszystkie pliki (*. *) | *. *")</f>
        <v>pliki INI (* .ini) | * .ini | Wszystkie pliki (*. *) | *. *</v>
      </c>
      <c r="W386" s="21" t="str">
        <f ca="1">IFERROR(__xludf.DUMMYFUNCTION("GOOGLETRANSLATE($B386,""en"",W$3)"),"INI-файлы (* .ini) | * .ini | Все файлы (*. *) | *. *")</f>
        <v>INI-файлы (* .ini) | * .ini | Все файлы (*. *) | *. *</v>
      </c>
      <c r="X386" s="21" t="str">
        <f ca="1">IFERROR(__xludf.DUMMYFUNCTION("GOOGLETRANSLATE($B386,""en"",X$3)"),"archivos ini (* .ini) | * | Todos los archivos ini (*. *) | *. *")</f>
        <v>archivos ini (* .ini) | * | Todos los archivos ini (*. *) | *. *</v>
      </c>
      <c r="Y386" s="21"/>
      <c r="Z386" s="21"/>
    </row>
    <row r="387" spans="1:26" ht="32.25" customHeight="1" x14ac:dyDescent="0.2">
      <c r="A387" s="17" t="s">
        <v>886</v>
      </c>
      <c r="B387" s="17" t="s">
        <v>887</v>
      </c>
      <c r="C387" s="21" t="str">
        <f ca="1">IFERROR(__xludf.DUMMYFUNCTION("GOOGLETRANSLATE($B387,""en"",C$3)"),"Installation von Desktop-Symbol")</f>
        <v>Installation von Desktop-Symbol</v>
      </c>
      <c r="D387" s="21" t="str">
        <f ca="1">IFERROR(__xludf.DUMMYFUNCTION("GOOGLETRANSLATE($B387,""en"",D$3)"),"Installera Desktop-ikonen")</f>
        <v>Installera Desktop-ikonen</v>
      </c>
      <c r="E387" s="21" t="str">
        <f ca="1">IFERROR(__xludf.DUMMYFUNCTION("GOOGLETRANSLATE($B387,""en"",E$3)"),"Instalar o Google Desktop ícone")</f>
        <v>Instalar o Google Desktop ícone</v>
      </c>
      <c r="F387" s="21" t="str">
        <f ca="1">IFERROR(__xludf.DUMMYFUNCTION("GOOGLETRANSLATE($B387,""en"",F$3)"),"Instalar o Google Desktop ícone")</f>
        <v>Instalar o Google Desktop ícone</v>
      </c>
      <c r="G387" s="21" t="str">
        <f ca="1">IFERROR(__xludf.DUMMYFUNCTION("GOOGLETRANSLATE($B387,""en"",G$3)"),"Installation icône du bureau")</f>
        <v>Installation icône du bureau</v>
      </c>
      <c r="H387" s="21" t="str">
        <f ca="1">IFERROR(__xludf.DUMMYFUNCTION("GOOGLETRANSLATE($B387,""en"",H$3)"),"Desktop ikonoa instalatzen")</f>
        <v>Desktop ikonoa instalatzen</v>
      </c>
      <c r="I387" s="21" t="str">
        <f ca="1">IFERROR(__xludf.DUMMYFUNCTION("GOOGLETRANSLATE($B387,""en"",I$3)"),"Instal·lació icona de l'escriptori")</f>
        <v>Instal·lació icona de l'escriptori</v>
      </c>
      <c r="J387" s="21" t="str">
        <f ca="1">IFERROR(__xludf.DUMMYFUNCTION("GOOGLETRANSLATE($B387,""en"",J$3)"),"Instalace ikonu aplikace Google Desktop")</f>
        <v>Instalace ikonu aplikace Google Desktop</v>
      </c>
      <c r="K387" s="21" t="str">
        <f ca="1">IFERROR(__xludf.DUMMYFUNCTION("GOOGLETRANSLATE($B387,""en"",K$3)"),"安装Google桌面图标")</f>
        <v>安装Google桌面图标</v>
      </c>
      <c r="L387" s="21" t="str">
        <f ca="1">IFERROR(__xludf.DUMMYFUNCTION("GOOGLETRANSLATE($B387,""en"",L$3)"),"安裝Google桌面圖標")</f>
        <v>安裝Google桌面圖標</v>
      </c>
      <c r="M387" s="21" t="str">
        <f ca="1">IFERROR(__xludf.DUMMYFUNCTION("GOOGLETRANSLATE($B387,""en"",M$3)"),"Google Desktop installeren icoon")</f>
        <v>Google Desktop installeren icoon</v>
      </c>
      <c r="N387" s="21" t="str">
        <f ca="1">IFERROR(__xludf.DUMMYFUNCTION("GOOGLETRANSLATE($B387,""en"",N$3)"),"Εγκατάσταση εικονίδιο Desktop")</f>
        <v>Εγκατάσταση εικονίδιο Desktop</v>
      </c>
      <c r="O387" s="21" t="str">
        <f ca="1">IFERROR(__xludf.DUMMYFUNCTION("GOOGLETRANSLATE($B387,""en"",O$3)"),"Asentaminen työpöydän kuvakkeesta")</f>
        <v>Asentaminen työpöydän kuvakkeesta</v>
      </c>
      <c r="P387" s="21" t="str">
        <f ca="1">IFERROR(__xludf.DUMMYFUNCTION("GOOGLETRANSLATE($B387,""en"",P$3)"),"Shuiteáil icon Deisce")</f>
        <v>Shuiteáil icon Deisce</v>
      </c>
      <c r="Q387" s="21" t="str">
        <f ca="1">IFERROR(__xludf.DUMMYFUNCTION("GOOGLETRANSLATE($B387,""en"",Q$3)"),"نصب آیکون دسکتاپ")</f>
        <v>نصب آیکون دسکتاپ</v>
      </c>
      <c r="R387" s="21" t="str">
        <f ca="1">IFERROR(__xludf.DUMMYFUNCTION("GOOGLETRANSLATE($B387,""en"",R$3)"),"התקנת סמל Desktop")</f>
        <v>התקנת סמל Desktop</v>
      </c>
      <c r="S387" s="21" t="str">
        <f ca="1">IFERROR(__xludf.DUMMYFUNCTION("GOOGLETRANSLATE($B387,""en"",S$3)"),"Uppsetning skjáborðstengingu")</f>
        <v>Uppsetning skjáborðstengingu</v>
      </c>
      <c r="T387" s="21" t="str">
        <f ca="1">IFERROR(__xludf.DUMMYFUNCTION("GOOGLETRANSLATE($B387,""en"",T$3)"),"Installere Desktop-ikonet")</f>
        <v>Installere Desktop-ikonet</v>
      </c>
      <c r="U387" s="21" t="str">
        <f ca="1">IFERROR(__xludf.DUMMYFUNCTION("GOOGLETRANSLATE($B387,""en"",U$3)"),"تثبيت رمز سطح المكتب")</f>
        <v>تثبيت رمز سطح المكتب</v>
      </c>
      <c r="V387" s="21" t="str">
        <f ca="1">IFERROR(__xludf.DUMMYFUNCTION("GOOGLETRANSLATE($B387,""en"",V$3)"),"Instalacja ikony pulpitu")</f>
        <v>Instalacja ikony pulpitu</v>
      </c>
      <c r="W387" s="21" t="str">
        <f ca="1">IFERROR(__xludf.DUMMYFUNCTION("GOOGLETRANSLATE($B387,""en"",W$3)"),"Установка значка рабочего стола")</f>
        <v>Установка значка рабочего стола</v>
      </c>
      <c r="X387" s="21" t="str">
        <f ca="1">IFERROR(__xludf.DUMMYFUNCTION("GOOGLETRANSLATE($B387,""en"",X$3)"),"Instalación icono del escritorio")</f>
        <v>Instalación icono del escritorio</v>
      </c>
      <c r="Y387" s="21"/>
      <c r="Z387" s="21"/>
    </row>
    <row r="388" spans="1:26" ht="32.25" customHeight="1" x14ac:dyDescent="0.2">
      <c r="A388" s="17" t="s">
        <v>888</v>
      </c>
      <c r="B388" s="17" t="s">
        <v>889</v>
      </c>
      <c r="C388" s="21" t="str">
        <f ca="1">IFERROR(__xludf.DUMMYFUNCTION("GOOGLETRANSLATE($B388,""en"",C$3)"),"Installieren")</f>
        <v>Installieren</v>
      </c>
      <c r="D388" s="21" t="str">
        <f ca="1">IFERROR(__xludf.DUMMYFUNCTION("GOOGLETRANSLATE($B388,""en"",D$3)"),"Installera")</f>
        <v>Installera</v>
      </c>
      <c r="E388" s="21" t="str">
        <f ca="1">IFERROR(__xludf.DUMMYFUNCTION("GOOGLETRANSLATE($B388,""en"",E$3)"),"Instalar")</f>
        <v>Instalar</v>
      </c>
      <c r="F388" s="21" t="str">
        <f ca="1">IFERROR(__xludf.DUMMYFUNCTION("GOOGLETRANSLATE($B388,""en"",F$3)"),"Instalar")</f>
        <v>Instalar</v>
      </c>
      <c r="G388" s="21" t="str">
        <f ca="1">IFERROR(__xludf.DUMMYFUNCTION("GOOGLETRANSLATE($B388,""en"",G$3)"),"Installer")</f>
        <v>Installer</v>
      </c>
      <c r="H388" s="21" t="str">
        <f ca="1">IFERROR(__xludf.DUMMYFUNCTION("GOOGLETRANSLATE($B388,""en"",H$3)"),"Instalatu")</f>
        <v>Instalatu</v>
      </c>
      <c r="I388" s="21" t="str">
        <f ca="1">IFERROR(__xludf.DUMMYFUNCTION("GOOGLETRANSLATE($B388,""en"",I$3)"),"instal·lar")</f>
        <v>instal·lar</v>
      </c>
      <c r="J388" s="21" t="str">
        <f ca="1">IFERROR(__xludf.DUMMYFUNCTION("GOOGLETRANSLATE($B388,""en"",J$3)"),"Nainstalujte")</f>
        <v>Nainstalujte</v>
      </c>
      <c r="K388" s="21" t="str">
        <f ca="1">IFERROR(__xludf.DUMMYFUNCTION("GOOGLETRANSLATE($B388,""en"",K$3)"),"安装")</f>
        <v>安装</v>
      </c>
      <c r="L388" s="21" t="str">
        <f ca="1">IFERROR(__xludf.DUMMYFUNCTION("GOOGLETRANSLATE($B388,""en"",L$3)"),"安裝")</f>
        <v>安裝</v>
      </c>
      <c r="M388" s="21" t="str">
        <f ca="1">IFERROR(__xludf.DUMMYFUNCTION("GOOGLETRANSLATE($B388,""en"",M$3)"),"Installeren")</f>
        <v>Installeren</v>
      </c>
      <c r="N388" s="21" t="str">
        <f ca="1">IFERROR(__xludf.DUMMYFUNCTION("GOOGLETRANSLATE($B388,""en"",N$3)"),"Εγκαθιστώ")</f>
        <v>Εγκαθιστώ</v>
      </c>
      <c r="O388" s="21" t="str">
        <f ca="1">IFERROR(__xludf.DUMMYFUNCTION("GOOGLETRANSLATE($B388,""en"",O$3)"),"Asentaa")</f>
        <v>Asentaa</v>
      </c>
      <c r="P388" s="21" t="str">
        <f ca="1">IFERROR(__xludf.DUMMYFUNCTION("GOOGLETRANSLATE($B388,""en"",P$3)"),"Suiteáil")</f>
        <v>Suiteáil</v>
      </c>
      <c r="Q388" s="21" t="str">
        <f ca="1">IFERROR(__xludf.DUMMYFUNCTION("GOOGLETRANSLATE($B388,""en"",Q$3)"),"نصب")</f>
        <v>نصب</v>
      </c>
      <c r="R388" s="21" t="str">
        <f ca="1">IFERROR(__xludf.DUMMYFUNCTION("GOOGLETRANSLATE($B388,""en"",R$3)"),"להתקין")</f>
        <v>להתקין</v>
      </c>
      <c r="S388" s="21" t="str">
        <f ca="1">IFERROR(__xludf.DUMMYFUNCTION("GOOGLETRANSLATE($B388,""en"",S$3)"),"setja upp")</f>
        <v>setja upp</v>
      </c>
      <c r="T388" s="21" t="str">
        <f ca="1">IFERROR(__xludf.DUMMYFUNCTION("GOOGLETRANSLATE($B388,""en"",T$3)"),"Installere")</f>
        <v>Installere</v>
      </c>
      <c r="U388" s="21" t="str">
        <f ca="1">IFERROR(__xludf.DUMMYFUNCTION("GOOGLETRANSLATE($B388,""en"",U$3)"),"تثبيت")</f>
        <v>تثبيت</v>
      </c>
      <c r="V388" s="21" t="str">
        <f ca="1">IFERROR(__xludf.DUMMYFUNCTION("GOOGLETRANSLATE($B388,""en"",V$3)"),"zainstalować")</f>
        <v>zainstalować</v>
      </c>
      <c r="W388" s="21" t="str">
        <f ca="1">IFERROR(__xludf.DUMMYFUNCTION("GOOGLETRANSLATE($B388,""en"",W$3)"),"устанавливать")</f>
        <v>устанавливать</v>
      </c>
      <c r="X388" s="21" t="str">
        <f ca="1">IFERROR(__xludf.DUMMYFUNCTION("GOOGLETRANSLATE($B388,""en"",X$3)"),"Instalar en pc")</f>
        <v>Instalar en pc</v>
      </c>
      <c r="Y388" s="21"/>
      <c r="Z388" s="21"/>
    </row>
    <row r="389" spans="1:26" ht="32.25" customHeight="1" x14ac:dyDescent="0.2">
      <c r="A389" s="17" t="s">
        <v>890</v>
      </c>
      <c r="B389" s="17" t="s">
        <v>891</v>
      </c>
      <c r="C389" s="21" t="str">
        <f ca="1">IFERROR(__xludf.DUMMYFUNCTION("GOOGLETRANSLATE($B389,""en"",C$3)"),"Installieren Sie C ++ Runtimes")</f>
        <v>Installieren Sie C ++ Runtimes</v>
      </c>
      <c r="D389" s="21" t="str">
        <f ca="1">IFERROR(__xludf.DUMMYFUNCTION("GOOGLETRANSLATE($B389,""en"",D$3)"),"Installera C ++ Runtimes")</f>
        <v>Installera C ++ Runtimes</v>
      </c>
      <c r="E389" s="21" t="str">
        <f ca="1">IFERROR(__xludf.DUMMYFUNCTION("GOOGLETRANSLATE($B389,""en"",E$3)"),"Instalar C ++ tempos de execução")</f>
        <v>Instalar C ++ tempos de execução</v>
      </c>
      <c r="F389" s="21" t="str">
        <f ca="1">IFERROR(__xludf.DUMMYFUNCTION("GOOGLETRANSLATE($B389,""en"",F$3)"),"Instalar C ++ tempos de execução")</f>
        <v>Instalar C ++ tempos de execução</v>
      </c>
      <c r="G389" s="21" t="str">
        <f ca="1">IFERROR(__xludf.DUMMYFUNCTION("GOOGLETRANSLATE($B389,""en"",G$3)"),"Installer C ++ runtimes")</f>
        <v>Installer C ++ runtimes</v>
      </c>
      <c r="H389" s="21" t="str">
        <f ca="1">IFERROR(__xludf.DUMMYFUNCTION("GOOGLETRANSLATE($B389,""en"",H$3)"),"Instalatu C ++ Runtimes")</f>
        <v>Instalatu C ++ Runtimes</v>
      </c>
      <c r="I389" s="21" t="str">
        <f ca="1">IFERROR(__xludf.DUMMYFUNCTION("GOOGLETRANSLATE($B389,""en"",I$3)"),"Instal·lar C ++ runtimes")</f>
        <v>Instal·lar C ++ runtimes</v>
      </c>
      <c r="J389" s="21" t="str">
        <f ca="1">IFERROR(__xludf.DUMMYFUNCTION("GOOGLETRANSLATE($B389,""en"",J$3)"),"Instalace C ++ Runtime")</f>
        <v>Instalace C ++ Runtime</v>
      </c>
      <c r="K389" s="21" t="str">
        <f ca="1">IFERROR(__xludf.DUMMYFUNCTION("GOOGLETRANSLATE($B389,""en"",K$3)"),"安装C ++运行时")</f>
        <v>安装C ++运行时</v>
      </c>
      <c r="L389" s="21" t="str">
        <f ca="1">IFERROR(__xludf.DUMMYFUNCTION("GOOGLETRANSLATE($B389,""en"",L$3)"),"安裝C ++運行時")</f>
        <v>安裝C ++運行時</v>
      </c>
      <c r="M389" s="21" t="str">
        <f ca="1">IFERROR(__xludf.DUMMYFUNCTION("GOOGLETRANSLATE($B389,""en"",M$3)"),"Installeer C ++ Runtimes")</f>
        <v>Installeer C ++ Runtimes</v>
      </c>
      <c r="N389" s="21" t="str">
        <f ca="1">IFERROR(__xludf.DUMMYFUNCTION("GOOGLETRANSLATE($B389,""en"",N$3)"),"Εγκατάσταση C ++ Runtimes")</f>
        <v>Εγκατάσταση C ++ Runtimes</v>
      </c>
      <c r="O389" s="21" t="str">
        <f ca="1">IFERROR(__xludf.DUMMYFUNCTION("GOOGLETRANSLATE($B389,""en"",O$3)"),"Asenna C ++ Runtimes")</f>
        <v>Asenna C ++ Runtimes</v>
      </c>
      <c r="P389" s="21" t="str">
        <f ca="1">IFERROR(__xludf.DUMMYFUNCTION("GOOGLETRANSLATE($B389,""en"",P$3)"),"Suiteáil C ++ runtimes")</f>
        <v>Suiteáil C ++ runtimes</v>
      </c>
      <c r="Q389" s="21" t="str">
        <f ca="1">IFERROR(__xludf.DUMMYFUNCTION("GOOGLETRANSLATE($B389,""en"",Q$3)"),"نصب C ++ زمان های اجرا")</f>
        <v>نصب C ++ زمان های اجرا</v>
      </c>
      <c r="R389" s="21" t="str">
        <f ca="1">IFERROR(__xludf.DUMMYFUNCTION("GOOGLETRANSLATE($B389,""en"",R$3)"),"תקן C ++ Runtimes")</f>
        <v>תקן C ++ Runtimes</v>
      </c>
      <c r="S389" s="21" t="str">
        <f ca="1">IFERROR(__xludf.DUMMYFUNCTION("GOOGLETRANSLATE($B389,""en"",S$3)"),"Setja C ++ runtimes")</f>
        <v>Setja C ++ runtimes</v>
      </c>
      <c r="T389" s="21" t="str">
        <f ca="1">IFERROR(__xludf.DUMMYFUNCTION("GOOGLETRANSLATE($B389,""en"",T$3)"),"Installer C ++ Runtimes")</f>
        <v>Installer C ++ Runtimes</v>
      </c>
      <c r="U389" s="21" t="str">
        <f ca="1">IFERROR(__xludf.DUMMYFUNCTION("GOOGLETRANSLATE($B389,""en"",U$3)"),"تثبيت C ++ أوقات التشغيل")</f>
        <v>تثبيت C ++ أوقات التشغيل</v>
      </c>
      <c r="V389" s="21" t="str">
        <f ca="1">IFERROR(__xludf.DUMMYFUNCTION("GOOGLETRANSLATE($B389,""en"",V$3)"),"Zainstalować C ++ Runtimes")</f>
        <v>Zainstalować C ++ Runtimes</v>
      </c>
      <c r="W389" s="21" t="str">
        <f ca="1">IFERROR(__xludf.DUMMYFUNCTION("GOOGLETRANSLATE($B389,""en"",W$3)"),"Установите C ++ Runtimes")</f>
        <v>Установите C ++ Runtimes</v>
      </c>
      <c r="X389" s="21" t="str">
        <f ca="1">IFERROR(__xludf.DUMMYFUNCTION("GOOGLETRANSLATE($B389,""en"",X$3)"),"Instalar C ++ Runtimes")</f>
        <v>Instalar C ++ Runtimes</v>
      </c>
      <c r="Y389" s="21"/>
      <c r="Z389" s="21"/>
    </row>
    <row r="390" spans="1:26" ht="32.25" customHeight="1" x14ac:dyDescent="0.2">
      <c r="A390" s="17" t="s">
        <v>892</v>
      </c>
      <c r="B390" s="17" t="s">
        <v>893</v>
      </c>
      <c r="C390" s="21" t="str">
        <f ca="1">IFERROR(__xludf.DUMMYFUNCTION("GOOGLETRANSLATE($B390,""en"",C$3)"),"Internetadresse")</f>
        <v>Internetadresse</v>
      </c>
      <c r="D390" s="21" t="str">
        <f ca="1">IFERROR(__xludf.DUMMYFUNCTION("GOOGLETRANSLATE($B390,""en"",D$3)"),"Internetadress")</f>
        <v>Internetadress</v>
      </c>
      <c r="E390" s="21" t="str">
        <f ca="1">IFERROR(__xludf.DUMMYFUNCTION("GOOGLETRANSLATE($B390,""en"",E$3)"),"endereço de internet")</f>
        <v>endereço de internet</v>
      </c>
      <c r="F390" s="21" t="str">
        <f ca="1">IFERROR(__xludf.DUMMYFUNCTION("GOOGLETRANSLATE($B390,""en"",F$3)"),"endereço de internet")</f>
        <v>endereço de internet</v>
      </c>
      <c r="G390" s="21" t="str">
        <f ca="1">IFERROR(__xludf.DUMMYFUNCTION("GOOGLETRANSLATE($B390,""en"",G$3)"),"adresse Internet")</f>
        <v>adresse Internet</v>
      </c>
      <c r="H390" s="21" t="str">
        <f ca="1">IFERROR(__xludf.DUMMYFUNCTION("GOOGLETRANSLATE($B390,""en"",H$3)"),"Interneteko helbidea")</f>
        <v>Interneteko helbidea</v>
      </c>
      <c r="I390" s="21" t="str">
        <f ca="1">IFERROR(__xludf.DUMMYFUNCTION("GOOGLETRANSLATE($B390,""en"",I$3)"),"adreça d'Internet")</f>
        <v>adreça d'Internet</v>
      </c>
      <c r="J390" s="21" t="str">
        <f ca="1">IFERROR(__xludf.DUMMYFUNCTION("GOOGLETRANSLATE($B390,""en"",J$3)"),"Internetová adresa")</f>
        <v>Internetová adresa</v>
      </c>
      <c r="K390" s="21" t="str">
        <f ca="1">IFERROR(__xludf.DUMMYFUNCTION("GOOGLETRANSLATE($B390,""en"",K$3)"),"互联网地址")</f>
        <v>互联网地址</v>
      </c>
      <c r="L390" s="21" t="str">
        <f ca="1">IFERROR(__xludf.DUMMYFUNCTION("GOOGLETRANSLATE($B390,""en"",L$3)"),"互聯網地址")</f>
        <v>互聯網地址</v>
      </c>
      <c r="M390" s="21" t="str">
        <f ca="1">IFERROR(__xludf.DUMMYFUNCTION("GOOGLETRANSLATE($B390,""en"",M$3)"),"internet adres")</f>
        <v>internet adres</v>
      </c>
      <c r="N390" s="21" t="str">
        <f ca="1">IFERROR(__xludf.DUMMYFUNCTION("GOOGLETRANSLATE($B390,""en"",N$3)"),"διεύθυνση στο Διαδίκτυο")</f>
        <v>διεύθυνση στο Διαδίκτυο</v>
      </c>
      <c r="O390" s="21" t="str">
        <f ca="1">IFERROR(__xludf.DUMMYFUNCTION("GOOGLETRANSLATE($B390,""en"",O$3)"),"Internet-osoite")</f>
        <v>Internet-osoite</v>
      </c>
      <c r="P390" s="21" t="str">
        <f ca="1">IFERROR(__xludf.DUMMYFUNCTION("GOOGLETRANSLATE($B390,""en"",P$3)"),"seoladh Idirlín")</f>
        <v>seoladh Idirlín</v>
      </c>
      <c r="Q390" s="21" t="str">
        <f ca="1">IFERROR(__xludf.DUMMYFUNCTION("GOOGLETRANSLATE($B390,""en"",Q$3)"),"آدرس اینترنتی")</f>
        <v>آدرس اینترنتی</v>
      </c>
      <c r="R390" s="21" t="str">
        <f ca="1">IFERROR(__xludf.DUMMYFUNCTION("GOOGLETRANSLATE($B390,""en"",R$3)"),"כתובת אינטרנט")</f>
        <v>כתובת אינטרנט</v>
      </c>
      <c r="S390" s="21" t="str">
        <f ca="1">IFERROR(__xludf.DUMMYFUNCTION("GOOGLETRANSLATE($B390,""en"",S$3)"),"veffang")</f>
        <v>veffang</v>
      </c>
      <c r="T390" s="21" t="str">
        <f ca="1">IFERROR(__xludf.DUMMYFUNCTION("GOOGLETRANSLATE($B390,""en"",T$3)"),"Internett-adresse")</f>
        <v>Internett-adresse</v>
      </c>
      <c r="U390" s="21" t="str">
        <f ca="1">IFERROR(__xludf.DUMMYFUNCTION("GOOGLETRANSLATE($B390,""en"",U$3)"),"عنوان الإنترنت")</f>
        <v>عنوان الإنترنت</v>
      </c>
      <c r="V390" s="21" t="str">
        <f ca="1">IFERROR(__xludf.DUMMYFUNCTION("GOOGLETRANSLATE($B390,""en"",V$3)"),"adres internetowy")</f>
        <v>adres internetowy</v>
      </c>
      <c r="W390" s="21" t="str">
        <f ca="1">IFERROR(__xludf.DUMMYFUNCTION("GOOGLETRANSLATE($B390,""en"",W$3)"),"Интернет-адрес")</f>
        <v>Интернет-адрес</v>
      </c>
      <c r="X390" s="21" t="str">
        <f ca="1">IFERROR(__xludf.DUMMYFUNCTION("GOOGLETRANSLATE($B390,""en"",X$3)"),"dirección de Internet")</f>
        <v>dirección de Internet</v>
      </c>
      <c r="Y390" s="21"/>
      <c r="Z390" s="21"/>
    </row>
    <row r="391" spans="1:26" ht="32.25" customHeight="1" x14ac:dyDescent="0.2">
      <c r="A391" s="17" t="s">
        <v>894</v>
      </c>
      <c r="B391" s="17" t="s">
        <v>895</v>
      </c>
      <c r="C391" s="21" t="str">
        <f ca="1">IFERROR(__xludf.DUMMYFUNCTION("GOOGLETRANSLATE($B391,""en"",C$3)"),"Intervall")</f>
        <v>Intervall</v>
      </c>
      <c r="D391" s="21" t="str">
        <f ca="1">IFERROR(__xludf.DUMMYFUNCTION("GOOGLETRANSLATE($B391,""en"",D$3)"),"Intervall")</f>
        <v>Intervall</v>
      </c>
      <c r="E391" s="21" t="str">
        <f ca="1">IFERROR(__xludf.DUMMYFUNCTION("GOOGLETRANSLATE($B391,""en"",E$3)"),"Intervalo")</f>
        <v>Intervalo</v>
      </c>
      <c r="F391" s="21" t="str">
        <f ca="1">IFERROR(__xludf.DUMMYFUNCTION("GOOGLETRANSLATE($B391,""en"",F$3)"),"Intervalo")</f>
        <v>Intervalo</v>
      </c>
      <c r="G391" s="21" t="str">
        <f ca="1">IFERROR(__xludf.DUMMYFUNCTION("GOOGLETRANSLATE($B391,""en"",G$3)"),"Intervalle")</f>
        <v>Intervalle</v>
      </c>
      <c r="H391" s="21" t="str">
        <f ca="1">IFERROR(__xludf.DUMMYFUNCTION("GOOGLETRANSLATE($B391,""en"",H$3)"),"tartea")</f>
        <v>tartea</v>
      </c>
      <c r="I391" s="21" t="str">
        <f ca="1">IFERROR(__xludf.DUMMYFUNCTION("GOOGLETRANSLATE($B391,""en"",I$3)"),"Interval")</f>
        <v>Interval</v>
      </c>
      <c r="J391" s="21" t="str">
        <f ca="1">IFERROR(__xludf.DUMMYFUNCTION("GOOGLETRANSLATE($B391,""en"",J$3)"),"Interval")</f>
        <v>Interval</v>
      </c>
      <c r="K391" s="21" t="str">
        <f ca="1">IFERROR(__xludf.DUMMYFUNCTION("GOOGLETRANSLATE($B391,""en"",K$3)"),"间隔")</f>
        <v>间隔</v>
      </c>
      <c r="L391" s="21" t="str">
        <f ca="1">IFERROR(__xludf.DUMMYFUNCTION("GOOGLETRANSLATE($B391,""en"",L$3)"),"間隔")</f>
        <v>間隔</v>
      </c>
      <c r="M391" s="21" t="str">
        <f ca="1">IFERROR(__xludf.DUMMYFUNCTION("GOOGLETRANSLATE($B391,""en"",M$3)"),"Interval")</f>
        <v>Interval</v>
      </c>
      <c r="N391" s="21" t="str">
        <f ca="1">IFERROR(__xludf.DUMMYFUNCTION("GOOGLETRANSLATE($B391,""en"",N$3)"),"Διάστημα")</f>
        <v>Διάστημα</v>
      </c>
      <c r="O391" s="21" t="str">
        <f ca="1">IFERROR(__xludf.DUMMYFUNCTION("GOOGLETRANSLATE($B391,""en"",O$3)"),"intervalli")</f>
        <v>intervalli</v>
      </c>
      <c r="P391" s="21" t="str">
        <f ca="1">IFERROR(__xludf.DUMMYFUNCTION("GOOGLETRANSLATE($B391,""en"",P$3)"),"eatramh")</f>
        <v>eatramh</v>
      </c>
      <c r="Q391" s="21" t="str">
        <f ca="1">IFERROR(__xludf.DUMMYFUNCTION("GOOGLETRANSLATE($B391,""en"",Q$3)"),"فاصله")</f>
        <v>فاصله</v>
      </c>
      <c r="R391" s="21" t="str">
        <f ca="1">IFERROR(__xludf.DUMMYFUNCTION("GOOGLETRANSLATE($B391,""en"",R$3)"),"הַפסָקָה")</f>
        <v>הַפסָקָה</v>
      </c>
      <c r="S391" s="21" t="str">
        <f ca="1">IFERROR(__xludf.DUMMYFUNCTION("GOOGLETRANSLATE($B391,""en"",S$3)"),"interval")</f>
        <v>interval</v>
      </c>
      <c r="T391" s="21" t="str">
        <f ca="1">IFERROR(__xludf.DUMMYFUNCTION("GOOGLETRANSLATE($B391,""en"",T$3)"),"intervall")</f>
        <v>intervall</v>
      </c>
      <c r="U391" s="21" t="str">
        <f ca="1">IFERROR(__xludf.DUMMYFUNCTION("GOOGLETRANSLATE($B391,""en"",U$3)"),"فترة")</f>
        <v>فترة</v>
      </c>
      <c r="V391" s="21" t="str">
        <f ca="1">IFERROR(__xludf.DUMMYFUNCTION("GOOGLETRANSLATE($B391,""en"",V$3)"),"Interwał")</f>
        <v>Interwał</v>
      </c>
      <c r="W391" s="21" t="str">
        <f ca="1">IFERROR(__xludf.DUMMYFUNCTION("GOOGLETRANSLATE($B391,""en"",W$3)"),"интервал")</f>
        <v>интервал</v>
      </c>
      <c r="X391" s="21" t="str">
        <f ca="1">IFERROR(__xludf.DUMMYFUNCTION("GOOGLETRANSLATE($B391,""en"",X$3)"),"Intervalo")</f>
        <v>Intervalo</v>
      </c>
      <c r="Y391" s="21"/>
      <c r="Z391" s="21"/>
    </row>
    <row r="392" spans="1:26" ht="32.25" customHeight="1" x14ac:dyDescent="0.2">
      <c r="A392" s="10" t="s">
        <v>896</v>
      </c>
      <c r="B392" s="10" t="s">
        <v>897</v>
      </c>
      <c r="C392" s="11" t="str">
        <f ca="1">IFERROR(__xludf.DUMMYFUNCTION("GOOGLETRANSLATE($B392,""en"",C$3)"),"IPv4Adresse")</f>
        <v>IPv4Adresse</v>
      </c>
      <c r="D392" s="11" t="str">
        <f ca="1">IFERROR(__xludf.DUMMYFUNCTION("GOOGLETRANSLATE($B392,""en"",D$3)"),"IPv4-adress")</f>
        <v>IPv4-adress</v>
      </c>
      <c r="E392" s="11" t="str">
        <f ca="1">IFERROR(__xludf.DUMMYFUNCTION("GOOGLETRANSLATE($B392,""en"",E$3)"),"Endereço IPv4")</f>
        <v>Endereço IPv4</v>
      </c>
      <c r="F392" s="11" t="str">
        <f ca="1">IFERROR(__xludf.DUMMYFUNCTION("GOOGLETRANSLATE($B392,""en"",F$3)"),"Endereço IPv4")</f>
        <v>Endereço IPv4</v>
      </c>
      <c r="G392" s="11" t="str">
        <f ca="1">IFERROR(__xludf.DUMMYFUNCTION("GOOGLETRANSLATE($B392,""en"",G$3)"),"Adresse IPV4")</f>
        <v>Adresse IPV4</v>
      </c>
      <c r="H392" s="11" t="str">
        <f ca="1">IFERROR(__xludf.DUMMYFUNCTION("GOOGLETRANSLATE($B392,""en"",H$3)"),"IPv4 helbide")</f>
        <v>IPv4 helbide</v>
      </c>
      <c r="I392" s="11" t="str">
        <f ca="1">IFERROR(__xludf.DUMMYFUNCTION("GOOGLETRANSLATE($B392,""en"",I$3)"),"adreça IPv4")</f>
        <v>adreça IPv4</v>
      </c>
      <c r="J392" s="11" t="str">
        <f ca="1">IFERROR(__xludf.DUMMYFUNCTION("GOOGLETRANSLATE($B392,""en"",J$3)"),"IPv4 adresa")</f>
        <v>IPv4 adresa</v>
      </c>
      <c r="K392" s="11" t="str">
        <f ca="1">IFERROR(__xludf.DUMMYFUNCTION("GOOGLETRANSLATE($B392,""en"",K$3)"),"IPv4地址")</f>
        <v>IPv4地址</v>
      </c>
      <c r="L392" s="11" t="str">
        <f ca="1">IFERROR(__xludf.DUMMYFUNCTION("GOOGLETRANSLATE($B392,""en"",L$3)"),"IPv4地址")</f>
        <v>IPv4地址</v>
      </c>
      <c r="M392" s="11" t="str">
        <f ca="1">IFERROR(__xludf.DUMMYFUNCTION("GOOGLETRANSLATE($B392,""en"",M$3)"),"IPv4-adres")</f>
        <v>IPv4-adres</v>
      </c>
      <c r="N392" s="11" t="str">
        <f ca="1">IFERROR(__xludf.DUMMYFUNCTION("GOOGLETRANSLATE($B392,""en"",N$3)"),"Διεύθυνση IPv4")</f>
        <v>Διεύθυνση IPv4</v>
      </c>
      <c r="O392" s="11" t="str">
        <f ca="1">IFERROR(__xludf.DUMMYFUNCTION("GOOGLETRANSLATE($B392,""en"",O$3)"),"IPv4-osoite")</f>
        <v>IPv4-osoite</v>
      </c>
      <c r="P392" s="11" t="str">
        <f ca="1">IFERROR(__xludf.DUMMYFUNCTION("GOOGLETRANSLATE($B392,""en"",P$3)"),"IPv4 Seoladh")</f>
        <v>IPv4 Seoladh</v>
      </c>
      <c r="Q392" s="11" t="str">
        <f ca="1">IFERROR(__xludf.DUMMYFUNCTION("GOOGLETRANSLATE($B392,""en"",Q$3)"),"آدرس IPv4")</f>
        <v>آدرس IPv4</v>
      </c>
      <c r="R392" s="11" t="str">
        <f ca="1">IFERROR(__xludf.DUMMYFUNCTION("GOOGLETRANSLATE($B392,""en"",R$3)"),"כתובת IPv4")</f>
        <v>כתובת IPv4</v>
      </c>
      <c r="S392" s="11" t="str">
        <f ca="1">IFERROR(__xludf.DUMMYFUNCTION("GOOGLETRANSLATE($B392,""en"",S$3)"),"IPv4 vistfang")</f>
        <v>IPv4 vistfang</v>
      </c>
      <c r="T392" s="11" t="str">
        <f ca="1">IFERROR(__xludf.DUMMYFUNCTION("GOOGLETRANSLATE($B392,""en"",T$3)"),"IPv4-adresse")</f>
        <v>IPv4-adresse</v>
      </c>
      <c r="U392" s="11" t="str">
        <f ca="1">IFERROR(__xludf.DUMMYFUNCTION("GOOGLETRANSLATE($B392,""en"",U$3)"),"IPV4 عنوان")</f>
        <v>IPV4 عنوان</v>
      </c>
      <c r="V392" s="11" t="str">
        <f ca="1">IFERROR(__xludf.DUMMYFUNCTION("GOOGLETRANSLATE($B392,""en"",V$3)"),"Adres IPv4")</f>
        <v>Adres IPv4</v>
      </c>
      <c r="W392" s="11" t="str">
        <f ca="1">IFERROR(__xludf.DUMMYFUNCTION("GOOGLETRANSLATE($B392,""en"",W$3)"),"IPV4 Адрес")</f>
        <v>IPV4 Адрес</v>
      </c>
      <c r="X392" s="11" t="str">
        <f ca="1">IFERROR(__xludf.DUMMYFUNCTION("GOOGLETRANSLATE($B392,""en"",X$3)"),"Dirección IPv4")</f>
        <v>Dirección IPv4</v>
      </c>
    </row>
    <row r="393" spans="1:26" ht="32.25" customHeight="1" x14ac:dyDescent="0.2">
      <c r="A393" s="10" t="s">
        <v>14</v>
      </c>
      <c r="B393" s="10" t="s">
        <v>14</v>
      </c>
      <c r="C393" s="11" t="str">
        <f ca="1">IFERROR(__xludf.DUMMYFUNCTION("GOOGLETRANSLATE($B393,""en"",C$3)"),"irisch")</f>
        <v>irisch</v>
      </c>
      <c r="D393" s="11" t="str">
        <f ca="1">IFERROR(__xludf.DUMMYFUNCTION("GOOGLETRANSLATE($B393,""en"",D$3)"),"Irish")</f>
        <v>Irish</v>
      </c>
      <c r="E393" s="11" t="str">
        <f ca="1">IFERROR(__xludf.DUMMYFUNCTION("GOOGLETRANSLATE($B393,""en"",E$3)"),"irlandês")</f>
        <v>irlandês</v>
      </c>
      <c r="F393" s="11" t="str">
        <f ca="1">IFERROR(__xludf.DUMMYFUNCTION("GOOGLETRANSLATE($B393,""en"",F$3)"),"irlandês")</f>
        <v>irlandês</v>
      </c>
      <c r="G393" s="11" t="str">
        <f ca="1">IFERROR(__xludf.DUMMYFUNCTION("GOOGLETRANSLATE($B393,""en"",G$3)"),"irlandais")</f>
        <v>irlandais</v>
      </c>
      <c r="H393" s="11" t="str">
        <f ca="1">IFERROR(__xludf.DUMMYFUNCTION("GOOGLETRANSLATE($B393,""en"",H$3)"),"Irish")</f>
        <v>Irish</v>
      </c>
      <c r="I393" s="11" t="str">
        <f ca="1">IFERROR(__xludf.DUMMYFUNCTION("GOOGLETRANSLATE($B393,""en"",I$3)"),"irlandès")</f>
        <v>irlandès</v>
      </c>
      <c r="J393" s="11" t="str">
        <f ca="1">IFERROR(__xludf.DUMMYFUNCTION("GOOGLETRANSLATE($B393,""en"",J$3)"),"irština")</f>
        <v>irština</v>
      </c>
      <c r="K393" s="11" t="str">
        <f ca="1">IFERROR(__xludf.DUMMYFUNCTION("GOOGLETRANSLATE($B393,""en"",K$3)"),"爱尔兰的")</f>
        <v>爱尔兰的</v>
      </c>
      <c r="L393" s="11" t="str">
        <f ca="1">IFERROR(__xludf.DUMMYFUNCTION("GOOGLETRANSLATE($B393,""en"",L$3)"),"愛爾蘭的")</f>
        <v>愛爾蘭的</v>
      </c>
      <c r="M393" s="11" t="str">
        <f ca="1">IFERROR(__xludf.DUMMYFUNCTION("GOOGLETRANSLATE($B393,""en"",M$3)"),"Iers")</f>
        <v>Iers</v>
      </c>
      <c r="N393" s="11" t="str">
        <f ca="1">IFERROR(__xludf.DUMMYFUNCTION("GOOGLETRANSLATE($B393,""en"",N$3)"),"ιρλανδικός")</f>
        <v>ιρλανδικός</v>
      </c>
      <c r="O393" s="11" t="str">
        <f ca="1">IFERROR(__xludf.DUMMYFUNCTION("GOOGLETRANSLATE($B393,""en"",O$3)"),"irlantilainen")</f>
        <v>irlantilainen</v>
      </c>
      <c r="P393" s="11" t="str">
        <f ca="1">IFERROR(__xludf.DUMMYFUNCTION("GOOGLETRANSLATE($B393,""en"",P$3)"),"Gaeilge")</f>
        <v>Gaeilge</v>
      </c>
      <c r="Q393" s="11" t="str">
        <f ca="1">IFERROR(__xludf.DUMMYFUNCTION("GOOGLETRANSLATE($B393,""en"",Q$3)"),"ایرلندی")</f>
        <v>ایرلندی</v>
      </c>
      <c r="R393" s="11" t="str">
        <f ca="1">IFERROR(__xludf.DUMMYFUNCTION("GOOGLETRANSLATE($B393,""en"",R$3)"),"אִירִית")</f>
        <v>אִירִית</v>
      </c>
      <c r="S393" s="11" t="str">
        <f ca="1">IFERROR(__xludf.DUMMYFUNCTION("GOOGLETRANSLATE($B393,""en"",S$3)"),"irish")</f>
        <v>irish</v>
      </c>
      <c r="T393" s="11" t="str">
        <f ca="1">IFERROR(__xludf.DUMMYFUNCTION("GOOGLETRANSLATE($B393,""en"",T$3)"),"irsk")</f>
        <v>irsk</v>
      </c>
      <c r="U393" s="11" t="str">
        <f ca="1">IFERROR(__xludf.DUMMYFUNCTION("GOOGLETRANSLATE($B393,""en"",U$3)"),"الأيرلندية")</f>
        <v>الأيرلندية</v>
      </c>
      <c r="V393" s="11" t="str">
        <f ca="1">IFERROR(__xludf.DUMMYFUNCTION("GOOGLETRANSLATE($B393,""en"",V$3)"),"irlandzki")</f>
        <v>irlandzki</v>
      </c>
      <c r="W393" s="11" t="str">
        <f ca="1">IFERROR(__xludf.DUMMYFUNCTION("GOOGLETRANSLATE($B393,""en"",W$3)"),"ирландский")</f>
        <v>ирландский</v>
      </c>
      <c r="X393" s="11" t="str">
        <f ca="1">IFERROR(__xludf.DUMMYFUNCTION("GOOGLETRANSLATE($B393,""en"",X$3)"),"irlandesa")</f>
        <v>irlandesa</v>
      </c>
    </row>
    <row r="394" spans="1:26" ht="32.25" customHeight="1" x14ac:dyDescent="0.2">
      <c r="A394" s="17" t="s">
        <v>898</v>
      </c>
      <c r="B394" s="17" t="s">
        <v>899</v>
      </c>
      <c r="C394" s="21" t="str">
        <f ca="1">IFERROR(__xludf.DUMMYFUNCTION("GOOGLETRANSLATE($B394,""en"",C$3)"),"ist bereits gestartet")</f>
        <v>ist bereits gestartet</v>
      </c>
      <c r="D394" s="21" t="str">
        <f ca="1">IFERROR(__xludf.DUMMYFUNCTION("GOOGLETRANSLATE($B394,""en"",D$3)"),"är redan igång")</f>
        <v>är redan igång</v>
      </c>
      <c r="E394" s="21" t="str">
        <f ca="1">IFERROR(__xludf.DUMMYFUNCTION("GOOGLETRANSLATE($B394,""en"",E$3)"),"já está a correr")</f>
        <v>já está a correr</v>
      </c>
      <c r="F394" s="21" t="str">
        <f ca="1">IFERROR(__xludf.DUMMYFUNCTION("GOOGLETRANSLATE($B394,""en"",F$3)"),"já está a correr")</f>
        <v>já está a correr</v>
      </c>
      <c r="G394" s="21" t="str">
        <f ca="1">IFERROR(__xludf.DUMMYFUNCTION("GOOGLETRANSLATE($B394,""en"",G$3)"),"est déjà en cours d'exécution")</f>
        <v>est déjà en cours d'exécution</v>
      </c>
      <c r="H394" s="21" t="str">
        <f ca="1">IFERROR(__xludf.DUMMYFUNCTION("GOOGLETRANSLATE($B394,""en"",H$3)"),"da dagoeneko martxan")</f>
        <v>da dagoeneko martxan</v>
      </c>
      <c r="I394" s="21" t="str">
        <f ca="1">IFERROR(__xludf.DUMMYFUNCTION("GOOGLETRANSLATE($B394,""en"",I$3)"),"està en execució")</f>
        <v>està en execució</v>
      </c>
      <c r="J394" s="21" t="str">
        <f ca="1">IFERROR(__xludf.DUMMYFUNCTION("GOOGLETRANSLATE($B394,""en"",J$3)"),"už běží")</f>
        <v>už běží</v>
      </c>
      <c r="K394" s="21" t="str">
        <f ca="1">IFERROR(__xludf.DUMMYFUNCTION("GOOGLETRANSLATE($B394,""en"",K$3)"),"已经运行")</f>
        <v>已经运行</v>
      </c>
      <c r="L394" s="21" t="str">
        <f ca="1">IFERROR(__xludf.DUMMYFUNCTION("GOOGLETRANSLATE($B394,""en"",L$3)"),"已經運行")</f>
        <v>已經運行</v>
      </c>
      <c r="M394" s="21" t="str">
        <f ca="1">IFERROR(__xludf.DUMMYFUNCTION("GOOGLETRANSLATE($B394,""en"",M$3)"),"loopt al")</f>
        <v>loopt al</v>
      </c>
      <c r="N394" s="21" t="str">
        <f ca="1">IFERROR(__xludf.DUMMYFUNCTION("GOOGLETRANSLATE($B394,""en"",N$3)"),"είναι ήδη σε λειτουργία")</f>
        <v>είναι ήδη σε λειτουργία</v>
      </c>
      <c r="O394" s="21" t="str">
        <f ca="1">IFERROR(__xludf.DUMMYFUNCTION("GOOGLETRANSLATE($B394,""en"",O$3)"),"on jo käynnissä")</f>
        <v>on jo käynnissä</v>
      </c>
      <c r="P394" s="21" t="str">
        <f ca="1">IFERROR(__xludf.DUMMYFUNCTION("GOOGLETRANSLATE($B394,""en"",P$3)"),"Is rith cheana")</f>
        <v>Is rith cheana</v>
      </c>
      <c r="Q394" s="21" t="str">
        <f ca="1">IFERROR(__xludf.DUMMYFUNCTION("GOOGLETRANSLATE($B394,""en"",Q$3)"),"در حال حاضر در حال اجرا")</f>
        <v>در حال حاضر در حال اجرا</v>
      </c>
      <c r="R394" s="21" t="str">
        <f ca="1">IFERROR(__xludf.DUMMYFUNCTION("GOOGLETRANSLATE($B394,""en"",R$3)"),"כבר רץ")</f>
        <v>כבר רץ</v>
      </c>
      <c r="S394" s="21" t="str">
        <f ca="1">IFERROR(__xludf.DUMMYFUNCTION("GOOGLETRANSLATE($B394,""en"",S$3)"),"er nú þegar í gangi")</f>
        <v>er nú þegar í gangi</v>
      </c>
      <c r="T394" s="21" t="str">
        <f ca="1">IFERROR(__xludf.DUMMYFUNCTION("GOOGLETRANSLATE($B394,""en"",T$3)"),"kjører allerede")</f>
        <v>kjører allerede</v>
      </c>
      <c r="U394" s="21" t="str">
        <f ca="1">IFERROR(__xludf.DUMMYFUNCTION("GOOGLETRANSLATE($B394,""en"",U$3)"),"انا اصلا اركض")</f>
        <v>انا اصلا اركض</v>
      </c>
      <c r="V394" s="21" t="str">
        <f ca="1">IFERROR(__xludf.DUMMYFUNCTION("GOOGLETRANSLATE($B394,""en"",V$3)"),"jest już uruchomiony")</f>
        <v>jest już uruchomiony</v>
      </c>
      <c r="W394" s="21" t="str">
        <f ca="1">IFERROR(__xludf.DUMMYFUNCTION("GOOGLETRANSLATE($B394,""en"",W$3)"),"уже бежит")</f>
        <v>уже бежит</v>
      </c>
      <c r="X394" s="21" t="str">
        <f ca="1">IFERROR(__xludf.DUMMYFUNCTION("GOOGLETRANSLATE($B394,""en"",X$3)"),"está en ejecución")</f>
        <v>está en ejecución</v>
      </c>
      <c r="Y394" s="21"/>
      <c r="Z394" s="21"/>
    </row>
    <row r="395" spans="1:26" ht="32.25" customHeight="1" x14ac:dyDescent="0.2">
      <c r="A395" s="17" t="s">
        <v>900</v>
      </c>
      <c r="B395" s="17" t="s">
        <v>901</v>
      </c>
      <c r="C395" s="21" t="str">
        <f ca="1">IFERROR(__xludf.DUMMYFUNCTION("GOOGLETRANSLATE($B395,""en"",C$3)"),"ist aus")</f>
        <v>ist aus</v>
      </c>
      <c r="D395" s="21" t="str">
        <f ca="1">IFERROR(__xludf.DUMMYFUNCTION("GOOGLETRANSLATE($B395,""en"",D$3)"),"är av")</f>
        <v>är av</v>
      </c>
      <c r="E395" s="21" t="str">
        <f ca="1">IFERROR(__xludf.DUMMYFUNCTION("GOOGLETRANSLATE($B395,""en"",E$3)"),"está fora")</f>
        <v>está fora</v>
      </c>
      <c r="F395" s="21" t="str">
        <f ca="1">IFERROR(__xludf.DUMMYFUNCTION("GOOGLETRANSLATE($B395,""en"",F$3)"),"está fora")</f>
        <v>está fora</v>
      </c>
      <c r="G395" s="21" t="str">
        <f ca="1">IFERROR(__xludf.DUMMYFUNCTION("GOOGLETRANSLATE($B395,""en"",G$3)"),"est éteint")</f>
        <v>est éteint</v>
      </c>
      <c r="H395" s="21" t="str">
        <f ca="1">IFERROR(__xludf.DUMMYFUNCTION("GOOGLETRANSLATE($B395,""en"",H$3)"),"itzalita")</f>
        <v>itzalita</v>
      </c>
      <c r="I395" s="21" t="str">
        <f ca="1">IFERROR(__xludf.DUMMYFUNCTION("GOOGLETRANSLATE($B395,""en"",I$3)"),"està apagat")</f>
        <v>està apagat</v>
      </c>
      <c r="J395" s="21" t="str">
        <f ca="1">IFERROR(__xludf.DUMMYFUNCTION("GOOGLETRANSLATE($B395,""en"",J$3)"),"nesvítí")</f>
        <v>nesvítí</v>
      </c>
      <c r="K395" s="21" t="str">
        <f ca="1">IFERROR(__xludf.DUMMYFUNCTION("GOOGLETRANSLATE($B395,""en"",K$3)"),"已关闭")</f>
        <v>已关闭</v>
      </c>
      <c r="L395" s="21" t="str">
        <f ca="1">IFERROR(__xludf.DUMMYFUNCTION("GOOGLETRANSLATE($B395,""en"",L$3)"),"已關閉")</f>
        <v>已關閉</v>
      </c>
      <c r="M395" s="21" t="str">
        <f ca="1">IFERROR(__xludf.DUMMYFUNCTION("GOOGLETRANSLATE($B395,""en"",M$3)"),"is uit")</f>
        <v>is uit</v>
      </c>
      <c r="N395" s="21" t="str">
        <f ca="1">IFERROR(__xludf.DUMMYFUNCTION("GOOGLETRANSLATE($B395,""en"",N$3)"),"είναι κλειστό")</f>
        <v>είναι κλειστό</v>
      </c>
      <c r="O395" s="21" t="str">
        <f ca="1">IFERROR(__xludf.DUMMYFUNCTION("GOOGLETRANSLATE($B395,""en"",O$3)"),"On pois päältä")</f>
        <v>On pois päältä</v>
      </c>
      <c r="P395" s="21" t="str">
        <f ca="1">IFERROR(__xludf.DUMMYFUNCTION("GOOGLETRANSLATE($B395,""en"",P$3)"),"Is as")</f>
        <v>Is as</v>
      </c>
      <c r="Q395" s="21" t="str">
        <f ca="1">IFERROR(__xludf.DUMMYFUNCTION("GOOGLETRANSLATE($B395,""en"",Q$3)"),"خاموش است")</f>
        <v>خاموش است</v>
      </c>
      <c r="R395" s="21" t="str">
        <f ca="1">IFERROR(__xludf.DUMMYFUNCTION("GOOGLETRANSLATE($B395,""en"",R$3)"),"כבוי")</f>
        <v>כבוי</v>
      </c>
      <c r="S395" s="21" t="str">
        <f ca="1">IFERROR(__xludf.DUMMYFUNCTION("GOOGLETRANSLATE($B395,""en"",S$3)"),"slökkt er")</f>
        <v>slökkt er</v>
      </c>
      <c r="T395" s="21" t="str">
        <f ca="1">IFERROR(__xludf.DUMMYFUNCTION("GOOGLETRANSLATE($B395,""en"",T$3)"),"er av")</f>
        <v>er av</v>
      </c>
      <c r="U395" s="21" t="str">
        <f ca="1">IFERROR(__xludf.DUMMYFUNCTION("GOOGLETRANSLATE($B395,""en"",U$3)"),"مغلق")</f>
        <v>مغلق</v>
      </c>
      <c r="V395" s="21" t="str">
        <f ca="1">IFERROR(__xludf.DUMMYFUNCTION("GOOGLETRANSLATE($B395,""en"",V$3)"),"jest wyłączony")</f>
        <v>jest wyłączony</v>
      </c>
      <c r="W395" s="21" t="str">
        <f ca="1">IFERROR(__xludf.DUMMYFUNCTION("GOOGLETRANSLATE($B395,""en"",W$3)"),"выключен")</f>
        <v>выключен</v>
      </c>
      <c r="X395" s="21" t="str">
        <f ca="1">IFERROR(__xludf.DUMMYFUNCTION("GOOGLETRANSLATE($B395,""en"",X$3)"),"esta apagado")</f>
        <v>esta apagado</v>
      </c>
      <c r="Y395" s="21"/>
      <c r="Z395" s="21"/>
    </row>
    <row r="396" spans="1:26" ht="32.25" customHeight="1" x14ac:dyDescent="0.2">
      <c r="A396" s="17" t="s">
        <v>902</v>
      </c>
      <c r="B396" s="17" t="s">
        <v>903</v>
      </c>
      <c r="C396" s="21" t="str">
        <f ca="1">IFERROR(__xludf.DUMMYFUNCTION("GOOGLETRANSLATE($B396,""en"",C$3)"),"Die Opensimulator-Konsole wird angezeigt, wenn Opensim läuft.")</f>
        <v>Die Opensimulator-Konsole wird angezeigt, wenn Opensim läuft.</v>
      </c>
      <c r="D396" s="21" t="str">
        <f ca="1">IFERROR(__xludf.DUMMYFUNCTION("GOOGLETRANSLATE($B396,""en"",D$3)"),"Den Opensimulator Console visas när Opensim körs.")</f>
        <v>Den Opensimulator Console visas när Opensim körs.</v>
      </c>
      <c r="E396" s="21" t="str">
        <f ca="1">IFERROR(__xludf.DUMMYFUNCTION("GOOGLETRANSLATE($B396,""en"",E$3)"),"O Console OpenSimulator será mostrado quando Opensim está em execução.")</f>
        <v>O Console OpenSimulator será mostrado quando Opensim está em execução.</v>
      </c>
      <c r="F396" s="21" t="str">
        <f ca="1">IFERROR(__xludf.DUMMYFUNCTION("GOOGLETRANSLATE($B396,""en"",F$3)"),"O Console OpenSimulator será mostrado quando Opensim está em execução.")</f>
        <v>O Console OpenSimulator será mostrado quando Opensim está em execução.</v>
      </c>
      <c r="G396" s="21" t="str">
        <f ca="1">IFERROR(__xludf.DUMMYFUNCTION("GOOGLETRANSLATE($B396,""en"",G$3)"),"La console OpenSim sera affiché lorsque Opensim est en cours d'exécution.")</f>
        <v>La console OpenSim sera affiché lorsque Opensim est en cours d'exécution.</v>
      </c>
      <c r="H396" s="21" t="str">
        <f ca="1">IFERROR(__xludf.DUMMYFUNCTION("GOOGLETRANSLATE($B396,""en"",H$3)"),"Opensimulator kontsolaren erakutsiko dira Opensim ari da.")</f>
        <v>Opensimulator kontsolaren erakutsiko dira Opensim ari da.</v>
      </c>
      <c r="I396" s="21" t="str">
        <f ca="1">IFERROR(__xludf.DUMMYFUNCTION("GOOGLETRANSLATE($B396,""en"",I$3)"),"La consola OpenSimulator es mostrarà quan Opensim s'està executant.")</f>
        <v>La consola OpenSimulator es mostrarà quan Opensim s'està executant.</v>
      </c>
      <c r="J396" s="21" t="str">
        <f ca="1">IFERROR(__xludf.DUMMYFUNCTION("GOOGLETRANSLATE($B396,""en"",J$3)"),"Opensimulator Console se zobrazí při spuštění Opensim.")</f>
        <v>Opensimulator Console se zobrazí při spuštění Opensim.</v>
      </c>
      <c r="K396" s="21" t="str">
        <f ca="1">IFERROR(__xludf.DUMMYFUNCTION("GOOGLETRANSLATE($B396,""en"",K$3)"),"该Opensimulator控制台会时的OpenSim运行显示。")</f>
        <v>该Opensimulator控制台会时的OpenSim运行显示。</v>
      </c>
      <c r="L396" s="21" t="str">
        <f ca="1">IFERROR(__xludf.DUMMYFUNCTION("GOOGLETRANSLATE($B396,""en"",L$3)"),"該Opensimulator控制台會時的OpenSim運行顯示。")</f>
        <v>該Opensimulator控制台會時的OpenSim運行顯示。</v>
      </c>
      <c r="M396" s="21" t="str">
        <f ca="1">IFERROR(__xludf.DUMMYFUNCTION("GOOGLETRANSLATE($B396,""en"",M$3)"),"De OpenSimulator console wordt zichtbaar als OpenSim loopt.")</f>
        <v>De OpenSimulator console wordt zichtbaar als OpenSim loopt.</v>
      </c>
      <c r="N396" s="21" t="str">
        <f ca="1">IFERROR(__xludf.DUMMYFUNCTION("GOOGLETRANSLATE($B396,""en"",N$3)"),"Η κονσόλα OpenSimulator θα εμφανιστεί όταν Opensim βρίσκεται σε λειτουργία.")</f>
        <v>Η κονσόλα OpenSimulator θα εμφανιστεί όταν Opensim βρίσκεται σε λειτουργία.</v>
      </c>
      <c r="O396" s="21" t="str">
        <f ca="1">IFERROR(__xludf.DUMMYFUNCTION("GOOGLETRANSLATE($B396,""en"",O$3)"),"Opensimulator Console näytetään, kun Opensim on käynnissä.")</f>
        <v>Opensimulator Console näytetään, kun Opensim on käynnissä.</v>
      </c>
      <c r="P396" s="21" t="str">
        <f ca="1">IFERROR(__xludf.DUMMYFUNCTION("GOOGLETRANSLATE($B396,""en"",P$3)"),"Beidh an Console Opensimulator a thaispeáint nuair atá Opensim ag rith.")</f>
        <v>Beidh an Console Opensimulator a thaispeáint nuair atá Opensim ag rith.</v>
      </c>
      <c r="Q396" s="21" t="str">
        <f ca="1">IFERROR(__xludf.DUMMYFUNCTION("GOOGLETRANSLATE($B396,""en"",Q$3)"),"Opensimulator کنسول نشان داده خواهد شد که Opensim حال اجرا است.")</f>
        <v>Opensimulator کنسول نشان داده خواهد شد که Opensim حال اجرا است.</v>
      </c>
      <c r="R396" s="21" t="str">
        <f ca="1">IFERROR(__xludf.DUMMYFUNCTION("GOOGLETRANSLATE($B396,""en"",R$3)"),"Opensimulator המסוף יוצג כאשר Opensim פועל.")</f>
        <v>Opensimulator המסוף יוצג כאשר Opensim פועל.</v>
      </c>
      <c r="S396" s="21" t="str">
        <f ca="1">IFERROR(__xludf.DUMMYFUNCTION("GOOGLETRANSLATE($B396,""en"",S$3)"),"The Opensimulator Console verður sýnd þegar Opensim er í gangi.")</f>
        <v>The Opensimulator Console verður sýnd þegar Opensim er í gangi.</v>
      </c>
      <c r="T396" s="21" t="str">
        <f ca="1">IFERROR(__xludf.DUMMYFUNCTION("GOOGLETRANSLATE($B396,""en"",T$3)"),"Den Opensimulator Console vises når OpenSim kjører.")</f>
        <v>Den Opensimulator Console vises når OpenSim kjører.</v>
      </c>
      <c r="U396" s="21" t="str">
        <f ca="1">IFERROR(__xludf.DUMMYFUNCTION("GOOGLETRANSLATE($B396,""en"",U$3)"),"وسيتم عرض وحدة التحكم Opensimulator عند تشغيل Opensim.")</f>
        <v>وسيتم عرض وحدة التحكم Opensimulator عند تشغيل Opensim.</v>
      </c>
      <c r="V396" s="21" t="str">
        <f ca="1">IFERROR(__xludf.DUMMYFUNCTION("GOOGLETRANSLATE($B396,""en"",V$3)"),"Opensimulator Konsola zostanie pokazany podczas Opensim jest uruchomiony.")</f>
        <v>Opensimulator Konsola zostanie pokazany podczas Opensim jest uruchomiony.</v>
      </c>
      <c r="W396" s="21" t="str">
        <f ca="1">IFERROR(__xludf.DUMMYFUNCTION("GOOGLETRANSLATE($B396,""en"",W$3)"),"OpenSimulator консоль будет показана, когда OpenSim работает.")</f>
        <v>OpenSimulator консоль будет показана, когда OpenSim работает.</v>
      </c>
      <c r="X396" s="21" t="str">
        <f ca="1">IFERROR(__xludf.DUMMYFUNCTION("GOOGLETRANSLATE($B396,""en"",X$3)"),"La consola OpenSimulator se mostrará cuando Opensim se está ejecutando.")</f>
        <v>La consola OpenSimulator se mostrará cuando Opensim se está ejecutando.</v>
      </c>
      <c r="Y396" s="21"/>
      <c r="Z396" s="21"/>
    </row>
    <row r="397" spans="1:26" ht="32.25" customHeight="1" x14ac:dyDescent="0.2">
      <c r="A397" s="17" t="s">
        <v>904</v>
      </c>
      <c r="B397" s="17" t="s">
        <v>905</v>
      </c>
      <c r="C397" s="21" t="str">
        <f ca="1">IFERROR(__xludf.DUMMYFUNCTION("GOOGLETRANSLATE($B397,""en"",C$3)"),"Opensim wird geladen Ihr Artikel. Sie werden es finden in")</f>
        <v>Opensim wird geladen Ihr Artikel. Sie werden es finden in</v>
      </c>
      <c r="D397" s="21" t="str">
        <f ca="1">IFERROR(__xludf.DUMMYFUNCTION("GOOGLETRANSLATE($B397,""en"",D$3)"),"Opensim laddar ditt objekt. Du hittar den i")</f>
        <v>Opensim laddar ditt objekt. Du hittar den i</v>
      </c>
      <c r="E397" s="21" t="str">
        <f ca="1">IFERROR(__xludf.DUMMYFUNCTION("GOOGLETRANSLATE($B397,""en"",E$3)"),"Opensim está a carregar o seu item. Você vai encontrá-lo em")</f>
        <v>Opensim está a carregar o seu item. Você vai encontrá-lo em</v>
      </c>
      <c r="F397" s="21" t="str">
        <f ca="1">IFERROR(__xludf.DUMMYFUNCTION("GOOGLETRANSLATE($B397,""en"",F$3)"),"Opensim está a carregar o seu item. Você vai encontrá-lo em")</f>
        <v>Opensim está a carregar o seu item. Você vai encontrá-lo em</v>
      </c>
      <c r="G397" s="21" t="str">
        <f ca="1">IFERROR(__xludf.DUMMYFUNCTION("GOOGLETRANSLATE($B397,""en"",G$3)"),"Opensim chargement de votre article. Vous trouverez dans")</f>
        <v>Opensim chargement de votre article. Vous trouverez dans</v>
      </c>
      <c r="H397" s="21" t="str">
        <f ca="1">IFERROR(__xludf.DUMMYFUNCTION("GOOGLETRANSLATE($B397,""en"",H$3)"),"Opensim Zure elementua kargatzen. bertan aurkituko duzu")</f>
        <v>Opensim Zure elementua kargatzen. bertan aurkituko duzu</v>
      </c>
      <c r="I397" s="21" t="str">
        <f ca="1">IFERROR(__xludf.DUMMYFUNCTION("GOOGLETRANSLATE($B397,""en"",I$3)"),"Opensim està carregant el seu article. Vostè el trobareu a")</f>
        <v>Opensim està carregant el seu article. Vostè el trobareu a</v>
      </c>
      <c r="J397" s="21" t="str">
        <f ca="1">IFERROR(__xludf.DUMMYFUNCTION("GOOGLETRANSLATE($B397,""en"",J$3)"),"Opensim Je načítání položky. Najdete ho v")</f>
        <v>Opensim Je načítání položky. Najdete ho v</v>
      </c>
      <c r="K397" s="21" t="str">
        <f ca="1">IFERROR(__xludf.DUMMYFUNCTION("GOOGLETRANSLATE($B397,""en"",K$3)"),"的OpenSim载入您的项目。你会发现它在")</f>
        <v>的OpenSim载入您的项目。你会发现它在</v>
      </c>
      <c r="L397" s="21" t="str">
        <f ca="1">IFERROR(__xludf.DUMMYFUNCTION("GOOGLETRANSLATE($B397,""en"",L$3)"),"的OpenSim載入您的項目。你會發現它在")</f>
        <v>的OpenSim載入您的項目。你會發現它在</v>
      </c>
      <c r="M397" s="21" t="str">
        <f ca="1">IFERROR(__xludf.DUMMYFUNCTION("GOOGLETRANSLATE($B397,""en"",M$3)"),"OpenSim laadt uw punt. U vindt het in")</f>
        <v>OpenSim laadt uw punt. U vindt het in</v>
      </c>
      <c r="N397" s="21" t="str">
        <f ca="1">IFERROR(__xludf.DUMMYFUNCTION("GOOGLETRANSLATE($B397,""en"",N$3)"),"Opensim φορτώνει το στοιχείο σας. Θα το βρείτε στο")</f>
        <v>Opensim φορτώνει το στοιχείο σας. Θα το βρείτε στο</v>
      </c>
      <c r="O397" s="21" t="str">
        <f ca="1">IFERROR(__xludf.DUMMYFUNCTION("GOOGLETRANSLATE($B397,""en"",O$3)"),"Opensim latautuu tuotteissamme. Löydät sen")</f>
        <v>Opensim latautuu tuotteissamme. Löydät sen</v>
      </c>
      <c r="P397" s="21" t="str">
        <f ca="1">IFERROR(__xludf.DUMMYFUNCTION("GOOGLETRANSLATE($B397,""en"",P$3)"),"Opensim An bhfuil luchtú do mhír. Gheobhaidh tú sé i")</f>
        <v>Opensim An bhfuil luchtú do mhír. Gheobhaidh tú sé i</v>
      </c>
      <c r="Q397" s="21" t="str">
        <f ca="1">IFERROR(__xludf.DUMMYFUNCTION("GOOGLETRANSLATE($B397,""en"",Q$3)"),"Opensim در حال بارگذاری است مورد شما. شما آن را در پیدا")</f>
        <v>Opensim در حال بارگذاری است مورد شما. شما آن را در پیدا</v>
      </c>
      <c r="R397" s="21" t="str">
        <f ca="1">IFERROR(__xludf.DUMMYFUNCTION("GOOGLETRANSLATE($B397,""en"",R$3)"),"Opensim נטען הפריט שלך. תוכל למצוא אותו")</f>
        <v>Opensim נטען הפריט שלך. תוכל למצוא אותו</v>
      </c>
      <c r="S397" s="21" t="str">
        <f ca="1">IFERROR(__xludf.DUMMYFUNCTION("GOOGLETRANSLATE($B397,""en"",S$3)"),"Opensim Er að hlaða atriðið. Þú finnur það í")</f>
        <v>Opensim Er að hlaða atriðið. Þú finnur það í</v>
      </c>
      <c r="T397" s="21" t="str">
        <f ca="1">IFERROR(__xludf.DUMMYFUNCTION("GOOGLETRANSLATE($B397,""en"",T$3)"),"OpenSim lastes elementet. Du finner det i")</f>
        <v>OpenSim lastes elementet. Du finner det i</v>
      </c>
      <c r="U397" s="21" t="str">
        <f ca="1">IFERROR(__xludf.DUMMYFUNCTION("GOOGLETRANSLATE($B397,""en"",U$3)"),"Opensim يتم تحميل البند الخاص بك. سوف تجد أنه في")</f>
        <v>Opensim يتم تحميل البند الخاص بك. سوف تجد أنه في</v>
      </c>
      <c r="V397" s="21" t="str">
        <f ca="1">IFERROR(__xludf.DUMMYFUNCTION("GOOGLETRANSLATE($B397,""en"",V$3)"),"Opensim się ładuje swój przedmiot. Znajdziesz go w")</f>
        <v>Opensim się ładuje swój przedmiot. Znajdziesz go w</v>
      </c>
      <c r="W397" s="21" t="str">
        <f ca="1">IFERROR(__xludf.DUMMYFUNCTION("GOOGLETRANSLATE($B397,""en"",W$3)"),"OpenSim загружается ваш деталь. Вы найдете его в")</f>
        <v>OpenSim загружается ваш деталь. Вы найдете его в</v>
      </c>
      <c r="X397" s="21" t="str">
        <f ca="1">IFERROR(__xludf.DUMMYFUNCTION("GOOGLETRANSLATE($B397,""en"",X$3)"),"Opensim está cargando su artículo. Usted lo encontrará en")</f>
        <v>Opensim está cargando su artículo. Usted lo encontrará en</v>
      </c>
      <c r="Y397" s="21"/>
      <c r="Z397" s="21"/>
    </row>
    <row r="398" spans="1:26" ht="32.25" customHeight="1" x14ac:dyDescent="0.2">
      <c r="A398" s="17" t="s">
        <v>906</v>
      </c>
      <c r="B398" s="17" t="s">
        <v>907</v>
      </c>
      <c r="C398" s="21" t="str">
        <f ca="1">IFERROR(__xludf.DUMMYFUNCTION("GOOGLETRANSLATE($B398,""en"",C$3)"),"Geben Sie Konsolenbefehle")</f>
        <v>Geben Sie Konsolenbefehle</v>
      </c>
      <c r="D398" s="21" t="str">
        <f ca="1">IFERROR(__xludf.DUMMYFUNCTION("GOOGLETRANSLATE($B398,""en"",D$3)"),"Utfärda Console kommandon")</f>
        <v>Utfärda Console kommandon</v>
      </c>
      <c r="E398" s="21" t="str">
        <f ca="1">IFERROR(__xludf.DUMMYFUNCTION("GOOGLETRANSLATE($B398,""en"",E$3)"),"Emitir comandos Console")</f>
        <v>Emitir comandos Console</v>
      </c>
      <c r="F398" s="21" t="str">
        <f ca="1">IFERROR(__xludf.DUMMYFUNCTION("GOOGLETRANSLATE($B398,""en"",F$3)"),"Emitir comandos Console")</f>
        <v>Emitir comandos Console</v>
      </c>
      <c r="G398" s="21" t="str">
        <f ca="1">IFERROR(__xludf.DUMMYFUNCTION("GOOGLETRANSLATE($B398,""en"",G$3)"),"Commandes Console Problème")</f>
        <v>Commandes Console Problème</v>
      </c>
      <c r="H398" s="21" t="str">
        <f ca="1">IFERROR(__xludf.DUMMYFUNCTION("GOOGLETRANSLATE($B398,""en"",H$3)"),"Jaulki Kontsola komandoak")</f>
        <v>Jaulki Kontsola komandoak</v>
      </c>
      <c r="I398" s="21" t="str">
        <f ca="1">IFERROR(__xludf.DUMMYFUNCTION("GOOGLETRANSLATE($B398,""en"",I$3)"),"Emetre ordres de consola")</f>
        <v>Emetre ordres de consola</v>
      </c>
      <c r="J398" s="21" t="str">
        <f ca="1">IFERROR(__xludf.DUMMYFUNCTION("GOOGLETRANSLATE($B398,""en"",J$3)"),"Vydávat příkazy konzoly")</f>
        <v>Vydávat příkazy konzoly</v>
      </c>
      <c r="K398" s="21" t="str">
        <f ca="1">IFERROR(__xludf.DUMMYFUNCTION("GOOGLETRANSLATE($B398,""en"",K$3)"),"发出控制台命令")</f>
        <v>发出控制台命令</v>
      </c>
      <c r="L398" s="21" t="str">
        <f ca="1">IFERROR(__xludf.DUMMYFUNCTION("GOOGLETRANSLATE($B398,""en"",L$3)"),"發出控制台命令")</f>
        <v>發出控制台命令</v>
      </c>
      <c r="M398" s="21" t="str">
        <f ca="1">IFERROR(__xludf.DUMMYFUNCTION("GOOGLETRANSLATE($B398,""en"",M$3)"),"Issue Console Commands")</f>
        <v>Issue Console Commands</v>
      </c>
      <c r="N398" s="21" t="str">
        <f ca="1">IFERROR(__xludf.DUMMYFUNCTION("GOOGLETRANSLATE($B398,""en"",N$3)"),"Έκδοση κονσόλα εντολών")</f>
        <v>Έκδοση κονσόλα εντολών</v>
      </c>
      <c r="O398" s="21" t="str">
        <f ca="1">IFERROR(__xludf.DUMMYFUNCTION("GOOGLETRANSLATE($B398,""en"",O$3)"),"Antaa komentoja")</f>
        <v>Antaa komentoja</v>
      </c>
      <c r="P398" s="21" t="str">
        <f ca="1">IFERROR(__xludf.DUMMYFUNCTION("GOOGLETRANSLATE($B398,""en"",P$3)"),"Eisiúint Console Orduithe")</f>
        <v>Eisiúint Console Orduithe</v>
      </c>
      <c r="Q398" s="21" t="str">
        <f ca="1">IFERROR(__xludf.DUMMYFUNCTION("GOOGLETRANSLATE($B398,""en"",Q$3)"),"صدور کنسول دستورات")</f>
        <v>صدور کنسول دستورات</v>
      </c>
      <c r="R398" s="21" t="str">
        <f ca="1">IFERROR(__xludf.DUMMYFUNCTION("GOOGLETRANSLATE($B398,""en"",R$3)"),"פקודות מסוף")</f>
        <v>פקודות מסוף</v>
      </c>
      <c r="S398" s="21" t="str">
        <f ca="1">IFERROR(__xludf.DUMMYFUNCTION("GOOGLETRANSLATE($B398,""en"",S$3)"),"Gefa Console skipanir")</f>
        <v>Gefa Console skipanir</v>
      </c>
      <c r="T398" s="21" t="str">
        <f ca="1">IFERROR(__xludf.DUMMYFUNCTION("GOOGLETRANSLATE($B398,""en"",T$3)"),"Issue Console kommandoer")</f>
        <v>Issue Console kommandoer</v>
      </c>
      <c r="U398" s="21" t="str">
        <f ca="1">IFERROR(__xludf.DUMMYFUNCTION("GOOGLETRANSLATE($B398,""en"",U$3)"),"إصدار أوامر وحدة التحكم")</f>
        <v>إصدار أوامر وحدة التحكم</v>
      </c>
      <c r="V398" s="21" t="str">
        <f ca="1">IFERROR(__xludf.DUMMYFUNCTION("GOOGLETRANSLATE($B398,""en"",V$3)"),"Wydawania poleceń konsoli")</f>
        <v>Wydawania poleceń konsoli</v>
      </c>
      <c r="W398" s="21" t="str">
        <f ca="1">IFERROR(__xludf.DUMMYFUNCTION("GOOGLETRANSLATE($B398,""en"",W$3)"),"Проблема команд консоли")</f>
        <v>Проблема команд консоли</v>
      </c>
      <c r="X398" s="21" t="str">
        <f ca="1">IFERROR(__xludf.DUMMYFUNCTION("GOOGLETRANSLATE($B398,""en"",X$3)"),"Emitir comandos de consola")</f>
        <v>Emitir comandos de consola</v>
      </c>
      <c r="Y398" s="21"/>
      <c r="Z398" s="21"/>
    </row>
    <row r="399" spans="1:26" ht="32.25" customHeight="1" x14ac:dyDescent="0.2">
      <c r="A399" s="10" t="s">
        <v>908</v>
      </c>
      <c r="B399" s="10" t="s">
        <v>909</v>
      </c>
      <c r="C399" s="11" t="str">
        <f ca="1">IFERROR(__xludf.DUMMYFUNCTION("GOOGLETRANSLATE($B399,""en"",C$3)"),"Artikel")</f>
        <v>Artikel</v>
      </c>
      <c r="D399" s="11" t="str">
        <f ca="1">IFERROR(__xludf.DUMMYFUNCTION("GOOGLETRANSLATE($B399,""en"",D$3)"),"artiklar")</f>
        <v>artiklar</v>
      </c>
      <c r="E399" s="11" t="str">
        <f ca="1">IFERROR(__xludf.DUMMYFUNCTION("GOOGLETRANSLATE($B399,""en"",E$3)"),"Itens")</f>
        <v>Itens</v>
      </c>
      <c r="F399" s="11" t="str">
        <f ca="1">IFERROR(__xludf.DUMMYFUNCTION("GOOGLETRANSLATE($B399,""en"",F$3)"),"Itens")</f>
        <v>Itens</v>
      </c>
      <c r="G399" s="11" t="str">
        <f ca="1">IFERROR(__xludf.DUMMYFUNCTION("GOOGLETRANSLATE($B399,""en"",G$3)"),"Articles")</f>
        <v>Articles</v>
      </c>
      <c r="H399" s="11" t="str">
        <f ca="1">IFERROR(__xludf.DUMMYFUNCTION("GOOGLETRANSLATE($B399,""en"",H$3)"),"elementuak")</f>
        <v>elementuak</v>
      </c>
      <c r="I399" s="11" t="str">
        <f ca="1">IFERROR(__xludf.DUMMYFUNCTION("GOOGLETRANSLATE($B399,""en"",I$3)"),"articles")</f>
        <v>articles</v>
      </c>
      <c r="J399" s="11" t="str">
        <f ca="1">IFERROR(__xludf.DUMMYFUNCTION("GOOGLETRANSLATE($B399,""en"",J$3)"),"předměty")</f>
        <v>předměty</v>
      </c>
      <c r="K399" s="11" t="str">
        <f ca="1">IFERROR(__xludf.DUMMYFUNCTION("GOOGLETRANSLATE($B399,""en"",K$3)"),"项目")</f>
        <v>项目</v>
      </c>
      <c r="L399" s="11" t="str">
        <f ca="1">IFERROR(__xludf.DUMMYFUNCTION("GOOGLETRANSLATE($B399,""en"",L$3)"),"項目")</f>
        <v>項目</v>
      </c>
      <c r="M399" s="11" t="str">
        <f ca="1">IFERROR(__xludf.DUMMYFUNCTION("GOOGLETRANSLATE($B399,""en"",M$3)"),"items")</f>
        <v>items</v>
      </c>
      <c r="N399" s="11" t="str">
        <f ca="1">IFERROR(__xludf.DUMMYFUNCTION("GOOGLETRANSLATE($B399,""en"",N$3)"),"Είδη")</f>
        <v>Είδη</v>
      </c>
      <c r="O399" s="11" t="str">
        <f ca="1">IFERROR(__xludf.DUMMYFUNCTION("GOOGLETRANSLATE($B399,""en"",O$3)"),"Tuotteet")</f>
        <v>Tuotteet</v>
      </c>
      <c r="P399" s="11" t="str">
        <f ca="1">IFERROR(__xludf.DUMMYFUNCTION("GOOGLETRANSLATE($B399,""en"",P$3)"),"míreanna")</f>
        <v>míreanna</v>
      </c>
      <c r="Q399" s="11" t="str">
        <f ca="1">IFERROR(__xludf.DUMMYFUNCTION("GOOGLETRANSLATE($B399,""en"",Q$3)"),"موارد")</f>
        <v>موارد</v>
      </c>
      <c r="R399" s="11" t="str">
        <f ca="1">IFERROR(__xludf.DUMMYFUNCTION("GOOGLETRANSLATE($B399,""en"",R$3)"),"פריטים")</f>
        <v>פריטים</v>
      </c>
      <c r="S399" s="11" t="str">
        <f ca="1">IFERROR(__xludf.DUMMYFUNCTION("GOOGLETRANSLATE($B399,""en"",S$3)"),"Hlutir")</f>
        <v>Hlutir</v>
      </c>
      <c r="T399" s="11" t="str">
        <f ca="1">IFERROR(__xludf.DUMMYFUNCTION("GOOGLETRANSLATE($B399,""en"",T$3)"),"elementer")</f>
        <v>elementer</v>
      </c>
      <c r="U399" s="11" t="str">
        <f ca="1">IFERROR(__xludf.DUMMYFUNCTION("GOOGLETRANSLATE($B399,""en"",U$3)"),"العناصر")</f>
        <v>العناصر</v>
      </c>
      <c r="V399" s="11" t="str">
        <f ca="1">IFERROR(__xludf.DUMMYFUNCTION("GOOGLETRANSLATE($B399,""en"",V$3)"),"Przedmiotów")</f>
        <v>Przedmiotów</v>
      </c>
      <c r="W399" s="11" t="str">
        <f ca="1">IFERROR(__xludf.DUMMYFUNCTION("GOOGLETRANSLATE($B399,""en"",W$3)"),"Предметы")</f>
        <v>Предметы</v>
      </c>
      <c r="X399" s="11" t="str">
        <f ca="1">IFERROR(__xludf.DUMMYFUNCTION("GOOGLETRANSLATE($B399,""en"",X$3)"),"Artículos")</f>
        <v>Artículos</v>
      </c>
    </row>
    <row r="400" spans="1:26" ht="32.25" customHeight="1" x14ac:dyDescent="0.2">
      <c r="A400" s="17" t="s">
        <v>910</v>
      </c>
      <c r="B400" s="17" t="s">
        <v>911</v>
      </c>
      <c r="C400" s="21" t="str">
        <f ca="1">IFERROR(__xludf.DUMMYFUNCTION("GOOGLETRANSLATE($B400,""en"",C$3)"),"Job-Engine")</f>
        <v>Job-Engine</v>
      </c>
      <c r="D400" s="21" t="str">
        <f ca="1">IFERROR(__xludf.DUMMYFUNCTION("GOOGLETRANSLATE($B400,""en"",D$3)"),"Job Engine")</f>
        <v>Job Engine</v>
      </c>
      <c r="E400" s="21" t="str">
        <f ca="1">IFERROR(__xludf.DUMMYFUNCTION("GOOGLETRANSLATE($B400,""en"",E$3)"),"Mecanismo de tarefas")</f>
        <v>Mecanismo de tarefas</v>
      </c>
      <c r="F400" s="21" t="str">
        <f ca="1">IFERROR(__xludf.DUMMYFUNCTION("GOOGLETRANSLATE($B400,""en"",F$3)"),"Mecanismo de tarefas")</f>
        <v>Mecanismo de tarefas</v>
      </c>
      <c r="G400" s="21" t="str">
        <f ca="1">IFERROR(__xludf.DUMMYFUNCTION("GOOGLETRANSLATE($B400,""en"",G$3)"),"Job Engine")</f>
        <v>Job Engine</v>
      </c>
      <c r="H400" s="21" t="str">
        <f ca="1">IFERROR(__xludf.DUMMYFUNCTION("GOOGLETRANSLATE($B400,""en"",H$3)"),"Lana motorra")</f>
        <v>Lana motorra</v>
      </c>
      <c r="I400" s="21" t="str">
        <f ca="1">IFERROR(__xludf.DUMMYFUNCTION("GOOGLETRANSLATE($B400,""en"",I$3)"),"motor de tasques")</f>
        <v>motor de tasques</v>
      </c>
      <c r="J400" s="21" t="str">
        <f ca="1">IFERROR(__xludf.DUMMYFUNCTION("GOOGLETRANSLATE($B400,""en"",J$3)"),"Job Engine")</f>
        <v>Job Engine</v>
      </c>
      <c r="K400" s="21" t="str">
        <f ca="1">IFERROR(__xludf.DUMMYFUNCTION("GOOGLETRANSLATE($B400,""en"",K$3)"),"作业引擎")</f>
        <v>作业引擎</v>
      </c>
      <c r="L400" s="21" t="str">
        <f ca="1">IFERROR(__xludf.DUMMYFUNCTION("GOOGLETRANSLATE($B400,""en"",L$3)"),"作業引擎")</f>
        <v>作業引擎</v>
      </c>
      <c r="M400" s="21" t="str">
        <f ca="1">IFERROR(__xludf.DUMMYFUNCTION("GOOGLETRANSLATE($B400,""en"",M$3)"),"Motor van de baan")</f>
        <v>Motor van de baan</v>
      </c>
      <c r="N400" s="21" t="str">
        <f ca="1">IFERROR(__xludf.DUMMYFUNCTION("GOOGLETRANSLATE($B400,""en"",N$3)"),"μηχανή εργασίας")</f>
        <v>μηχανή εργασίας</v>
      </c>
      <c r="O400" s="21" t="str">
        <f ca="1">IFERROR(__xludf.DUMMYFUNCTION("GOOGLETRANSLATE($B400,""en"",O$3)"),"Job Moottori")</f>
        <v>Job Moottori</v>
      </c>
      <c r="P400" s="21" t="str">
        <f ca="1">IFERROR(__xludf.DUMMYFUNCTION("GOOGLETRANSLATE($B400,""en"",P$3)"),"Inneall Job")</f>
        <v>Inneall Job</v>
      </c>
      <c r="Q400" s="21" t="str">
        <f ca="1">IFERROR(__xludf.DUMMYFUNCTION("GOOGLETRANSLATE($B400,""en"",Q$3)"),"موتور های شغلی")</f>
        <v>موتور های شغلی</v>
      </c>
      <c r="R400" s="21" t="str">
        <f ca="1">IFERROR(__xludf.DUMMYFUNCTION("GOOGLETRANSLATE($B400,""en"",R$3)"),"מנוע איוב")</f>
        <v>מנוע איוב</v>
      </c>
      <c r="S400" s="21" t="str">
        <f ca="1">IFERROR(__xludf.DUMMYFUNCTION("GOOGLETRANSLATE($B400,""en"",S$3)"),"starf Engine")</f>
        <v>starf Engine</v>
      </c>
      <c r="T400" s="21" t="str">
        <f ca="1">IFERROR(__xludf.DUMMYFUNCTION("GOOGLETRANSLATE($B400,""en"",T$3)"),"Job Engine")</f>
        <v>Job Engine</v>
      </c>
      <c r="U400" s="21" t="str">
        <f ca="1">IFERROR(__xludf.DUMMYFUNCTION("GOOGLETRANSLATE($B400,""en"",U$3)"),"المحرك وظيفة")</f>
        <v>المحرك وظيفة</v>
      </c>
      <c r="V400" s="21" t="str">
        <f ca="1">IFERROR(__xludf.DUMMYFUNCTION("GOOGLETRANSLATE($B400,""en"",V$3)"),"praca silnika")</f>
        <v>praca silnika</v>
      </c>
      <c r="W400" s="21" t="str">
        <f ca="1">IFERROR(__xludf.DUMMYFUNCTION("GOOGLETRANSLATE($B400,""en"",W$3)"),"Работа двигателя")</f>
        <v>Работа двигателя</v>
      </c>
      <c r="X400" s="21" t="str">
        <f ca="1">IFERROR(__xludf.DUMMYFUNCTION("GOOGLETRANSLATE($B400,""en"",X$3)"),"motor de tareas")</f>
        <v>motor de tareas</v>
      </c>
      <c r="Y400" s="21"/>
      <c r="Z400" s="21"/>
    </row>
    <row r="401" spans="1:26" ht="32.25" customHeight="1" x14ac:dyDescent="0.2">
      <c r="A401" s="17" t="s">
        <v>912</v>
      </c>
      <c r="B401" s="17" t="s">
        <v>913</v>
      </c>
      <c r="C401" s="21" t="str">
        <f ca="1">IFERROR(__xludf.DUMMYFUNCTION("GOOGLETRANSLATE($B401,""en"",C$3)"),"Nur eine Region")</f>
        <v>Nur eine Region</v>
      </c>
      <c r="D401" s="21" t="str">
        <f ca="1">IFERROR(__xludf.DUMMYFUNCTION("GOOGLETRANSLATE($B401,""en"",D$3)"),"Bara en region")</f>
        <v>Bara en region</v>
      </c>
      <c r="E401" s="21" t="str">
        <f ca="1">IFERROR(__xludf.DUMMYFUNCTION("GOOGLETRANSLATE($B401,""en"",E$3)"),"Apenas uma região")</f>
        <v>Apenas uma região</v>
      </c>
      <c r="F401" s="21" t="str">
        <f ca="1">IFERROR(__xludf.DUMMYFUNCTION("GOOGLETRANSLATE($B401,""en"",F$3)"),"Apenas uma região")</f>
        <v>Apenas uma região</v>
      </c>
      <c r="G401" s="21" t="str">
        <f ca="1">IFERROR(__xludf.DUMMYFUNCTION("GOOGLETRANSLATE($B401,""en"",G$3)"),"Juste une région")</f>
        <v>Juste une région</v>
      </c>
      <c r="H401" s="21" t="str">
        <f ca="1">IFERROR(__xludf.DUMMYFUNCTION("GOOGLETRANSLATE($B401,""en"",H$3)"),"Just eskualde")</f>
        <v>Just eskualde</v>
      </c>
      <c r="I401" s="21" t="str">
        <f ca="1">IFERROR(__xludf.DUMMYFUNCTION("GOOGLETRANSLATE($B401,""en"",I$3)"),"Només una regió")</f>
        <v>Només una regió</v>
      </c>
      <c r="J401" s="21" t="str">
        <f ca="1">IFERROR(__xludf.DUMMYFUNCTION("GOOGLETRANSLATE($B401,""en"",J$3)"),"Jen jeden region")</f>
        <v>Jen jeden region</v>
      </c>
      <c r="K401" s="21" t="str">
        <f ca="1">IFERROR(__xludf.DUMMYFUNCTION("GOOGLETRANSLATE($B401,""en"",K$3)"),"只是一个区域")</f>
        <v>只是一个区域</v>
      </c>
      <c r="L401" s="21" t="str">
        <f ca="1">IFERROR(__xludf.DUMMYFUNCTION("GOOGLETRANSLATE($B401,""en"",L$3)"),"只是一個區域")</f>
        <v>只是一個區域</v>
      </c>
      <c r="M401" s="21" t="str">
        <f ca="1">IFERROR(__xludf.DUMMYFUNCTION("GOOGLETRANSLATE($B401,""en"",M$3)"),"Slechts één regio")</f>
        <v>Slechts één regio</v>
      </c>
      <c r="N401" s="21" t="str">
        <f ca="1">IFERROR(__xludf.DUMMYFUNCTION("GOOGLETRANSLATE($B401,""en"",N$3)"),"Μόλις μία περιοχή")</f>
        <v>Μόλις μία περιοχή</v>
      </c>
      <c r="O401" s="21" t="str">
        <f ca="1">IFERROR(__xludf.DUMMYFUNCTION("GOOGLETRANSLATE($B401,""en"",O$3)"),"Vain yksi alue")</f>
        <v>Vain yksi alue</v>
      </c>
      <c r="P401" s="21" t="str">
        <f ca="1">IFERROR(__xludf.DUMMYFUNCTION("GOOGLETRANSLATE($B401,""en"",P$3)"),"Díreach réigiún amháin")</f>
        <v>Díreach réigiún amháin</v>
      </c>
      <c r="Q401" s="21" t="str">
        <f ca="1">IFERROR(__xludf.DUMMYFUNCTION("GOOGLETRANSLATE($B401,""en"",Q$3)"),"فقط یک منطقه")</f>
        <v>فقط یک منطقه</v>
      </c>
      <c r="R401" s="21" t="str">
        <f ca="1">IFERROR(__xludf.DUMMYFUNCTION("GOOGLETRANSLATE($B401,""en"",R$3)"),"רק אחד באזור")</f>
        <v>רק אחד באזור</v>
      </c>
      <c r="S401" s="21" t="str">
        <f ca="1">IFERROR(__xludf.DUMMYFUNCTION("GOOGLETRANSLATE($B401,""en"",S$3)"),"Bara eitt svæði")</f>
        <v>Bara eitt svæði</v>
      </c>
      <c r="T401" s="21" t="str">
        <f ca="1">IFERROR(__xludf.DUMMYFUNCTION("GOOGLETRANSLATE($B401,""en"",T$3)"),"Bare én region")</f>
        <v>Bare én region</v>
      </c>
      <c r="U401" s="21" t="str">
        <f ca="1">IFERROR(__xludf.DUMMYFUNCTION("GOOGLETRANSLATE($B401,""en"",U$3)"),"منطقة واحدة فقط")</f>
        <v>منطقة واحدة فقط</v>
      </c>
      <c r="V401" s="21" t="str">
        <f ca="1">IFERROR(__xludf.DUMMYFUNCTION("GOOGLETRANSLATE($B401,""en"",V$3)"),"Tylko jeden region")</f>
        <v>Tylko jeden region</v>
      </c>
      <c r="W401" s="21" t="str">
        <f ca="1">IFERROR(__xludf.DUMMYFUNCTION("GOOGLETRANSLATE($B401,""en"",W$3)"),"Только один регион")</f>
        <v>Только один регион</v>
      </c>
      <c r="X401" s="21" t="str">
        <f ca="1">IFERROR(__xludf.DUMMYFUNCTION("GOOGLETRANSLATE($B401,""en"",X$3)"),"Sólo una región")</f>
        <v>Sólo una región</v>
      </c>
      <c r="Y401" s="21"/>
      <c r="Z401" s="21"/>
    </row>
    <row r="402" spans="1:26" ht="32.25" customHeight="1" x14ac:dyDescent="0.2">
      <c r="A402" s="17" t="s">
        <v>914</v>
      </c>
      <c r="B402" s="17" t="s">
        <v>915</v>
      </c>
      <c r="C402" s="21" t="str">
        <f ca="1">IFERROR(__xludf.DUMMYFUNCTION("GOOGLETRANSLATE($B402,""en"",C$3)"),"Halten Sie für Tage")</f>
        <v>Halten Sie für Tage</v>
      </c>
      <c r="D402" s="21" t="str">
        <f ca="1">IFERROR(__xludf.DUMMYFUNCTION("GOOGLETRANSLATE($B402,""en"",D$3)"),"Håll i dagar")</f>
        <v>Håll i dagar</v>
      </c>
      <c r="E402" s="21" t="str">
        <f ca="1">IFERROR(__xludf.DUMMYFUNCTION("GOOGLETRANSLATE($B402,""en"",E$3)"),"Mantenha por dias")</f>
        <v>Mantenha por dias</v>
      </c>
      <c r="F402" s="21" t="str">
        <f ca="1">IFERROR(__xludf.DUMMYFUNCTION("GOOGLETRANSLATE($B402,""en"",F$3)"),"Mantenha por dias")</f>
        <v>Mantenha por dias</v>
      </c>
      <c r="G402" s="21" t="str">
        <f ca="1">IFERROR(__xludf.DUMMYFUNCTION("GOOGLETRANSLATE($B402,""en"",G$3)"),"Gardez pendant des jours")</f>
        <v>Gardez pendant des jours</v>
      </c>
      <c r="H402" s="21" t="str">
        <f ca="1">IFERROR(__xludf.DUMMYFUNCTION("GOOGLETRANSLATE($B402,""en"",H$3)"),"egunez manten")</f>
        <v>egunez manten</v>
      </c>
      <c r="I402" s="21" t="str">
        <f ca="1">IFERROR(__xludf.DUMMYFUNCTION("GOOGLETRANSLATE($B402,""en"",I$3)"),"Mantenir durant dies")</f>
        <v>Mantenir durant dies</v>
      </c>
      <c r="J402" s="21" t="str">
        <f ca="1">IFERROR(__xludf.DUMMYFUNCTION("GOOGLETRANSLATE($B402,""en"",J$3)"),"Uchovávat několik dní")</f>
        <v>Uchovávat několik dní</v>
      </c>
      <c r="K402" s="21" t="str">
        <f ca="1">IFERROR(__xludf.DUMMYFUNCTION("GOOGLETRANSLATE($B402,""en"",K$3)"),"保留了天")</f>
        <v>保留了天</v>
      </c>
      <c r="L402" s="21" t="str">
        <f ca="1">IFERROR(__xludf.DUMMYFUNCTION("GOOGLETRANSLATE($B402,""en"",L$3)"),"保留了天")</f>
        <v>保留了天</v>
      </c>
      <c r="M402" s="21" t="str">
        <f ca="1">IFERROR(__xludf.DUMMYFUNCTION("GOOGLETRANSLATE($B402,""en"",M$3)"),"Bewaren voor dagen")</f>
        <v>Bewaren voor dagen</v>
      </c>
      <c r="N402" s="21" t="str">
        <f ca="1">IFERROR(__xludf.DUMMYFUNCTION("GOOGLETRANSLATE($B402,""en"",N$3)"),"Κρατήστε για ημέρες")</f>
        <v>Κρατήστε για ημέρες</v>
      </c>
      <c r="O402" s="21" t="str">
        <f ca="1">IFERROR(__xludf.DUMMYFUNCTION("GOOGLETRANSLATE($B402,""en"",O$3)"),"Säilytä päiviä")</f>
        <v>Säilytä päiviä</v>
      </c>
      <c r="P402" s="21" t="str">
        <f ca="1">IFERROR(__xludf.DUMMYFUNCTION("GOOGLETRANSLATE($B402,""en"",P$3)"),"Coinnigh do laethanta")</f>
        <v>Coinnigh do laethanta</v>
      </c>
      <c r="Q402" s="21" t="str">
        <f ca="1">IFERROR(__xludf.DUMMYFUNCTION("GOOGLETRANSLATE($B402,""en"",Q$3)"),"برای روز نگه دارید")</f>
        <v>برای روز نگه دارید</v>
      </c>
      <c r="R402" s="21" t="str">
        <f ca="1">IFERROR(__xludf.DUMMYFUNCTION("GOOGLETRANSLATE($B402,""en"",R$3)"),"שמור במשך ימים")</f>
        <v>שמור במשך ימים</v>
      </c>
      <c r="S402" s="21" t="str">
        <f ca="1">IFERROR(__xludf.DUMMYFUNCTION("GOOGLETRANSLATE($B402,""en"",S$3)"),"Halda daga")</f>
        <v>Halda daga</v>
      </c>
      <c r="T402" s="21" t="str">
        <f ca="1">IFERROR(__xludf.DUMMYFUNCTION("GOOGLETRANSLATE($B402,""en"",T$3)"),"Hold i flere dager")</f>
        <v>Hold i flere dager</v>
      </c>
      <c r="U402" s="21" t="str">
        <f ca="1">IFERROR(__xludf.DUMMYFUNCTION("GOOGLETRANSLATE($B402,""en"",U$3)"),"تبقى لأيام")</f>
        <v>تبقى لأيام</v>
      </c>
      <c r="V402" s="21" t="str">
        <f ca="1">IFERROR(__xludf.DUMMYFUNCTION("GOOGLETRANSLATE($B402,""en"",V$3)"),"Utrzymać przez kilka dni")</f>
        <v>Utrzymać przez kilka dni</v>
      </c>
      <c r="W402" s="21" t="str">
        <f ca="1">IFERROR(__xludf.DUMMYFUNCTION("GOOGLETRANSLATE($B402,""en"",W$3)"),"Держите в течение нескольких дней")</f>
        <v>Держите в течение нескольких дней</v>
      </c>
      <c r="X402" s="21" t="str">
        <f ca="1">IFERROR(__xludf.DUMMYFUNCTION("GOOGLETRANSLATE($B402,""en"",X$3)"),"Mantener durante días")</f>
        <v>Mantener durante días</v>
      </c>
      <c r="Y402" s="21"/>
      <c r="Z402" s="21"/>
    </row>
    <row r="403" spans="1:26" ht="32.25" customHeight="1" x14ac:dyDescent="0.2">
      <c r="A403" s="17" t="s">
        <v>916</v>
      </c>
      <c r="B403" s="17" t="s">
        <v>917</v>
      </c>
      <c r="C403" s="21" t="str">
        <f ca="1">IFERROR(__xludf.DUMMYFUNCTION("GOOGLETRANSLATE($B403,""en"",C$3)"),"Sie verwenden einen LAN-IP. Dieser Test ist übersprungenen.")</f>
        <v>Sie verwenden einen LAN-IP. Dieser Test ist übersprungenen.</v>
      </c>
      <c r="D403" s="21" t="str">
        <f ca="1">IFERROR(__xludf.DUMMYFUNCTION("GOOGLETRANSLATE($B403,""en"",D$3)"),"Du använder en LAN IP. Detta test är överhoppade.")</f>
        <v>Du använder en LAN IP. Detta test är överhoppade.</v>
      </c>
      <c r="E403" s="21" t="str">
        <f ca="1">IFERROR(__xludf.DUMMYFUNCTION("GOOGLETRANSLATE($B403,""en"",E$3)"),"Você está usando um IP LAN. Este teste é ignorado.")</f>
        <v>Você está usando um IP LAN. Este teste é ignorado.</v>
      </c>
      <c r="F403" s="21" t="str">
        <f ca="1">IFERROR(__xludf.DUMMYFUNCTION("GOOGLETRANSLATE($B403,""en"",F$3)"),"Você está usando um IP LAN. Este teste é ignorado.")</f>
        <v>Você está usando um IP LAN. Este teste é ignorado.</v>
      </c>
      <c r="G403" s="21" t="str">
        <f ca="1">IFERROR(__xludf.DUMMYFUNCTION("GOOGLETRANSLATE($B403,""en"",G$3)"),"Vous utilisez un réseau local IP. Ce test est sautée.")</f>
        <v>Vous utilisez un réseau local IP. Ce test est sautée.</v>
      </c>
      <c r="H403" s="21" t="str">
        <f ca="1">IFERROR(__xludf.DUMMYFUNCTION("GOOGLETRANSLATE($B403,""en"",H$3)"),"LAN IP bat erabiltzen ari zara. Proba hau ez da betetzen.")</f>
        <v>LAN IP bat erabiltzen ari zara. Proba hau ez da betetzen.</v>
      </c>
      <c r="I403" s="21" t="str">
        <f ca="1">IFERROR(__xludf.DUMMYFUNCTION("GOOGLETRANSLATE($B403,""en"",I$3)"),"Esteu utilitzant un IP de la LAN. Aquesta prova és omesa.")</f>
        <v>Esteu utilitzant un IP de la LAN. Aquesta prova és omesa.</v>
      </c>
      <c r="J403" s="21" t="str">
        <f ca="1">IFERROR(__xludf.DUMMYFUNCTION("GOOGLETRANSLATE($B403,""en"",J$3)"),"Používáte LAN IP. Tento test je přeskočen.")</f>
        <v>Používáte LAN IP. Tento test je přeskočen.</v>
      </c>
      <c r="K403" s="21" t="str">
        <f ca="1">IFERROR(__xludf.DUMMYFUNCTION("GOOGLETRANSLATE($B403,""en"",K$3)"),"您使用的是局域网IP。该测试被跳过。")</f>
        <v>您使用的是局域网IP。该测试被跳过。</v>
      </c>
      <c r="L403" s="21" t="str">
        <f ca="1">IFERROR(__xludf.DUMMYFUNCTION("GOOGLETRANSLATE($B403,""en"",L$3)"),"您使用的是局域網IP。該測試被跳過。")</f>
        <v>您使用的是局域網IP。該測試被跳過。</v>
      </c>
      <c r="M403" s="21" t="str">
        <f ca="1">IFERROR(__xludf.DUMMYFUNCTION("GOOGLETRANSLATE($B403,""en"",M$3)"),"U gebruikt een LAN IP. Deze test is overgeslagen.")</f>
        <v>U gebruikt een LAN IP. Deze test is overgeslagen.</v>
      </c>
      <c r="N403" s="21" t="str">
        <f ca="1">IFERROR(__xludf.DUMMYFUNCTION("GOOGLETRANSLATE($B403,""en"",N$3)"),"Χρησιμοποιείτε ένα τοπικό δίκτυο IP. Αυτή η δοκιμή είναι παραλειφθεί.")</f>
        <v>Χρησιμοποιείτε ένα τοπικό δίκτυο IP. Αυτή η δοκιμή είναι παραλειφθεί.</v>
      </c>
      <c r="O403" s="21" t="str">
        <f ca="1">IFERROR(__xludf.DUMMYFUNCTION("GOOGLETRANSLATE($B403,""en"",O$3)"),"Käytät LAN IP. Tämä testi ohitetaan.")</f>
        <v>Käytät LAN IP. Tämä testi ohitetaan.</v>
      </c>
      <c r="P403" s="21" t="str">
        <f ca="1">IFERROR(__xludf.DUMMYFUNCTION("GOOGLETRANSLATE($B403,""en"",P$3)"),"Tá tú ag baint úsáide as IP LAN. Tá an triail ndearna.")</f>
        <v>Tá tú ag baint úsáide as IP LAN. Tá an triail ndearna.</v>
      </c>
      <c r="Q403" s="21" t="str">
        <f ca="1">IFERROR(__xludf.DUMMYFUNCTION("GOOGLETRANSLATE($B403,""en"",Q$3)"),"شما با استفاده از آی پی های شبکه. این تست نادیده گرفته است.")</f>
        <v>شما با استفاده از آی پی های شبکه. این تست نادیده گرفته است.</v>
      </c>
      <c r="R403" s="21" t="str">
        <f ca="1">IFERROR(__xludf.DUMMYFUNCTION("GOOGLETRANSLATE($B403,""en"",R$3)"),"אתה משתמש ה- IP LAN. בדיקה זו היא דילג.")</f>
        <v>אתה משתמש ה- IP LAN. בדיקה זו היא דילג.</v>
      </c>
      <c r="S403" s="21" t="str">
        <f ca="1">IFERROR(__xludf.DUMMYFUNCTION("GOOGLETRANSLATE($B403,""en"",S$3)"),"Þú ert að nota LAN IP. Þetta próf er sleppt.")</f>
        <v>Þú ert að nota LAN IP. Þetta próf er sleppt.</v>
      </c>
      <c r="T403" s="21" t="str">
        <f ca="1">IFERROR(__xludf.DUMMYFUNCTION("GOOGLETRANSLATE($B403,""en"",T$3)"),"Du bruker en LAN IP. Denne testen er hoppet over.")</f>
        <v>Du bruker en LAN IP. Denne testen er hoppet over.</v>
      </c>
      <c r="U403" s="21" t="str">
        <f ca="1">IFERROR(__xludf.DUMMYFUNCTION("GOOGLETRANSLATE($B403,""en"",U$3)"),"كنت تستخدم IP LAN. هذا الاختبار هو تخطي.")</f>
        <v>كنت تستخدم IP LAN. هذا الاختبار هو تخطي.</v>
      </c>
      <c r="V403" s="21" t="str">
        <f ca="1">IFERROR(__xludf.DUMMYFUNCTION("GOOGLETRANSLATE($B403,""en"",V$3)"),"Używasz IP LAN. Test ten jest pomijany.")</f>
        <v>Używasz IP LAN. Test ten jest pomijany.</v>
      </c>
      <c r="W403" s="21" t="str">
        <f ca="1">IFERROR(__xludf.DUMMYFUNCTION("GOOGLETRANSLATE($B403,""en"",W$3)"),"Вы используете IP-сети. Этот тест будет пропущен.")</f>
        <v>Вы используете IP-сети. Этот тест будет пропущен.</v>
      </c>
      <c r="X403" s="21" t="str">
        <f ca="1">IFERROR(__xludf.DUMMYFUNCTION("GOOGLETRANSLATE($B403,""en"",X$3)"),"Está utilizando un IP de la LAN. Esta prueba es omitida.")</f>
        <v>Está utilizando un IP de la LAN. Esta prueba es omitida.</v>
      </c>
      <c r="Y403" s="21"/>
      <c r="Z403" s="21"/>
    </row>
    <row r="404" spans="1:26" ht="32.25" customHeight="1" x14ac:dyDescent="0.2">
      <c r="A404" s="17" t="s">
        <v>918</v>
      </c>
      <c r="B404" s="17" t="s">
        <v>918</v>
      </c>
      <c r="C404" s="21" t="str">
        <f ca="1">IFERROR(__xludf.DUMMYFUNCTION("GOOGLETRANSLATE($B404,""en"",C$3)"),"Sprache")</f>
        <v>Sprache</v>
      </c>
      <c r="D404" s="21" t="str">
        <f ca="1">IFERROR(__xludf.DUMMYFUNCTION("GOOGLETRANSLATE($B404,""en"",D$3)"),"Språk")</f>
        <v>Språk</v>
      </c>
      <c r="E404" s="21" t="str">
        <f ca="1">IFERROR(__xludf.DUMMYFUNCTION("GOOGLETRANSLATE($B404,""en"",E$3)"),"Língua")</f>
        <v>Língua</v>
      </c>
      <c r="F404" s="21" t="str">
        <f ca="1">IFERROR(__xludf.DUMMYFUNCTION("GOOGLETRANSLATE($B404,""en"",F$3)"),"Língua")</f>
        <v>Língua</v>
      </c>
      <c r="G404" s="21" t="str">
        <f ca="1">IFERROR(__xludf.DUMMYFUNCTION("GOOGLETRANSLATE($B404,""en"",G$3)"),"Langue")</f>
        <v>Langue</v>
      </c>
      <c r="H404" s="21" t="str">
        <f ca="1">IFERROR(__xludf.DUMMYFUNCTION("GOOGLETRANSLATE($B404,""en"",H$3)"),"Hizkuntza")</f>
        <v>Hizkuntza</v>
      </c>
      <c r="I404" s="21" t="str">
        <f ca="1">IFERROR(__xludf.DUMMYFUNCTION("GOOGLETRANSLATE($B404,""en"",I$3)"),"Llenguatge")</f>
        <v>Llenguatge</v>
      </c>
      <c r="J404" s="21" t="str">
        <f ca="1">IFERROR(__xludf.DUMMYFUNCTION("GOOGLETRANSLATE($B404,""en"",J$3)"),"Jazyk")</f>
        <v>Jazyk</v>
      </c>
      <c r="K404" s="21" t="str">
        <f ca="1">IFERROR(__xludf.DUMMYFUNCTION("GOOGLETRANSLATE($B404,""en"",K$3)"),"语言")</f>
        <v>语言</v>
      </c>
      <c r="L404" s="21" t="str">
        <f ca="1">IFERROR(__xludf.DUMMYFUNCTION("GOOGLETRANSLATE($B404,""en"",L$3)"),"語言")</f>
        <v>語言</v>
      </c>
      <c r="M404" s="21" t="str">
        <f ca="1">IFERROR(__xludf.DUMMYFUNCTION("GOOGLETRANSLATE($B404,""en"",M$3)"),"Taal")</f>
        <v>Taal</v>
      </c>
      <c r="N404" s="21" t="str">
        <f ca="1">IFERROR(__xludf.DUMMYFUNCTION("GOOGLETRANSLATE($B404,""en"",N$3)"),"Γλώσσα")</f>
        <v>Γλώσσα</v>
      </c>
      <c r="O404" s="21" t="str">
        <f ca="1">IFERROR(__xludf.DUMMYFUNCTION("GOOGLETRANSLATE($B404,""en"",O$3)"),"Kieli")</f>
        <v>Kieli</v>
      </c>
      <c r="P404" s="21" t="str">
        <f ca="1">IFERROR(__xludf.DUMMYFUNCTION("GOOGLETRANSLATE($B404,""en"",P$3)"),"Teanga")</f>
        <v>Teanga</v>
      </c>
      <c r="Q404" s="21" t="str">
        <f ca="1">IFERROR(__xludf.DUMMYFUNCTION("GOOGLETRANSLATE($B404,""en"",Q$3)"),"زبان")</f>
        <v>زبان</v>
      </c>
      <c r="R404" s="21" t="str">
        <f ca="1">IFERROR(__xludf.DUMMYFUNCTION("GOOGLETRANSLATE($B404,""en"",R$3)"),"שפה")</f>
        <v>שפה</v>
      </c>
      <c r="S404" s="21" t="str">
        <f ca="1">IFERROR(__xludf.DUMMYFUNCTION("GOOGLETRANSLATE($B404,""en"",S$3)"),"Tungumál")</f>
        <v>Tungumál</v>
      </c>
      <c r="T404" s="21" t="str">
        <f ca="1">IFERROR(__xludf.DUMMYFUNCTION("GOOGLETRANSLATE($B404,""en"",T$3)"),"Språk")</f>
        <v>Språk</v>
      </c>
      <c r="U404" s="21" t="str">
        <f ca="1">IFERROR(__xludf.DUMMYFUNCTION("GOOGLETRANSLATE($B404,""en"",U$3)"),"لغة")</f>
        <v>لغة</v>
      </c>
      <c r="V404" s="21" t="str">
        <f ca="1">IFERROR(__xludf.DUMMYFUNCTION("GOOGLETRANSLATE($B404,""en"",V$3)"),"Język")</f>
        <v>Język</v>
      </c>
      <c r="W404" s="21" t="str">
        <f ca="1">IFERROR(__xludf.DUMMYFUNCTION("GOOGLETRANSLATE($B404,""en"",W$3)"),"язык")</f>
        <v>язык</v>
      </c>
      <c r="X404" s="21" t="str">
        <f ca="1">IFERROR(__xludf.DUMMYFUNCTION("GOOGLETRANSLATE($B404,""en"",X$3)"),"Idioma")</f>
        <v>Idioma</v>
      </c>
      <c r="Y404" s="21"/>
      <c r="Z404" s="21"/>
    </row>
    <row r="405" spans="1:26" ht="32.25" customHeight="1" x14ac:dyDescent="0.2">
      <c r="A405" s="17" t="s">
        <v>919</v>
      </c>
      <c r="B405" s="17" t="s">
        <v>920</v>
      </c>
      <c r="C405" s="21" t="str">
        <f ca="1">IFERROR(__xludf.DUMMYFUNCTION("GOOGLETRANSLATE($B405,""en"",C$3)"),"Große Metro Karte")</f>
        <v>Große Metro Karte</v>
      </c>
      <c r="D405" s="21" t="str">
        <f ca="1">IFERROR(__xludf.DUMMYFUNCTION("GOOGLETRANSLATE($B405,""en"",D$3)"),"Stor Metro karta")</f>
        <v>Stor Metro karta</v>
      </c>
      <c r="E405" s="21" t="str">
        <f ca="1">IFERROR(__xludf.DUMMYFUNCTION("GOOGLETRANSLATE($B405,""en"",E$3)"),"mapa Metro Grande")</f>
        <v>mapa Metro Grande</v>
      </c>
      <c r="F405" s="21" t="str">
        <f ca="1">IFERROR(__xludf.DUMMYFUNCTION("GOOGLETRANSLATE($B405,""en"",F$3)"),"mapa Metro Grande")</f>
        <v>mapa Metro Grande</v>
      </c>
      <c r="G405" s="21" t="str">
        <f ca="1">IFERROR(__xludf.DUMMYFUNCTION("GOOGLETRANSLATE($B405,""en"",G$3)"),"Grande carte Metro")</f>
        <v>Grande carte Metro</v>
      </c>
      <c r="H405" s="21" t="str">
        <f ca="1">IFERROR(__xludf.DUMMYFUNCTION("GOOGLETRANSLATE($B405,""en"",H$3)"),"Handiak Metro mapa")</f>
        <v>Handiak Metro mapa</v>
      </c>
      <c r="I405" s="21" t="str">
        <f ca="1">IFERROR(__xludf.DUMMYFUNCTION("GOOGLETRANSLATE($B405,""en"",I$3)"),"Mapa gran Metro")</f>
        <v>Mapa gran Metro</v>
      </c>
      <c r="J405" s="21" t="str">
        <f ca="1">IFERROR(__xludf.DUMMYFUNCTION("GOOGLETRANSLATE($B405,""en"",J$3)"),"Velká mapa Metro")</f>
        <v>Velká mapa Metro</v>
      </c>
      <c r="K405" s="21" t="str">
        <f ca="1">IFERROR(__xludf.DUMMYFUNCTION("GOOGLETRANSLATE($B405,""en"",K$3)"),"大型地铁地图")</f>
        <v>大型地铁地图</v>
      </c>
      <c r="L405" s="21" t="str">
        <f ca="1">IFERROR(__xludf.DUMMYFUNCTION("GOOGLETRANSLATE($B405,""en"",L$3)"),"大型地鐵地圖")</f>
        <v>大型地鐵地圖</v>
      </c>
      <c r="M405" s="21" t="str">
        <f ca="1">IFERROR(__xludf.DUMMYFUNCTION("GOOGLETRANSLATE($B405,""en"",M$3)"),"Grote Metro kaart")</f>
        <v>Grote Metro kaart</v>
      </c>
      <c r="N405" s="21" t="str">
        <f ca="1">IFERROR(__xludf.DUMMYFUNCTION("GOOGLETRANSLATE($B405,""en"",N$3)"),"Μεγάλος χάρτης του μετρό")</f>
        <v>Μεγάλος χάρτης του μετρό</v>
      </c>
      <c r="O405" s="21" t="str">
        <f ca="1">IFERROR(__xludf.DUMMYFUNCTION("GOOGLETRANSLATE($B405,""en"",O$3)"),"Suuri Metro kartta")</f>
        <v>Suuri Metro kartta</v>
      </c>
      <c r="P405" s="21" t="str">
        <f ca="1">IFERROR(__xludf.DUMMYFUNCTION("GOOGLETRANSLATE($B405,""en"",P$3)"),"léarscáil Metro Móra")</f>
        <v>léarscáil Metro Móra</v>
      </c>
      <c r="Q405" s="21" t="str">
        <f ca="1">IFERROR(__xludf.DUMMYFUNCTION("GOOGLETRANSLATE($B405,""en"",Q$3)"),"نقشه مترو بزرگ")</f>
        <v>نقشه مترو بزرگ</v>
      </c>
      <c r="R405" s="21" t="str">
        <f ca="1">IFERROR(__xludf.DUMMYFUNCTION("GOOGLETRANSLATE($B405,""en"",R$3)"),"מפת מטרו גדולה")</f>
        <v>מפת מטרו גדולה</v>
      </c>
      <c r="S405" s="21" t="str">
        <f ca="1">IFERROR(__xludf.DUMMYFUNCTION("GOOGLETRANSLATE($B405,""en"",S$3)"),"Stórt kort Metro")</f>
        <v>Stórt kort Metro</v>
      </c>
      <c r="T405" s="21" t="str">
        <f ca="1">IFERROR(__xludf.DUMMYFUNCTION("GOOGLETRANSLATE($B405,""en"",T$3)"),"Stort kart Metro")</f>
        <v>Stort kart Metro</v>
      </c>
      <c r="U405" s="21" t="str">
        <f ca="1">IFERROR(__xludf.DUMMYFUNCTION("GOOGLETRANSLATE($B405,""en"",U$3)"),"خريطة مترو كبيرة")</f>
        <v>خريطة مترو كبيرة</v>
      </c>
      <c r="V405" s="21" t="str">
        <f ca="1">IFERROR(__xludf.DUMMYFUNCTION("GOOGLETRANSLATE($B405,""en"",V$3)"),"Duża mapa metra")</f>
        <v>Duża mapa metra</v>
      </c>
      <c r="W405" s="21" t="str">
        <f ca="1">IFERROR(__xludf.DUMMYFUNCTION("GOOGLETRANSLATE($B405,""en"",W$3)"),"Большая карта метро")</f>
        <v>Большая карта метро</v>
      </c>
      <c r="X405" s="21" t="str">
        <f ca="1">IFERROR(__xludf.DUMMYFUNCTION("GOOGLETRANSLATE($B405,""en"",X$3)"),"Mapa grande Metro")</f>
        <v>Mapa grande Metro</v>
      </c>
      <c r="Y405" s="21"/>
      <c r="Z405" s="21"/>
    </row>
    <row r="406" spans="1:26" ht="32.25" customHeight="1" x14ac:dyDescent="0.2">
      <c r="A406" s="17" t="s">
        <v>921</v>
      </c>
      <c r="B406" s="17" t="s">
        <v>922</v>
      </c>
      <c r="C406" s="21" t="str">
        <f ca="1">IFERROR(__xludf.DUMMYFUNCTION("GOOGLETRANSLATE($B406,""en"",C$3)"),"Nachname")</f>
        <v>Nachname</v>
      </c>
      <c r="D406" s="21" t="str">
        <f ca="1">IFERROR(__xludf.DUMMYFUNCTION("GOOGLETRANSLATE($B406,""en"",D$3)"),"Efternamn")</f>
        <v>Efternamn</v>
      </c>
      <c r="E406" s="21" t="str">
        <f ca="1">IFERROR(__xludf.DUMMYFUNCTION("GOOGLETRANSLATE($B406,""en"",E$3)"),"Último nome")</f>
        <v>Último nome</v>
      </c>
      <c r="F406" s="21" t="str">
        <f ca="1">IFERROR(__xludf.DUMMYFUNCTION("GOOGLETRANSLATE($B406,""en"",F$3)"),"Último nome")</f>
        <v>Último nome</v>
      </c>
      <c r="G406" s="21" t="str">
        <f ca="1">IFERROR(__xludf.DUMMYFUNCTION("GOOGLETRANSLATE($B406,""en"",G$3)"),"Nom de famille")</f>
        <v>Nom de famille</v>
      </c>
      <c r="H406" s="21" t="str">
        <f ca="1">IFERROR(__xludf.DUMMYFUNCTION("GOOGLETRANSLATE($B406,""en"",H$3)"),"Abizena")</f>
        <v>Abizena</v>
      </c>
      <c r="I406" s="21" t="str">
        <f ca="1">IFERROR(__xludf.DUMMYFUNCTION("GOOGLETRANSLATE($B406,""en"",I$3)"),"Cognom")</f>
        <v>Cognom</v>
      </c>
      <c r="J406" s="21" t="str">
        <f ca="1">IFERROR(__xludf.DUMMYFUNCTION("GOOGLETRANSLATE($B406,""en"",J$3)"),"Příjmení")</f>
        <v>Příjmení</v>
      </c>
      <c r="K406" s="21" t="str">
        <f ca="1">IFERROR(__xludf.DUMMYFUNCTION("GOOGLETRANSLATE($B406,""en"",K$3)"),"姓")</f>
        <v>姓</v>
      </c>
      <c r="L406" s="21" t="str">
        <f ca="1">IFERROR(__xludf.DUMMYFUNCTION("GOOGLETRANSLATE($B406,""en"",L$3)"),"姓")</f>
        <v>姓</v>
      </c>
      <c r="M406" s="21" t="str">
        <f ca="1">IFERROR(__xludf.DUMMYFUNCTION("GOOGLETRANSLATE($B406,""en"",M$3)"),"Achternaam")</f>
        <v>Achternaam</v>
      </c>
      <c r="N406" s="21" t="str">
        <f ca="1">IFERROR(__xludf.DUMMYFUNCTION("GOOGLETRANSLATE($B406,""en"",N$3)"),"Επίθετο")</f>
        <v>Επίθετο</v>
      </c>
      <c r="O406" s="21" t="str">
        <f ca="1">IFERROR(__xludf.DUMMYFUNCTION("GOOGLETRANSLATE($B406,""en"",O$3)"),"Sukunimi")</f>
        <v>Sukunimi</v>
      </c>
      <c r="P406" s="21" t="str">
        <f ca="1">IFERROR(__xludf.DUMMYFUNCTION("GOOGLETRANSLATE($B406,""en"",P$3)"),"Sloinne")</f>
        <v>Sloinne</v>
      </c>
      <c r="Q406" s="21" t="str">
        <f ca="1">IFERROR(__xludf.DUMMYFUNCTION("GOOGLETRANSLATE($B406,""en"",Q$3)"),"نام خانوادگی")</f>
        <v>نام خانوادگی</v>
      </c>
      <c r="R406" s="21" t="str">
        <f ca="1">IFERROR(__xludf.DUMMYFUNCTION("GOOGLETRANSLATE($B406,""en"",R$3)"),"שם משפחה")</f>
        <v>שם משפחה</v>
      </c>
      <c r="S406" s="21" t="str">
        <f ca="1">IFERROR(__xludf.DUMMYFUNCTION("GOOGLETRANSLATE($B406,""en"",S$3)"),"Eftirnafn")</f>
        <v>Eftirnafn</v>
      </c>
      <c r="T406" s="21" t="str">
        <f ca="1">IFERROR(__xludf.DUMMYFUNCTION("GOOGLETRANSLATE($B406,""en"",T$3)"),"Etternavn")</f>
        <v>Etternavn</v>
      </c>
      <c r="U406" s="21" t="str">
        <f ca="1">IFERROR(__xludf.DUMMYFUNCTION("GOOGLETRANSLATE($B406,""en"",U$3)"),"الكنية")</f>
        <v>الكنية</v>
      </c>
      <c r="V406" s="21" t="str">
        <f ca="1">IFERROR(__xludf.DUMMYFUNCTION("GOOGLETRANSLATE($B406,""en"",V$3)"),"Nazwisko")</f>
        <v>Nazwisko</v>
      </c>
      <c r="W406" s="21" t="str">
        <f ca="1">IFERROR(__xludf.DUMMYFUNCTION("GOOGLETRANSLATE($B406,""en"",W$3)"),"Фамилия")</f>
        <v>Фамилия</v>
      </c>
      <c r="X406" s="21" t="str">
        <f ca="1">IFERROR(__xludf.DUMMYFUNCTION("GOOGLETRANSLATE($B406,""en"",X$3)"),"Apellido")</f>
        <v>Apellido</v>
      </c>
      <c r="Y406" s="21"/>
      <c r="Z406" s="21"/>
    </row>
    <row r="407" spans="1:26" ht="32.25" customHeight="1" x14ac:dyDescent="0.2">
      <c r="A407" s="17" t="s">
        <v>923</v>
      </c>
      <c r="B407" s="17" t="s">
        <v>922</v>
      </c>
      <c r="C407" s="21" t="str">
        <f ca="1">IFERROR(__xludf.DUMMYFUNCTION("GOOGLETRANSLATE($B407,""en"",C$3)"),"Nachname")</f>
        <v>Nachname</v>
      </c>
      <c r="D407" s="21" t="str">
        <f ca="1">IFERROR(__xludf.DUMMYFUNCTION("GOOGLETRANSLATE($B407,""en"",D$3)"),"Efternamn")</f>
        <v>Efternamn</v>
      </c>
      <c r="E407" s="21" t="str">
        <f ca="1">IFERROR(__xludf.DUMMYFUNCTION("GOOGLETRANSLATE($B407,""en"",E$3)"),"Último nome")</f>
        <v>Último nome</v>
      </c>
      <c r="F407" s="21" t="str">
        <f ca="1">IFERROR(__xludf.DUMMYFUNCTION("GOOGLETRANSLATE($B407,""en"",F$3)"),"Último nome")</f>
        <v>Último nome</v>
      </c>
      <c r="G407" s="21" t="str">
        <f ca="1">IFERROR(__xludf.DUMMYFUNCTION("GOOGLETRANSLATE($B407,""en"",G$3)"),"Nom de famille")</f>
        <v>Nom de famille</v>
      </c>
      <c r="H407" s="21" t="str">
        <f ca="1">IFERROR(__xludf.DUMMYFUNCTION("GOOGLETRANSLATE($B407,""en"",H$3)"),"Abizena")</f>
        <v>Abizena</v>
      </c>
      <c r="I407" s="21" t="str">
        <f ca="1">IFERROR(__xludf.DUMMYFUNCTION("GOOGLETRANSLATE($B407,""en"",I$3)"),"Cognom")</f>
        <v>Cognom</v>
      </c>
      <c r="J407" s="21" t="str">
        <f ca="1">IFERROR(__xludf.DUMMYFUNCTION("GOOGLETRANSLATE($B407,""en"",J$3)"),"Příjmení")</f>
        <v>Příjmení</v>
      </c>
      <c r="K407" s="21" t="str">
        <f ca="1">IFERROR(__xludf.DUMMYFUNCTION("GOOGLETRANSLATE($B407,""en"",K$3)"),"姓")</f>
        <v>姓</v>
      </c>
      <c r="L407" s="21" t="str">
        <f ca="1">IFERROR(__xludf.DUMMYFUNCTION("GOOGLETRANSLATE($B407,""en"",L$3)"),"姓")</f>
        <v>姓</v>
      </c>
      <c r="M407" s="21" t="str">
        <f ca="1">IFERROR(__xludf.DUMMYFUNCTION("GOOGLETRANSLATE($B407,""en"",M$3)"),"Achternaam")</f>
        <v>Achternaam</v>
      </c>
      <c r="N407" s="21" t="str">
        <f ca="1">IFERROR(__xludf.DUMMYFUNCTION("GOOGLETRANSLATE($B407,""en"",N$3)"),"Επίθετο")</f>
        <v>Επίθετο</v>
      </c>
      <c r="O407" s="21" t="str">
        <f ca="1">IFERROR(__xludf.DUMMYFUNCTION("GOOGLETRANSLATE($B407,""en"",O$3)"),"Sukunimi")</f>
        <v>Sukunimi</v>
      </c>
      <c r="P407" s="21" t="str">
        <f ca="1">IFERROR(__xludf.DUMMYFUNCTION("GOOGLETRANSLATE($B407,""en"",P$3)"),"Sloinne")</f>
        <v>Sloinne</v>
      </c>
      <c r="Q407" s="21" t="str">
        <f ca="1">IFERROR(__xludf.DUMMYFUNCTION("GOOGLETRANSLATE($B407,""en"",Q$3)"),"نام خانوادگی")</f>
        <v>نام خانوادگی</v>
      </c>
      <c r="R407" s="21" t="str">
        <f ca="1">IFERROR(__xludf.DUMMYFUNCTION("GOOGLETRANSLATE($B407,""en"",R$3)"),"שם משפחה")</f>
        <v>שם משפחה</v>
      </c>
      <c r="S407" s="21" t="str">
        <f ca="1">IFERROR(__xludf.DUMMYFUNCTION("GOOGLETRANSLATE($B407,""en"",S$3)"),"Eftirnafn")</f>
        <v>Eftirnafn</v>
      </c>
      <c r="T407" s="21" t="str">
        <f ca="1">IFERROR(__xludf.DUMMYFUNCTION("GOOGLETRANSLATE($B407,""en"",T$3)"),"Etternavn")</f>
        <v>Etternavn</v>
      </c>
      <c r="U407" s="21" t="str">
        <f ca="1">IFERROR(__xludf.DUMMYFUNCTION("GOOGLETRANSLATE($B407,""en"",U$3)"),"الكنية")</f>
        <v>الكنية</v>
      </c>
      <c r="V407" s="21" t="str">
        <f ca="1">IFERROR(__xludf.DUMMYFUNCTION("GOOGLETRANSLATE($B407,""en"",V$3)"),"Nazwisko")</f>
        <v>Nazwisko</v>
      </c>
      <c r="W407" s="21" t="str">
        <f ca="1">IFERROR(__xludf.DUMMYFUNCTION("GOOGLETRANSLATE($B407,""en"",W$3)"),"Фамилия")</f>
        <v>Фамилия</v>
      </c>
      <c r="X407" s="21" t="str">
        <f ca="1">IFERROR(__xludf.DUMMYFUNCTION("GOOGLETRANSLATE($B407,""en"",X$3)"),"Apellido")</f>
        <v>Apellido</v>
      </c>
      <c r="Y407" s="21"/>
      <c r="Z407" s="21"/>
    </row>
    <row r="408" spans="1:26" ht="32.25" customHeight="1" x14ac:dyDescent="0.2">
      <c r="A408" s="17" t="s">
        <v>924</v>
      </c>
      <c r="B408" s="17" t="s">
        <v>925</v>
      </c>
      <c r="C408" s="21" t="str">
        <f ca="1">IFERROR(__xludf.DUMMYFUNCTION("GOOGLETRANSLATE($B408,""en"",C$3)"),"Betrachte Liste der Avatare")</f>
        <v>Betrachte Liste der Avatare</v>
      </c>
      <c r="D408" s="21" t="str">
        <f ca="1">IFERROR(__xludf.DUMMYFUNCTION("GOOGLETRANSLATE($B408,""en"",D$3)"),"Se lista över Avatars")</f>
        <v>Se lista över Avatars</v>
      </c>
      <c r="E408" s="21" t="str">
        <f ca="1">IFERROR(__xludf.DUMMYFUNCTION("GOOGLETRANSLATE($B408,""en"",E$3)"),"Ver lista de Avatares")</f>
        <v>Ver lista de Avatares</v>
      </c>
      <c r="F408" s="21" t="str">
        <f ca="1">IFERROR(__xludf.DUMMYFUNCTION("GOOGLETRANSLATE($B408,""en"",F$3)"),"Ver lista de Avatares")</f>
        <v>Ver lista de Avatares</v>
      </c>
      <c r="G408" s="21" t="str">
        <f ca="1">IFERROR(__xludf.DUMMYFUNCTION("GOOGLETRANSLATE($B408,""en"",G$3)"),"Voir la liste des Avatars")</f>
        <v>Voir la liste des Avatars</v>
      </c>
      <c r="H408" s="21" t="str">
        <f ca="1">IFERROR(__xludf.DUMMYFUNCTION("GOOGLETRANSLATE($B408,""en"",H$3)"),"Ikusi Avatars zerrenda")</f>
        <v>Ikusi Avatars zerrenda</v>
      </c>
      <c r="I408" s="21" t="str">
        <f ca="1">IFERROR(__xludf.DUMMYFUNCTION("GOOGLETRANSLATE($B408,""en"",I$3)"),"Veure llista d'avatars")</f>
        <v>Veure llista d'avatars</v>
      </c>
      <c r="J408" s="21" t="str">
        <f ca="1">IFERROR(__xludf.DUMMYFUNCTION("GOOGLETRANSLATE($B408,""en"",J$3)"),"Zobrazení seznamu avatary")</f>
        <v>Zobrazení seznamu avatary</v>
      </c>
      <c r="K408" s="21" t="str">
        <f ca="1">IFERROR(__xludf.DUMMYFUNCTION("GOOGLETRANSLATE($B408,""en"",K$3)"),"化身的视图列表")</f>
        <v>化身的视图列表</v>
      </c>
      <c r="L408" s="21" t="str">
        <f ca="1">IFERROR(__xludf.DUMMYFUNCTION("GOOGLETRANSLATE($B408,""en"",L$3)"),"化身的視圖列表")</f>
        <v>化身的視圖列表</v>
      </c>
      <c r="M408" s="21" t="str">
        <f ca="1">IFERROR(__xludf.DUMMYFUNCTION("GOOGLETRANSLATE($B408,""en"",M$3)"),"Bekijk de lijst van Avatars")</f>
        <v>Bekijk de lijst van Avatars</v>
      </c>
      <c r="N408" s="21" t="str">
        <f ca="1">IFERROR(__xludf.DUMMYFUNCTION("GOOGLETRANSLATE($B408,""en"",N$3)"),"Προβολή λίστας των Avatars")</f>
        <v>Προβολή λίστας των Avatars</v>
      </c>
      <c r="O408" s="21" t="str">
        <f ca="1">IFERROR(__xludf.DUMMYFUNCTION("GOOGLETRANSLATE($B408,""en"",O$3)"),"Katso luettelo hahmot")</f>
        <v>Katso luettelo hahmot</v>
      </c>
      <c r="P408" s="21" t="str">
        <f ca="1">IFERROR(__xludf.DUMMYFUNCTION("GOOGLETRANSLATE($B408,""en"",P$3)"),"Féach ar liosta de na Avatars")</f>
        <v>Féach ar liosta de na Avatars</v>
      </c>
      <c r="Q408" s="21" t="str">
        <f ca="1">IFERROR(__xludf.DUMMYFUNCTION("GOOGLETRANSLATE($B408,""en"",Q$3)"),"مشاهده لیستی از آواتار ها")</f>
        <v>مشاهده لیستی از آواتار ها</v>
      </c>
      <c r="R408" s="21" t="str">
        <f ca="1">IFERROR(__xludf.DUMMYFUNCTION("GOOGLETRANSLATE($B408,""en"",R$3)"),"צפו ברשימה של אווטרים")</f>
        <v>צפו ברשימה של אווטרים</v>
      </c>
      <c r="S408" s="21" t="str">
        <f ca="1">IFERROR(__xludf.DUMMYFUNCTION("GOOGLETRANSLATE($B408,""en"",S$3)"),"Skoða lista yfir Avatars")</f>
        <v>Skoða lista yfir Avatars</v>
      </c>
      <c r="T408" s="21" t="str">
        <f ca="1">IFERROR(__xludf.DUMMYFUNCTION("GOOGLETRANSLATE($B408,""en"",T$3)"),"Vis liste over avatarer")</f>
        <v>Vis liste over avatarer</v>
      </c>
      <c r="U408" s="21" t="str">
        <f ca="1">IFERROR(__xludf.DUMMYFUNCTION("GOOGLETRANSLATE($B408,""en"",U$3)"),"قائمة الصور الرمزية مشاهدة")</f>
        <v>قائمة الصور الرمزية مشاهدة</v>
      </c>
      <c r="V408" s="21" t="str">
        <f ca="1">IFERROR(__xludf.DUMMYFUNCTION("GOOGLETRANSLATE($B408,""en"",V$3)"),"Lista awatarów")</f>
        <v>Lista awatarów</v>
      </c>
      <c r="W408" s="21" t="str">
        <f ca="1">IFERROR(__xludf.DUMMYFUNCTION("GOOGLETRANSLATE($B408,""en"",W$3)"),"Просмотреть список аватаров")</f>
        <v>Просмотреть список аватаров</v>
      </c>
      <c r="X408" s="21" t="str">
        <f ca="1">IFERROR(__xludf.DUMMYFUNCTION("GOOGLETRANSLATE($B408,""en"",X$3)"),"Ver lista de avatares")</f>
        <v>Ver lista de avatares</v>
      </c>
      <c r="Y408" s="21"/>
      <c r="Z408" s="21"/>
    </row>
    <row r="409" spans="1:26" ht="32.25" customHeight="1" x14ac:dyDescent="0.2">
      <c r="A409" s="17" t="s">
        <v>926</v>
      </c>
      <c r="B409" s="17" t="s">
        <v>927</v>
      </c>
      <c r="C409" s="21" t="str">
        <f ca="1">IFERROR(__xludf.DUMMYFUNCTION("GOOGLETRANSLATE($B409,""en"",C$3)"),"Laden Vogel IAR")</f>
        <v>Laden Vogel IAR</v>
      </c>
      <c r="D409" s="21" t="str">
        <f ca="1">IFERROR(__xludf.DUMMYFUNCTION("GOOGLETRANSLATE($B409,""en"",D$3)"),"Fyll Bird IAR")</f>
        <v>Fyll Bird IAR</v>
      </c>
      <c r="E409" s="21" t="str">
        <f ca="1">IFERROR(__xludf.DUMMYFUNCTION("GOOGLETRANSLATE($B409,""en"",E$3)"),"Carregar Pássaro IAR")</f>
        <v>Carregar Pássaro IAR</v>
      </c>
      <c r="F409" s="21" t="str">
        <f ca="1">IFERROR(__xludf.DUMMYFUNCTION("GOOGLETRANSLATE($B409,""en"",F$3)"),"Carregar Pássaro IAR")</f>
        <v>Carregar Pássaro IAR</v>
      </c>
      <c r="G409" s="21" t="str">
        <f ca="1">IFERROR(__xludf.DUMMYFUNCTION("GOOGLETRANSLATE($B409,""en"",G$3)"),"Charger des oiseaux IAR")</f>
        <v>Charger des oiseaux IAR</v>
      </c>
      <c r="H409" s="21" t="str">
        <f ca="1">IFERROR(__xludf.DUMMYFUNCTION("GOOGLETRANSLATE($B409,""en"",H$3)"),"Kargatu Bird iar")</f>
        <v>Kargatu Bird iar</v>
      </c>
      <c r="I409" s="21" t="str">
        <f ca="1">IFERROR(__xludf.DUMMYFUNCTION("GOOGLETRANSLATE($B409,""en"",I$3)"),"Carregar Bird IAR")</f>
        <v>Carregar Bird IAR</v>
      </c>
      <c r="J409" s="21" t="str">
        <f ca="1">IFERROR(__xludf.DUMMYFUNCTION("GOOGLETRANSLATE($B409,""en"",J$3)"),"Načíst Bird IAR")</f>
        <v>Načíst Bird IAR</v>
      </c>
      <c r="K409" s="21" t="str">
        <f ca="1">IFERROR(__xludf.DUMMYFUNCTION("GOOGLETRANSLATE($B409,""en"",K$3)"),"加载鸟IAR")</f>
        <v>加载鸟IAR</v>
      </c>
      <c r="L409" s="21" t="str">
        <f ca="1">IFERROR(__xludf.DUMMYFUNCTION("GOOGLETRANSLATE($B409,""en"",L$3)"),"加載鳥IAR")</f>
        <v>加載鳥IAR</v>
      </c>
      <c r="M409" s="21" t="str">
        <f ca="1">IFERROR(__xludf.DUMMYFUNCTION("GOOGLETRANSLATE($B409,""en"",M$3)"),"Load Bird IAR")</f>
        <v>Load Bird IAR</v>
      </c>
      <c r="N409" s="21" t="str">
        <f ca="1">IFERROR(__xludf.DUMMYFUNCTION("GOOGLETRANSLATE($B409,""en"",N$3)"),"Τοποθετήστε Bird IAR")</f>
        <v>Τοποθετήστε Bird IAR</v>
      </c>
      <c r="O409" s="21" t="str">
        <f ca="1">IFERROR(__xludf.DUMMYFUNCTION("GOOGLETRANSLATE($B409,""en"",O$3)"),"Ladata Bird IAR")</f>
        <v>Ladata Bird IAR</v>
      </c>
      <c r="P409" s="21" t="str">
        <f ca="1">IFERROR(__xludf.DUMMYFUNCTION("GOOGLETRANSLATE($B409,""en"",P$3)"),"Luchtaigh Bird IAR")</f>
        <v>Luchtaigh Bird IAR</v>
      </c>
      <c r="Q409" s="21" t="str">
        <f ca="1">IFERROR(__xludf.DUMMYFUNCTION("GOOGLETRANSLATE($B409,""en"",Q$3)"),"بار پرنده IAR")</f>
        <v>بار پرنده IAR</v>
      </c>
      <c r="R409" s="21" t="str">
        <f ca="1">IFERROR(__xludf.DUMMYFUNCTION("GOOGLETRANSLATE($B409,""en"",R$3)"),"טעינה בירד IAR")</f>
        <v>טעינה בירד IAR</v>
      </c>
      <c r="S409" s="21" t="str">
        <f ca="1">IFERROR(__xludf.DUMMYFUNCTION("GOOGLETRANSLATE($B409,""en"",S$3)"),"Hlaða Bird iar")</f>
        <v>Hlaða Bird iar</v>
      </c>
      <c r="T409" s="21" t="str">
        <f ca="1">IFERROR(__xludf.DUMMYFUNCTION("GOOGLETRANSLATE($B409,""en"",T$3)"),"Laste Bird IAR")</f>
        <v>Laste Bird IAR</v>
      </c>
      <c r="U409" s="21" t="str">
        <f ca="1">IFERROR(__xludf.DUMMYFUNCTION("GOOGLETRANSLATE($B409,""en"",U$3)"),"تحميل الطيور IAR")</f>
        <v>تحميل الطيور IAR</v>
      </c>
      <c r="V409" s="21" t="str">
        <f ca="1">IFERROR(__xludf.DUMMYFUNCTION("GOOGLETRANSLATE($B409,""en"",V$3)"),"Załaduj ptak IAR")</f>
        <v>Załaduj ptak IAR</v>
      </c>
      <c r="W409" s="21" t="str">
        <f ca="1">IFERROR(__xludf.DUMMYFUNCTION("GOOGLETRANSLATE($B409,""en"",W$3)"),"Загрузить Bird IAR")</f>
        <v>Загрузить Bird IAR</v>
      </c>
      <c r="X409" s="21" t="str">
        <f ca="1">IFERROR(__xludf.DUMMYFUNCTION("GOOGLETRANSLATE($B409,""en"",X$3)"),"Cargar Bird IAR")</f>
        <v>Cargar Bird IAR</v>
      </c>
      <c r="Y409" s="21"/>
      <c r="Z409" s="21"/>
    </row>
    <row r="410" spans="1:26" ht="32.25" customHeight="1" x14ac:dyDescent="0.2">
      <c r="A410" s="17" t="s">
        <v>928</v>
      </c>
      <c r="B410" s="17" t="s">
        <v>929</v>
      </c>
      <c r="C410" s="21" t="str">
        <f ca="1">IFERROR(__xludf.DUMMYFUNCTION("GOOGLETRANSLATE($B410,""en"",C$3)"),"Laden Gratis Avatar Inventar")</f>
        <v>Laden Gratis Avatar Inventar</v>
      </c>
      <c r="D410" s="21" t="str">
        <f ca="1">IFERROR(__xludf.DUMMYFUNCTION("GOOGLETRANSLATE($B410,""en"",D$3)"),"Ladda gratis Avatar Inventory")</f>
        <v>Ladda gratis Avatar Inventory</v>
      </c>
      <c r="E410" s="21" t="str">
        <f ca="1">IFERROR(__xludf.DUMMYFUNCTION("GOOGLETRANSLATE($B410,""en"",E$3)"),"Carregar grátis Avatar Inventory")</f>
        <v>Carregar grátis Avatar Inventory</v>
      </c>
      <c r="F410" s="21" t="str">
        <f ca="1">IFERROR(__xludf.DUMMYFUNCTION("GOOGLETRANSLATE($B410,""en"",F$3)"),"Carregar grátis Avatar Inventory")</f>
        <v>Carregar grátis Avatar Inventory</v>
      </c>
      <c r="G410" s="21" t="str">
        <f ca="1">IFERROR(__xludf.DUMMYFUNCTION("GOOGLETRANSLATE($B410,""en"",G$3)"),"Charger Avatar gratuit Inventaire")</f>
        <v>Charger Avatar gratuit Inventaire</v>
      </c>
      <c r="H410" s="21" t="str">
        <f ca="1">IFERROR(__xludf.DUMMYFUNCTION("GOOGLETRANSLATE($B410,""en"",H$3)"),"Kargatu Free Avatar inbentarioa")</f>
        <v>Kargatu Free Avatar inbentarioa</v>
      </c>
      <c r="I410" s="21" t="str">
        <f ca="1">IFERROR(__xludf.DUMMYFUNCTION("GOOGLETRANSLATE($B410,""en"",I$3)"),"Carregar gratis Avatar d'inventari")</f>
        <v>Carregar gratis Avatar d'inventari</v>
      </c>
      <c r="J410" s="21" t="str">
        <f ca="1">IFERROR(__xludf.DUMMYFUNCTION("GOOGLETRANSLATE($B410,""en"",J$3)"),"Načíst zdarma Avatar Inventory")</f>
        <v>Načíst zdarma Avatar Inventory</v>
      </c>
      <c r="K410" s="21" t="str">
        <f ca="1">IFERROR(__xludf.DUMMYFUNCTION("GOOGLETRANSLATE($B410,""en"",K$3)"),"加载免费头像库存")</f>
        <v>加载免费头像库存</v>
      </c>
      <c r="L410" s="21" t="str">
        <f ca="1">IFERROR(__xludf.DUMMYFUNCTION("GOOGLETRANSLATE($B410,""en"",L$3)"),"加載免費頭像庫存")</f>
        <v>加載免費頭像庫存</v>
      </c>
      <c r="M410" s="21" t="str">
        <f ca="1">IFERROR(__xludf.DUMMYFUNCTION("GOOGLETRANSLATE($B410,""en"",M$3)"),"Plaats gratis Avatar Inventory")</f>
        <v>Plaats gratis Avatar Inventory</v>
      </c>
      <c r="N410" s="21" t="str">
        <f ca="1">IFERROR(__xludf.DUMMYFUNCTION("GOOGLETRANSLATE($B410,""en"",N$3)"),"Τοποθετήστε Δωρεάν Avatar Απογραφή")</f>
        <v>Τοποθετήστε Δωρεάν Avatar Απογραφή</v>
      </c>
      <c r="O410" s="21" t="str">
        <f ca="1">IFERROR(__xludf.DUMMYFUNCTION("GOOGLETRANSLATE($B410,""en"",O$3)"),"Ladata ilmaiseksi Avatar Inventory")</f>
        <v>Ladata ilmaiseksi Avatar Inventory</v>
      </c>
      <c r="P410" s="21" t="str">
        <f ca="1">IFERROR(__xludf.DUMMYFUNCTION("GOOGLETRANSLATE($B410,""en"",P$3)"),"Luchtaigh Free Avatar Fardal")</f>
        <v>Luchtaigh Free Avatar Fardal</v>
      </c>
      <c r="Q410" s="21" t="str">
        <f ca="1">IFERROR(__xludf.DUMMYFUNCTION("GOOGLETRANSLATE($B410,""en"",Q$3)"),"بار پرسشنامه رایگان آواتار")</f>
        <v>بار پرسشنامه رایگان آواتار</v>
      </c>
      <c r="R410" s="21" t="str">
        <f ca="1">IFERROR(__xludf.DUMMYFUNCTION("GOOGLETRANSLATE($B410,""en"",R$3)"),"טעינה מלאי חינם Avatar")</f>
        <v>טעינה מלאי חינם Avatar</v>
      </c>
      <c r="S410" s="21" t="str">
        <f ca="1">IFERROR(__xludf.DUMMYFUNCTION("GOOGLETRANSLATE($B410,""en"",S$3)"),"Hlaða Free Avatar Inventory")</f>
        <v>Hlaða Free Avatar Inventory</v>
      </c>
      <c r="T410" s="21" t="str">
        <f ca="1">IFERROR(__xludf.DUMMYFUNCTION("GOOGLETRANSLATE($B410,""en"",T$3)"),"Laste Gratis Avatar Lager")</f>
        <v>Laste Gratis Avatar Lager</v>
      </c>
      <c r="U410" s="21" t="str">
        <f ca="1">IFERROR(__xludf.DUMMYFUNCTION("GOOGLETRANSLATE($B410,""en"",U$3)"),"تحميل الرمزية مجانية الجرد")</f>
        <v>تحميل الرمزية مجانية الجرد</v>
      </c>
      <c r="V410" s="21" t="str">
        <f ca="1">IFERROR(__xludf.DUMMYFUNCTION("GOOGLETRANSLATE($B410,""en"",V$3)"),"Załaduj Inventory avatar")</f>
        <v>Załaduj Inventory avatar</v>
      </c>
      <c r="W410" s="21" t="str">
        <f ca="1">IFERROR(__xludf.DUMMYFUNCTION("GOOGLETRANSLATE($B410,""en"",W$3)"),"Загружайте Free Аватар для инвентаризации")</f>
        <v>Загружайте Free Аватар для инвентаризации</v>
      </c>
      <c r="X410" s="21" t="str">
        <f ca="1">IFERROR(__xludf.DUMMYFUNCTION("GOOGLETRANSLATE($B410,""en"",X$3)"),"Cargar gratis Avatar de inventario")</f>
        <v>Cargar gratis Avatar de inventario</v>
      </c>
      <c r="Y410" s="21"/>
      <c r="Z410" s="21"/>
    </row>
    <row r="411" spans="1:26" ht="32.25" customHeight="1" x14ac:dyDescent="0.2">
      <c r="A411" s="17" t="s">
        <v>930</v>
      </c>
      <c r="B411" s="17" t="s">
        <v>931</v>
      </c>
      <c r="C411" s="21" t="str">
        <f ca="1">IFERROR(__xludf.DUMMYFUNCTION("GOOGLETRANSLATE($B411,""en"",C$3)"),"Last IARS von der Outworldz Website")</f>
        <v>Last IARS von der Outworldz Website</v>
      </c>
      <c r="D411" s="21" t="str">
        <f ca="1">IFERROR(__xludf.DUMMYFUNCTION("GOOGLETRANSLATE($B411,""en"",D$3)"),"Last IAR från webbplats Outworldz")</f>
        <v>Last IAR från webbplats Outworldz</v>
      </c>
      <c r="E411" s="21" t="str">
        <f ca="1">IFERROR(__xludf.DUMMYFUNCTION("GOOGLETRANSLATE($B411,""en"",E$3)"),"IARS carga no site da Outworldz")</f>
        <v>IARS carga no site da Outworldz</v>
      </c>
      <c r="F411" s="21" t="str">
        <f ca="1">IFERROR(__xludf.DUMMYFUNCTION("GOOGLETRANSLATE($B411,""en"",F$3)"),"IARS carga no site da Outworldz")</f>
        <v>IARS carga no site da Outworldz</v>
      </c>
      <c r="G411" s="21" t="str">
        <f ca="1">IFERROR(__xludf.DUMMYFUNCTION("GOOGLETRANSLATE($B411,""en"",G$3)"),"IARS de charge à partir du site Web Outworldz")</f>
        <v>IARS de charge à partir du site Web Outworldz</v>
      </c>
      <c r="H411" s="21" t="str">
        <f ca="1">IFERROR(__xludf.DUMMYFUNCTION("GOOGLETRANSLATE($B411,""en"",H$3)"),"the Outworldz web gunetik kargatu IARS")</f>
        <v>the Outworldz web gunetik kargatu IARS</v>
      </c>
      <c r="I411" s="21" t="str">
        <f ca="1">IFERROR(__xludf.DUMMYFUNCTION("GOOGLETRANSLATE($B411,""en"",I$3)"),"IARS de càrrega de la pàgina web Outworldz")</f>
        <v>IARS de càrrega de la pàgina web Outworldz</v>
      </c>
      <c r="J411" s="21" t="str">
        <f ca="1">IFERROR(__xludf.DUMMYFUNCTION("GOOGLETRANSLATE($B411,""en"",J$3)"),"Zatížení IARS z webu Outworldz")</f>
        <v>Zatížení IARS z webu Outworldz</v>
      </c>
      <c r="K411" s="21" t="str">
        <f ca="1">IFERROR(__xludf.DUMMYFUNCTION("GOOGLETRANSLATE($B411,""en"",K$3)"),"从Outworldz网站负载IARS")</f>
        <v>从Outworldz网站负载IARS</v>
      </c>
      <c r="L411" s="21" t="str">
        <f ca="1">IFERROR(__xludf.DUMMYFUNCTION("GOOGLETRANSLATE($B411,""en"",L$3)"),"從Outworldz網站負載IARS")</f>
        <v>從Outworldz網站負載IARS</v>
      </c>
      <c r="M411" s="21" t="str">
        <f ca="1">IFERROR(__xludf.DUMMYFUNCTION("GOOGLETRANSLATE($B411,""en"",M$3)"),"Load IAR van de Outworldz website")</f>
        <v>Load IAR van de Outworldz website</v>
      </c>
      <c r="N411" s="21" t="str">
        <f ca="1">IFERROR(__xludf.DUMMYFUNCTION("GOOGLETRANSLATE($B411,""en"",N$3)"),"ΑΣΕ φορτίο από την ιστοσελίδα Outworldz")</f>
        <v>ΑΣΕ φορτίο από την ιστοσελίδα Outworldz</v>
      </c>
      <c r="O411" s="21" t="str">
        <f ca="1">IFERROR(__xludf.DUMMYFUNCTION("GOOGLETRANSLATE($B411,""en"",O$3)"),"Kuormitus infuusioreaktiot päässä Outworldz kotisivuilta")</f>
        <v>Kuormitus infuusioreaktiot päässä Outworldz kotisivuilta</v>
      </c>
      <c r="P411" s="21" t="str">
        <f ca="1">IFERROR(__xludf.DUMMYFUNCTION("GOOGLETRANSLATE($B411,""en"",P$3)"),"IARS Luchtaigh ó láithreán gréasáin Outworldz")</f>
        <v>IARS Luchtaigh ó láithreán gréasáin Outworldz</v>
      </c>
      <c r="Q411" s="21" t="str">
        <f ca="1">IFERROR(__xludf.DUMMYFUNCTION("GOOGLETRANSLATE($B411,""en"",Q$3)"),"IARS بار از وب سایت Outworldz")</f>
        <v>IARS بار از وب سایت Outworldz</v>
      </c>
      <c r="R411" s="21" t="str">
        <f ca="1">IFERROR(__xludf.DUMMYFUNCTION("GOOGLETRANSLATE($B411,""en"",R$3)"),"IARS טען מאתר האינטרנט Outworldz")</f>
        <v>IARS טען מאתר האינטרנט Outworldz</v>
      </c>
      <c r="S411" s="21" t="str">
        <f ca="1">IFERROR(__xludf.DUMMYFUNCTION("GOOGLETRANSLATE($B411,""en"",S$3)"),"Hlaða IARS frá Outworldz vef")</f>
        <v>Hlaða IARS frá Outworldz vef</v>
      </c>
      <c r="T411" s="21" t="str">
        <f ca="1">IFERROR(__xludf.DUMMYFUNCTION("GOOGLETRANSLATE($B411,""en"",T$3)"),"Laste IRR fra Outworldz nettsiden")</f>
        <v>Laste IRR fra Outworldz nettsiden</v>
      </c>
      <c r="U411" s="21" t="str">
        <f ca="1">IFERROR(__xludf.DUMMYFUNCTION("GOOGLETRANSLATE($B411,""en"",U$3)"),"IARS تحميل من موقع Outworldz")</f>
        <v>IARS تحميل من موقع Outworldz</v>
      </c>
      <c r="V411" s="21" t="str">
        <f ca="1">IFERROR(__xludf.DUMMYFUNCTION("GOOGLETRANSLATE($B411,""en"",V$3)"),"IAR obciążenia ze strony internetowej Outworldz")</f>
        <v>IAR obciążenia ze strony internetowej Outworldz</v>
      </c>
      <c r="W411" s="21" t="str">
        <f ca="1">IFERROR(__xludf.DUMMYFUNCTION("GOOGLETRANSLATE($B411,""en"",W$3)"),"Загрузка ПАРС с веб-сайта Outworldz")</f>
        <v>Загрузка ПАРС с веб-сайта Outworldz</v>
      </c>
      <c r="X411" s="21" t="str">
        <f ca="1">IFERROR(__xludf.DUMMYFUNCTION("GOOGLETRANSLATE($B411,""en"",X$3)"),"IARS de carga de la página web Outworldz")</f>
        <v>IARS de carga de la página web Outworldz</v>
      </c>
      <c r="Y411" s="21"/>
      <c r="Z411" s="21"/>
    </row>
    <row r="412" spans="1:26" ht="32.25" customHeight="1" x14ac:dyDescent="0.2">
      <c r="A412" s="17" t="s">
        <v>932</v>
      </c>
      <c r="B412" s="17" t="s">
        <v>933</v>
      </c>
      <c r="C412" s="21" t="str">
        <f ca="1">IFERROR(__xludf.DUMMYFUNCTION("GOOGLETRANSLATE($B412,""en"",C$3)"),"Last Gratis Avatar Inventory (www)")</f>
        <v>Last Gratis Avatar Inventory (www)</v>
      </c>
      <c r="D412" s="21" t="str">
        <f ca="1">IFERROR(__xludf.DUMMYFUNCTION("GOOGLETRANSLATE($B412,""en"",D$3)"),"Load gratis Avatar Inventory (www)")</f>
        <v>Load gratis Avatar Inventory (www)</v>
      </c>
      <c r="E412" s="21" t="str">
        <f ca="1">IFERROR(__xludf.DUMMYFUNCTION("GOOGLETRANSLATE($B412,""en"",E$3)"),"Carga gratuito Avatar Inventory (www)")</f>
        <v>Carga gratuito Avatar Inventory (www)</v>
      </c>
      <c r="F412" s="21" t="str">
        <f ca="1">IFERROR(__xludf.DUMMYFUNCTION("GOOGLETRANSLATE($B412,""en"",F$3)"),"Carga gratuito Avatar Inventory (www)")</f>
        <v>Carga gratuito Avatar Inventory (www)</v>
      </c>
      <c r="G412" s="21" t="str">
        <f ca="1">IFERROR(__xludf.DUMMYFUNCTION("GOOGLETRANSLATE($B412,""en"",G$3)"),"Charge libre Avatar inventaire (www)")</f>
        <v>Charge libre Avatar inventaire (www)</v>
      </c>
      <c r="H412" s="21" t="str">
        <f ca="1">IFERROR(__xludf.DUMMYFUNCTION("GOOGLETRANSLATE($B412,""en"",H$3)"),"Kargatu Free Avatar inbentarioa (www)")</f>
        <v>Kargatu Free Avatar inbentarioa (www)</v>
      </c>
      <c r="I412" s="21" t="str">
        <f ca="1">IFERROR(__xludf.DUMMYFUNCTION("GOOGLETRANSLATE($B412,""en"",I$3)"),"Carregar gratuït Avatar d'inventari (www)")</f>
        <v>Carregar gratuït Avatar d'inventari (www)</v>
      </c>
      <c r="J412" s="21" t="str">
        <f ca="1">IFERROR(__xludf.DUMMYFUNCTION("GOOGLETRANSLATE($B412,""en"",J$3)"),"Zatížení Free Avatar Inventory (www)")</f>
        <v>Zatížení Free Avatar Inventory (www)</v>
      </c>
      <c r="K412" s="21" t="str">
        <f ca="1">IFERROR(__xludf.DUMMYFUNCTION("GOOGLETRANSLATE($B412,""en"",K$3)"),"无负载头像库存（WWW）")</f>
        <v>无负载头像库存（WWW）</v>
      </c>
      <c r="L412" s="21" t="str">
        <f ca="1">IFERROR(__xludf.DUMMYFUNCTION("GOOGLETRANSLATE($B412,""en"",L$3)"),"無負載頭像庫存（WWW）")</f>
        <v>無負載頭像庫存（WWW）</v>
      </c>
      <c r="M412" s="21" t="str">
        <f ca="1">IFERROR(__xludf.DUMMYFUNCTION("GOOGLETRANSLATE($B412,""en"",M$3)"),"Load Gratis Avatar Inventory (www)")</f>
        <v>Load Gratis Avatar Inventory (www)</v>
      </c>
      <c r="N412" s="21" t="str">
        <f ca="1">IFERROR(__xludf.DUMMYFUNCTION("GOOGLETRANSLATE($B412,""en"",N$3)"),"Τοποθετήστε Δωρεάν Avatar Απογραφή (www)")</f>
        <v>Τοποθετήστε Δωρεάν Avatar Απογραφή (www)</v>
      </c>
      <c r="O412" s="21" t="str">
        <f ca="1">IFERROR(__xludf.DUMMYFUNCTION("GOOGLETRANSLATE($B412,""en"",O$3)"),"Kuormitus Vapaa Avatar Inventory (www)")</f>
        <v>Kuormitus Vapaa Avatar Inventory (www)</v>
      </c>
      <c r="P412" s="21" t="str">
        <f ca="1">IFERROR(__xludf.DUMMYFUNCTION("GOOGLETRANSLATE($B412,""en"",P$3)"),"Luchtaigh Free Avatar Fardal (www)")</f>
        <v>Luchtaigh Free Avatar Fardal (www)</v>
      </c>
      <c r="Q412" s="21" t="str">
        <f ca="1">IFERROR(__xludf.DUMMYFUNCTION("GOOGLETRANSLATE($B412,""en"",Q$3)"),"بار رایگان آواتار پرسشنامه (WWW)")</f>
        <v>بار رایگان آواتار پرسشنامه (WWW)</v>
      </c>
      <c r="R412" s="21" t="str">
        <f ca="1">IFERROR(__xludf.DUMMYFUNCTION("GOOGLETRANSLATE($B412,""en"",R$3)"),"חינם טענתי מלאי אישי (www)")</f>
        <v>חינם טענתי מלאי אישי (www)</v>
      </c>
      <c r="S412" s="21" t="str">
        <f ca="1">IFERROR(__xludf.DUMMYFUNCTION("GOOGLETRANSLATE($B412,""en"",S$3)"),"Hlaða Free Avatar Inventory (www)")</f>
        <v>Hlaða Free Avatar Inventory (www)</v>
      </c>
      <c r="T412" s="21" t="str">
        <f ca="1">IFERROR(__xludf.DUMMYFUNCTION("GOOGLETRANSLATE($B412,""en"",T$3)"),"Load Free Avatar Inventory (www)")</f>
        <v>Load Free Avatar Inventory (www)</v>
      </c>
      <c r="U412" s="21" t="str">
        <f ca="1">IFERROR(__xludf.DUMMYFUNCTION("GOOGLETRANSLATE($B412,""en"",U$3)"),"تحميل الرمزية مجانية الجرد (الشبكه)")</f>
        <v>تحميل الرمزية مجانية الجرد (الشبكه)</v>
      </c>
      <c r="V412" s="21" t="str">
        <f ca="1">IFERROR(__xludf.DUMMYFUNCTION("GOOGLETRANSLATE($B412,""en"",V$3)"),"Obciążenie avatar Inventory (www)")</f>
        <v>Obciążenie avatar Inventory (www)</v>
      </c>
      <c r="W412" s="21" t="str">
        <f ca="1">IFERROR(__xludf.DUMMYFUNCTION("GOOGLETRANSLATE($B412,""en"",W$3)"),"Free Аватар Load Inventory (WWW)")</f>
        <v>Free Аватар Load Inventory (WWW)</v>
      </c>
      <c r="X412" s="21" t="str">
        <f ca="1">IFERROR(__xludf.DUMMYFUNCTION("GOOGLETRANSLATE($B412,""en"",X$3)"),"Cargar gratuito Avatar de inventario (www)")</f>
        <v>Cargar gratuito Avatar de inventario (www)</v>
      </c>
      <c r="Y412" s="21"/>
      <c r="Z412" s="21"/>
    </row>
    <row r="413" spans="1:26" ht="32.25" customHeight="1" x14ac:dyDescent="0.2">
      <c r="A413" s="17" t="s">
        <v>934</v>
      </c>
      <c r="B413" s="17" t="s">
        <v>935</v>
      </c>
      <c r="C413" s="21" t="str">
        <f ca="1">IFERROR(__xludf.DUMMYFUNCTION("GOOGLETRANSLATE($B413,""en"",C$3)"),"Laden Gratis DreamGrid OARS (www)")</f>
        <v>Laden Gratis DreamGrid OARS (www)</v>
      </c>
      <c r="D413" s="21" t="str">
        <f ca="1">IFERROR(__xludf.DUMMYFUNCTION("GOOGLETRANSLATE($B413,""en"",D$3)"),"Ladda gratis DreamGrid Åror (www)")</f>
        <v>Ladda gratis DreamGrid Åror (www)</v>
      </c>
      <c r="E413" s="21" t="str">
        <f ca="1">IFERROR(__xludf.DUMMYFUNCTION("GOOGLETRANSLATE($B413,""en"",E$3)"),"Carregar DreamGrid remos gratuito (www)")</f>
        <v>Carregar DreamGrid remos gratuito (www)</v>
      </c>
      <c r="F413" s="21" t="str">
        <f ca="1">IFERROR(__xludf.DUMMYFUNCTION("GOOGLETRANSLATE($B413,""en"",F$3)"),"Carregar DreamGrid remos gratuito (www)")</f>
        <v>Carregar DreamGrid remos gratuito (www)</v>
      </c>
      <c r="G413" s="21" t="str">
        <f ca="1">IFERROR(__xludf.DUMMYFUNCTION("GOOGLETRANSLATE($B413,""en"",G$3)"),"Gratuit charger DreamGrid OARs (www)")</f>
        <v>Gratuit charger DreamGrid OARs (www)</v>
      </c>
      <c r="H413" s="21" t="str">
        <f ca="1">IFERROR(__xludf.DUMMYFUNCTION("GOOGLETRANSLATE($B413,""en"",H$3)"),"Kargatu Free DreamGrid arraunak (www)")</f>
        <v>Kargatu Free DreamGrid arraunak (www)</v>
      </c>
      <c r="I413" s="21" t="str">
        <f ca="1">IFERROR(__xludf.DUMMYFUNCTION("GOOGLETRANSLATE($B413,""en"",I$3)"),"Carregar gratuït DreamGrid RTO (www)")</f>
        <v>Carregar gratuït DreamGrid RTO (www)</v>
      </c>
      <c r="J413" s="21" t="str">
        <f ca="1">IFERROR(__xludf.DUMMYFUNCTION("GOOGLETRANSLATE($B413,""en"",J$3)"),"Načíst zdarma DreamGrid vesel (www)")</f>
        <v>Načíst zdarma DreamGrid vesel (www)</v>
      </c>
      <c r="K413" s="21" t="str">
        <f ca="1">IFERROR(__xludf.DUMMYFUNCTION("GOOGLETRANSLATE($B413,""en"",K$3)"),"加载忙DreamGrid危及器官（WWW）")</f>
        <v>加载忙DreamGrid危及器官（WWW）</v>
      </c>
      <c r="L413" s="21" t="str">
        <f ca="1">IFERROR(__xludf.DUMMYFUNCTION("GOOGLETRANSLATE($B413,""en"",L$3)"),"加載忙DreamGrid危及器官（WWW）")</f>
        <v>加載忙DreamGrid危及器官（WWW）</v>
      </c>
      <c r="M413" s="21" t="str">
        <f ca="1">IFERROR(__xludf.DUMMYFUNCTION("GOOGLETRANSLATE($B413,""en"",M$3)"),"Laad Gratis DreamGrid OAR (www)")</f>
        <v>Laad Gratis DreamGrid OAR (www)</v>
      </c>
      <c r="N413" s="21" t="str">
        <f ca="1">IFERROR(__xludf.DUMMYFUNCTION("GOOGLETRANSLATE($B413,""en"",N$3)"),"Τοποθετήστε Δωρεάν DreamGrid OARs (www)")</f>
        <v>Τοποθετήστε Δωρεάν DreamGrid OARs (www)</v>
      </c>
      <c r="O413" s="21" t="str">
        <f ca="1">IFERROR(__xludf.DUMMYFUNCTION("GOOGLETRANSLATE($B413,""en"",O$3)"),"Ladata ilmaiseksi DreamGrid Airot (www)")</f>
        <v>Ladata ilmaiseksi DreamGrid Airot (www)</v>
      </c>
      <c r="P413" s="21" t="str">
        <f ca="1">IFERROR(__xludf.DUMMYFUNCTION("GOOGLETRANSLATE($B413,""en"",P$3)"),"Luchtaigh Free DreamGrid maidí rámha (www)")</f>
        <v>Luchtaigh Free DreamGrid maidí rámha (www)</v>
      </c>
      <c r="Q413" s="21" t="str">
        <f ca="1">IFERROR(__xludf.DUMMYFUNCTION("GOOGLETRANSLATE($B413,""en"",Q$3)"),"بار رایگان DreamGrid پارو (WWW)")</f>
        <v>بار رایگان DreamGrid پارو (WWW)</v>
      </c>
      <c r="R413" s="21" t="str">
        <f ca="1">IFERROR(__xludf.DUMMYFUNCTION("GOOGLETRANSLATE($B413,""en"",R$3)"),"חינם לטעון DreamGrid משוטים (www)")</f>
        <v>חינם לטעון DreamGrid משוטים (www)</v>
      </c>
      <c r="S413" s="21" t="str">
        <f ca="1">IFERROR(__xludf.DUMMYFUNCTION("GOOGLETRANSLATE($B413,""en"",S$3)"),"Hlaða Free DreamGrid árar (www)")</f>
        <v>Hlaða Free DreamGrid árar (www)</v>
      </c>
      <c r="T413" s="21" t="str">
        <f ca="1">IFERROR(__xludf.DUMMYFUNCTION("GOOGLETRANSLATE($B413,""en"",T$3)"),"Laste Gratis DreamGrid årer (www)")</f>
        <v>Laste Gratis DreamGrid årer (www)</v>
      </c>
      <c r="U413" s="21" t="str">
        <f ca="1">IFERROR(__xludf.DUMMYFUNCTION("GOOGLETRANSLATE($B413,""en"",U$3)"),"تحميل مجاني DreamGrid مجذاف (الشبكه)")</f>
        <v>تحميل مجاني DreamGrid مجذاف (الشبكه)</v>
      </c>
      <c r="V413" s="21" t="str">
        <f ca="1">IFERROR(__xludf.DUMMYFUNCTION("GOOGLETRANSLATE($B413,""en"",V$3)"),"Załaduj DreamGrid bezpłatny wiosła (www)")</f>
        <v>Załaduj DreamGrid bezpłatny wiosła (www)</v>
      </c>
      <c r="W413" s="21" t="str">
        <f ca="1">IFERROR(__xludf.DUMMYFUNCTION("GOOGLETRANSLATE($B413,""en"",W$3)"),"Загрузить бесплатные DreamGrid весел (WWW)")</f>
        <v>Загрузить бесплатные DreamGrid весел (WWW)</v>
      </c>
      <c r="X413" s="21" t="str">
        <f ca="1">IFERROR(__xludf.DUMMYFUNCTION("GOOGLETRANSLATE($B413,""en"",X$3)"),"Cargar gratuito DreamGrid RTO (www)")</f>
        <v>Cargar gratuito DreamGrid RTO (www)</v>
      </c>
      <c r="Y413" s="21"/>
      <c r="Z413" s="21"/>
    </row>
    <row r="414" spans="1:26" ht="32.25" customHeight="1" x14ac:dyDescent="0.2">
      <c r="A414" s="17" t="s">
        <v>936</v>
      </c>
      <c r="B414" s="17" t="s">
        <v>937</v>
      </c>
      <c r="C414" s="21" t="str">
        <f ca="1">IFERROR(__xludf.DUMMYFUNCTION("GOOGLETRANSLATE($B414,""en"",C$3)"),"Laden Freie Traumwelt OARS")</f>
        <v>Laden Freie Traumwelt OARS</v>
      </c>
      <c r="D414" s="21" t="str">
        <f ca="1">IFERROR(__xludf.DUMMYFUNCTION("GOOGLETRANSLATE($B414,""en"",D$3)"),"Ladda gratis Dreamworld Åror")</f>
        <v>Ladda gratis Dreamworld Åror</v>
      </c>
      <c r="E414" s="21" t="str">
        <f ca="1">IFERROR(__xludf.DUMMYFUNCTION("GOOGLETRANSLATE($B414,""en"",E$3)"),"Carregar grátis Dreamworld remos")</f>
        <v>Carregar grátis Dreamworld remos</v>
      </c>
      <c r="F414" s="21" t="str">
        <f ca="1">IFERROR(__xludf.DUMMYFUNCTION("GOOGLETRANSLATE($B414,""en"",F$3)"),"Carregar grátis Dreamworld remos")</f>
        <v>Carregar grátis Dreamworld remos</v>
      </c>
      <c r="G414" s="21" t="str">
        <f ca="1">IFERROR(__xludf.DUMMYFUNCTION("GOOGLETRANSLATE($B414,""en"",G$3)"),"Charger gratuit Dreamworld OARs")</f>
        <v>Charger gratuit Dreamworld OARs</v>
      </c>
      <c r="H414" s="21" t="str">
        <f ca="1">IFERROR(__xludf.DUMMYFUNCTION("GOOGLETRANSLATE($B414,""en"",H$3)"),"Kargatu Free Dreamworld arraunak")</f>
        <v>Kargatu Free Dreamworld arraunak</v>
      </c>
      <c r="I414" s="21" t="str">
        <f ca="1">IFERROR(__xludf.DUMMYFUNCTION("GOOGLETRANSLATE($B414,""en"",I$3)"),"Carregar gratuït Dreamworld RTO")</f>
        <v>Carregar gratuït Dreamworld RTO</v>
      </c>
      <c r="J414" s="21" t="str">
        <f ca="1">IFERROR(__xludf.DUMMYFUNCTION("GOOGLETRANSLATE($B414,""en"",J$3)"),"Načíst zdarma snový svět vesel")</f>
        <v>Načíst zdarma snový svět vesel</v>
      </c>
      <c r="K414" s="21" t="str">
        <f ca="1">IFERROR(__xludf.DUMMYFUNCTION("GOOGLETRANSLATE($B414,""en"",K$3)"),"加载免费梦幻危及器官")</f>
        <v>加载免费梦幻危及器官</v>
      </c>
      <c r="L414" s="21" t="str">
        <f ca="1">IFERROR(__xludf.DUMMYFUNCTION("GOOGLETRANSLATE($B414,""en"",L$3)"),"加載免費夢幻危及器官")</f>
        <v>加載免費夢幻危及器官</v>
      </c>
      <c r="M414" s="21" t="str">
        <f ca="1">IFERROR(__xludf.DUMMYFUNCTION("GOOGLETRANSLATE($B414,""en"",M$3)"),"Plaats gratis Dreamworld OAR")</f>
        <v>Plaats gratis Dreamworld OAR</v>
      </c>
      <c r="N414" s="21" t="str">
        <f ca="1">IFERROR(__xludf.DUMMYFUNCTION("GOOGLETRANSLATE($B414,""en"",N$3)"),"Τοποθετήστε Δωρεάν Dreamworld OARs")</f>
        <v>Τοποθετήστε Δωρεάν Dreamworld OARs</v>
      </c>
      <c r="O414" s="21" t="str">
        <f ca="1">IFERROR(__xludf.DUMMYFUNCTION("GOOGLETRANSLATE($B414,""en"",O$3)"),"Ladata ilmaiseksi Dreamworld Airot")</f>
        <v>Ladata ilmaiseksi Dreamworld Airot</v>
      </c>
      <c r="P414" s="21" t="str">
        <f ca="1">IFERROR(__xludf.DUMMYFUNCTION("GOOGLETRANSLATE($B414,""en"",P$3)"),"Luchtaigh Free dreamworld maidí rámha")</f>
        <v>Luchtaigh Free dreamworld maidí rámha</v>
      </c>
      <c r="Q414" s="21" t="str">
        <f ca="1">IFERROR(__xludf.DUMMYFUNCTION("GOOGLETRANSLATE($B414,""en"",Q$3)"),"بار رایگان Dreamworld بدلس")</f>
        <v>بار رایگان Dreamworld بدلس</v>
      </c>
      <c r="R414" s="21" t="str">
        <f ca="1">IFERROR(__xludf.DUMMYFUNCTION("GOOGLETRANSLATE($B414,""en"",R$3)"),"טעינה חינם Dreamworld משוטים")</f>
        <v>טעינה חינם Dreamworld משוטים</v>
      </c>
      <c r="S414" s="21" t="str">
        <f ca="1">IFERROR(__xludf.DUMMYFUNCTION("GOOGLETRANSLATE($B414,""en"",S$3)"),"Hlaða Free Dreamworld árar")</f>
        <v>Hlaða Free Dreamworld árar</v>
      </c>
      <c r="T414" s="21" t="str">
        <f ca="1">IFERROR(__xludf.DUMMYFUNCTION("GOOGLETRANSLATE($B414,""en"",T$3)"),"Laste Gratis Dreamworld Årer")</f>
        <v>Laste Gratis Dreamworld Årer</v>
      </c>
      <c r="U414" s="21" t="str">
        <f ca="1">IFERROR(__xludf.DUMMYFUNCTION("GOOGLETRANSLATE($B414,""en"",U$3)"),"تحميل مجاني دريم وورلد مجذاف")</f>
        <v>تحميل مجاني دريم وورلد مجذاف</v>
      </c>
      <c r="V414" s="21" t="str">
        <f ca="1">IFERROR(__xludf.DUMMYFUNCTION("GOOGLETRANSLATE($B414,""en"",V$3)"),"Załaduj Dreamworld Darmowe wioseł")</f>
        <v>Załaduj Dreamworld Darmowe wioseł</v>
      </c>
      <c r="W414" s="21" t="str">
        <f ca="1">IFERROR(__xludf.DUMMYFUNCTION("GOOGLETRANSLATE($B414,""en"",W$3)"),"Загрузите бесплатную Dreamworld весел")</f>
        <v>Загрузите бесплатную Dreamworld весел</v>
      </c>
      <c r="X414" s="21" t="str">
        <f ca="1">IFERROR(__xludf.DUMMYFUNCTION("GOOGLETRANSLATE($B414,""en"",X$3)"),"Cargar gratuito Dreamworld RTO")</f>
        <v>Cargar gratuito Dreamworld RTO</v>
      </c>
      <c r="Y414" s="21"/>
      <c r="Z414" s="21"/>
    </row>
    <row r="415" spans="1:26" ht="32.25" customHeight="1" x14ac:dyDescent="0.2">
      <c r="A415" s="17" t="s">
        <v>938</v>
      </c>
      <c r="B415" s="17" t="s">
        <v>939</v>
      </c>
      <c r="C415" s="21" t="str">
        <f ca="1">IFERROR(__xludf.DUMMYFUNCTION("GOOGLETRANSLATE($B415,""en"",C$3)"),"Last Inventar IAR")</f>
        <v>Last Inventar IAR</v>
      </c>
      <c r="D415" s="21" t="str">
        <f ca="1">IFERROR(__xludf.DUMMYFUNCTION("GOOGLETRANSLATE($B415,""en"",D$3)"),"Load Inventory IAR")</f>
        <v>Load Inventory IAR</v>
      </c>
      <c r="E415" s="21" t="str">
        <f ca="1">IFERROR(__xludf.DUMMYFUNCTION("GOOGLETRANSLATE($B415,""en"",E$3)"),"IAR carga Inventory")</f>
        <v>IAR carga Inventory</v>
      </c>
      <c r="F415" s="21" t="str">
        <f ca="1">IFERROR(__xludf.DUMMYFUNCTION("GOOGLETRANSLATE($B415,""en"",F$3)"),"IAR carga Inventory")</f>
        <v>IAR carga Inventory</v>
      </c>
      <c r="G415" s="21" t="str">
        <f ca="1">IFERROR(__xludf.DUMMYFUNCTION("GOOGLETRANSLATE($B415,""en"",G$3)"),"Charger l'inventaire IAR")</f>
        <v>Charger l'inventaire IAR</v>
      </c>
      <c r="H415" s="21" t="str">
        <f ca="1">IFERROR(__xludf.DUMMYFUNCTION("GOOGLETRANSLATE($B415,""en"",H$3)"),"Kargatu inbentarioa iar")</f>
        <v>Kargatu inbentarioa iar</v>
      </c>
      <c r="I415" s="21" t="str">
        <f ca="1">IFERROR(__xludf.DUMMYFUNCTION("GOOGLETRANSLATE($B415,""en"",I$3)"),"IAR càrrega d'inventari")</f>
        <v>IAR càrrega d'inventari</v>
      </c>
      <c r="J415" s="21" t="str">
        <f ca="1">IFERROR(__xludf.DUMMYFUNCTION("GOOGLETRANSLATE($B415,""en"",J$3)"),"Zatížení Inventory IAR")</f>
        <v>Zatížení Inventory IAR</v>
      </c>
      <c r="K415" s="21" t="str">
        <f ca="1">IFERROR(__xludf.DUMMYFUNCTION("GOOGLETRANSLATE($B415,""en"",K$3)"),"加载广告IAR")</f>
        <v>加载广告IAR</v>
      </c>
      <c r="L415" s="21" t="str">
        <f ca="1">IFERROR(__xludf.DUMMYFUNCTION("GOOGLETRANSLATE($B415,""en"",L$3)"),"加載廣告IAR")</f>
        <v>加載廣告IAR</v>
      </c>
      <c r="M415" s="21" t="str">
        <f ca="1">IFERROR(__xludf.DUMMYFUNCTION("GOOGLETRANSLATE($B415,""en"",M$3)"),"Load Inventory IAR")</f>
        <v>Load Inventory IAR</v>
      </c>
      <c r="N415" s="21" t="str">
        <f ca="1">IFERROR(__xludf.DUMMYFUNCTION("GOOGLETRANSLATE($B415,""en"",N$3)"),"Φορτίο Απογραφή IAR")</f>
        <v>Φορτίο Απογραφή IAR</v>
      </c>
      <c r="O415" s="21" t="str">
        <f ca="1">IFERROR(__xludf.DUMMYFUNCTION("GOOGLETRANSLATE($B415,""en"",O$3)"),"Kuorma Inventory IAR")</f>
        <v>Kuorma Inventory IAR</v>
      </c>
      <c r="P415" s="21" t="str">
        <f ca="1">IFERROR(__xludf.DUMMYFUNCTION("GOOGLETRANSLATE($B415,""en"",P$3)"),"IAR Luchtaigh Fardal")</f>
        <v>IAR Luchtaigh Fardal</v>
      </c>
      <c r="Q415" s="21" t="str">
        <f ca="1">IFERROR(__xludf.DUMMYFUNCTION("GOOGLETRANSLATE($B415,""en"",Q$3)"),"IAR پرسشنامه بار")</f>
        <v>IAR پرسشنامه بار</v>
      </c>
      <c r="R415" s="21" t="str">
        <f ca="1">IFERROR(__xludf.DUMMYFUNCTION("GOOGLETRANSLATE($B415,""en"",R$3)"),"IAR המלאה טען")</f>
        <v>IAR המלאה טען</v>
      </c>
      <c r="S415" s="21" t="str">
        <f ca="1">IFERROR(__xludf.DUMMYFUNCTION("GOOGLETRANSLATE($B415,""en"",S$3)"),"Hlaða Inventory IAR")</f>
        <v>Hlaða Inventory IAR</v>
      </c>
      <c r="T415" s="21" t="str">
        <f ca="1">IFERROR(__xludf.DUMMYFUNCTION("GOOGLETRANSLATE($B415,""en"",T$3)"),"Load Lager IAR")</f>
        <v>Load Lager IAR</v>
      </c>
      <c r="U415" s="21" t="str">
        <f ca="1">IFERROR(__xludf.DUMMYFUNCTION("GOOGLETRANSLATE($B415,""en"",U$3)"),"IAR تحميل الجرد")</f>
        <v>IAR تحميل الجرد</v>
      </c>
      <c r="V415" s="21" t="str">
        <f ca="1">IFERROR(__xludf.DUMMYFUNCTION("GOOGLETRANSLATE($B415,""en"",V$3)"),"Zapasy obciążenie IAR")</f>
        <v>Zapasy obciążenie IAR</v>
      </c>
      <c r="W415" s="21" t="str">
        <f ca="1">IFERROR(__xludf.DUMMYFUNCTION("GOOGLETRANSLATE($B415,""en"",W$3)"),"Нагрузка Inventory IAR")</f>
        <v>Нагрузка Inventory IAR</v>
      </c>
      <c r="X415" s="21" t="str">
        <f ca="1">IFERROR(__xludf.DUMMYFUNCTION("GOOGLETRANSLATE($B415,""en"",X$3)"),"IAR carga de inventario")</f>
        <v>IAR carga de inventario</v>
      </c>
      <c r="Y415" s="21"/>
      <c r="Z415" s="21"/>
    </row>
    <row r="416" spans="1:26" ht="32.25" customHeight="1" x14ac:dyDescent="0.2">
      <c r="A416" s="17" t="s">
        <v>940</v>
      </c>
      <c r="B416" s="17" t="s">
        <v>941</v>
      </c>
      <c r="C416" s="21" t="str">
        <f ca="1">IFERROR(__xludf.DUMMYFUNCTION("GOOGLETRANSLATE($B416,""en"",C$3)"),"Laden Lokale IARs aus dem IAR-Ordner")</f>
        <v>Laden Lokale IARs aus dem IAR-Ordner</v>
      </c>
      <c r="D416" s="21" t="str">
        <f ca="1">IFERROR(__xludf.DUMMYFUNCTION("GOOGLETRANSLATE($B416,""en"",D$3)"),"Fyll Lokala IAR från mappen IAR")</f>
        <v>Fyll Lokala IAR från mappen IAR</v>
      </c>
      <c r="E416" s="21" t="str">
        <f ca="1">IFERROR(__xludf.DUMMYFUNCTION("GOOGLETRANSLATE($B416,""en"",E$3)"),"Carregar RAPs locais da pasta IAR")</f>
        <v>Carregar RAPs locais da pasta IAR</v>
      </c>
      <c r="F416" s="21" t="str">
        <f ca="1">IFERROR(__xludf.DUMMYFUNCTION("GOOGLETRANSLATE($B416,""en"",F$3)"),"Carregar RAPs locais da pasta IAR")</f>
        <v>Carregar RAPs locais da pasta IAR</v>
      </c>
      <c r="G416" s="21" t="str">
        <f ca="1">IFERROR(__xludf.DUMMYFUNCTION("GOOGLETRANSLATE($B416,""en"",G$3)"),"Chargez IAR locaux à partir du dossier IAR")</f>
        <v>Chargez IAR locaux à partir du dossier IAR</v>
      </c>
      <c r="H416" s="21" t="str">
        <f ca="1">IFERROR(__xludf.DUMMYFUNCTION("GOOGLETRANSLATE($B416,""en"",H$3)"),"Kargatu Local IARs iar karpetatik")</f>
        <v>Kargatu Local IARs iar karpetatik</v>
      </c>
      <c r="I416" s="21" t="str">
        <f ca="1">IFERROR(__xludf.DUMMYFUNCTION("GOOGLETRANSLATE($B416,""en"",I$3)"),"Carregar associades a la perfusió local de la carpeta IAR")</f>
        <v>Carregar associades a la perfusió local de la carpeta IAR</v>
      </c>
      <c r="J416" s="21" t="str">
        <f ca="1">IFERROR(__xludf.DUMMYFUNCTION("GOOGLETRANSLATE($B416,""en"",J$3)"),"Načíst lokální reakce související s infuzí ze složky IAR")</f>
        <v>Načíst lokální reakce související s infuzí ze složky IAR</v>
      </c>
      <c r="K416" s="21" t="str">
        <f ca="1">IFERROR(__xludf.DUMMYFUNCTION("GOOGLETRANSLATE($B416,""en"",K$3)"),"从IAR文件夹中加载本地IARS")</f>
        <v>从IAR文件夹中加载本地IARS</v>
      </c>
      <c r="L416" s="21" t="str">
        <f ca="1">IFERROR(__xludf.DUMMYFUNCTION("GOOGLETRANSLATE($B416,""en"",L$3)"),"從IAR文件夾中加載本地IARS")</f>
        <v>從IAR文件夾中加載本地IARS</v>
      </c>
      <c r="M416" s="21" t="str">
        <f ca="1">IFERROR(__xludf.DUMMYFUNCTION("GOOGLETRANSLATE($B416,""en"",M$3)"),"Laad Lokale IAR's uit de map IAR")</f>
        <v>Laad Lokale IAR's uit de map IAR</v>
      </c>
      <c r="N416" s="21" t="str">
        <f ca="1">IFERROR(__xludf.DUMMYFUNCTION("GOOGLETRANSLATE($B416,""en"",N$3)"),"Τοποθετήστε Τοπική ΑΣΕ από το φάκελο IAR")</f>
        <v>Τοποθετήστε Τοπική ΑΣΕ από το φάκελο IAR</v>
      </c>
      <c r="O416" s="21" t="str">
        <f ca="1">IFERROR(__xludf.DUMMYFUNCTION("GOOGLETRANSLATE($B416,""en"",O$3)"),"Load Paikallinen infuusioreaktiot päässä IAR kansiosta")</f>
        <v>Load Paikallinen infuusioreaktiot päässä IAR kansiosta</v>
      </c>
      <c r="P416" s="21" t="str">
        <f ca="1">IFERROR(__xludf.DUMMYFUNCTION("GOOGLETRANSLATE($B416,""en"",P$3)"),"Luchtaigh IARs áitiúla as an fillteán Iar")</f>
        <v>Luchtaigh IARs áitiúla as an fillteán Iar</v>
      </c>
      <c r="Q416" s="21" t="str">
        <f ca="1">IFERROR(__xludf.DUMMYFUNCTION("GOOGLETRANSLATE($B416,""en"",Q$3)"),"بار IARS محلی از پوشه IAR")</f>
        <v>بار IARS محلی از پوشه IAR</v>
      </c>
      <c r="R416" s="21" t="str">
        <f ca="1">IFERROR(__xludf.DUMMYFUNCTION("GOOGLETRANSLATE($B416,""en"",R$3)"),"טעינת IARs המקומי מתיקיית IAR")</f>
        <v>טעינת IARs המקומי מתיקיית IAR</v>
      </c>
      <c r="S416" s="21" t="str">
        <f ca="1">IFERROR(__xludf.DUMMYFUNCTION("GOOGLETRANSLATE($B416,""en"",S$3)"),"Hlaða Local IARs frá iar möppunni")</f>
        <v>Hlaða Local IARs frá iar möppunni</v>
      </c>
      <c r="T416" s="21" t="str">
        <f ca="1">IFERROR(__xludf.DUMMYFUNCTION("GOOGLETRANSLATE($B416,""en"",T$3)"),"Laste Lokale IRR fra IAR mappen")</f>
        <v>Laste Lokale IRR fra IAR mappen</v>
      </c>
      <c r="U416" s="21" t="str">
        <f ca="1">IFERROR(__xludf.DUMMYFUNCTION("GOOGLETRANSLATE($B416,""en"",U$3)"),"تحميل IARs المحلية من المجلد IAR")</f>
        <v>تحميل IARs المحلية من المجلد IAR</v>
      </c>
      <c r="V416" s="21" t="str">
        <f ca="1">IFERROR(__xludf.DUMMYFUNCTION("GOOGLETRANSLATE($B416,""en"",V$3)"),"Załaduj lokalne reakcje związane z infuzją z folderu IAR")</f>
        <v>Załaduj lokalne reakcje związane z infuzją z folderu IAR</v>
      </c>
      <c r="W416" s="21" t="str">
        <f ca="1">IFERROR(__xludf.DUMMYFUNCTION("GOOGLETRANSLATE($B416,""en"",W$3)"),"Загрузка локальных ПАРСОВ из папки IAR")</f>
        <v>Загрузка локальных ПАРСОВ из папки IAR</v>
      </c>
      <c r="X416" s="21" t="str">
        <f ca="1">IFERROR(__xludf.DUMMYFUNCTION("GOOGLETRANSLATE($B416,""en"",X$3)"),"Cargar asociadas a la perfusión local de la carpeta IAR")</f>
        <v>Cargar asociadas a la perfusión local de la carpeta IAR</v>
      </c>
      <c r="Y416" s="21"/>
      <c r="Z416" s="21"/>
    </row>
    <row r="417" spans="1:26" ht="32.25" customHeight="1" x14ac:dyDescent="0.2">
      <c r="A417" s="17" t="s">
        <v>942</v>
      </c>
      <c r="B417" s="17" t="s">
        <v>943</v>
      </c>
      <c r="C417" s="21" t="str">
        <f ca="1">IFERROR(__xludf.DUMMYFUNCTION("GOOGLETRANSLATE($B417,""en"",C$3)"),"Laden Lokale IARs")</f>
        <v>Laden Lokale IARs</v>
      </c>
      <c r="D417" s="21" t="str">
        <f ca="1">IFERROR(__xludf.DUMMYFUNCTION("GOOGLETRANSLATE($B417,""en"",D$3)"),"Fyll Lokala IAR")</f>
        <v>Fyll Lokala IAR</v>
      </c>
      <c r="E417" s="21" t="str">
        <f ca="1">IFERROR(__xludf.DUMMYFUNCTION("GOOGLETRANSLATE($B417,""en"",E$3)"),"Carregar RAPs locais")</f>
        <v>Carregar RAPs locais</v>
      </c>
      <c r="F417" s="21" t="str">
        <f ca="1">IFERROR(__xludf.DUMMYFUNCTION("GOOGLETRANSLATE($B417,""en"",F$3)"),"Carregar RAPs locais")</f>
        <v>Carregar RAPs locais</v>
      </c>
      <c r="G417" s="21" t="str">
        <f ca="1">IFERROR(__xludf.DUMMYFUNCTION("GOOGLETRANSLATE($B417,""en"",G$3)"),"Chargez IAR locaux")</f>
        <v>Chargez IAR locaux</v>
      </c>
      <c r="H417" s="21" t="str">
        <f ca="1">IFERROR(__xludf.DUMMYFUNCTION("GOOGLETRANSLATE($B417,""en"",H$3)"),"Kargatu Local IARs")</f>
        <v>Kargatu Local IARs</v>
      </c>
      <c r="I417" s="21" t="str">
        <f ca="1">IFERROR(__xludf.DUMMYFUNCTION("GOOGLETRANSLATE($B417,""en"",I$3)"),"Carregar les RAP locals")</f>
        <v>Carregar les RAP locals</v>
      </c>
      <c r="J417" s="21" t="str">
        <f ca="1">IFERROR(__xludf.DUMMYFUNCTION("GOOGLETRANSLATE($B417,""en"",J$3)"),"Načíst místní reakce související s infuzí")</f>
        <v>Načíst místní reakce související s infuzí</v>
      </c>
      <c r="K417" s="21" t="str">
        <f ca="1">IFERROR(__xludf.DUMMYFUNCTION("GOOGLETRANSLATE($B417,""en"",K$3)"),"加载本地IARS")</f>
        <v>加载本地IARS</v>
      </c>
      <c r="L417" s="21" t="str">
        <f ca="1">IFERROR(__xludf.DUMMYFUNCTION("GOOGLETRANSLATE($B417,""en"",L$3)"),"加載本地IARS")</f>
        <v>加載本地IARS</v>
      </c>
      <c r="M417" s="21" t="str">
        <f ca="1">IFERROR(__xludf.DUMMYFUNCTION("GOOGLETRANSLATE($B417,""en"",M$3)"),"Load Local IAR")</f>
        <v>Load Local IAR</v>
      </c>
      <c r="N417" s="21" t="str">
        <f ca="1">IFERROR(__xludf.DUMMYFUNCTION("GOOGLETRANSLATE($B417,""en"",N$3)"),"Τοποθετήστε Τοπική ΑΣΕ")</f>
        <v>Τοποθετήστε Τοπική ΑΣΕ</v>
      </c>
      <c r="O417" s="21" t="str">
        <f ca="1">IFERROR(__xludf.DUMMYFUNCTION("GOOGLETRANSLATE($B417,""en"",O$3)"),"Load Paikallinen infuusioreaktiot")</f>
        <v>Load Paikallinen infuusioreaktiot</v>
      </c>
      <c r="P417" s="21" t="str">
        <f ca="1">IFERROR(__xludf.DUMMYFUNCTION("GOOGLETRANSLATE($B417,""en"",P$3)"),"Luchtaigh IARs áitiúla")</f>
        <v>Luchtaigh IARs áitiúla</v>
      </c>
      <c r="Q417" s="21" t="str">
        <f ca="1">IFERROR(__xludf.DUMMYFUNCTION("GOOGLETRANSLATE($B417,""en"",Q$3)"),"بار IARS محلی")</f>
        <v>بار IARS محلی</v>
      </c>
      <c r="R417" s="21" t="str">
        <f ca="1">IFERROR(__xludf.DUMMYFUNCTION("GOOGLETRANSLATE($B417,""en"",R$3)"),"טעינת IARs המקומי")</f>
        <v>טעינת IARs המקומי</v>
      </c>
      <c r="S417" s="21" t="str">
        <f ca="1">IFERROR(__xludf.DUMMYFUNCTION("GOOGLETRANSLATE($B417,""en"",S$3)"),"Hlaða Local IARs")</f>
        <v>Hlaða Local IARs</v>
      </c>
      <c r="T417" s="21" t="str">
        <f ca="1">IFERROR(__xludf.DUMMYFUNCTION("GOOGLETRANSLATE($B417,""en"",T$3)"),"Laste Lokale IRR")</f>
        <v>Laste Lokale IRR</v>
      </c>
      <c r="U417" s="21" t="str">
        <f ca="1">IFERROR(__xludf.DUMMYFUNCTION("GOOGLETRANSLATE($B417,""en"",U$3)"),"تحميل IARs المحلية")</f>
        <v>تحميل IARs المحلية</v>
      </c>
      <c r="V417" s="21" t="str">
        <f ca="1">IFERROR(__xludf.DUMMYFUNCTION("GOOGLETRANSLATE($B417,""en"",V$3)"),"Załaduj lokalne reakcje związane z infuzją")</f>
        <v>Załaduj lokalne reakcje związane z infuzją</v>
      </c>
      <c r="W417" s="21" t="str">
        <f ca="1">IFERROR(__xludf.DUMMYFUNCTION("GOOGLETRANSLATE($B417,""en"",W$3)"),"Загрузка локальных ПАРСОВ")</f>
        <v>Загрузка локальных ПАРСОВ</v>
      </c>
      <c r="X417" s="21" t="str">
        <f ca="1">IFERROR(__xludf.DUMMYFUNCTION("GOOGLETRANSLATE($B417,""en"",X$3)"),"Cargar las RAP locales")</f>
        <v>Cargar las RAP locales</v>
      </c>
      <c r="Y417" s="21"/>
      <c r="Z417" s="21"/>
    </row>
    <row r="418" spans="1:26" ht="32.25" customHeight="1" x14ac:dyDescent="0.2">
      <c r="A418" s="17" t="s">
        <v>944</v>
      </c>
      <c r="B418" s="17" t="s">
        <v>945</v>
      </c>
      <c r="C418" s="21" t="str">
        <f ca="1">IFERROR(__xludf.DUMMYFUNCTION("GOOGLETRANSLATE($B418,""en"",C$3)"),"Laden Lokale OARS aus dem OAR Ordner")</f>
        <v>Laden Lokale OARS aus dem OAR Ordner</v>
      </c>
      <c r="D418" s="21" t="str">
        <f ca="1">IFERROR(__xludf.DUMMYFUNCTION("GOOGLETRANSLATE($B418,""en"",D$3)"),"Fyll Lokala Åror från OAR mappen")</f>
        <v>Fyll Lokala Åror från OAR mappen</v>
      </c>
      <c r="E418" s="21" t="str">
        <f ca="1">IFERROR(__xludf.DUMMYFUNCTION("GOOGLETRANSLATE($B418,""en"",E$3)"),"Carregar remos locais da pasta OAR")</f>
        <v>Carregar remos locais da pasta OAR</v>
      </c>
      <c r="F418" s="21" t="str">
        <f ca="1">IFERROR(__xludf.DUMMYFUNCTION("GOOGLETRANSLATE($B418,""en"",F$3)"),"Carregar remos locais da pasta OAR")</f>
        <v>Carregar remos locais da pasta OAR</v>
      </c>
      <c r="G418" s="21" t="str">
        <f ca="1">IFERROR(__xludf.DUMMYFUNCTION("GOOGLETRANSLATE($B418,""en"",G$3)"),"Chargez OARs locaux à partir du dossier OAR")</f>
        <v>Chargez OARs locaux à partir du dossier OAR</v>
      </c>
      <c r="H418" s="21" t="str">
        <f ca="1">IFERROR(__xludf.DUMMYFUNCTION("GOOGLETRANSLATE($B418,""en"",H$3)"),"Kargatu Local arraunak OAR karpetatik")</f>
        <v>Kargatu Local arraunak OAR karpetatik</v>
      </c>
      <c r="I418" s="21" t="str">
        <f ca="1">IFERROR(__xludf.DUMMYFUNCTION("GOOGLETRANSLATE($B418,""en"",I$3)"),"RTO carregar locals des de la carpeta OAR")</f>
        <v>RTO carregar locals des de la carpeta OAR</v>
      </c>
      <c r="J418" s="21" t="str">
        <f ca="1">IFERROR(__xludf.DUMMYFUNCTION("GOOGLETRANSLATE($B418,""en"",J$3)"),"Načíst místní vesla ze složky OAR")</f>
        <v>Načíst místní vesla ze složky OAR</v>
      </c>
      <c r="K418" s="21" t="str">
        <f ca="1">IFERROR(__xludf.DUMMYFUNCTION("GOOGLETRANSLATE($B418,""en"",K$3)"),"从OAR文件夹中加载本地危及器官")</f>
        <v>从OAR文件夹中加载本地危及器官</v>
      </c>
      <c r="L418" s="21" t="str">
        <f ca="1">IFERROR(__xludf.DUMMYFUNCTION("GOOGLETRANSLATE($B418,""en"",L$3)"),"從OAR文件夾中加載本地危及器官")</f>
        <v>從OAR文件夾中加載本地危及器官</v>
      </c>
      <c r="M418" s="21" t="str">
        <f ca="1">IFERROR(__xludf.DUMMYFUNCTION("GOOGLETRANSLATE($B418,""en"",M$3)"),"Laad Lokale OAR's uit de map OAR")</f>
        <v>Laad Lokale OAR's uit de map OAR</v>
      </c>
      <c r="N418" s="21" t="str">
        <f ca="1">IFERROR(__xludf.DUMMYFUNCTION("GOOGLETRANSLATE($B418,""en"",N$3)"),"Τοποθετήστε Τοπική OARs από το φάκελο OAR")</f>
        <v>Τοποθετήστε Τοπική OARs από το φάκελο OAR</v>
      </c>
      <c r="O418" s="21" t="str">
        <f ca="1">IFERROR(__xludf.DUMMYFUNCTION("GOOGLETRANSLATE($B418,""en"",O$3)"),"Load Paikallinen airot päässä OAR kansiosta")</f>
        <v>Load Paikallinen airot päässä OAR kansiosta</v>
      </c>
      <c r="P418" s="21" t="str">
        <f ca="1">IFERROR(__xludf.DUMMYFUNCTION("GOOGLETRANSLATE($B418,""en"",P$3)"),"Luchtaigh maidí rámha Áitiúil ón fhillteán OAR")</f>
        <v>Luchtaigh maidí rámha Áitiúil ón fhillteán OAR</v>
      </c>
      <c r="Q418" s="21" t="str">
        <f ca="1">IFERROR(__xludf.DUMMYFUNCTION("GOOGLETRANSLATE($B418,""en"",Q$3)"),"بار پارو محلی از پوشه پارو")</f>
        <v>بار پارو محلی از پوشه پارو</v>
      </c>
      <c r="R418" s="21" t="str">
        <f ca="1">IFERROR(__xludf.DUMMYFUNCTION("GOOGLETRANSLATE($B418,""en"",R$3)"),"טעינת משוטים מקומיים מתיקיית המשוט")</f>
        <v>טעינת משוטים מקומיים מתיקיית המשוט</v>
      </c>
      <c r="S418" s="21" t="str">
        <f ca="1">IFERROR(__xludf.DUMMYFUNCTION("GOOGLETRANSLATE($B418,""en"",S$3)"),"Hlaða Local árar úr árina möppunni")</f>
        <v>Hlaða Local árar úr árina möppunni</v>
      </c>
      <c r="T418" s="21" t="str">
        <f ca="1">IFERROR(__xludf.DUMMYFUNCTION("GOOGLETRANSLATE($B418,""en"",T$3)"),"Laste Lokale årer fra OAR mappen")</f>
        <v>Laste Lokale årer fra OAR mappen</v>
      </c>
      <c r="U418" s="21" t="str">
        <f ca="1">IFERROR(__xludf.DUMMYFUNCTION("GOOGLETRANSLATE($B418,""en"",U$3)"),"تحميل مجذاف المحلية من المجلد OAR")</f>
        <v>تحميل مجذاف المحلية من المجلد OAR</v>
      </c>
      <c r="V418" s="21" t="str">
        <f ca="1">IFERROR(__xludf.DUMMYFUNCTION("GOOGLETRANSLATE($B418,""en"",V$3)"),"Załaduj lokalne wiosła z folderu OAR")</f>
        <v>Załaduj lokalne wiosła z folderu OAR</v>
      </c>
      <c r="W418" s="21" t="str">
        <f ca="1">IFERROR(__xludf.DUMMYFUNCTION("GOOGLETRANSLATE($B418,""en"",W$3)"),"Загрузка локальных весел из папки ОАР")</f>
        <v>Загрузка локальных весел из папки ОАР</v>
      </c>
      <c r="X418" s="21" t="str">
        <f ca="1">IFERROR(__xludf.DUMMYFUNCTION("GOOGLETRANSLATE($B418,""en"",X$3)"),"RTO cargar locales desde la carpeta OAR")</f>
        <v>RTO cargar locales desde la carpeta OAR</v>
      </c>
      <c r="Y418" s="21"/>
      <c r="Z418" s="21"/>
    </row>
    <row r="419" spans="1:26" ht="32.25" customHeight="1" x14ac:dyDescent="0.2">
      <c r="A419" s="17" t="s">
        <v>946</v>
      </c>
      <c r="B419" s="17" t="s">
        <v>947</v>
      </c>
      <c r="C419" s="21" t="str">
        <f ca="1">IFERROR(__xludf.DUMMYFUNCTION("GOOGLETRANSLATE($B419,""en"",C$3)"),"Laden Lokale OARS")</f>
        <v>Laden Lokale OARS</v>
      </c>
      <c r="D419" s="21" t="str">
        <f ca="1">IFERROR(__xludf.DUMMYFUNCTION("GOOGLETRANSLATE($B419,""en"",D$3)"),"Fyll Lokala Åror")</f>
        <v>Fyll Lokala Åror</v>
      </c>
      <c r="E419" s="21" t="str">
        <f ca="1">IFERROR(__xludf.DUMMYFUNCTION("GOOGLETRANSLATE($B419,""en"",E$3)"),"Carregar remos locais")</f>
        <v>Carregar remos locais</v>
      </c>
      <c r="F419" s="21" t="str">
        <f ca="1">IFERROR(__xludf.DUMMYFUNCTION("GOOGLETRANSLATE($B419,""en"",F$3)"),"Carregar remos locais")</f>
        <v>Carregar remos locais</v>
      </c>
      <c r="G419" s="21" t="str">
        <f ca="1">IFERROR(__xludf.DUMMYFUNCTION("GOOGLETRANSLATE($B419,""en"",G$3)"),"Chargez OARs locaux")</f>
        <v>Chargez OARs locaux</v>
      </c>
      <c r="H419" s="21" t="str">
        <f ca="1">IFERROR(__xludf.DUMMYFUNCTION("GOOGLETRANSLATE($B419,""en"",H$3)"),"Kargatu Local arraunak")</f>
        <v>Kargatu Local arraunak</v>
      </c>
      <c r="I419" s="21" t="str">
        <f ca="1">IFERROR(__xludf.DUMMYFUNCTION("GOOGLETRANSLATE($B419,""en"",I$3)"),"Carregar RTO locals")</f>
        <v>Carregar RTO locals</v>
      </c>
      <c r="J419" s="21" t="str">
        <f ca="1">IFERROR(__xludf.DUMMYFUNCTION("GOOGLETRANSLATE($B419,""en"",J$3)"),"Načíst místní vesla")</f>
        <v>Načíst místní vesla</v>
      </c>
      <c r="K419" s="21" t="str">
        <f ca="1">IFERROR(__xludf.DUMMYFUNCTION("GOOGLETRANSLATE($B419,""en"",K$3)"),"加载本地危及器官")</f>
        <v>加载本地危及器官</v>
      </c>
      <c r="L419" s="21" t="str">
        <f ca="1">IFERROR(__xludf.DUMMYFUNCTION("GOOGLETRANSLATE($B419,""en"",L$3)"),"加載本地危及器官")</f>
        <v>加載本地危及器官</v>
      </c>
      <c r="M419" s="21" t="str">
        <f ca="1">IFERROR(__xludf.DUMMYFUNCTION("GOOGLETRANSLATE($B419,""en"",M$3)"),"Load Local OAR")</f>
        <v>Load Local OAR</v>
      </c>
      <c r="N419" s="21" t="str">
        <f ca="1">IFERROR(__xludf.DUMMYFUNCTION("GOOGLETRANSLATE($B419,""en"",N$3)"),"Τοποθετήστε Τοπική OARs")</f>
        <v>Τοποθετήστε Τοπική OARs</v>
      </c>
      <c r="O419" s="21" t="str">
        <f ca="1">IFERROR(__xludf.DUMMYFUNCTION("GOOGLETRANSLATE($B419,""en"",O$3)"),"Load Paikallinen Airot")</f>
        <v>Load Paikallinen Airot</v>
      </c>
      <c r="P419" s="21" t="str">
        <f ca="1">IFERROR(__xludf.DUMMYFUNCTION("GOOGLETRANSLATE($B419,""en"",P$3)"),"Luchtaigh maidí rámha áitiúla")</f>
        <v>Luchtaigh maidí rámha áitiúla</v>
      </c>
      <c r="Q419" s="21" t="str">
        <f ca="1">IFERROR(__xludf.DUMMYFUNCTION("GOOGLETRANSLATE($B419,""en"",Q$3)"),"بار پارو محلی")</f>
        <v>بار پارو محلی</v>
      </c>
      <c r="R419" s="21" t="str">
        <f ca="1">IFERROR(__xludf.DUMMYFUNCTION("GOOGLETRANSLATE($B419,""en"",R$3)"),"טעינת משוטים מקומיים")</f>
        <v>טעינת משוטים מקומיים</v>
      </c>
      <c r="S419" s="21" t="str">
        <f ca="1">IFERROR(__xludf.DUMMYFUNCTION("GOOGLETRANSLATE($B419,""en"",S$3)"),"Hlaða Local árar")</f>
        <v>Hlaða Local árar</v>
      </c>
      <c r="T419" s="21" t="str">
        <f ca="1">IFERROR(__xludf.DUMMYFUNCTION("GOOGLETRANSLATE($B419,""en"",T$3)"),"Laste Lokale Årer")</f>
        <v>Laste Lokale Årer</v>
      </c>
      <c r="U419" s="21" t="str">
        <f ca="1">IFERROR(__xludf.DUMMYFUNCTION("GOOGLETRANSLATE($B419,""en"",U$3)"),"تحميل مجذاف المحلية")</f>
        <v>تحميل مجذاف المحلية</v>
      </c>
      <c r="V419" s="21" t="str">
        <f ca="1">IFERROR(__xludf.DUMMYFUNCTION("GOOGLETRANSLATE($B419,""en"",V$3)"),"Załaduj lokalne wioseł")</f>
        <v>Załaduj lokalne wioseł</v>
      </c>
      <c r="W419" s="21" t="str">
        <f ca="1">IFERROR(__xludf.DUMMYFUNCTION("GOOGLETRANSLATE($B419,""en"",W$3)"),"Загрузка локальных весел")</f>
        <v>Загрузка локальных весел</v>
      </c>
      <c r="X419" s="21" t="str">
        <f ca="1">IFERROR(__xludf.DUMMYFUNCTION("GOOGLETRANSLATE($B419,""en"",X$3)"),"Cargar RTO locales")</f>
        <v>Cargar RTO locales</v>
      </c>
      <c r="Y419" s="21"/>
      <c r="Z419" s="21"/>
    </row>
    <row r="420" spans="1:26" ht="32.25" customHeight="1" x14ac:dyDescent="0.2">
      <c r="A420" s="17" t="s">
        <v>948</v>
      </c>
      <c r="B420" s="17" t="s">
        <v>949</v>
      </c>
      <c r="C420" s="21" t="str">
        <f ca="1">IFERROR(__xludf.DUMMYFUNCTION("GOOGLETRANSLATE($B420,""en"",C$3)"),"laden Sie Parcel")</f>
        <v>laden Sie Parcel</v>
      </c>
      <c r="D420" s="21" t="str">
        <f ca="1">IFERROR(__xludf.DUMMYFUNCTION("GOOGLETRANSLATE($B420,""en"",D$3)"),"Fyll Parcel")</f>
        <v>Fyll Parcel</v>
      </c>
      <c r="E420" s="21" t="str">
        <f ca="1">IFERROR(__xludf.DUMMYFUNCTION("GOOGLETRANSLATE($B420,""en"",E$3)"),"carregar Parcel")</f>
        <v>carregar Parcel</v>
      </c>
      <c r="F420" s="21" t="str">
        <f ca="1">IFERROR(__xludf.DUMMYFUNCTION("GOOGLETRANSLATE($B420,""en"",F$3)"),"carregar Parcel")</f>
        <v>carregar Parcel</v>
      </c>
      <c r="G420" s="21" t="str">
        <f ca="1">IFERROR(__xludf.DUMMYFUNCTION("GOOGLETRANSLATE($B420,""en"",G$3)"),"Chargez colis")</f>
        <v>Chargez colis</v>
      </c>
      <c r="H420" s="21" t="str">
        <f ca="1">IFERROR(__xludf.DUMMYFUNCTION("GOOGLETRANSLATE($B420,""en"",H$3)"),"kargatu Paketeen")</f>
        <v>kargatu Paketeen</v>
      </c>
      <c r="I420" s="21" t="str">
        <f ca="1">IFERROR(__xludf.DUMMYFUNCTION("GOOGLETRANSLATE($B420,""en"",I$3)"),"carregar la parcel·la")</f>
        <v>carregar la parcel·la</v>
      </c>
      <c r="J420" s="21" t="str">
        <f ca="1">IFERROR(__xludf.DUMMYFUNCTION("GOOGLETRANSLATE($B420,""en"",J$3)"),"načíst Parcel")</f>
        <v>načíst Parcel</v>
      </c>
      <c r="K420" s="21" t="str">
        <f ca="1">IFERROR(__xludf.DUMMYFUNCTION("GOOGLETRANSLATE($B420,""en"",K$3)"),"装载包裹")</f>
        <v>装载包裹</v>
      </c>
      <c r="L420" s="21" t="str">
        <f ca="1">IFERROR(__xludf.DUMMYFUNCTION("GOOGLETRANSLATE($B420,""en"",L$3)"),"裝載包裹")</f>
        <v>裝載包裹</v>
      </c>
      <c r="M420" s="21" t="str">
        <f ca="1">IFERROR(__xludf.DUMMYFUNCTION("GOOGLETRANSLATE($B420,""en"",M$3)"),"Laad Parcel")</f>
        <v>Laad Parcel</v>
      </c>
      <c r="N420" s="21" t="str">
        <f ca="1">IFERROR(__xludf.DUMMYFUNCTION("GOOGLETRANSLATE($B420,""en"",N$3)"),"Τοποθετήστε Αγροτεμάχιο")</f>
        <v>Τοποθετήστε Αγροτεμάχιο</v>
      </c>
      <c r="O420" s="21" t="str">
        <f ca="1">IFERROR(__xludf.DUMMYFUNCTION("GOOGLETRANSLATE($B420,""en"",O$3)"),"Load Parcel")</f>
        <v>Load Parcel</v>
      </c>
      <c r="P420" s="21" t="str">
        <f ca="1">IFERROR(__xludf.DUMMYFUNCTION("GOOGLETRANSLATE($B420,""en"",P$3)"),"Luchtaigh Beartán")</f>
        <v>Luchtaigh Beartán</v>
      </c>
      <c r="Q420" s="21" t="str">
        <f ca="1">IFERROR(__xludf.DUMMYFUNCTION("GOOGLETRANSLATE($B420,""en"",Q$3)"),"بار بسته")</f>
        <v>بار بسته</v>
      </c>
      <c r="R420" s="21" t="str">
        <f ca="1">IFERROR(__xludf.DUMMYFUNCTION("GOOGLETRANSLATE($B420,""en"",R$3)"),"טעינת Parcel")</f>
        <v>טעינת Parcel</v>
      </c>
      <c r="S420" s="21" t="str">
        <f ca="1">IFERROR(__xludf.DUMMYFUNCTION("GOOGLETRANSLATE($B420,""en"",S$3)"),"hlaða Parcel")</f>
        <v>hlaða Parcel</v>
      </c>
      <c r="T420" s="21" t="str">
        <f ca="1">IFERROR(__xludf.DUMMYFUNCTION("GOOGLETRANSLATE($B420,""en"",T$3)"),"laste Parcel")</f>
        <v>laste Parcel</v>
      </c>
      <c r="U420" s="21" t="str">
        <f ca="1">IFERROR(__xludf.DUMMYFUNCTION("GOOGLETRANSLATE($B420,""en"",U$3)"),"تحميل الطرود")</f>
        <v>تحميل الطرود</v>
      </c>
      <c r="V420" s="21" t="str">
        <f ca="1">IFERROR(__xludf.DUMMYFUNCTION("GOOGLETRANSLATE($B420,""en"",V$3)"),"Załaduj Parcel")</f>
        <v>Załaduj Parcel</v>
      </c>
      <c r="W420" s="21" t="str">
        <f ca="1">IFERROR(__xludf.DUMMYFUNCTION("GOOGLETRANSLATE($B420,""en"",W$3)"),"Загрузка посылок")</f>
        <v>Загрузка посылок</v>
      </c>
      <c r="X420" s="21" t="str">
        <f ca="1">IFERROR(__xludf.DUMMYFUNCTION("GOOGLETRANSLATE($B420,""en"",X$3)"),"cargar la parcela")</f>
        <v>cargar la parcela</v>
      </c>
      <c r="Y420" s="21"/>
      <c r="Z420" s="21"/>
    </row>
    <row r="421" spans="1:26" ht="32.25" customHeight="1" x14ac:dyDescent="0.2">
      <c r="A421" s="17" t="s">
        <v>950</v>
      </c>
      <c r="B421" s="17" t="s">
        <v>951</v>
      </c>
      <c r="C421" s="21" t="str">
        <f ca="1">IFERROR(__xludf.DUMMYFUNCTION("GOOGLETRANSLATE($B421,""en"",C$3)"),"Lastbereich OAR")</f>
        <v>Lastbereich OAR</v>
      </c>
      <c r="D421" s="21" t="str">
        <f ca="1">IFERROR(__xludf.DUMMYFUNCTION("GOOGLETRANSLATE($B421,""en"",D$3)"),"Fyll Region OAR")</f>
        <v>Fyll Region OAR</v>
      </c>
      <c r="E421" s="21" t="str">
        <f ca="1">IFERROR(__xludf.DUMMYFUNCTION("GOOGLETRANSLATE($B421,""en"",E$3)"),"Carregar Região OAR")</f>
        <v>Carregar Região OAR</v>
      </c>
      <c r="F421" s="21" t="str">
        <f ca="1">IFERROR(__xludf.DUMMYFUNCTION("GOOGLETRANSLATE($B421,""en"",F$3)"),"Carregar Região OAR")</f>
        <v>Carregar Região OAR</v>
      </c>
      <c r="G421" s="21" t="str">
        <f ca="1">IFERROR(__xludf.DUMMYFUNCTION("GOOGLETRANSLATE($B421,""en"",G$3)"),"Région charge OAR")</f>
        <v>Région charge OAR</v>
      </c>
      <c r="H421" s="21" t="str">
        <f ca="1">IFERROR(__xludf.DUMMYFUNCTION("GOOGLETRANSLATE($B421,""en"",H$3)"),"Kargatu eskualdea OAR")</f>
        <v>Kargatu eskualdea OAR</v>
      </c>
      <c r="I421" s="21" t="str">
        <f ca="1">IFERROR(__xludf.DUMMYFUNCTION("GOOGLETRANSLATE($B421,""en"",I$3)"),"Carregar Regió OAR")</f>
        <v>Carregar Regió OAR</v>
      </c>
      <c r="J421" s="21" t="str">
        <f ca="1">IFERROR(__xludf.DUMMYFUNCTION("GOOGLETRANSLATE($B421,""en"",J$3)"),"Načíst Region Oar")</f>
        <v>Načíst Region Oar</v>
      </c>
      <c r="K421" s="21" t="str">
        <f ca="1">IFERROR(__xludf.DUMMYFUNCTION("GOOGLETRANSLATE($B421,""en"",K$3)"),"加载区OAR")</f>
        <v>加载区OAR</v>
      </c>
      <c r="L421" s="21" t="str">
        <f ca="1">IFERROR(__xludf.DUMMYFUNCTION("GOOGLETRANSLATE($B421,""en"",L$3)"),"加載區OAR")</f>
        <v>加載區OAR</v>
      </c>
      <c r="M421" s="21" t="str">
        <f ca="1">IFERROR(__xludf.DUMMYFUNCTION("GOOGLETRANSLATE($B421,""en"",M$3)"),"Laad Region OAR")</f>
        <v>Laad Region OAR</v>
      </c>
      <c r="N421" s="21" t="str">
        <f ca="1">IFERROR(__xludf.DUMMYFUNCTION("GOOGLETRANSLATE($B421,""en"",N$3)"),"Τοποθετήστε Περιφέρεια OAR")</f>
        <v>Τοποθετήστε Περιφέρεια OAR</v>
      </c>
      <c r="O421" s="21" t="str">
        <f ca="1">IFERROR(__xludf.DUMMYFUNCTION("GOOGLETRANSLATE($B421,""en"",O$3)"),"Load Region OAR")</f>
        <v>Load Region OAR</v>
      </c>
      <c r="P421" s="21" t="str">
        <f ca="1">IFERROR(__xludf.DUMMYFUNCTION("GOOGLETRANSLATE($B421,""en"",P$3)"),"Luchtaigh Réigiún OAR")</f>
        <v>Luchtaigh Réigiún OAR</v>
      </c>
      <c r="Q421" s="21" t="str">
        <f ca="1">IFERROR(__xludf.DUMMYFUNCTION("GOOGLETRANSLATE($B421,""en"",Q$3)"),"بار منطقه پارو")</f>
        <v>بار منطقه پارو</v>
      </c>
      <c r="R421" s="21" t="str">
        <f ca="1">IFERROR(__xludf.DUMMYFUNCTION("GOOGLETRANSLATE($B421,""en"",R$3)"),"טעינת אזור משוט")</f>
        <v>טעינת אזור משוט</v>
      </c>
      <c r="S421" s="21" t="str">
        <f ca="1">IFERROR(__xludf.DUMMYFUNCTION("GOOGLETRANSLATE($B421,""en"",S$3)"),"Hlaða Region OAR")</f>
        <v>Hlaða Region OAR</v>
      </c>
      <c r="T421" s="21" t="str">
        <f ca="1">IFERROR(__xludf.DUMMYFUNCTION("GOOGLETRANSLATE($B421,""en"",T$3)"),"Laste Region OAR")</f>
        <v>Laste Region OAR</v>
      </c>
      <c r="U421" s="21" t="str">
        <f ca="1">IFERROR(__xludf.DUMMYFUNCTION("GOOGLETRANSLATE($B421,""en"",U$3)"),"تحميل منطقة OAR")</f>
        <v>تحميل منطقة OAR</v>
      </c>
      <c r="V421" s="21" t="str">
        <f ca="1">IFERROR(__xludf.DUMMYFUNCTION("GOOGLETRANSLATE($B421,""en"",V$3)"),"Załaduj Region OAR")</f>
        <v>Załaduj Region OAR</v>
      </c>
      <c r="W421" s="21" t="str">
        <f ca="1">IFERROR(__xludf.DUMMYFUNCTION("GOOGLETRANSLATE($B421,""en"",W$3)"),"Загрузить Регион ВЕСЛО")</f>
        <v>Загрузить Регион ВЕСЛО</v>
      </c>
      <c r="X421" s="21" t="str">
        <f ca="1">IFERROR(__xludf.DUMMYFUNCTION("GOOGLETRANSLATE($B421,""en"",X$3)"),"Cargar Región OAR")</f>
        <v>Cargar Región OAR</v>
      </c>
      <c r="Y421" s="21"/>
      <c r="Z421" s="21"/>
    </row>
    <row r="422" spans="1:26" ht="32.25" customHeight="1" x14ac:dyDescent="0.2">
      <c r="A422" s="17" t="s">
        <v>952</v>
      </c>
      <c r="B422" s="17" t="s">
        <v>953</v>
      </c>
      <c r="C422" s="21" t="str">
        <f ca="1">IFERROR(__xludf.DUMMYFUNCTION("GOOGLETRANSLATE($B422,""en"",C$3)"),"Last Terrain")</f>
        <v>Last Terrain</v>
      </c>
      <c r="D422" s="21" t="str">
        <f ca="1">IFERROR(__xludf.DUMMYFUNCTION("GOOGLETRANSLATE($B422,""en"",D$3)"),"Last terräng")</f>
        <v>Last terräng</v>
      </c>
      <c r="E422" s="21" t="str">
        <f ca="1">IFERROR(__xludf.DUMMYFUNCTION("GOOGLETRANSLATE($B422,""en"",E$3)"),"carga Terrain")</f>
        <v>carga Terrain</v>
      </c>
      <c r="F422" s="21" t="str">
        <f ca="1">IFERROR(__xludf.DUMMYFUNCTION("GOOGLETRANSLATE($B422,""en"",F$3)"),"carga Terrain")</f>
        <v>carga Terrain</v>
      </c>
      <c r="G422" s="21" t="str">
        <f ca="1">IFERROR(__xludf.DUMMYFUNCTION("GOOGLETRANSLATE($B422,""en"",G$3)"),"Terrain de charge")</f>
        <v>Terrain de charge</v>
      </c>
      <c r="H422" s="21" t="str">
        <f ca="1">IFERROR(__xludf.DUMMYFUNCTION("GOOGLETRANSLATE($B422,""en"",H$3)"),"kargatu Lur")</f>
        <v>kargatu Lur</v>
      </c>
      <c r="I422" s="21" t="str">
        <f ca="1">IFERROR(__xludf.DUMMYFUNCTION("GOOGLETRANSLATE($B422,""en"",I$3)"),"Terreny de càrrega")</f>
        <v>Terreny de càrrega</v>
      </c>
      <c r="J422" s="21" t="str">
        <f ca="1">IFERROR(__xludf.DUMMYFUNCTION("GOOGLETRANSLATE($B422,""en"",J$3)"),"zatížení Terrain")</f>
        <v>zatížení Terrain</v>
      </c>
      <c r="K422" s="21" t="str">
        <f ca="1">IFERROR(__xludf.DUMMYFUNCTION("GOOGLETRANSLATE($B422,""en"",K$3)"),"负载地形")</f>
        <v>负载地形</v>
      </c>
      <c r="L422" s="21" t="str">
        <f ca="1">IFERROR(__xludf.DUMMYFUNCTION("GOOGLETRANSLATE($B422,""en"",L$3)"),"負載地形")</f>
        <v>負載地形</v>
      </c>
      <c r="M422" s="21" t="str">
        <f ca="1">IFERROR(__xludf.DUMMYFUNCTION("GOOGLETRANSLATE($B422,""en"",M$3)"),"load Terrain")</f>
        <v>load Terrain</v>
      </c>
      <c r="N422" s="21" t="str">
        <f ca="1">IFERROR(__xludf.DUMMYFUNCTION("GOOGLETRANSLATE($B422,""en"",N$3)"),"Έδαφος φορτίο")</f>
        <v>Έδαφος φορτίο</v>
      </c>
      <c r="O422" s="21" t="str">
        <f ca="1">IFERROR(__xludf.DUMMYFUNCTION("GOOGLETRANSLATE($B422,""en"",O$3)"),"kuorma Terrain")</f>
        <v>kuorma Terrain</v>
      </c>
      <c r="P422" s="21" t="str">
        <f ca="1">IFERROR(__xludf.DUMMYFUNCTION("GOOGLETRANSLATE($B422,""en"",P$3)"),"Tír-raon Luchtaigh")</f>
        <v>Tír-raon Luchtaigh</v>
      </c>
      <c r="Q422" s="21" t="str">
        <f ca="1">IFERROR(__xludf.DUMMYFUNCTION("GOOGLETRANSLATE($B422,""en"",Q$3)"),"عوارض زمین بار")</f>
        <v>عوارض زمین بار</v>
      </c>
      <c r="R422" s="21" t="str">
        <f ca="1">IFERROR(__xludf.DUMMYFUNCTION("GOOGLETRANSLATE($B422,""en"",R$3)"),"Terrain טען")</f>
        <v>Terrain טען</v>
      </c>
      <c r="S422" s="21" t="str">
        <f ca="1">IFERROR(__xludf.DUMMYFUNCTION("GOOGLETRANSLATE($B422,""en"",S$3)"),"hlaða Landsvæði")</f>
        <v>hlaða Landsvæði</v>
      </c>
      <c r="T422" s="21" t="str">
        <f ca="1">IFERROR(__xludf.DUMMYFUNCTION("GOOGLETRANSLATE($B422,""en"",T$3)"),"Load Terreng")</f>
        <v>Load Terreng</v>
      </c>
      <c r="U422" s="21" t="str">
        <f ca="1">IFERROR(__xludf.DUMMYFUNCTION("GOOGLETRANSLATE($B422,""en"",U$3)"),"تحميل التضاريس")</f>
        <v>تحميل التضاريس</v>
      </c>
      <c r="V422" s="21" t="str">
        <f ca="1">IFERROR(__xludf.DUMMYFUNCTION("GOOGLETRANSLATE($B422,""en"",V$3)"),"Teren obciążenie")</f>
        <v>Teren obciążenie</v>
      </c>
      <c r="W422" s="21" t="str">
        <f ca="1">IFERROR(__xludf.DUMMYFUNCTION("GOOGLETRANSLATE($B422,""en"",W$3)"),"Нагрузка Terrain")</f>
        <v>Нагрузка Terrain</v>
      </c>
      <c r="X422" s="21" t="str">
        <f ca="1">IFERROR(__xludf.DUMMYFUNCTION("GOOGLETRANSLATE($B422,""en"",X$3)"),"Terreno de carga")</f>
        <v>Terreno de carga</v>
      </c>
      <c r="Y422" s="21"/>
      <c r="Z422" s="21"/>
    </row>
    <row r="423" spans="1:26" ht="32.25" customHeight="1" x14ac:dyDescent="0.2">
      <c r="A423" s="17" t="s">
        <v>954</v>
      </c>
      <c r="B423" s="17" t="s">
        <v>955</v>
      </c>
      <c r="C423" s="21" t="str">
        <f ca="1">IFERROR(__xludf.DUMMYFUNCTION("GOOGLETRANSLATE($B423,""en"",C$3)"),"Laden Settings.ini")</f>
        <v>Laden Settings.ini</v>
      </c>
      <c r="D423" s="21" t="str">
        <f ca="1">IFERROR(__xludf.DUMMYFUNCTION("GOOGLETRANSLATE($B423,""en"",D$3)"),"Loading settings.ini")</f>
        <v>Loading settings.ini</v>
      </c>
      <c r="E423" s="21" t="str">
        <f ca="1">IFERROR(__xludf.DUMMYFUNCTION("GOOGLETRANSLATE($B423,""en"",E$3)"),"Carregando Settings.ini")</f>
        <v>Carregando Settings.ini</v>
      </c>
      <c r="F423" s="21" t="str">
        <f ca="1">IFERROR(__xludf.DUMMYFUNCTION("GOOGLETRANSLATE($B423,""en"",F$3)"),"Carregando Settings.ini")</f>
        <v>Carregando Settings.ini</v>
      </c>
      <c r="G423" s="21" t="str">
        <f ca="1">IFERROR(__xludf.DUMMYFUNCTION("GOOGLETRANSLATE($B423,""en"",G$3)"),"Chargement Settings.ini")</f>
        <v>Chargement Settings.ini</v>
      </c>
      <c r="H423" s="21" t="str">
        <f ca="1">IFERROR(__xludf.DUMMYFUNCTION("GOOGLETRANSLATE($B423,""en"",H$3)"),"Settings.ini Lanean")</f>
        <v>Settings.ini Lanean</v>
      </c>
      <c r="I423" s="21" t="str">
        <f ca="1">IFERROR(__xludf.DUMMYFUNCTION("GOOGLETRANSLATE($B423,""en"",I$3)"),"carregant Settings.ini")</f>
        <v>carregant Settings.ini</v>
      </c>
      <c r="J423" s="21" t="str">
        <f ca="1">IFERROR(__xludf.DUMMYFUNCTION("GOOGLETRANSLATE($B423,""en"",J$3)"),"loading settings.ini")</f>
        <v>loading settings.ini</v>
      </c>
      <c r="K423" s="21" t="str">
        <f ca="1">IFERROR(__xludf.DUMMYFUNCTION("GOOGLETRANSLATE($B423,""en"",K$3)"),"加载的Settings.ini")</f>
        <v>加载的Settings.ini</v>
      </c>
      <c r="L423" s="21" t="str">
        <f ca="1">IFERROR(__xludf.DUMMYFUNCTION("GOOGLETRANSLATE($B423,""en"",L$3)"),"加載的Settings.ini")</f>
        <v>加載的Settings.ini</v>
      </c>
      <c r="M423" s="21" t="str">
        <f ca="1">IFERROR(__xludf.DUMMYFUNCTION("GOOGLETRANSLATE($B423,""en"",M$3)"),"Loading Settings.ini")</f>
        <v>Loading Settings.ini</v>
      </c>
      <c r="N423" s="21" t="str">
        <f ca="1">IFERROR(__xludf.DUMMYFUNCTION("GOOGLETRANSLATE($B423,""en"",N$3)"),"Φόρτωση Settings.ini")</f>
        <v>Φόρτωση Settings.ini</v>
      </c>
      <c r="O423" s="21" t="str">
        <f ca="1">IFERROR(__xludf.DUMMYFUNCTION("GOOGLETRANSLATE($B423,""en"",O$3)"),"Ladataan Settings.ini")</f>
        <v>Ladataan Settings.ini</v>
      </c>
      <c r="P423" s="21" t="str">
        <f ca="1">IFERROR(__xludf.DUMMYFUNCTION("GOOGLETRANSLATE($B423,""en"",P$3)"),"Loading Settings.ini")</f>
        <v>Loading Settings.ini</v>
      </c>
      <c r="Q423" s="21" t="str">
        <f ca="1">IFERROR(__xludf.DUMMYFUNCTION("GOOGLETRANSLATE($B423,""en"",Q$3)"),"در حال بارگذاری Settings.ini")</f>
        <v>در حال بارگذاری Settings.ini</v>
      </c>
      <c r="R423" s="21" t="str">
        <f ca="1">IFERROR(__xludf.DUMMYFUNCTION("GOOGLETRANSLATE($B423,""en"",R$3)"),"טוען settings.ini")</f>
        <v>טוען settings.ini</v>
      </c>
      <c r="S423" s="21" t="str">
        <f ca="1">IFERROR(__xludf.DUMMYFUNCTION("GOOGLETRANSLATE($B423,""en"",S$3)"),"hleðsla Settings.ini")</f>
        <v>hleðsla Settings.ini</v>
      </c>
      <c r="T423" s="21" t="str">
        <f ca="1">IFERROR(__xludf.DUMMYFUNCTION("GOOGLETRANSLATE($B423,""en"",T$3)"),"Laster settings.ini")</f>
        <v>Laster settings.ini</v>
      </c>
      <c r="U423" s="21" t="str">
        <f ca="1">IFERROR(__xludf.DUMMYFUNCTION("GOOGLETRANSLATE($B423,""en"",U$3)"),"تحميل Settings.ini")</f>
        <v>تحميل Settings.ini</v>
      </c>
      <c r="V423" s="21" t="str">
        <f ca="1">IFERROR(__xludf.DUMMYFUNCTION("GOOGLETRANSLATE($B423,""en"",V$3)"),"Ładowanie settings.ini")</f>
        <v>Ładowanie settings.ini</v>
      </c>
      <c r="W423" s="21" t="str">
        <f ca="1">IFERROR(__xludf.DUMMYFUNCTION("GOOGLETRANSLATE($B423,""en"",W$3)"),"Загрузка Settings.ini")</f>
        <v>Загрузка Settings.ini</v>
      </c>
      <c r="X423" s="21" t="str">
        <f ca="1">IFERROR(__xludf.DUMMYFUNCTION("GOOGLETRANSLATE($B423,""en"",X$3)"),"Cargando Settings.ini")</f>
        <v>Cargando Settings.ini</v>
      </c>
      <c r="Y423" s="21"/>
      <c r="Z423" s="21"/>
    </row>
    <row r="424" spans="1:26" ht="32.25" customHeight="1" x14ac:dyDescent="0.2">
      <c r="A424" s="17" t="s">
        <v>956</v>
      </c>
      <c r="B424" s="17" t="s">
        <v>956</v>
      </c>
      <c r="C424" s="21" t="str">
        <f ca="1">IFERROR(__xludf.DUMMYFUNCTION("GOOGLETRANSLATE($B424,""en"",C$3)"),"Lokal")</f>
        <v>Lokal</v>
      </c>
      <c r="D424" s="21" t="str">
        <f ca="1">IFERROR(__xludf.DUMMYFUNCTION("GOOGLETRANSLATE($B424,""en"",D$3)"),"Lokal")</f>
        <v>Lokal</v>
      </c>
      <c r="E424" s="21" t="str">
        <f ca="1">IFERROR(__xludf.DUMMYFUNCTION("GOOGLETRANSLATE($B424,""en"",E$3)"),"Local")</f>
        <v>Local</v>
      </c>
      <c r="F424" s="21" t="str">
        <f ca="1">IFERROR(__xludf.DUMMYFUNCTION("GOOGLETRANSLATE($B424,""en"",F$3)"),"Local")</f>
        <v>Local</v>
      </c>
      <c r="G424" s="21" t="str">
        <f ca="1">IFERROR(__xludf.DUMMYFUNCTION("GOOGLETRANSLATE($B424,""en"",G$3)"),"Local")</f>
        <v>Local</v>
      </c>
      <c r="H424" s="21" t="str">
        <f ca="1">IFERROR(__xludf.DUMMYFUNCTION("GOOGLETRANSLATE($B424,""en"",H$3)"),"Tokiko")</f>
        <v>Tokiko</v>
      </c>
      <c r="I424" s="21" t="str">
        <f ca="1">IFERROR(__xludf.DUMMYFUNCTION("GOOGLETRANSLATE($B424,""en"",I$3)"),"local")</f>
        <v>local</v>
      </c>
      <c r="J424" s="21" t="str">
        <f ca="1">IFERROR(__xludf.DUMMYFUNCTION("GOOGLETRANSLATE($B424,""en"",J$3)"),"Místní")</f>
        <v>Místní</v>
      </c>
      <c r="K424" s="21" t="str">
        <f ca="1">IFERROR(__xludf.DUMMYFUNCTION("GOOGLETRANSLATE($B424,""en"",K$3)"),"本地")</f>
        <v>本地</v>
      </c>
      <c r="L424" s="21" t="str">
        <f ca="1">IFERROR(__xludf.DUMMYFUNCTION("GOOGLETRANSLATE($B424,""en"",L$3)"),"本地")</f>
        <v>本地</v>
      </c>
      <c r="M424" s="21" t="str">
        <f ca="1">IFERROR(__xludf.DUMMYFUNCTION("GOOGLETRANSLATE($B424,""en"",M$3)"),"lokaal")</f>
        <v>lokaal</v>
      </c>
      <c r="N424" s="21" t="str">
        <f ca="1">IFERROR(__xludf.DUMMYFUNCTION("GOOGLETRANSLATE($B424,""en"",N$3)"),"Τοπικός")</f>
        <v>Τοπικός</v>
      </c>
      <c r="O424" s="21" t="str">
        <f ca="1">IFERROR(__xludf.DUMMYFUNCTION("GOOGLETRANSLATE($B424,""en"",O$3)"),"paikallinen")</f>
        <v>paikallinen</v>
      </c>
      <c r="P424" s="21" t="str">
        <f ca="1">IFERROR(__xludf.DUMMYFUNCTION("GOOGLETRANSLATE($B424,""en"",P$3)"),"Áitiúil")</f>
        <v>Áitiúil</v>
      </c>
      <c r="Q424" s="21" t="str">
        <f ca="1">IFERROR(__xludf.DUMMYFUNCTION("GOOGLETRANSLATE($B424,""en"",Q$3)"),"محلی")</f>
        <v>محلی</v>
      </c>
      <c r="R424" s="21" t="str">
        <f ca="1">IFERROR(__xludf.DUMMYFUNCTION("GOOGLETRANSLATE($B424,""en"",R$3)"),"מְקוֹמִי")</f>
        <v>מְקוֹמִי</v>
      </c>
      <c r="S424" s="21" t="str">
        <f ca="1">IFERROR(__xludf.DUMMYFUNCTION("GOOGLETRANSLATE($B424,""en"",S$3)"),"Local")</f>
        <v>Local</v>
      </c>
      <c r="T424" s="21" t="str">
        <f ca="1">IFERROR(__xludf.DUMMYFUNCTION("GOOGLETRANSLATE($B424,""en"",T$3)"),"lokal")</f>
        <v>lokal</v>
      </c>
      <c r="U424" s="21" t="str">
        <f ca="1">IFERROR(__xludf.DUMMYFUNCTION("GOOGLETRANSLATE($B424,""en"",U$3)"),"محلي")</f>
        <v>محلي</v>
      </c>
      <c r="V424" s="21" t="str">
        <f ca="1">IFERROR(__xludf.DUMMYFUNCTION("GOOGLETRANSLATE($B424,""en"",V$3)"),"Lokalny")</f>
        <v>Lokalny</v>
      </c>
      <c r="W424" s="21" t="str">
        <f ca="1">IFERROR(__xludf.DUMMYFUNCTION("GOOGLETRANSLATE($B424,""en"",W$3)"),"Местный")</f>
        <v>Местный</v>
      </c>
      <c r="X424" s="21" t="str">
        <f ca="1">IFERROR(__xludf.DUMMYFUNCTION("GOOGLETRANSLATE($B424,""en"",X$3)"),"Local")</f>
        <v>Local</v>
      </c>
      <c r="Y424" s="21"/>
      <c r="Z424" s="21"/>
    </row>
    <row r="425" spans="1:26" ht="32.25" customHeight="1" x14ac:dyDescent="0.2">
      <c r="A425" s="17" t="s">
        <v>957</v>
      </c>
      <c r="B425" s="17" t="s">
        <v>957</v>
      </c>
      <c r="C425" s="21" t="str">
        <f ca="1">IFERROR(__xludf.DUMMYFUNCTION("GOOGLETRANSLATE($B425,""en"",C$3)"),"Local_Grid")</f>
        <v>Local_Grid</v>
      </c>
      <c r="D425" s="21" t="str">
        <f ca="1">IFERROR(__xludf.DUMMYFUNCTION("GOOGLETRANSLATE($B425,""en"",D$3)"),"Local_Grid")</f>
        <v>Local_Grid</v>
      </c>
      <c r="E425" s="21" t="str">
        <f ca="1">IFERROR(__xludf.DUMMYFUNCTION("GOOGLETRANSLATE($B425,""en"",E$3)"),"Local_Grid")</f>
        <v>Local_Grid</v>
      </c>
      <c r="F425" s="21" t="str">
        <f ca="1">IFERROR(__xludf.DUMMYFUNCTION("GOOGLETRANSLATE($B425,""en"",F$3)"),"Local_Grid")</f>
        <v>Local_Grid</v>
      </c>
      <c r="G425" s="21" t="str">
        <f ca="1">IFERROR(__xludf.DUMMYFUNCTION("GOOGLETRANSLATE($B425,""en"",G$3)"),"Local_Grid")</f>
        <v>Local_Grid</v>
      </c>
      <c r="H425" s="21" t="str">
        <f ca="1">IFERROR(__xludf.DUMMYFUNCTION("GOOGLETRANSLATE($B425,""en"",H$3)"),"Local_Grid")</f>
        <v>Local_Grid</v>
      </c>
      <c r="I425" s="21" t="str">
        <f ca="1">IFERROR(__xludf.DUMMYFUNCTION("GOOGLETRANSLATE($B425,""en"",I$3)"),"Local_Grid")</f>
        <v>Local_Grid</v>
      </c>
      <c r="J425" s="21" t="str">
        <f ca="1">IFERROR(__xludf.DUMMYFUNCTION("GOOGLETRANSLATE($B425,""en"",J$3)"),"Local_Grid")</f>
        <v>Local_Grid</v>
      </c>
      <c r="K425" s="21" t="str">
        <f ca="1">IFERROR(__xludf.DUMMYFUNCTION("GOOGLETRANSLATE($B425,""en"",K$3)"),"Local_Grid")</f>
        <v>Local_Grid</v>
      </c>
      <c r="L425" s="21" t="str">
        <f ca="1">IFERROR(__xludf.DUMMYFUNCTION("GOOGLETRANSLATE($B425,""en"",L$3)"),"Local_Grid")</f>
        <v>Local_Grid</v>
      </c>
      <c r="M425" s="21" t="str">
        <f ca="1">IFERROR(__xludf.DUMMYFUNCTION("GOOGLETRANSLATE($B425,""en"",M$3)"),"Local_Grid")</f>
        <v>Local_Grid</v>
      </c>
      <c r="N425" s="21" t="str">
        <f ca="1">IFERROR(__xludf.DUMMYFUNCTION("GOOGLETRANSLATE($B425,""en"",N$3)"),"Local_Grid")</f>
        <v>Local_Grid</v>
      </c>
      <c r="O425" s="21" t="str">
        <f ca="1">IFERROR(__xludf.DUMMYFUNCTION("GOOGLETRANSLATE($B425,""en"",O$3)"),"Local_Grid")</f>
        <v>Local_Grid</v>
      </c>
      <c r="P425" s="21" t="str">
        <f ca="1">IFERROR(__xludf.DUMMYFUNCTION("GOOGLETRANSLATE($B425,""en"",P$3)"),"Local_Grid")</f>
        <v>Local_Grid</v>
      </c>
      <c r="Q425" s="21" t="str">
        <f ca="1">IFERROR(__xludf.DUMMYFUNCTION("GOOGLETRANSLATE($B425,""en"",Q$3)"),"Local_Grid")</f>
        <v>Local_Grid</v>
      </c>
      <c r="R425" s="21" t="str">
        <f ca="1">IFERROR(__xludf.DUMMYFUNCTION("GOOGLETRANSLATE($B425,""en"",R$3)"),"Local_Grid")</f>
        <v>Local_Grid</v>
      </c>
      <c r="S425" s="21" t="str">
        <f ca="1">IFERROR(__xludf.DUMMYFUNCTION("GOOGLETRANSLATE($B425,""en"",S$3)"),"Local_Grid")</f>
        <v>Local_Grid</v>
      </c>
      <c r="T425" s="21" t="str">
        <f ca="1">IFERROR(__xludf.DUMMYFUNCTION("GOOGLETRANSLATE($B425,""en"",T$3)"),"Local_Grid")</f>
        <v>Local_Grid</v>
      </c>
      <c r="U425" s="21" t="str">
        <f ca="1">IFERROR(__xludf.DUMMYFUNCTION("GOOGLETRANSLATE($B425,""en"",U$3)"),"Local_Grid")</f>
        <v>Local_Grid</v>
      </c>
      <c r="V425" s="21" t="str">
        <f ca="1">IFERROR(__xludf.DUMMYFUNCTION("GOOGLETRANSLATE($B425,""en"",V$3)"),"Local_Grid")</f>
        <v>Local_Grid</v>
      </c>
      <c r="W425" s="21" t="str">
        <f ca="1">IFERROR(__xludf.DUMMYFUNCTION("GOOGLETRANSLATE($B425,""en"",W$3)"),"Local_Grid")</f>
        <v>Local_Grid</v>
      </c>
      <c r="X425" s="21" t="str">
        <f ca="1">IFERROR(__xludf.DUMMYFUNCTION("GOOGLETRANSLATE($B425,""en"",X$3)"),"Local_Grid")</f>
        <v>Local_Grid</v>
      </c>
      <c r="Y425" s="21"/>
      <c r="Z425" s="21"/>
    </row>
    <row r="426" spans="1:26" ht="32.25" customHeight="1" x14ac:dyDescent="0.2">
      <c r="A426" s="17" t="s">
        <v>958</v>
      </c>
      <c r="B426" s="17" t="s">
        <v>959</v>
      </c>
      <c r="C426" s="21" t="str">
        <f ca="1">IFERROR(__xludf.DUMMYFUNCTION("GOOGLETRANSLATE($B426,""en"",C$3)"),"Lokale Suche")</f>
        <v>Lokale Suche</v>
      </c>
      <c r="D426" s="21" t="str">
        <f ca="1">IFERROR(__xludf.DUMMYFUNCTION("GOOGLETRANSLATE($B426,""en"",D$3)"),"lokal sökning")</f>
        <v>lokal sökning</v>
      </c>
      <c r="E426" s="21" t="str">
        <f ca="1">IFERROR(__xludf.DUMMYFUNCTION("GOOGLETRANSLATE($B426,""en"",E$3)"),"local Search")</f>
        <v>local Search</v>
      </c>
      <c r="F426" s="21" t="str">
        <f ca="1">IFERROR(__xludf.DUMMYFUNCTION("GOOGLETRANSLATE($B426,""en"",F$3)"),"local Search")</f>
        <v>local Search</v>
      </c>
      <c r="G426" s="21" t="str">
        <f ca="1">IFERROR(__xludf.DUMMYFUNCTION("GOOGLETRANSLATE($B426,""en"",G$3)"),"Recherche locale")</f>
        <v>Recherche locale</v>
      </c>
      <c r="H426" s="21" t="str">
        <f ca="1">IFERROR(__xludf.DUMMYFUNCTION("GOOGLETRANSLATE($B426,""en"",H$3)"),"Local Search")</f>
        <v>Local Search</v>
      </c>
      <c r="I426" s="21" t="str">
        <f ca="1">IFERROR(__xludf.DUMMYFUNCTION("GOOGLETRANSLATE($B426,""en"",I$3)"),"Hi local")</f>
        <v>Hi local</v>
      </c>
      <c r="J426" s="21" t="str">
        <f ca="1">IFERROR(__xludf.DUMMYFUNCTION("GOOGLETRANSLATE($B426,""en"",J$3)"),"místní vyhledávání")</f>
        <v>místní vyhledávání</v>
      </c>
      <c r="K426" s="21" t="str">
        <f ca="1">IFERROR(__xludf.DUMMYFUNCTION("GOOGLETRANSLATE($B426,""en"",K$3)"),"本地搜索")</f>
        <v>本地搜索</v>
      </c>
      <c r="L426" s="21" t="str">
        <f ca="1">IFERROR(__xludf.DUMMYFUNCTION("GOOGLETRANSLATE($B426,""en"",L$3)"),"本地搜索")</f>
        <v>本地搜索</v>
      </c>
      <c r="M426" s="21" t="str">
        <f ca="1">IFERROR(__xludf.DUMMYFUNCTION("GOOGLETRANSLATE($B426,""en"",M$3)"),"Local Search")</f>
        <v>Local Search</v>
      </c>
      <c r="N426" s="21" t="str">
        <f ca="1">IFERROR(__xludf.DUMMYFUNCTION("GOOGLETRANSLATE($B426,""en"",N$3)"),"Τοπική αναζήτηση")</f>
        <v>Τοπική αναζήτηση</v>
      </c>
      <c r="O426" s="21" t="str">
        <f ca="1">IFERROR(__xludf.DUMMYFUNCTION("GOOGLETRANSLATE($B426,""en"",O$3)"),"paikallinen haku")</f>
        <v>paikallinen haku</v>
      </c>
      <c r="P426" s="21" t="str">
        <f ca="1">IFERROR(__xludf.DUMMYFUNCTION("GOOGLETRANSLATE($B426,""en"",P$3)"),"Cuardaigh Áitiúil")</f>
        <v>Cuardaigh Áitiúil</v>
      </c>
      <c r="Q426" s="21" t="str">
        <f ca="1">IFERROR(__xludf.DUMMYFUNCTION("GOOGLETRANSLATE($B426,""en"",Q$3)"),"جستجوی محلی")</f>
        <v>جستجوی محلی</v>
      </c>
      <c r="R426" s="21" t="str">
        <f ca="1">IFERROR(__xludf.DUMMYFUNCTION("GOOGLETRANSLATE($B426,""en"",R$3)"),"חיפוש Local")</f>
        <v>חיפוש Local</v>
      </c>
      <c r="S426" s="21" t="str">
        <f ca="1">IFERROR(__xludf.DUMMYFUNCTION("GOOGLETRANSLATE($B426,""en"",S$3)"),"Local Search")</f>
        <v>Local Search</v>
      </c>
      <c r="T426" s="21" t="str">
        <f ca="1">IFERROR(__xludf.DUMMYFUNCTION("GOOGLETRANSLATE($B426,""en"",T$3)"),"Lokalt søk")</f>
        <v>Lokalt søk</v>
      </c>
      <c r="U426" s="21" t="str">
        <f ca="1">IFERROR(__xludf.DUMMYFUNCTION("GOOGLETRANSLATE($B426,""en"",U$3)"),"البحث المحلي")</f>
        <v>البحث المحلي</v>
      </c>
      <c r="V426" s="21" t="str">
        <f ca="1">IFERROR(__xludf.DUMMYFUNCTION("GOOGLETRANSLATE($B426,""en"",V$3)"),"Wyszukiwanie lokalne")</f>
        <v>Wyszukiwanie lokalne</v>
      </c>
      <c r="W426" s="21" t="str">
        <f ca="1">IFERROR(__xludf.DUMMYFUNCTION("GOOGLETRANSLATE($B426,""en"",W$3)"),"Локальный поиск")</f>
        <v>Локальный поиск</v>
      </c>
      <c r="X426" s="21" t="str">
        <f ca="1">IFERROR(__xludf.DUMMYFUNCTION("GOOGLETRANSLATE($B426,""en"",X$3)"),"Busqueda local")</f>
        <v>Busqueda local</v>
      </c>
      <c r="Y426" s="21"/>
      <c r="Z426" s="21"/>
    </row>
    <row r="427" spans="1:26" ht="32.25" customHeight="1" x14ac:dyDescent="0.2">
      <c r="A427" s="17" t="s">
        <v>960</v>
      </c>
      <c r="B427" s="17" t="s">
        <v>961</v>
      </c>
      <c r="C427" s="21" t="str">
        <f ca="1">IFERROR(__xludf.DUMMYFUNCTION("GOOGLETRANSLATE($B427,""en"",C$3)"),"Log Level")</f>
        <v>Log Level</v>
      </c>
      <c r="D427" s="21" t="str">
        <f ca="1">IFERROR(__xludf.DUMMYFUNCTION("GOOGLETRANSLATE($B427,""en"",D$3)"),"Log Level")</f>
        <v>Log Level</v>
      </c>
      <c r="E427" s="21" t="str">
        <f ca="1">IFERROR(__xludf.DUMMYFUNCTION("GOOGLETRANSLATE($B427,""en"",E$3)"),"Nível de log")</f>
        <v>Nível de log</v>
      </c>
      <c r="F427" s="21" t="str">
        <f ca="1">IFERROR(__xludf.DUMMYFUNCTION("GOOGLETRANSLATE($B427,""en"",F$3)"),"Nível de log")</f>
        <v>Nível de log</v>
      </c>
      <c r="G427" s="21" t="str">
        <f ca="1">IFERROR(__xludf.DUMMYFUNCTION("GOOGLETRANSLATE($B427,""en"",G$3)"),"Niveau du journal")</f>
        <v>Niveau du journal</v>
      </c>
      <c r="H427" s="21" t="str">
        <f ca="1">IFERROR(__xludf.DUMMYFUNCTION("GOOGLETRANSLATE($B427,""en"",H$3)"),"egunkari maila")</f>
        <v>egunkari maila</v>
      </c>
      <c r="I427" s="21" t="str">
        <f ca="1">IFERROR(__xludf.DUMMYFUNCTION("GOOGLETRANSLATE($B427,""en"",I$3)"),"Nivell de registre")</f>
        <v>Nivell de registre</v>
      </c>
      <c r="J427" s="21" t="str">
        <f ca="1">IFERROR(__xludf.DUMMYFUNCTION("GOOGLETRANSLATE($B427,""en"",J$3)"),"Log Level")</f>
        <v>Log Level</v>
      </c>
      <c r="K427" s="21" t="str">
        <f ca="1">IFERROR(__xludf.DUMMYFUNCTION("GOOGLETRANSLATE($B427,""en"",K$3)"),"日志级别")</f>
        <v>日志级别</v>
      </c>
      <c r="L427" s="21" t="str">
        <f ca="1">IFERROR(__xludf.DUMMYFUNCTION("GOOGLETRANSLATE($B427,""en"",L$3)"),"日誌級別")</f>
        <v>日誌級別</v>
      </c>
      <c r="M427" s="21" t="str">
        <f ca="1">IFERROR(__xludf.DUMMYFUNCTION("GOOGLETRANSLATE($B427,""en"",M$3)"),"Log niveau")</f>
        <v>Log niveau</v>
      </c>
      <c r="N427" s="21" t="str">
        <f ca="1">IFERROR(__xludf.DUMMYFUNCTION("GOOGLETRANSLATE($B427,""en"",N$3)"),"Επίπεδο καταγραφής")</f>
        <v>Επίπεδο καταγραφής</v>
      </c>
      <c r="O427" s="21" t="str">
        <f ca="1">IFERROR(__xludf.DUMMYFUNCTION("GOOGLETRANSLATE($B427,""en"",O$3)"),"lokitaso")</f>
        <v>lokitaso</v>
      </c>
      <c r="P427" s="21" t="str">
        <f ca="1">IFERROR(__xludf.DUMMYFUNCTION("GOOGLETRANSLATE($B427,""en"",P$3)"),"Logáil Level")</f>
        <v>Logáil Level</v>
      </c>
      <c r="Q427" s="21" t="str">
        <f ca="1">IFERROR(__xludf.DUMMYFUNCTION("GOOGLETRANSLATE($B427,""en"",Q$3)"),"سطح ورود")</f>
        <v>سطح ورود</v>
      </c>
      <c r="R427" s="21" t="str">
        <f ca="1">IFERROR(__xludf.DUMMYFUNCTION("GOOGLETRANSLATE($B427,""en"",R$3)"),"רמת יומן")</f>
        <v>רמת יומן</v>
      </c>
      <c r="S427" s="21" t="str">
        <f ca="1">IFERROR(__xludf.DUMMYFUNCTION("GOOGLETRANSLATE($B427,""en"",S$3)"),"Log Level")</f>
        <v>Log Level</v>
      </c>
      <c r="T427" s="21" t="str">
        <f ca="1">IFERROR(__xludf.DUMMYFUNCTION("GOOGLETRANSLATE($B427,""en"",T$3)"),"Loggnivå")</f>
        <v>Loggnivå</v>
      </c>
      <c r="U427" s="21" t="str">
        <f ca="1">IFERROR(__xludf.DUMMYFUNCTION("GOOGLETRANSLATE($B427,""en"",U$3)"),"تسجيل مستوى")</f>
        <v>تسجيل مستوى</v>
      </c>
      <c r="V427" s="21" t="str">
        <f ca="1">IFERROR(__xludf.DUMMYFUNCTION("GOOGLETRANSLATE($B427,""en"",V$3)"),"Log Level")</f>
        <v>Log Level</v>
      </c>
      <c r="W427" s="21" t="str">
        <f ca="1">IFERROR(__xludf.DUMMYFUNCTION("GOOGLETRANSLATE($B427,""en"",W$3)"),"Уровень журнала")</f>
        <v>Уровень журнала</v>
      </c>
      <c r="X427" s="21" t="str">
        <f ca="1">IFERROR(__xludf.DUMMYFUNCTION("GOOGLETRANSLATE($B427,""en"",X$3)"),"Nivel de registro")</f>
        <v>Nivel de registro</v>
      </c>
      <c r="Y427" s="21"/>
      <c r="Z427" s="21"/>
    </row>
    <row r="428" spans="1:26" ht="32.25" customHeight="1" x14ac:dyDescent="0.2">
      <c r="A428" s="10" t="s">
        <v>962</v>
      </c>
      <c r="B428" s="10" t="s">
        <v>963</v>
      </c>
      <c r="C428" s="11" t="str">
        <f ca="1">IFERROR(__xludf.DUMMYFUNCTION("GOOGLETRANSLATE($B428,""en"",C$3)"),"Protokollierung")</f>
        <v>Protokollierung</v>
      </c>
      <c r="D428" s="11" t="str">
        <f ca="1">IFERROR(__xludf.DUMMYFUNCTION("GOOGLETRANSLATE($B428,""en"",D$3)"),"Skogsavverkning")</f>
        <v>Skogsavverkning</v>
      </c>
      <c r="E428" s="11" t="str">
        <f ca="1">IFERROR(__xludf.DUMMYFUNCTION("GOOGLETRANSLATE($B428,""en"",E$3)"),"Exploração madeireira")</f>
        <v>Exploração madeireira</v>
      </c>
      <c r="F428" s="11" t="str">
        <f ca="1">IFERROR(__xludf.DUMMYFUNCTION("GOOGLETRANSLATE($B428,""en"",F$3)"),"Exploração madeireira")</f>
        <v>Exploração madeireira</v>
      </c>
      <c r="G428" s="11" t="str">
        <f ca="1">IFERROR(__xludf.DUMMYFUNCTION("GOOGLETRANSLATE($B428,""en"",G$3)"),"Enregistrement")</f>
        <v>Enregistrement</v>
      </c>
      <c r="H428" s="11" t="str">
        <f ca="1">IFERROR(__xludf.DUMMYFUNCTION("GOOGLETRANSLATE($B428,""en"",H$3)"),"Saio")</f>
        <v>Saio</v>
      </c>
      <c r="I428" s="11" t="str">
        <f ca="1">IFERROR(__xludf.DUMMYFUNCTION("GOOGLETRANSLATE($B428,""en"",I$3)"),"tala")</f>
        <v>tala</v>
      </c>
      <c r="J428" s="11" t="str">
        <f ca="1">IFERROR(__xludf.DUMMYFUNCTION("GOOGLETRANSLATE($B428,""en"",J$3)"),"Protokolování")</f>
        <v>Protokolování</v>
      </c>
      <c r="K428" s="11" t="str">
        <f ca="1">IFERROR(__xludf.DUMMYFUNCTION("GOOGLETRANSLATE($B428,""en"",K$3)"),"记录")</f>
        <v>记录</v>
      </c>
      <c r="L428" s="11" t="str">
        <f ca="1">IFERROR(__xludf.DUMMYFUNCTION("GOOGLETRANSLATE($B428,""en"",L$3)"),"記錄")</f>
        <v>記錄</v>
      </c>
      <c r="M428" s="11" t="str">
        <f ca="1">IFERROR(__xludf.DUMMYFUNCTION("GOOGLETRANSLATE($B428,""en"",M$3)"),"logging")</f>
        <v>logging</v>
      </c>
      <c r="N428" s="11" t="str">
        <f ca="1">IFERROR(__xludf.DUMMYFUNCTION("GOOGLETRANSLATE($B428,""en"",N$3)"),"Ξύλευση")</f>
        <v>Ξύλευση</v>
      </c>
      <c r="O428" s="11" t="str">
        <f ca="1">IFERROR(__xludf.DUMMYFUNCTION("GOOGLETRANSLATE($B428,""en"",O$3)"),"hakkuu")</f>
        <v>hakkuu</v>
      </c>
      <c r="P428" s="11" t="str">
        <f ca="1">IFERROR(__xludf.DUMMYFUNCTION("GOOGLETRANSLATE($B428,""en"",P$3)"),"logáil")</f>
        <v>logáil</v>
      </c>
      <c r="Q428" s="11" t="str">
        <f ca="1">IFERROR(__xludf.DUMMYFUNCTION("GOOGLETRANSLATE($B428,""en"",Q$3)"),"ورود به سیستم")</f>
        <v>ورود به سیستم</v>
      </c>
      <c r="R428" s="11" t="str">
        <f ca="1">IFERROR(__xludf.DUMMYFUNCTION("GOOGLETRANSLATE($B428,""en"",R$3)"),"רישום")</f>
        <v>רישום</v>
      </c>
      <c r="S428" s="11" t="str">
        <f ca="1">IFERROR(__xludf.DUMMYFUNCTION("GOOGLETRANSLATE($B428,""en"",S$3)"),"Annálar")</f>
        <v>Annálar</v>
      </c>
      <c r="T428" s="11" t="str">
        <f ca="1">IFERROR(__xludf.DUMMYFUNCTION("GOOGLETRANSLATE($B428,""en"",T$3)"),"Hogst")</f>
        <v>Hogst</v>
      </c>
      <c r="U428" s="11" t="str">
        <f ca="1">IFERROR(__xludf.DUMMYFUNCTION("GOOGLETRANSLATE($B428,""en"",U$3)"),"تسجيل")</f>
        <v>تسجيل</v>
      </c>
      <c r="V428" s="11" t="str">
        <f ca="1">IFERROR(__xludf.DUMMYFUNCTION("GOOGLETRANSLATE($B428,""en"",V$3)"),"Logowanie")</f>
        <v>Logowanie</v>
      </c>
      <c r="W428" s="11" t="str">
        <f ca="1">IFERROR(__xludf.DUMMYFUNCTION("GOOGLETRANSLATE($B428,""en"",W$3)"),"логирование")</f>
        <v>логирование</v>
      </c>
      <c r="X428" s="11" t="str">
        <f ca="1">IFERROR(__xludf.DUMMYFUNCTION("GOOGLETRANSLATE($B428,""en"",X$3)"),"Inicio sesión")</f>
        <v>Inicio sesión</v>
      </c>
    </row>
    <row r="429" spans="1:26" ht="32.25" customHeight="1" x14ac:dyDescent="0.2">
      <c r="A429" s="17" t="s">
        <v>964</v>
      </c>
      <c r="B429" s="17" t="s">
        <v>965</v>
      </c>
      <c r="C429" s="21" t="str">
        <f ca="1">IFERROR(__xludf.DUMMYFUNCTION("GOOGLETRANSLATE($B429,""en"",C$3)"),"Loopback-Test fehlgeschlagen. Web-Adresse nicht reagieren.")</f>
        <v>Loopback-Test fehlgeschlagen. Web-Adresse nicht reagieren.</v>
      </c>
      <c r="D429" s="21" t="str">
        <f ca="1">IFERROR(__xludf.DUMMYFUNCTION("GOOGLETRANSLATE($B429,""en"",D$3)"),"Loopback Testet misslyckades. Webbadress svarade inte.")</f>
        <v>Loopback Testet misslyckades. Webbadress svarade inte.</v>
      </c>
      <c r="E429" s="21" t="str">
        <f ca="1">IFERROR(__xludf.DUMMYFUNCTION("GOOGLETRANSLATE($B429,""en"",E$3)"),"Teste de circuito fechado Falha. endereço da Web não respondeu.")</f>
        <v>Teste de circuito fechado Falha. endereço da Web não respondeu.</v>
      </c>
      <c r="F429" s="21" t="str">
        <f ca="1">IFERROR(__xludf.DUMMYFUNCTION("GOOGLETRANSLATE($B429,""en"",F$3)"),"Teste de circuito fechado Falha. endereço da Web não respondeu.")</f>
        <v>Teste de circuito fechado Falha. endereço da Web não respondeu.</v>
      </c>
      <c r="G429" s="21" t="str">
        <f ca="1">IFERROR(__xludf.DUMMYFUNCTION("GOOGLETRANSLATE($B429,""en"",G$3)"),"Echec du test réalimentation. Adresse Web n'a pas répondu.")</f>
        <v>Echec du test réalimentation. Adresse Web n'a pas répondu.</v>
      </c>
      <c r="H429" s="21" t="str">
        <f ca="1">IFERROR(__xludf.DUMMYFUNCTION("GOOGLETRANSLATE($B429,""en"",H$3)"),"Loopback probak huts egin du. Web helbidea ez zuen erantzuteko.")</f>
        <v>Loopback probak huts egin du. Web helbidea ez zuen erantzuteko.</v>
      </c>
      <c r="I429" s="21" t="str">
        <f ca="1">IFERROR(__xludf.DUMMYFUNCTION("GOOGLETRANSLATE($B429,""en"",I$3)"),"Ha fallat la prova de bucle de retorn. adreça web no va respondre.")</f>
        <v>Ha fallat la prova de bucle de retorn. adreça web no va respondre.</v>
      </c>
      <c r="J429" s="21" t="str">
        <f ca="1">IFERROR(__xludf.DUMMYFUNCTION("GOOGLETRANSLATE($B429,""en"",J$3)"),"Testovací smyčka se nezdařilo. Webová adresa neodpověděl.")</f>
        <v>Testovací smyčka se nezdařilo. Webová adresa neodpověděl.</v>
      </c>
      <c r="K429" s="21" t="str">
        <f ca="1">IFERROR(__xludf.DUMMYFUNCTION("GOOGLETRANSLATE($B429,""en"",K$3)"),"环回测试失败。网址没有回应。")</f>
        <v>环回测试失败。网址没有回应。</v>
      </c>
      <c r="L429" s="21" t="str">
        <f ca="1">IFERROR(__xludf.DUMMYFUNCTION("GOOGLETRANSLATE($B429,""en"",L$3)"),"環回測試失敗。網址沒有回應。")</f>
        <v>環回測試失敗。網址沒有回應。</v>
      </c>
      <c r="M429" s="21" t="str">
        <f ca="1">IFERROR(__xludf.DUMMYFUNCTION("GOOGLETRANSLATE($B429,""en"",M$3)"),"Loopback Test mislukt. Webadres reageerde niet.")</f>
        <v>Loopback Test mislukt. Webadres reageerde niet.</v>
      </c>
      <c r="N429" s="21" t="str">
        <f ca="1">IFERROR(__xludf.DUMMYFUNCTION("GOOGLETRANSLATE($B429,""en"",N$3)"),"Loopback Test απέτυχε. Διεύθυνση στο Διαδίκτυο δεν απάντησε.")</f>
        <v>Loopback Test απέτυχε. Διεύθυνση στο Διαδίκτυο δεν απάντησε.</v>
      </c>
      <c r="O429" s="21" t="str">
        <f ca="1">IFERROR(__xludf.DUMMYFUNCTION("GOOGLETRANSLATE($B429,""en"",O$3)"),"Silmukkatesti epäonnistui. Verkko-osoite ei vastannut.")</f>
        <v>Silmukkatesti epäonnistui. Verkko-osoite ei vastannut.</v>
      </c>
      <c r="P429" s="21" t="str">
        <f ca="1">IFERROR(__xludf.DUMMYFUNCTION("GOOGLETRANSLATE($B429,""en"",P$3)"),"Loopback Tástáil Theip. Ní raibh Seoladh gréasáin freagra a thabhairt.")</f>
        <v>Loopback Tástáil Theip. Ní raibh Seoladh gréasáin freagra a thabhairt.</v>
      </c>
      <c r="Q429" s="21" t="str">
        <f ca="1">IFERROR(__xludf.DUMMYFUNCTION("GOOGLETRANSLATE($B429,""en"",Q$3)"),"آزمون پرونده ناموفق بود. آدرس وب پاسخ نمی دهند.")</f>
        <v>آزمون پرونده ناموفق بود. آدرس وب پاسخ نمی دهند.</v>
      </c>
      <c r="R429" s="21" t="str">
        <f ca="1">IFERROR(__xludf.DUMMYFUNCTION("GOOGLETRANSLATE($B429,""en"",R$3)"),"בדיקת Loopback נכשלה. כתובת אינטרנט לא הגיב.")</f>
        <v>בדיקת Loopback נכשלה. כתובת אינטרנט לא הגיב.</v>
      </c>
      <c r="S429" s="21" t="str">
        <f ca="1">IFERROR(__xludf.DUMMYFUNCTION("GOOGLETRANSLATE($B429,""en"",S$3)"),"Sýndardisk Test mistókst. Veffang ekki svara.")</f>
        <v>Sýndardisk Test mistókst. Veffang ekki svara.</v>
      </c>
      <c r="T429" s="21" t="str">
        <f ca="1">IFERROR(__xludf.DUMMYFUNCTION("GOOGLETRANSLATE($B429,""en"",T$3)"),"Loopback Test mislyktes. Web-adressen svarte ikke.")</f>
        <v>Loopback Test mislyktes. Web-adressen svarte ikke.</v>
      </c>
      <c r="U429" s="21" t="str">
        <f ca="1">IFERROR(__xludf.DUMMYFUNCTION("GOOGLETRANSLATE($B429,""en"",U$3)"),"الاسترجاع اختبار فشل. لم عنوان ويب لا يستجيب.")</f>
        <v>الاسترجاع اختبار فشل. لم عنوان ويب لا يستجيب.</v>
      </c>
      <c r="V429" s="21" t="str">
        <f ca="1">IFERROR(__xludf.DUMMYFUNCTION("GOOGLETRANSLATE($B429,""en"",V$3)"),"Sprzężenie zwrotne Test Failed. Adres strony internetowej nie odpowiedział.")</f>
        <v>Sprzężenie zwrotne Test Failed. Adres strony internetowej nie odpowiedział.</v>
      </c>
      <c r="W429" s="21" t="str">
        <f ca="1">IFERROR(__xludf.DUMMYFUNCTION("GOOGLETRANSLATE($B429,""en"",W$3)"),"Ошибка Loopback Test. Веб-адрес не отвечает.")</f>
        <v>Ошибка Loopback Test. Веб-адрес не отвечает.</v>
      </c>
      <c r="X429" s="21" t="str">
        <f ca="1">IFERROR(__xludf.DUMMYFUNCTION("GOOGLETRANSLATE($B429,""en"",X$3)"),"Falló la prueba de bucle de retorno. dirección web no respondió.")</f>
        <v>Falló la prueba de bucle de retorno. dirección web no respondió.</v>
      </c>
      <c r="Y429" s="21"/>
      <c r="Z429" s="21"/>
    </row>
    <row r="430" spans="1:26" ht="32.25" customHeight="1" x14ac:dyDescent="0.2">
      <c r="A430" s="17" t="s">
        <v>966</v>
      </c>
      <c r="B430" s="17" t="s">
        <v>967</v>
      </c>
      <c r="C430" s="21" t="str">
        <f ca="1">IFERROR(__xludf.DUMMYFUNCTION("GOOGLETRANSLATE($B430,""en"",C$3)"),"Loopback-Hilfe")</f>
        <v>Loopback-Hilfe</v>
      </c>
      <c r="D430" s="21" t="str">
        <f ca="1">IFERROR(__xludf.DUMMYFUNCTION("GOOGLETRANSLATE($B430,""en"",D$3)"),"Loopback Hjälp")</f>
        <v>Loopback Hjälp</v>
      </c>
      <c r="E430" s="21" t="str">
        <f ca="1">IFERROR(__xludf.DUMMYFUNCTION("GOOGLETRANSLATE($B430,""en"",E$3)"),"loopback Ajuda")</f>
        <v>loopback Ajuda</v>
      </c>
      <c r="F430" s="21" t="str">
        <f ca="1">IFERROR(__xludf.DUMMYFUNCTION("GOOGLETRANSLATE($B430,""en"",F$3)"),"loopback Ajuda")</f>
        <v>loopback Ajuda</v>
      </c>
      <c r="G430" s="21" t="str">
        <f ca="1">IFERROR(__xludf.DUMMYFUNCTION("GOOGLETRANSLATE($B430,""en"",G$3)"),"Aide réalimentation")</f>
        <v>Aide réalimentation</v>
      </c>
      <c r="H430" s="21" t="str">
        <f ca="1">IFERROR(__xludf.DUMMYFUNCTION("GOOGLETRANSLATE($B430,""en"",H$3)"),"loopback Laguntza")</f>
        <v>loopback Laguntza</v>
      </c>
      <c r="I430" s="21" t="str">
        <f ca="1">IFERROR(__xludf.DUMMYFUNCTION("GOOGLETRANSLATE($B430,""en"",I$3)"),"Ajuda de bucle invertit")</f>
        <v>Ajuda de bucle invertit</v>
      </c>
      <c r="J430" s="21" t="str">
        <f ca="1">IFERROR(__xludf.DUMMYFUNCTION("GOOGLETRANSLATE($B430,""en"",J$3)"),"loopback Help")</f>
        <v>loopback Help</v>
      </c>
      <c r="K430" s="21" t="str">
        <f ca="1">IFERROR(__xludf.DUMMYFUNCTION("GOOGLETRANSLATE($B430,""en"",K$3)"),"回环帮助")</f>
        <v>回环帮助</v>
      </c>
      <c r="L430" s="21" t="str">
        <f ca="1">IFERROR(__xludf.DUMMYFUNCTION("GOOGLETRANSLATE($B430,""en"",L$3)"),"回環幫助")</f>
        <v>回環幫助</v>
      </c>
      <c r="M430" s="21" t="str">
        <f ca="1">IFERROR(__xludf.DUMMYFUNCTION("GOOGLETRANSLATE($B430,""en"",M$3)"),"loopback Help")</f>
        <v>loopback Help</v>
      </c>
      <c r="N430" s="21" t="str">
        <f ca="1">IFERROR(__xludf.DUMMYFUNCTION("GOOGLETRANSLATE($B430,""en"",N$3)"),"loopback Βοήθεια")</f>
        <v>loopback Βοήθεια</v>
      </c>
      <c r="O430" s="21" t="str">
        <f ca="1">IFERROR(__xludf.DUMMYFUNCTION("GOOGLETRANSLATE($B430,""en"",O$3)"),"loopback Ohje")</f>
        <v>loopback Ohje</v>
      </c>
      <c r="P430" s="21" t="str">
        <f ca="1">IFERROR(__xludf.DUMMYFUNCTION("GOOGLETRANSLATE($B430,""en"",P$3)"),"loopback Cabhair")</f>
        <v>loopback Cabhair</v>
      </c>
      <c r="Q430" s="21" t="str">
        <f ca="1">IFERROR(__xludf.DUMMYFUNCTION("GOOGLETRANSLATE($B430,""en"",Q$3)"),"دور برگردان راهنما")</f>
        <v>دور برگردان راهنما</v>
      </c>
      <c r="R430" s="21" t="str">
        <f ca="1">IFERROR(__xludf.DUMMYFUNCTION("GOOGLETRANSLATE($B430,""en"",R$3)"),"Loopback עזרה")</f>
        <v>Loopback עזרה</v>
      </c>
      <c r="S430" s="21" t="str">
        <f ca="1">IFERROR(__xludf.DUMMYFUNCTION("GOOGLETRANSLATE($B430,""en"",S$3)"),"sýndardiskur Hjálp")</f>
        <v>sýndardiskur Hjálp</v>
      </c>
      <c r="T430" s="21" t="str">
        <f ca="1">IFERROR(__xludf.DUMMYFUNCTION("GOOGLETRANSLATE($B430,""en"",T$3)"),"Loopback Hjelp")</f>
        <v>Loopback Hjelp</v>
      </c>
      <c r="U430" s="21" t="str">
        <f ca="1">IFERROR(__xludf.DUMMYFUNCTION("GOOGLETRANSLATE($B430,""en"",U$3)"),"الاسترجاع مساعدة")</f>
        <v>الاسترجاع مساعدة</v>
      </c>
      <c r="V430" s="21" t="str">
        <f ca="1">IFERROR(__xludf.DUMMYFUNCTION("GOOGLETRANSLATE($B430,""en"",V$3)"),"Sprzężenie zwrotne Pomoc")</f>
        <v>Sprzężenie zwrotne Pomoc</v>
      </c>
      <c r="W430" s="21" t="str">
        <f ca="1">IFERROR(__xludf.DUMMYFUNCTION("GOOGLETRANSLATE($B430,""en"",W$3)"),"Loopback Помощь")</f>
        <v>Loopback Помощь</v>
      </c>
      <c r="X430" s="21" t="str">
        <f ca="1">IFERROR(__xludf.DUMMYFUNCTION("GOOGLETRANSLATE($B430,""en"",X$3)"),"Ayuda de bucle invertido")</f>
        <v>Ayuda de bucle invertido</v>
      </c>
      <c r="Y430" s="21"/>
      <c r="Z430" s="21"/>
    </row>
    <row r="431" spans="1:26" ht="32.25" customHeight="1" x14ac:dyDescent="0.2">
      <c r="A431" s="17" t="s">
        <v>968</v>
      </c>
      <c r="B431" s="17" t="s">
        <v>969</v>
      </c>
      <c r="C431" s="21" t="str">
        <f ca="1">IFERROR(__xludf.DUMMYFUNCTION("GOOGLETRANSLATE($B431,""en"",C$3)"),"Loopback Test bestanden für Port")</f>
        <v>Loopback Test bestanden für Port</v>
      </c>
      <c r="D431" s="21" t="str">
        <f ca="1">IFERROR(__xludf.DUMMYFUNCTION("GOOGLETRANSLATE($B431,""en"",D$3)"),"Loopback Test Godkänd för Port")</f>
        <v>Loopback Test Godkänd för Port</v>
      </c>
      <c r="E431" s="21" t="str">
        <f ca="1">IFERROR(__xludf.DUMMYFUNCTION("GOOGLETRANSLATE($B431,""en"",E$3)"),"Loopback teste passou por Porto")</f>
        <v>Loopback teste passou por Porto</v>
      </c>
      <c r="F431" s="21" t="str">
        <f ca="1">IFERROR(__xludf.DUMMYFUNCTION("GOOGLETRANSLATE($B431,""en"",F$3)"),"Loopback teste passou por Porto")</f>
        <v>Loopback teste passou por Porto</v>
      </c>
      <c r="G431" s="21" t="str">
        <f ca="1">IFERROR(__xludf.DUMMYFUNCTION("GOOGLETRANSLATE($B431,""en"",G$3)"),"Loopback Test réussi pour Port")</f>
        <v>Loopback Test réussi pour Port</v>
      </c>
      <c r="H431" s="21" t="str">
        <f ca="1">IFERROR(__xludf.DUMMYFUNCTION("GOOGLETRANSLATE($B431,""en"",H$3)"),"Loopback Test Port for gainditu")</f>
        <v>Loopback Test Port for gainditu</v>
      </c>
      <c r="I431" s="21" t="str">
        <f ca="1">IFERROR(__xludf.DUMMYFUNCTION("GOOGLETRANSLATE($B431,""en"",I$3)"),"Prova de bucle passat per Port")</f>
        <v>Prova de bucle passat per Port</v>
      </c>
      <c r="J431" s="21" t="str">
        <f ca="1">IFERROR(__xludf.DUMMYFUNCTION("GOOGLETRANSLATE($B431,""en"",J$3)"),"Testovací smyčka Uvádění na přístav")</f>
        <v>Testovací smyčka Uvádění na přístav</v>
      </c>
      <c r="K431" s="21" t="str">
        <f ca="1">IFERROR(__xludf.DUMMYFUNCTION("GOOGLETRANSLATE($B431,""en"",K$3)"),"环回测试通过港口")</f>
        <v>环回测试通过港口</v>
      </c>
      <c r="L431" s="21" t="str">
        <f ca="1">IFERROR(__xludf.DUMMYFUNCTION("GOOGLETRANSLATE($B431,""en"",L$3)"),"環回測試通過港口")</f>
        <v>環回測試通過港口</v>
      </c>
      <c r="M431" s="21" t="str">
        <f ca="1">IFERROR(__xludf.DUMMYFUNCTION("GOOGLETRANSLATE($B431,""en"",M$3)"),"Loopback Test Geslaagd voor Port")</f>
        <v>Loopback Test Geslaagd voor Port</v>
      </c>
      <c r="N431" s="21" t="str">
        <f ca="1">IFERROR(__xludf.DUMMYFUNCTION("GOOGLETRANSLATE($B431,""en"",N$3)"),"Loopback Test Πέρασε για το λιμάνι")</f>
        <v>Loopback Test Πέρασε για το λιμάνι</v>
      </c>
      <c r="O431" s="21" t="str">
        <f ca="1">IFERROR(__xludf.DUMMYFUNCTION("GOOGLETRANSLATE($B431,""en"",O$3)"),"Silmukkatesti Hyväksytty Port")</f>
        <v>Silmukkatesti Hyväksytty Port</v>
      </c>
      <c r="P431" s="21" t="str">
        <f ca="1">IFERROR(__xludf.DUMMYFUNCTION("GOOGLETRANSLATE($B431,""en"",P$3)"),"Loopback Tástáil Passed do Port")</f>
        <v>Loopback Tástáil Passed do Port</v>
      </c>
      <c r="Q431" s="21" t="str">
        <f ca="1">IFERROR(__xludf.DUMMYFUNCTION("GOOGLETRANSLATE($B431,""en"",Q$3)"),"آزمون پرونده گذشت برای بندر")</f>
        <v>آزمون پرونده گذشت برای بندر</v>
      </c>
      <c r="R431" s="21" t="str">
        <f ca="1">IFERROR(__xludf.DUMMYFUNCTION("GOOGLETRANSLATE($B431,""en"",R$3)"),"Loopback הבדיקה עברה על נמל")</f>
        <v>Loopback הבדיקה עברה על נמל</v>
      </c>
      <c r="S431" s="21" t="str">
        <f ca="1">IFERROR(__xludf.DUMMYFUNCTION("GOOGLETRANSLATE($B431,""en"",S$3)"),"Sýndardiskur Test Samþykkt um höfn")</f>
        <v>Sýndardiskur Test Samþykkt um höfn</v>
      </c>
      <c r="T431" s="21" t="str">
        <f ca="1">IFERROR(__xludf.DUMMYFUNCTION("GOOGLETRANSLATE($B431,""en"",T$3)"),"Loopback Test Bestått for Port")</f>
        <v>Loopback Test Bestått for Port</v>
      </c>
      <c r="U431" s="21" t="str">
        <f ca="1">IFERROR(__xludf.DUMMYFUNCTION("GOOGLETRANSLATE($B431,""en"",U$3)"),"استرجاع تجارب مرت لميناء")</f>
        <v>استرجاع تجارب مرت لميناء</v>
      </c>
      <c r="V431" s="21" t="str">
        <f ca="1">IFERROR(__xludf.DUMMYFUNCTION("GOOGLETRANSLATE($B431,""en"",V$3)"),"Loopback test zaliczony do portu")</f>
        <v>Loopback test zaliczony do portu</v>
      </c>
      <c r="W431" s="21" t="str">
        <f ca="1">IFERROR(__xludf.DUMMYFUNCTION("GOOGLETRANSLATE($B431,""en"",W$3)"),"Loopback Test Зачет для порта")</f>
        <v>Loopback Test Зачет для порта</v>
      </c>
      <c r="X431" s="21" t="str">
        <f ca="1">IFERROR(__xludf.DUMMYFUNCTION("GOOGLETRANSLATE($B431,""en"",X$3)"),"Prueba de bucle pasado por Puerto")</f>
        <v>Prueba de bucle pasado por Puerto</v>
      </c>
      <c r="Y431" s="21"/>
      <c r="Z431" s="21"/>
    </row>
    <row r="432" spans="1:26" ht="32.25" customHeight="1" x14ac:dyDescent="0.2">
      <c r="A432" s="17" t="s">
        <v>970</v>
      </c>
      <c r="B432" s="17" t="s">
        <v>971</v>
      </c>
      <c r="C432" s="21" t="str">
        <f ca="1">IFERROR(__xludf.DUMMYFUNCTION("GOOGLETRANSLATE($B432,""en"",C$3)"),"Niedrige und hohe Wassermarken in Metern")</f>
        <v>Niedrige und hohe Wassermarken in Metern</v>
      </c>
      <c r="D432" s="21" t="str">
        <f ca="1">IFERROR(__xludf.DUMMYFUNCTION("GOOGLETRANSLATE($B432,""en"",D$3)"),"Låg och hög vattentecken i meter")</f>
        <v>Låg och hög vattentecken i meter</v>
      </c>
      <c r="E432" s="21" t="str">
        <f ca="1">IFERROR(__xludf.DUMMYFUNCTION("GOOGLETRANSLATE($B432,""en"",E$3)"),"marcas de baixo e alto de água em metros")</f>
        <v>marcas de baixo e alto de água em metros</v>
      </c>
      <c r="F432" s="21" t="str">
        <f ca="1">IFERROR(__xludf.DUMMYFUNCTION("GOOGLETRANSLATE($B432,""en"",F$3)"),"marcas de baixo e alto de água em metros")</f>
        <v>marcas de baixo e alto de água em metros</v>
      </c>
      <c r="G432" s="21" t="str">
        <f ca="1">IFERROR(__xludf.DUMMYFUNCTION("GOOGLETRANSLATE($B432,""en"",G$3)"),"traces d'eau basse et haute en mètres")</f>
        <v>traces d'eau basse et haute en mètres</v>
      </c>
      <c r="H432" s="21" t="str">
        <f ca="1">IFERROR(__xludf.DUMMYFUNCTION("GOOGLETRANSLATE($B432,""en"",H$3)"),"Baxua eta altua ur metrotan markak")</f>
        <v>Baxua eta altua ur metrotan markak</v>
      </c>
      <c r="I432" s="21" t="str">
        <f ca="1">IFERROR(__xludf.DUMMYFUNCTION("GOOGLETRANSLATE($B432,""en"",I$3)"),"marques de baix i alt d'aigua en metres")</f>
        <v>marques de baix i alt d'aigua en metres</v>
      </c>
      <c r="J432" s="21" t="str">
        <f ca="1">IFERROR(__xludf.DUMMYFUNCTION("GOOGLETRANSLATE($B432,""en"",J$3)"),"Nízké a vysoké známky vody v metrech")</f>
        <v>Nízké a vysoké známky vody v metrech</v>
      </c>
      <c r="K432" s="21" t="str">
        <f ca="1">IFERROR(__xludf.DUMMYFUNCTION("GOOGLETRANSLATE($B432,""en"",K$3)"),"在米低和高的水痕")</f>
        <v>在米低和高的水痕</v>
      </c>
      <c r="L432" s="21" t="str">
        <f ca="1">IFERROR(__xludf.DUMMYFUNCTION("GOOGLETRANSLATE($B432,""en"",L$3)"),"在米低和高的水痕")</f>
        <v>在米低和高的水痕</v>
      </c>
      <c r="M432" s="21" t="str">
        <f ca="1">IFERROR(__xludf.DUMMYFUNCTION("GOOGLETRANSLATE($B432,""en"",M$3)"),"Lage en hoge water merken in meters")</f>
        <v>Lage en hoge water merken in meters</v>
      </c>
      <c r="N432" s="21" t="str">
        <f ca="1">IFERROR(__xludf.DUMMYFUNCTION("GOOGLETRANSLATE($B432,""en"",N$3)"),"σήματα χαμηλών και υψηλών νερού σε μέτρα")</f>
        <v>σήματα χαμηλών και υψηλών νερού σε μέτρα</v>
      </c>
      <c r="O432" s="21" t="str">
        <f ca="1">IFERROR(__xludf.DUMMYFUNCTION("GOOGLETRANSLATE($B432,""en"",O$3)"),"Matala ja korkea vesijälkiä metreinä")</f>
        <v>Matala ja korkea vesijälkiä metreinä</v>
      </c>
      <c r="P432" s="21" t="str">
        <f ca="1">IFERROR(__xludf.DUMMYFUNCTION("GOOGLETRANSLATE($B432,""en"",P$3)"),"marcanna uisce Low Agus ard i méadair")</f>
        <v>marcanna uisce Low Agus ard i méadair</v>
      </c>
      <c r="Q432" s="21" t="str">
        <f ca="1">IFERROR(__xludf.DUMMYFUNCTION("GOOGLETRANSLATE($B432,""en"",Q$3)"),"علائم کم و زیاد آب در متر")</f>
        <v>علائم کم و زیاد آب در متر</v>
      </c>
      <c r="R432" s="21" t="str">
        <f ca="1">IFERROR(__xludf.DUMMYFUNCTION("GOOGLETRANSLATE($B432,""en"",R$3)"),"סימני מים נמוכים וגבוהים במ'")</f>
        <v>סימני מים נמוכים וגבוהים במ'</v>
      </c>
      <c r="S432" s="21" t="str">
        <f ca="1">IFERROR(__xludf.DUMMYFUNCTION("GOOGLETRANSLATE($B432,""en"",S$3)"),"Lág og há vatn skytta í metrum")</f>
        <v>Lág og há vatn skytta í metrum</v>
      </c>
      <c r="T432" s="21" t="str">
        <f ca="1">IFERROR(__xludf.DUMMYFUNCTION("GOOGLETRANSLATE($B432,""en"",T$3)"),"Lav og høy vann merker i meter")</f>
        <v>Lav og høy vann merker i meter</v>
      </c>
      <c r="U432" s="21" t="str">
        <f ca="1">IFERROR(__xludf.DUMMYFUNCTION("GOOGLETRANSLATE($B432,""en"",U$3)"),"علامات المياه المنخفضة والعالية في متر")</f>
        <v>علامات المياه المنخفضة والعالية في متر</v>
      </c>
      <c r="V432" s="21" t="str">
        <f ca="1">IFERROR(__xludf.DUMMYFUNCTION("GOOGLETRANSLATE($B432,""en"",V$3)"),"Niskie i wysokie znaki wodne w metrach")</f>
        <v>Niskie i wysokie znaki wodne w metrach</v>
      </c>
      <c r="W432" s="21" t="str">
        <f ca="1">IFERROR(__xludf.DUMMYFUNCTION("GOOGLETRANSLATE($B432,""en"",W$3)"),"Низкие и высокие оценки воды в метрах")</f>
        <v>Низкие и высокие оценки воды в метрах</v>
      </c>
      <c r="X432" s="21" t="str">
        <f ca="1">IFERROR(__xludf.DUMMYFUNCTION("GOOGLETRANSLATE($B432,""en"",X$3)"),"marcas de bajo y alto de agua en metros")</f>
        <v>marcas de bajo y alto de agua en metros</v>
      </c>
      <c r="Y432" s="21"/>
      <c r="Z432" s="21"/>
    </row>
    <row r="433" spans="1:26" ht="32.25" customHeight="1" x14ac:dyDescent="0.2">
      <c r="A433" s="17" t="s">
        <v>972</v>
      </c>
      <c r="B433" s="17" t="s">
        <v>973</v>
      </c>
      <c r="C433" s="21" t="str">
        <f ca="1">IFERROR(__xludf.DUMMYFUNCTION("GOOGLETRANSLATE($B433,""en"",C$3)"),"Niedriger Wasserstand")</f>
        <v>Niedriger Wasserstand</v>
      </c>
      <c r="D433" s="21" t="str">
        <f ca="1">IFERROR(__xludf.DUMMYFUNCTION("GOOGLETRANSLATE($B433,""en"",D$3)"),"Låg vattennivå")</f>
        <v>Låg vattennivå</v>
      </c>
      <c r="E433" s="21" t="str">
        <f ca="1">IFERROR(__xludf.DUMMYFUNCTION("GOOGLETRANSLATE($B433,""en"",E$3)"),"Baixo nível de água")</f>
        <v>Baixo nível de água</v>
      </c>
      <c r="F433" s="21" t="str">
        <f ca="1">IFERROR(__xludf.DUMMYFUNCTION("GOOGLETRANSLATE($B433,""en"",F$3)"),"Baixo nível de água")</f>
        <v>Baixo nível de água</v>
      </c>
      <c r="G433" s="21" t="str">
        <f ca="1">IFERROR(__xludf.DUMMYFUNCTION("GOOGLETRANSLATE($B433,""en"",G$3)"),"Faible niveau d'eau")</f>
        <v>Faible niveau d'eau</v>
      </c>
      <c r="H433" s="21" t="str">
        <f ca="1">IFERROR(__xludf.DUMMYFUNCTION("GOOGLETRANSLATE($B433,""en"",H$3)"),"Behe Ura Maila")</f>
        <v>Behe Ura Maila</v>
      </c>
      <c r="I433" s="21" t="str">
        <f ca="1">IFERROR(__xludf.DUMMYFUNCTION("GOOGLETRANSLATE($B433,""en"",I$3)"),"Nivell d'aigua sota")</f>
        <v>Nivell d'aigua sota</v>
      </c>
      <c r="J433" s="21" t="str">
        <f ca="1">IFERROR(__xludf.DUMMYFUNCTION("GOOGLETRANSLATE($B433,""en"",J$3)"),"Nízká hladina vody")</f>
        <v>Nízká hladina vody</v>
      </c>
      <c r="K433" s="21" t="str">
        <f ca="1">IFERROR(__xludf.DUMMYFUNCTION("GOOGLETRANSLATE($B433,""en"",K$3)"),"低水位")</f>
        <v>低水位</v>
      </c>
      <c r="L433" s="21" t="str">
        <f ca="1">IFERROR(__xludf.DUMMYFUNCTION("GOOGLETRANSLATE($B433,""en"",L$3)"),"低水位")</f>
        <v>低水位</v>
      </c>
      <c r="M433" s="21" t="str">
        <f ca="1">IFERROR(__xludf.DUMMYFUNCTION("GOOGLETRANSLATE($B433,""en"",M$3)"),"Lage waterstand")</f>
        <v>Lage waterstand</v>
      </c>
      <c r="N433" s="21" t="str">
        <f ca="1">IFERROR(__xludf.DUMMYFUNCTION("GOOGLETRANSLATE($B433,""en"",N$3)"),"Χαμηλό επίπεδο νερού")</f>
        <v>Χαμηλό επίπεδο νερού</v>
      </c>
      <c r="O433" s="21" t="str">
        <f ca="1">IFERROR(__xludf.DUMMYFUNCTION("GOOGLETRANSLATE($B433,""en"",O$3)"),"Vettä on liian vähän")</f>
        <v>Vettä on liian vähän</v>
      </c>
      <c r="P433" s="21" t="str">
        <f ca="1">IFERROR(__xludf.DUMMYFUNCTION("GOOGLETRANSLATE($B433,""en"",P$3)"),"Low Level Uisce")</f>
        <v>Low Level Uisce</v>
      </c>
      <c r="Q433" s="21" t="str">
        <f ca="1">IFERROR(__xludf.DUMMYFUNCTION("GOOGLETRANSLATE($B433,""en"",Q$3)"),"سطح آب پایین")</f>
        <v>سطح آب پایین</v>
      </c>
      <c r="R433" s="21" t="str">
        <f ca="1">IFERROR(__xludf.DUMMYFUNCTION("GOOGLETRANSLATE($B433,""en"",R$3)"),"נמוך מפלס המים")</f>
        <v>נמוך מפלס המים</v>
      </c>
      <c r="S433" s="21" t="str">
        <f ca="1">IFERROR(__xludf.DUMMYFUNCTION("GOOGLETRANSLATE($B433,""en"",S$3)"),"Low vatn Level")</f>
        <v>Low vatn Level</v>
      </c>
      <c r="T433" s="21" t="str">
        <f ca="1">IFERROR(__xludf.DUMMYFUNCTION("GOOGLETRANSLATE($B433,""en"",T$3)"),"Lav vannstand")</f>
        <v>Lav vannstand</v>
      </c>
      <c r="U433" s="21" t="str">
        <f ca="1">IFERROR(__xludf.DUMMYFUNCTION("GOOGLETRANSLATE($B433,""en"",U$3)"),"انخفاض مستوى المياه")</f>
        <v>انخفاض مستوى المياه</v>
      </c>
      <c r="V433" s="21" t="str">
        <f ca="1">IFERROR(__xludf.DUMMYFUNCTION("GOOGLETRANSLATE($B433,""en"",V$3)"),"Niski poziom wody")</f>
        <v>Niski poziom wody</v>
      </c>
      <c r="W433" s="21" t="str">
        <f ca="1">IFERROR(__xludf.DUMMYFUNCTION("GOOGLETRANSLATE($B433,""en"",W$3)"),"Низкий уровень воды")</f>
        <v>Низкий уровень воды</v>
      </c>
      <c r="X433" s="21" t="str">
        <f ca="1">IFERROR(__xludf.DUMMYFUNCTION("GOOGLETRANSLATE($B433,""en"",X$3)"),"Nivel de agua bajo")</f>
        <v>Nivel de agua bajo</v>
      </c>
      <c r="Y433" s="21"/>
      <c r="Z433" s="21"/>
    </row>
    <row r="434" spans="1:26" ht="32.25" customHeight="1" x14ac:dyDescent="0.2">
      <c r="A434" s="17" t="s">
        <v>974</v>
      </c>
      <c r="B434" s="17" t="s">
        <v>975</v>
      </c>
      <c r="C434" s="21" t="str">
        <f ca="1">IFERROR(__xludf.DUMMYFUNCTION("GOOGLETRANSLATE($B434,""en"",C$3)"),"LSL-Skripte können nicht andere LAN-PCs erreichen. Wenn Sie diese Option aktivieren, können sie Ports auf jedem PC in Ihrem LAN zugreifen. Das ist gefährlich!")</f>
        <v>LSL-Skripte können nicht andere LAN-PCs erreichen. Wenn Sie diese Option aktivieren, können sie Ports auf jedem PC in Ihrem LAN zugreifen. Das ist gefährlich!</v>
      </c>
      <c r="D434" s="21" t="str">
        <f ca="1">IFERROR(__xludf.DUMMYFUNCTION("GOOGLETRANSLATE($B434,""en"",D$3)"),"LSL skript kan inte nå andra LAN PC. Om du slår detta på, kan de få tillgång till portar på LAN på vilken dator som helst. Detta är farligt!")</f>
        <v>LSL skript kan inte nå andra LAN PC. Om du slår detta på, kan de få tillgång till portar på LAN på vilken dator som helst. Detta är farligt!</v>
      </c>
      <c r="E434" s="21" t="str">
        <f ca="1">IFERROR(__xludf.DUMMYFUNCTION("GOOGLETRANSLATE($B434,""en"",E$3)"),"scripts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F434" s="21" t="str">
        <f ca="1">IFERROR(__xludf.DUMMYFUNCTION("GOOGLETRANSLATE($B434,""en"",F$3)"),"scripts de LSL não pode alcançar outra LAN PC. Se você ativar isso, eles podem acessar portas no seu LAN em qualquer PC. Isso é perigoso!")</f>
        <v>scripts de LSL não pode alcançar outra LAN PC. Se você ativar isso, eles podem acessar portas no seu LAN em qualquer PC. Isso é perigoso!</v>
      </c>
      <c r="G434" s="21" t="str">
        <f ca="1">IFERROR(__xludf.DUMMYFUNCTION("GOOGLETRANSLATE($B434,""en"",G$3)"),"scripts LSL ne peuvent pas atteindre d'autres LAN PC. Si vous activez cette, ils peuvent accéder aux ports sur votre réseau local sur un PC. C'est dangereux!")</f>
        <v>scripts LSL ne peuvent pas atteindre d'autres LAN PC. Si vous activez cette, ils peuvent accéder aux ports sur votre réseau local sur un PC. C'est dangereux!</v>
      </c>
      <c r="H434" s="21" t="str">
        <f ca="1">IFERROR(__xludf.DUMMYFUNCTION("GOOGLETRANSLATE($B434,""en"",H$3)"),"LSL gidoiak ezin beste LAN PC iristeko. hau aktibatuz gero, portu sartu ahal izango dute zure LAN edozein PC. Hau da Dangerous!")</f>
        <v>LSL gidoiak ezin beste LAN PC iristeko. hau aktibatuz gero, portu sartu ahal izango dute zure LAN edozein PC. Hau da Dangerous!</v>
      </c>
      <c r="I434" s="21" t="str">
        <f ca="1">IFERROR(__xludf.DUMMYFUNCTION("GOOGLETRANSLATE($B434,""en"",I$3)"),"scripts de LSL no poden arribar a una altra LAN PC. Si s'activa aquesta opció, es pot accedir als ports de la LAN en qualsevol PC. Això és perillós!")</f>
        <v>scripts de LSL no poden arribar a una altra LAN PC. Si s'activa aquesta opció, es pot accedir als ports de la LAN en qualsevol PC. Això és perillós!</v>
      </c>
      <c r="J434" s="21" t="str">
        <f ca="1">IFERROR(__xludf.DUMMYFUNCTION("GOOGLETRANSLATE($B434,""en"",J$3)"),"LSL skripty nemohou dosáhnout jiný LAN PC. Máte-li zapnutou, mohou přistupovat k porty v síti LAN na jakémkoli PC. To je nebezpečné!")</f>
        <v>LSL skripty nemohou dosáhnout jiný LAN PC. Máte-li zapnutou, mohou přistupovat k porty v síti LAN na jakémkoli PC. To je nebezpečné!</v>
      </c>
      <c r="K434" s="21" t="str">
        <f ca="1">IFERROR(__xludf.DUMMYFUNCTION("GOOGLETRANSLATE($B434,""en"",K$3)"),"LSL脚本无法到达其他局域网PC的。如果你把这个，他们可以在任何PC上访问在局域网上的端口。这是很危险的！")</f>
        <v>LSL脚本无法到达其他局域网PC的。如果你把这个，他们可以在任何PC上访问在局域网上的端口。这是很危险的！</v>
      </c>
      <c r="L434" s="21" t="str">
        <f ca="1">IFERROR(__xludf.DUMMYFUNCTION("GOOGLETRANSLATE($B434,""en"",L$3)"),"LSL腳本無法到達其他局域網PC的。如果你把這個，他們可以在任何PC上訪問在局域網上的端口。這是很危險的！")</f>
        <v>LSL腳本無法到達其他局域網PC的。如果你把這個，他們可以在任何PC上訪問在局域網上的端口。這是很危險的！</v>
      </c>
      <c r="M434" s="21" t="str">
        <f ca="1">IFERROR(__xludf.DUMMYFUNCTION("GOOGLETRANSLATE($B434,""en"",M$3)"),"LSL scripts niet kunnen bereiken andere LAN-PC's. Als u dit inschakelt, hebben ze toegang tot poorten op uw netwerk op elke pc. Dit is gevaarlijk!")</f>
        <v>LSL scripts niet kunnen bereiken andere LAN-PC's. Als u dit inschakelt, hebben ze toegang tot poorten op uw netwerk op elke pc. Dit is gevaarlijk!</v>
      </c>
      <c r="N434" s="21" t="str">
        <f ca="1">IFERROR(__xludf.DUMMYFUNCTION("GOOGLETRANSLATE($B434,""en"",N$3)"),"σενάρια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f>
        <v>σενάρια LSL δεν μπορούν να φθάσουν σε άλλα LAN υπολογιστές. Αν το ενεργοποιήσετε, μπορούν να έχουν πρόσβαση σε θύρες στο τοπικό σας δίκτυο σε οποιοδήποτε PC. Αυτό είναι επικίνδυνο!</v>
      </c>
      <c r="O434" s="21" t="str">
        <f ca="1">IFERROR(__xludf.DUMMYFUNCTION("GOOGLETRANSLATE($B434,""en"",O$3)"),"LSL skriptejä voi päästä muihin lähiverkon PC: n. Jos otat tämän päälle, he voivat käyttää portteja lähiverkon millä tahansa tietokoneella. Tämä on vaarallista!")</f>
        <v>LSL skriptejä voi päästä muihin lähiverkon PC: n. Jos otat tämän päälle, he voivat käyttää portteja lähiverkon millä tahansa tietokoneella. Tämä on vaarallista!</v>
      </c>
      <c r="P434" s="21" t="str">
        <f ca="1">IFERROR(__xludf.DUMMYFUNCTION("GOOGLETRANSLATE($B434,""en"",P$3)"),"Ní féidir le scripteanna LSL bhaint LAN eile PCanna. Má tá tú é seo a lasadh, is féidir leo teacht calafoirt ar do LAN ar aon ríomhaire. Tá sé seo Contúirteacha!")</f>
        <v>Ní féidir le scripteanna LSL bhaint LAN eile PCanna. Má tá tú é seo a lasadh, is féidir leo teacht calafoirt ar do LAN ar aon ríomhaire. Tá sé seo Contúirteacha!</v>
      </c>
      <c r="Q434" s="21" t="str">
        <f ca="1">IFERROR(__xludf.DUMMYFUNCTION("GOOGLETRANSLATE($B434,""en"",Q$3)"),"اسکریپت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f>
        <v>اسکریپت LSL نمی تواند برسد دیگر کامپیوتر های شبکه است. اگر شما این را روشن، آنها می توانند پورت در شبکه خود را بر روی هر کامپیوتر دسترسی داشته باشید. این خطرناک است!</v>
      </c>
      <c r="R434" s="21" t="str">
        <f ca="1">IFERROR(__xludf.DUMMYFUNCTION("GOOGLETRANSLATE($B434,""en"",R$3)"),"תסריטי LSL לא יכולים להגיע של LAN PC אחר. אם תפעיל את זה, הם יכולים לגשת ליציאות ברשת המקומית על כל מחשב. זה מסוכן!")</f>
        <v>תסריטי LSL לא יכולים להגיע של LAN PC אחר. אם תפעיל את זה, הם יכולים לגשת ליציאות ברשת המקומית על כל מחשב. זה מסוכן!</v>
      </c>
      <c r="S434" s="21" t="str">
        <f ca="1">IFERROR(__xludf.DUMMYFUNCTION("GOOGLETRANSLATE($B434,""en"",S$3)"),"LSL forskriftir geta ekki náð öðru LAN PC. Ef þú kveikir þetta á, að þeir geta fengið aðgang höfnum á LAN á hvaða tölvu. Þetta er hættulegt!")</f>
        <v>LSL forskriftir geta ekki náð öðru LAN PC. Ef þú kveikir þetta á, að þeir geta fengið aðgang höfnum á LAN á hvaða tölvu. Þetta er hættulegt!</v>
      </c>
      <c r="T434" s="21" t="str">
        <f ca="1">IFERROR(__xludf.DUMMYFUNCTION("GOOGLETRANSLATE($B434,""en"",T$3)"),"LSL skript kan ikke nå andre LAN PC-er. Hvis du slår denne på, kan de få tilgang porter på LAN på hvilken som helst PC. Dette er farlig!")</f>
        <v>LSL skript kan ikke nå andre LAN PC-er. Hvis du slår denne på, kan de få tilgang porter på LAN på hvilken som helst PC. Dette er farlig!</v>
      </c>
      <c r="U434" s="21" t="str">
        <f ca="1">IFERROR(__xludf.DUMMYFUNCTION("GOOGLETRANSLATE($B434,""en"",U$3)"),"مخطوطات LSL لا يمكن أن تصل إلى الآخر LAN جهاز كمبيوتر. إذا قمت بتشغيل هذا، فسيكون بإمكانهم الوصول إلى الموانئ على LAN الخاصة بك على أي جهاز كمبيوتر. هذا أمر خطير!")</f>
        <v>مخطوطات LSL لا يمكن أن تصل إلى الآخر LAN جهاز كمبيوتر. إذا قمت بتشغيل هذا، فسيكون بإمكانهم الوصول إلى الموانئ على LAN الخاصة بك على أي جهاز كمبيوتر. هذا أمر خطير!</v>
      </c>
      <c r="V434" s="21" t="str">
        <f ca="1">IFERROR(__xludf.DUMMYFUNCTION("GOOGLETRANSLATE($B434,""en"",V$3)"),"skrypty LSL nie może dotrzeć do innych sieci LAN PC. Jeśli to włączyć, mogą uzyskać dostęp do portów w sieci LAN na dowolnym komputerze. To jest niebezpieczne!")</f>
        <v>skrypty LSL nie może dotrzeć do innych sieci LAN PC. Jeśli to włączyć, mogą uzyskać dostęp do portów w sieci LAN na dowolnym komputerze. To jest niebezpieczne!</v>
      </c>
      <c r="W434" s="21" t="str">
        <f ca="1">IFERROR(__xludf.DUMMYFUNCTION("GOOGLETRANSLATE($B434,""en"",W$3)"),"LSL скрипты не могут достичь другого LAN ПК. Если вы включите это, они могут получить доступ к портам локальной сети на любом компьютере. Это опасно!")</f>
        <v>LSL скрипты не могут достичь другого LAN ПК. Если вы включите это, они могут получить доступ к портам локальной сети на любом компьютере. Это опасно!</v>
      </c>
      <c r="X434" s="21" t="str">
        <f ca="1">IFERROR(__xludf.DUMMYFUNCTION("GOOGLETRANSLATE($B434,""en"",X$3)"),"scripts de LSL no pueden llegar a otra LAN PC. Si se activa esta opción, se puede acceder a los puertos de la LAN en cualquier PC. ¡Esto es peligroso!")</f>
        <v>scripts de LSL no pueden llegar a otra LAN PC. Si se activa esta opción, se puede acceder a los puertos de la LAN en cualquier PC. ¡Esto es peligroso!</v>
      </c>
      <c r="Y434" s="21"/>
      <c r="Z434" s="21"/>
    </row>
    <row r="435" spans="1:26" ht="32.25" customHeight="1" x14ac:dyDescent="0.2">
      <c r="A435" s="10" t="s">
        <v>976</v>
      </c>
      <c r="B435" s="10" t="s">
        <v>977</v>
      </c>
      <c r="C435" s="11" t="str">
        <f ca="1">IFERROR(__xludf.DUMMYFUNCTION("GOOGLETRANSLATE($B435,""en"",C$3)"),"MAC-Adresse")</f>
        <v>MAC-Adresse</v>
      </c>
      <c r="D435" s="11" t="str">
        <f ca="1">IFERROR(__xludf.DUMMYFUNCTION("GOOGLETRANSLATE($B435,""en"",D$3)"),"MAC-adress")</f>
        <v>MAC-adress</v>
      </c>
      <c r="E435" s="11" t="str">
        <f ca="1">IFERROR(__xludf.DUMMYFUNCTION("GOOGLETRANSLATE($B435,""en"",E$3)"),"Endereço MAC")</f>
        <v>Endereço MAC</v>
      </c>
      <c r="F435" s="11" t="str">
        <f ca="1">IFERROR(__xludf.DUMMYFUNCTION("GOOGLETRANSLATE($B435,""en"",F$3)"),"Endereço MAC")</f>
        <v>Endereço MAC</v>
      </c>
      <c r="G435" s="11" t="str">
        <f ca="1">IFERROR(__xludf.DUMMYFUNCTION("GOOGLETRANSLATE($B435,""en"",G$3)"),"Adresse Mac")</f>
        <v>Adresse Mac</v>
      </c>
      <c r="H435" s="11" t="str">
        <f ca="1">IFERROR(__xludf.DUMMYFUNCTION("GOOGLETRANSLATE($B435,""en"",H$3)"),"MAC Address")</f>
        <v>MAC Address</v>
      </c>
      <c r="I435" s="11" t="str">
        <f ca="1">IFERROR(__xludf.DUMMYFUNCTION("GOOGLETRANSLATE($B435,""en"",I$3)"),"Adreça MAC")</f>
        <v>Adreça MAC</v>
      </c>
      <c r="J435" s="11" t="str">
        <f ca="1">IFERROR(__xludf.DUMMYFUNCTION("GOOGLETRANSLATE($B435,""en"",J$3)"),"MAC Address")</f>
        <v>MAC Address</v>
      </c>
      <c r="K435" s="11" t="str">
        <f ca="1">IFERROR(__xludf.DUMMYFUNCTION("GOOGLETRANSLATE($B435,""en"",K$3)"),"MAC地址")</f>
        <v>MAC地址</v>
      </c>
      <c r="L435" s="11" t="str">
        <f ca="1">IFERROR(__xludf.DUMMYFUNCTION("GOOGLETRANSLATE($B435,""en"",L$3)"),"MAC地址")</f>
        <v>MAC地址</v>
      </c>
      <c r="M435" s="11" t="str">
        <f ca="1">IFERROR(__xludf.DUMMYFUNCTION("GOOGLETRANSLATE($B435,""en"",M$3)"),"Mac adres")</f>
        <v>Mac adres</v>
      </c>
      <c r="N435" s="11" t="str">
        <f ca="1">IFERROR(__xludf.DUMMYFUNCTION("GOOGLETRANSLATE($B435,""en"",N$3)"),"Διεύθυνση MAC")</f>
        <v>Διεύθυνση MAC</v>
      </c>
      <c r="O435" s="11" t="str">
        <f ca="1">IFERROR(__xludf.DUMMYFUNCTION("GOOGLETRANSLATE($B435,""en"",O$3)"),"Mac osoite")</f>
        <v>Mac osoite</v>
      </c>
      <c r="P435" s="11" t="str">
        <f ca="1">IFERROR(__xludf.DUMMYFUNCTION("GOOGLETRANSLATE($B435,""en"",P$3)"),"Seoladh mac")</f>
        <v>Seoladh mac</v>
      </c>
      <c r="Q435" s="11" t="str">
        <f ca="1">IFERROR(__xludf.DUMMYFUNCTION("GOOGLETRANSLATE($B435,""en"",Q$3)"),"مک آدرس")</f>
        <v>مک آدرس</v>
      </c>
      <c r="R435" s="11" t="str">
        <f ca="1">IFERROR(__xludf.DUMMYFUNCTION("GOOGLETRANSLATE($B435,""en"",R$3)"),"כתובת MAC")</f>
        <v>כתובת MAC</v>
      </c>
      <c r="S435" s="11" t="str">
        <f ca="1">IFERROR(__xludf.DUMMYFUNCTION("GOOGLETRANSLATE($B435,""en"",S$3)"),"MAC Address")</f>
        <v>MAC Address</v>
      </c>
      <c r="T435" s="11" t="str">
        <f ca="1">IFERROR(__xludf.DUMMYFUNCTION("GOOGLETRANSLATE($B435,""en"",T$3)"),"MAC-adresse")</f>
        <v>MAC-adresse</v>
      </c>
      <c r="U435" s="11" t="str">
        <f ca="1">IFERROR(__xludf.DUMMYFUNCTION("GOOGLETRANSLATE($B435,""en"",U$3)"),"عنوان ماك")</f>
        <v>عنوان ماك</v>
      </c>
      <c r="V435" s="11" t="str">
        <f ca="1">IFERROR(__xludf.DUMMYFUNCTION("GOOGLETRANSLATE($B435,""en"",V$3)"),"Adres MAC")</f>
        <v>Adres MAC</v>
      </c>
      <c r="W435" s="11" t="str">
        <f ca="1">IFERROR(__xludf.DUMMYFUNCTION("GOOGLETRANSLATE($B435,""en"",W$3)"),"MAC-адрес")</f>
        <v>MAC-адрес</v>
      </c>
      <c r="X435" s="11" t="str">
        <f ca="1">IFERROR(__xludf.DUMMYFUNCTION("GOOGLETRANSLATE($B435,""en"",X$3)"),"Dirección MAC")</f>
        <v>Dirección MAC</v>
      </c>
    </row>
    <row r="436" spans="1:26" ht="32.25" customHeight="1" x14ac:dyDescent="0.2">
      <c r="A436" s="17" t="s">
        <v>978</v>
      </c>
      <c r="B436" s="17" t="s">
        <v>979</v>
      </c>
      <c r="C436" s="21" t="str">
        <f ca="1">IFERROR(__xludf.DUMMYFUNCTION("GOOGLETRANSLATE($B436,""en"",C$3)"),"Erstelle eine Sicherung?")</f>
        <v>Erstelle eine Sicherung?</v>
      </c>
      <c r="D436" s="21" t="str">
        <f ca="1">IFERROR(__xludf.DUMMYFUNCTION("GOOGLETRANSLATE($B436,""en"",D$3)"),"Gör en backup?")</f>
        <v>Gör en backup?</v>
      </c>
      <c r="E436" s="21" t="str">
        <f ca="1">IFERROR(__xludf.DUMMYFUNCTION("GOOGLETRANSLATE($B436,""en"",E$3)"),"Faça um backup?")</f>
        <v>Faça um backup?</v>
      </c>
      <c r="F436" s="21" t="str">
        <f ca="1">IFERROR(__xludf.DUMMYFUNCTION("GOOGLETRANSLATE($B436,""en"",F$3)"),"Faça um backup?")</f>
        <v>Faça um backup?</v>
      </c>
      <c r="G436" s="21" t="str">
        <f ca="1">IFERROR(__xludf.DUMMYFUNCTION("GOOGLETRANSLATE($B436,""en"",G$3)"),"Faites une sauvegarde?")</f>
        <v>Faites une sauvegarde?</v>
      </c>
      <c r="H436" s="21" t="str">
        <f ca="1">IFERROR(__xludf.DUMMYFUNCTION("GOOGLETRANSLATE($B436,""en"",H$3)"),"Egin segurtasun kopia bat?")</f>
        <v>Egin segurtasun kopia bat?</v>
      </c>
      <c r="I436" s="21" t="str">
        <f ca="1">IFERROR(__xludf.DUMMYFUNCTION("GOOGLETRANSLATE($B436,""en"",I$3)"),"Fer una còpia de seguretat?")</f>
        <v>Fer una còpia de seguretat?</v>
      </c>
      <c r="J436" s="21" t="str">
        <f ca="1">IFERROR(__xludf.DUMMYFUNCTION("GOOGLETRANSLATE($B436,""en"",J$3)"),"Vytvořit zálohu?")</f>
        <v>Vytvořit zálohu?</v>
      </c>
      <c r="K436" s="21" t="str">
        <f ca="1">IFERROR(__xludf.DUMMYFUNCTION("GOOGLETRANSLATE($B436,""en"",K$3)"),"做一个备份？")</f>
        <v>做一个备份？</v>
      </c>
      <c r="L436" s="21" t="str">
        <f ca="1">IFERROR(__xludf.DUMMYFUNCTION("GOOGLETRANSLATE($B436,""en"",L$3)"),"做一個備份？")</f>
        <v>做一個備份？</v>
      </c>
      <c r="M436" s="21" t="str">
        <f ca="1">IFERROR(__xludf.DUMMYFUNCTION("GOOGLETRANSLATE($B436,""en"",M$3)"),"Maak een back-up?")</f>
        <v>Maak een back-up?</v>
      </c>
      <c r="N436" s="21" t="str">
        <f ca="1">IFERROR(__xludf.DUMMYFUNCTION("GOOGLETRANSLATE($B436,""en"",N$3)"),"Δημιουργήστε ένα αντίγραφο ασφαλείας;")</f>
        <v>Δημιουργήστε ένα αντίγραφο ασφαλείας;</v>
      </c>
      <c r="O436" s="21" t="str">
        <f ca="1">IFERROR(__xludf.DUMMYFUNCTION("GOOGLETRANSLATE($B436,""en"",O$3)"),"Tehdä varmuuskopio?")</f>
        <v>Tehdä varmuuskopio?</v>
      </c>
      <c r="P436" s="21" t="str">
        <f ca="1">IFERROR(__xludf.DUMMYFUNCTION("GOOGLETRANSLATE($B436,""en"",P$3)"),"Déan cúltaca?")</f>
        <v>Déan cúltaca?</v>
      </c>
      <c r="Q436" s="21" t="str">
        <f ca="1">IFERROR(__xludf.DUMMYFUNCTION("GOOGLETRANSLATE($B436,""en"",Q$3)"),"یک نسخه پشتیبان تهیه.")</f>
        <v>یک نسخه پشتیبان تهیه.</v>
      </c>
      <c r="R436" s="21" t="str">
        <f ca="1">IFERROR(__xludf.DUMMYFUNCTION("GOOGLETRANSLATE($B436,""en"",R$3)"),"בצע גיבוי?")</f>
        <v>בצע גיבוי?</v>
      </c>
      <c r="S436" s="21" t="str">
        <f ca="1">IFERROR(__xludf.DUMMYFUNCTION("GOOGLETRANSLATE($B436,""en"",S$3)"),"Gerðu afrit?")</f>
        <v>Gerðu afrit?</v>
      </c>
      <c r="T436" s="21" t="str">
        <f ca="1">IFERROR(__xludf.DUMMYFUNCTION("GOOGLETRANSLATE($B436,""en"",T$3)"),"Lag en backup?")</f>
        <v>Lag en backup?</v>
      </c>
      <c r="U436" s="21" t="str">
        <f ca="1">IFERROR(__xludf.DUMMYFUNCTION("GOOGLETRANSLATE($B436,""en"",U$3)"),"إجراء نسخة احتياطية؟")</f>
        <v>إجراء نسخة احتياطية؟</v>
      </c>
      <c r="V436" s="21" t="str">
        <f ca="1">IFERROR(__xludf.DUMMYFUNCTION("GOOGLETRANSLATE($B436,""en"",V$3)"),"Zrób kopię zapasową?")</f>
        <v>Zrób kopię zapasową?</v>
      </c>
      <c r="W436" s="21" t="str">
        <f ca="1">IFERROR(__xludf.DUMMYFUNCTION("GOOGLETRANSLATE($B436,""en"",W$3)"),"Сделайте резервную копию?")</f>
        <v>Сделайте резервную копию?</v>
      </c>
      <c r="X436" s="21" t="str">
        <f ca="1">IFERROR(__xludf.DUMMYFUNCTION("GOOGLETRANSLATE($B436,""en"",X$3)"),"¿Hacer una copia de seguridad?")</f>
        <v>¿Hacer una copia de seguridad?</v>
      </c>
      <c r="Y436" s="21"/>
      <c r="Z436" s="21"/>
    </row>
    <row r="437" spans="1:26" ht="32.25" customHeight="1" x14ac:dyDescent="0.2">
      <c r="A437" s="17" t="s">
        <v>980</v>
      </c>
      <c r="B437" s="17" t="s">
        <v>981</v>
      </c>
      <c r="C437" s="18" t="s">
        <v>982</v>
      </c>
      <c r="D437" s="12" t="str">
        <f ca="1">IFERROR(__xludf.DUMMYFUNCTION("GOOGLETRANSLATE($B436,""en"",D$3)"),"Gör en backup?")</f>
        <v>Gör en backup?</v>
      </c>
      <c r="E437" s="12" t="str">
        <f ca="1">IFERROR(__xludf.DUMMYFUNCTION("GOOGLETRANSLATE($B436,""en"",E$3)"),"Faça um backup?")</f>
        <v>Faça um backup?</v>
      </c>
      <c r="F437" s="12" t="str">
        <f ca="1">IFERROR(__xludf.DUMMYFUNCTION("GOOGLETRANSLATE($B436,""en"",F$3)"),"Faça um backup?")</f>
        <v>Faça um backup?</v>
      </c>
      <c r="G437" s="12" t="str">
        <f ca="1">IFERROR(__xludf.DUMMYFUNCTION("GOOGLETRANSLATE($B436,""en"",G$3)"),"Faites une sauvegarde?")</f>
        <v>Faites une sauvegarde?</v>
      </c>
      <c r="H437" s="12" t="str">
        <f ca="1">IFERROR(__xludf.DUMMYFUNCTION("GOOGLETRANSLATE($B436,""en"",H$3)"),"Egin segurtasun kopia bat?")</f>
        <v>Egin segurtasun kopia bat?</v>
      </c>
      <c r="I437" s="12" t="str">
        <f ca="1">IFERROR(__xludf.DUMMYFUNCTION("GOOGLETRANSLATE($B436,""en"",I$3)"),"Fer una còpia de seguretat?")</f>
        <v>Fer una còpia de seguretat?</v>
      </c>
      <c r="J437" s="12" t="str">
        <f ca="1">IFERROR(__xludf.DUMMYFUNCTION("GOOGLETRANSLATE($B436,""en"",J$3)"),"Vytvořit zálohu?")</f>
        <v>Vytvořit zálohu?</v>
      </c>
      <c r="K437" s="12" t="str">
        <f ca="1">IFERROR(__xludf.DUMMYFUNCTION("GOOGLETRANSLATE($B436,""en"",K$3)"),"做一个备份？")</f>
        <v>做一个备份？</v>
      </c>
      <c r="L437" s="12" t="str">
        <f ca="1">IFERROR(__xludf.DUMMYFUNCTION("GOOGLETRANSLATE($B436,""en"",L$3)"),"做一個備份？")</f>
        <v>做一個備份？</v>
      </c>
      <c r="M437" s="12" t="str">
        <f ca="1">IFERROR(__xludf.DUMMYFUNCTION("GOOGLETRANSLATE($B436,""en"",M$3)"),"Maak een back-up?")</f>
        <v>Maak een back-up?</v>
      </c>
      <c r="N437" s="12" t="str">
        <f ca="1">IFERROR(__xludf.DUMMYFUNCTION("GOOGLETRANSLATE($B436,""en"",N$3)"),"Δημιουργήστε ένα αντίγραφο ασφαλείας;")</f>
        <v>Δημιουργήστε ένα αντίγραφο ασφαλείας;</v>
      </c>
      <c r="O437" s="12" t="str">
        <f ca="1">IFERROR(__xludf.DUMMYFUNCTION("GOOGLETRANSLATE($B436,""en"",O$3)"),"Tehdä varmuuskopio?")</f>
        <v>Tehdä varmuuskopio?</v>
      </c>
      <c r="P437" s="12" t="str">
        <f ca="1">IFERROR(__xludf.DUMMYFUNCTION("GOOGLETRANSLATE($B436,""en"",P$3)"),"Déan cúltaca?")</f>
        <v>Déan cúltaca?</v>
      </c>
      <c r="Q437" s="12" t="str">
        <f ca="1">IFERROR(__xludf.DUMMYFUNCTION("GOOGLETRANSLATE($B436,""en"",Q$3)"),"یک نسخه پشتیبان تهیه.")</f>
        <v>یک نسخه پشتیبان تهیه.</v>
      </c>
      <c r="R437" s="12" t="str">
        <f ca="1">IFERROR(__xludf.DUMMYFUNCTION("GOOGLETRANSLATE($B436,""en"",R$3)"),"בצע גיבוי?")</f>
        <v>בצע גיבוי?</v>
      </c>
      <c r="S437" s="12" t="str">
        <f ca="1">IFERROR(__xludf.DUMMYFUNCTION("GOOGLETRANSLATE($B436,""en"",S$3)"),"Gerðu afrit?")</f>
        <v>Gerðu afrit?</v>
      </c>
      <c r="T437" s="12" t="str">
        <f ca="1">IFERROR(__xludf.DUMMYFUNCTION("GOOGLETRANSLATE($B436,""en"",T$3)"),"Lag en backup?")</f>
        <v>Lag en backup?</v>
      </c>
      <c r="U437" s="12" t="str">
        <f ca="1">IFERROR(__xludf.DUMMYFUNCTION("GOOGLETRANSLATE($B436,""en"",U$3)"),"إجراء نسخة احتياطية؟")</f>
        <v>إجراء نسخة احتياطية؟</v>
      </c>
      <c r="V437" s="12" t="str">
        <f ca="1">IFERROR(__xludf.DUMMYFUNCTION("GOOGLETRANSLATE($B436,""en"",V$3)"),"Zrób kopię zapasową?")</f>
        <v>Zrób kopię zapasową?</v>
      </c>
      <c r="W437" s="12" t="str">
        <f ca="1">IFERROR(__xludf.DUMMYFUNCTION("GOOGLETRANSLATE($B436,""en"",W$3)"),"Сделайте резервную копию?")</f>
        <v>Сделайте резервную копию?</v>
      </c>
      <c r="X437" s="12" t="str">
        <f ca="1">IFERROR(__xludf.DUMMYFUNCTION("GOOGLETRANSLATE($B436,""en"",X$3)"),"¿Hacer una copia de seguridad?")</f>
        <v>¿Hacer una copia de seguridad?</v>
      </c>
      <c r="Y437" s="12"/>
      <c r="Z437" s="12"/>
    </row>
    <row r="438" spans="1:26" ht="32.25" customHeight="1" x14ac:dyDescent="0.2">
      <c r="A438" s="17" t="s">
        <v>983</v>
      </c>
      <c r="B438" s="17" t="s">
        <v>984</v>
      </c>
      <c r="C438" s="21" t="str">
        <f ca="1">IFERROR(__xludf.DUMMYFUNCTION("GOOGLETRANSLATE($B438,""en"",C$3)"),"Karte Center Lage:")</f>
        <v>Karte Center Lage:</v>
      </c>
      <c r="D438" s="21" t="str">
        <f ca="1">IFERROR(__xludf.DUMMYFUNCTION("GOOGLETRANSLATE($B438,""en"",D$3)"),"Karta Center Plats:")</f>
        <v>Karta Center Plats:</v>
      </c>
      <c r="E438" s="21" t="str">
        <f ca="1">IFERROR(__xludf.DUMMYFUNCTION("GOOGLETRANSLATE($B438,""en"",E$3)"),"Mapa Centro de Localização:")</f>
        <v>Mapa Centro de Localização:</v>
      </c>
      <c r="F438" s="21" t="str">
        <f ca="1">IFERROR(__xludf.DUMMYFUNCTION("GOOGLETRANSLATE($B438,""en"",F$3)"),"Mapa Centro de Localização:")</f>
        <v>Mapa Centro de Localização:</v>
      </c>
      <c r="G438" s="21" t="str">
        <f ca="1">IFERROR(__xludf.DUMMYFUNCTION("GOOGLETRANSLATE($B438,""en"",G$3)"),"Carte Centre Lieu:")</f>
        <v>Carte Centre Lieu:</v>
      </c>
      <c r="H438" s="21" t="str">
        <f ca="1">IFERROR(__xludf.DUMMYFUNCTION("GOOGLETRANSLATE($B438,""en"",H$3)"),"Mapa Center Kokapena:")</f>
        <v>Mapa Center Kokapena:</v>
      </c>
      <c r="I438" s="21" t="str">
        <f ca="1">IFERROR(__xludf.DUMMYFUNCTION("GOOGLETRANSLATE($B438,""en"",I$3)"),"Mapa Centre Ubicació:")</f>
        <v>Mapa Centre Ubicació:</v>
      </c>
      <c r="J438" s="21" t="str">
        <f ca="1">IFERROR(__xludf.DUMMYFUNCTION("GOOGLETRANSLATE($B438,""en"",J$3)"),"Map Centrum Poloha:")</f>
        <v>Map Centrum Poloha:</v>
      </c>
      <c r="K438" s="21" t="str">
        <f ca="1">IFERROR(__xludf.DUMMYFUNCTION("GOOGLETRANSLATE($B438,""en"",K$3)"),"地图中心地点：")</f>
        <v>地图中心地点：</v>
      </c>
      <c r="L438" s="21" t="str">
        <f ca="1">IFERROR(__xludf.DUMMYFUNCTION("GOOGLETRANSLATE($B438,""en"",L$3)"),"地圖中心地點：")</f>
        <v>地圖中心地點：</v>
      </c>
      <c r="M438" s="21" t="str">
        <f ca="1">IFERROR(__xludf.DUMMYFUNCTION("GOOGLETRANSLATE($B438,""en"",M$3)"),"Kaart van het centrum Locatie:")</f>
        <v>Kaart van het centrum Locatie:</v>
      </c>
      <c r="N438" s="21" t="str">
        <f ca="1">IFERROR(__xludf.DUMMYFUNCTION("GOOGLETRANSLATE($B438,""en"",N$3)"),"Χάρτης Κέντρο Τοποθεσία:")</f>
        <v>Χάρτης Κέντρο Τοποθεσία:</v>
      </c>
      <c r="O438" s="21" t="str">
        <f ca="1">IFERROR(__xludf.DUMMYFUNCTION("GOOGLETRANSLATE($B438,""en"",O$3)"),"Kartta Centre Sijainti:")</f>
        <v>Kartta Centre Sijainti:</v>
      </c>
      <c r="P438" s="21" t="str">
        <f ca="1">IFERROR(__xludf.DUMMYFUNCTION("GOOGLETRANSLATE($B438,""en"",P$3)"),"Léarscáil Centre Suíomh:")</f>
        <v>Léarscáil Centre Suíomh:</v>
      </c>
      <c r="Q438" s="21" t="str">
        <f ca="1">IFERROR(__xludf.DUMMYFUNCTION("GOOGLETRANSLATE($B438,""en"",Q$3)"),"نقشه مرکز محل سکونت:")</f>
        <v>نقشه مرکز محل سکونت:</v>
      </c>
      <c r="R438" s="21" t="str">
        <f ca="1">IFERROR(__xludf.DUMMYFUNCTION("GOOGLETRANSLATE($B438,""en"",R$3)"),"מרכז מפת מיקום:")</f>
        <v>מרכז מפת מיקום:</v>
      </c>
      <c r="S438" s="21" t="str">
        <f ca="1">IFERROR(__xludf.DUMMYFUNCTION("GOOGLETRANSLATE($B438,""en"",S$3)"),"Kortamiðstöð Staðsetning:")</f>
        <v>Kortamiðstöð Staðsetning:</v>
      </c>
      <c r="T438" s="21" t="str">
        <f ca="1">IFERROR(__xludf.DUMMYFUNCTION("GOOGLETRANSLATE($B438,""en"",T$3)"),"Kart Center Beliggenhet:")</f>
        <v>Kart Center Beliggenhet:</v>
      </c>
      <c r="U438" s="21" t="str">
        <f ca="1">IFERROR(__xludf.DUMMYFUNCTION("GOOGLETRANSLATE($B438,""en"",U$3)"),"خريطة مركز الدولة:")</f>
        <v>خريطة مركز الدولة:</v>
      </c>
      <c r="V438" s="21" t="str">
        <f ca="1">IFERROR(__xludf.DUMMYFUNCTION("GOOGLETRANSLATE($B438,""en"",V$3)"),"Map Center Lokalizacja:")</f>
        <v>Map Center Lokalizacja:</v>
      </c>
      <c r="W438" s="21" t="str">
        <f ca="1">IFERROR(__xludf.DUMMYFUNCTION("GOOGLETRANSLATE($B438,""en"",W$3)"),"Карта Центр Расположение:")</f>
        <v>Карта Центр Расположение:</v>
      </c>
      <c r="X438" s="21" t="str">
        <f ca="1">IFERROR(__xludf.DUMMYFUNCTION("GOOGLETRANSLATE($B438,""en"",X$3)"),"Mapa Centro Ubicación:")</f>
        <v>Mapa Centro Ubicación:</v>
      </c>
      <c r="Y438" s="21"/>
      <c r="Z438" s="21"/>
    </row>
    <row r="439" spans="1:26" ht="32.25" customHeight="1" x14ac:dyDescent="0.2">
      <c r="A439" s="17" t="s">
        <v>985</v>
      </c>
      <c r="B439" s="17" t="s">
        <v>986</v>
      </c>
      <c r="C439" s="21" t="str">
        <f ca="1">IFERROR(__xludf.DUMMYFUNCTION("GOOGLETRANSLATE($B439,""en"",C$3)"),"Alle Kartenkacheln sind gelöscht worden. Legen Sie die Karte Einstellung und Neustart, um neue Karten zu erstellen")</f>
        <v>Alle Kartenkacheln sind gelöscht worden. Legen Sie die Karte Einstellung und Neustart, um neue Karten zu erstellen</v>
      </c>
      <c r="D439" s="21" t="str">
        <f ca="1">IFERROR(__xludf.DUMMYFUNCTION("GOOGLETRANSLATE($B439,""en"",D$3)"),"Alla kartrutor har raderats. Ställ kartan inställningen och starta om att göra nya kartor")</f>
        <v>Alla kartrutor har raderats. Ställ kartan inställningen och starta om att göra nya kartor</v>
      </c>
      <c r="E439" s="21" t="str">
        <f ca="1">IFERROR(__xludf.DUMMYFUNCTION("GOOGLETRANSLATE($B439,""en"",E$3)"),"Todos os mosaicos de mapas foram apagados. Defina a configuração de mapa e de reinicialização para fazer novos mapas")</f>
        <v>Todos os mosaicos de mapas foram apagados. Defina a configuração de mapa e de reinicialização para fazer novos mapas</v>
      </c>
      <c r="F439" s="21" t="str">
        <f ca="1">IFERROR(__xludf.DUMMYFUNCTION("GOOGLETRANSLATE($B439,""en"",F$3)"),"Todos os mosaicos de mapas foram apagados. Defina a configuração de mapa e de reinicialização para fazer novos mapas")</f>
        <v>Todos os mosaicos de mapas foram apagados. Defina a configuração de mapa e de reinicialização para fazer novos mapas</v>
      </c>
      <c r="G439" s="21" t="str">
        <f ca="1">IFERROR(__xludf.DUMMYFUNCTION("GOOGLETRANSLATE($B439,""en"",G$3)"),"Toutes les tuiles de carte ont été effacées. Réglez le paramètre de la carte et redémarrer pour que de nouvelles cartes")</f>
        <v>Toutes les tuiles de carte ont été effacées. Réglez le paramètre de la carte et redémarrer pour que de nouvelles cartes</v>
      </c>
      <c r="H439" s="21" t="str">
        <f ca="1">IFERROR(__xludf.DUMMYFUNCTION("GOOGLETRANSLATE($B439,""en"",H$3)"),"Mapan fitxak guztiak ezabatuko dira. Ezarri mapa ezarpena eta berrabiatu mapa berriak egiteko")</f>
        <v>Mapan fitxak guztiak ezabatuko dira. Ezarri mapa ezarpena eta berrabiatu mapa berriak egiteko</v>
      </c>
      <c r="I439" s="21" t="str">
        <f ca="1">IFERROR(__xludf.DUMMYFUNCTION("GOOGLETRANSLATE($B439,""en"",I$3)"),"Tots els mosaics de mapes han estat esborrats. Establir el valor de MAP i reiniciar el sistema per fer nous mapes")</f>
        <v>Tots els mosaics de mapes han estat esborrats. Establir el valor de MAP i reiniciar el sistema per fer nous mapes</v>
      </c>
      <c r="J439" s="21" t="str">
        <f ca="1">IFERROR(__xludf.DUMMYFUNCTION("GOOGLETRANSLATE($B439,""en"",J$3)"),"Všechny mapové dlaždice byly vymazány. Nastavte nastavení mapy a restartujte počítač, aby se nové mapy")</f>
        <v>Všechny mapové dlaždice byly vymazány. Nastavte nastavení mapy a restartujte počítač, aby se nové mapy</v>
      </c>
      <c r="K439" s="21" t="str">
        <f ca="1">IFERROR(__xludf.DUMMYFUNCTION("GOOGLETRANSLATE($B439,""en"",K$3)"),"所有地图图块已被删除。设置地图设置并重新启动，使新地图")</f>
        <v>所有地图图块已被删除。设置地图设置并重新启动，使新地图</v>
      </c>
      <c r="L439" s="21" t="str">
        <f ca="1">IFERROR(__xludf.DUMMYFUNCTION("GOOGLETRANSLATE($B439,""en"",L$3)"),"所有地圖圖塊已被刪除。設置地圖設置並重新啟動，使新地圖")</f>
        <v>所有地圖圖塊已被刪除。設置地圖設置並重新啟動，使新地圖</v>
      </c>
      <c r="M439" s="21" t="str">
        <f ca="1">IFERROR(__xludf.DUMMYFUNCTION("GOOGLETRANSLATE($B439,""en"",M$3)"),"Alle kaart tegels zijn gewist. Stel de kaart setting en reboot om nieuwe kaarten te maken")</f>
        <v>Alle kaart tegels zijn gewist. Stel de kaart setting en reboot om nieuwe kaarten te maken</v>
      </c>
      <c r="N439" s="21" t="str">
        <f ca="1">IFERROR(__xludf.DUMMYFUNCTION("GOOGLETRANSLATE($B439,""en"",N$3)"),"Όλα τα κεραμίδια χάρτη έχουν διαγραφεί. Ορίστε τη ρύθμιση χάρτη και επανεκκίνηση για να κάνουν νέους χάρτες")</f>
        <v>Όλα τα κεραμίδια χάρτη έχουν διαγραφεί. Ορίστε τη ρύθμιση χάρτη και επανεκκίνηση για να κάνουν νέους χάρτες</v>
      </c>
      <c r="O439" s="21" t="str">
        <f ca="1">IFERROR(__xludf.DUMMYFUNCTION("GOOGLETRANSLATE($B439,""en"",O$3)"),"Kaikki karttaruudut on pyyhitty. Asettaa kartan asetukset ja uudelleenkäynnistyksen tehdä uusia karttoja")</f>
        <v>Kaikki karttaruudut on pyyhitty. Asettaa kartan asetukset ja uudelleenkäynnistyksen tehdä uusia karttoja</v>
      </c>
      <c r="P439" s="21" t="str">
        <f ca="1">IFERROR(__xludf.DUMMYFUNCTION("GOOGLETRANSLATE($B439,""en"",P$3)"),"Gach tíleanna léarscáil curtha scriosadh. Socraigh an suíomh léarscáil agus Atosaigh a dhéanamh léarscáileanna nua")</f>
        <v>Gach tíleanna léarscáil curtha scriosadh. Socraigh an suíomh léarscáil agus Atosaigh a dhéanamh léarscáileanna nua</v>
      </c>
      <c r="Q439" s="21" t="str">
        <f ca="1">IFERROR(__xludf.DUMMYFUNCTION("GOOGLETRANSLATE($B439,""en"",Q$3)"),"تمام قطعات نقشه پاک شده اند. مجموعه ای از تنظیمات بر روی نقشه و راه اندازی مجدد به نقشه های جدید")</f>
        <v>تمام قطعات نقشه پاک شده اند. مجموعه ای از تنظیمات بر روی نقشه و راه اندازی مجدد به نقشه های جدید</v>
      </c>
      <c r="R439" s="21" t="str">
        <f ca="1">IFERROR(__xludf.DUMMYFUNCTION("GOOGLETRANSLATE($B439,""en"",R$3)"),"כל אריחי המפה נמחקו. קבע את הגדרת מפת אתחול מחדש כדי ליצור מפות חדשות")</f>
        <v>כל אריחי המפה נמחקו. קבע את הגדרת מפת אתחול מחדש כדי ליצור מפות חדשות</v>
      </c>
      <c r="S439" s="21" t="str">
        <f ca="1">IFERROR(__xludf.DUMMYFUNCTION("GOOGLETRANSLATE($B439,""en"",S$3)"),"Allar kortaflísar hefur verið eytt. Stilltu kort stillingu og endurræsa til að gera nýtt kort")</f>
        <v>Allar kortaflísar hefur verið eytt. Stilltu kort stillingu og endurræsa til að gera nýtt kort</v>
      </c>
      <c r="T439" s="21" t="str">
        <f ca="1">IFERROR(__xludf.DUMMYFUNCTION("GOOGLETRANSLATE($B439,""en"",T$3)"),"Alle kart fliser har blitt slettet. Sett kartet innstillingen og omstart for å lage nye kart")</f>
        <v>Alle kart fliser har blitt slettet. Sett kartet innstillingen og omstart for å lage nye kart</v>
      </c>
      <c r="U439" s="21" t="str">
        <f ca="1">IFERROR(__xludf.DUMMYFUNCTION("GOOGLETRANSLATE($B439,""en"",U$3)"),"تم مسح جميع البلاط خريطة. تعيين إعداد خريطة وإعادة تمهيد لجعل الخرائط الجديدة")</f>
        <v>تم مسح جميع البلاط خريطة. تعيين إعداد خريطة وإعادة تمهيد لجعل الخرائط الجديدة</v>
      </c>
      <c r="V439" s="21" t="str">
        <f ca="1">IFERROR(__xludf.DUMMYFUNCTION("GOOGLETRANSLATE($B439,""en"",V$3)"),"Wszystkie płytki map zostały skasowane. Ustaw ustawienia mapy i ponowny rozruch, aby nowe mapy")</f>
        <v>Wszystkie płytki map zostały skasowane. Ustaw ustawienia mapy i ponowny rozruch, aby nowe mapy</v>
      </c>
      <c r="W439" s="21" t="str">
        <f ca="1">IFERROR(__xludf.DUMMYFUNCTION("GOOGLETRANSLATE($B439,""en"",W$3)"),"Все фрагменты карты были стерты. Установите настройки карты и перезагрузки компьютера, чтобы сделать новые карты")</f>
        <v>Все фрагменты карты были стерты. Установите настройки карты и перезагрузки компьютера, чтобы сделать новые карты</v>
      </c>
      <c r="X439" s="21" t="str">
        <f ca="1">IFERROR(__xludf.DUMMYFUNCTION("GOOGLETRANSLATE($B439,""en"",X$3)"),"Todos los mosaicos de mapas han sido borrados. Establecer el valor de MAP y reiniciar el sistema para hacer nuevos mapas")</f>
        <v>Todos los mosaicos de mapas han sido borrados. Establecer el valor de MAP y reiniciar el sistema para hacer nuevos mapas</v>
      </c>
      <c r="Y439" s="21"/>
      <c r="Z439" s="21"/>
    </row>
    <row r="440" spans="1:26" ht="32.25" customHeight="1" x14ac:dyDescent="0.2">
      <c r="A440" s="17" t="s">
        <v>987</v>
      </c>
      <c r="B440" s="17" t="s">
        <v>988</v>
      </c>
      <c r="C440" s="21" t="str">
        <f ca="1">IFERROR(__xludf.DUMMYFUNCTION("GOOGLETRANSLATE($B440,""en"",C$3)"),"Karten")</f>
        <v>Karten</v>
      </c>
      <c r="D440" s="21" t="str">
        <f ca="1">IFERROR(__xludf.DUMMYFUNCTION("GOOGLETRANSLATE($B440,""en"",D$3)"),"Kartor")</f>
        <v>Kartor</v>
      </c>
      <c r="E440" s="21" t="str">
        <f ca="1">IFERROR(__xludf.DUMMYFUNCTION("GOOGLETRANSLATE($B440,""en"",E$3)"),"mapas")</f>
        <v>mapas</v>
      </c>
      <c r="F440" s="21" t="str">
        <f ca="1">IFERROR(__xludf.DUMMYFUNCTION("GOOGLETRANSLATE($B440,""en"",F$3)"),"mapas")</f>
        <v>mapas</v>
      </c>
      <c r="G440" s="21" t="str">
        <f ca="1">IFERROR(__xludf.DUMMYFUNCTION("GOOGLETRANSLATE($B440,""en"",G$3)"),"Plans")</f>
        <v>Plans</v>
      </c>
      <c r="H440" s="21" t="str">
        <f ca="1">IFERROR(__xludf.DUMMYFUNCTION("GOOGLETRANSLATE($B440,""en"",H$3)"),"Maps")</f>
        <v>Maps</v>
      </c>
      <c r="I440" s="21" t="str">
        <f ca="1">IFERROR(__xludf.DUMMYFUNCTION("GOOGLETRANSLATE($B440,""en"",I$3)"),"mapes")</f>
        <v>mapes</v>
      </c>
      <c r="J440" s="21" t="str">
        <f ca="1">IFERROR(__xludf.DUMMYFUNCTION("GOOGLETRANSLATE($B440,""en"",J$3)"),"Mapy")</f>
        <v>Mapy</v>
      </c>
      <c r="K440" s="21" t="str">
        <f ca="1">IFERROR(__xludf.DUMMYFUNCTION("GOOGLETRANSLATE($B440,""en"",K$3)"),"地图")</f>
        <v>地图</v>
      </c>
      <c r="L440" s="21" t="str">
        <f ca="1">IFERROR(__xludf.DUMMYFUNCTION("GOOGLETRANSLATE($B440,""en"",L$3)"),"地圖")</f>
        <v>地圖</v>
      </c>
      <c r="M440" s="21" t="str">
        <f ca="1">IFERROR(__xludf.DUMMYFUNCTION("GOOGLETRANSLATE($B440,""en"",M$3)"),"Kaarten")</f>
        <v>Kaarten</v>
      </c>
      <c r="N440" s="21" t="str">
        <f ca="1">IFERROR(__xludf.DUMMYFUNCTION("GOOGLETRANSLATE($B440,""en"",N$3)"),"χάρτες")</f>
        <v>χάρτες</v>
      </c>
      <c r="O440" s="21" t="str">
        <f ca="1">IFERROR(__xludf.DUMMYFUNCTION("GOOGLETRANSLATE($B440,""en"",O$3)"),"Kartat")</f>
        <v>Kartat</v>
      </c>
      <c r="P440" s="21" t="str">
        <f ca="1">IFERROR(__xludf.DUMMYFUNCTION("GOOGLETRANSLATE($B440,""en"",P$3)"),"Léarscáileanna")</f>
        <v>Léarscáileanna</v>
      </c>
      <c r="Q440" s="21" t="str">
        <f ca="1">IFERROR(__xludf.DUMMYFUNCTION("GOOGLETRANSLATE($B440,""en"",Q$3)"),"نقشه ها")</f>
        <v>نقشه ها</v>
      </c>
      <c r="R440" s="21" t="str">
        <f ca="1">IFERROR(__xludf.DUMMYFUNCTION("GOOGLETRANSLATE($B440,""en"",R$3)"),"מפות")</f>
        <v>מפות</v>
      </c>
      <c r="S440" s="21" t="str">
        <f ca="1">IFERROR(__xludf.DUMMYFUNCTION("GOOGLETRANSLATE($B440,""en"",S$3)"),"Kortin")</f>
        <v>Kortin</v>
      </c>
      <c r="T440" s="21" t="str">
        <f ca="1">IFERROR(__xludf.DUMMYFUNCTION("GOOGLETRANSLATE($B440,""en"",T$3)"),"Maps")</f>
        <v>Maps</v>
      </c>
      <c r="U440" s="21" t="str">
        <f ca="1">IFERROR(__xludf.DUMMYFUNCTION("GOOGLETRANSLATE($B440,""en"",U$3)"),"خرائط")</f>
        <v>خرائط</v>
      </c>
      <c r="V440" s="21" t="str">
        <f ca="1">IFERROR(__xludf.DUMMYFUNCTION("GOOGLETRANSLATE($B440,""en"",V$3)"),"Mapy")</f>
        <v>Mapy</v>
      </c>
      <c r="W440" s="21" t="str">
        <f ca="1">IFERROR(__xludf.DUMMYFUNCTION("GOOGLETRANSLATE($B440,""en"",W$3)"),"Карты")</f>
        <v>Карты</v>
      </c>
      <c r="X440" s="21" t="str">
        <f ca="1">IFERROR(__xludf.DUMMYFUNCTION("GOOGLETRANSLATE($B440,""en"",X$3)"),"mapas")</f>
        <v>mapas</v>
      </c>
      <c r="Y440" s="21"/>
      <c r="Z440" s="21"/>
    </row>
    <row r="441" spans="1:26" ht="32.25" customHeight="1" x14ac:dyDescent="0.2">
      <c r="A441" s="17" t="s">
        <v>989</v>
      </c>
      <c r="B441" s="17" t="s">
        <v>990</v>
      </c>
      <c r="C441" s="21" t="str">
        <f ca="1">IFERROR(__xludf.DUMMYFUNCTION("GOOGLETRANSLATE($B441,""en"",C$3)"),"Karte Coords: X")</f>
        <v>Karte Coords: X</v>
      </c>
      <c r="D441" s="21" t="str">
        <f ca="1">IFERROR(__xludf.DUMMYFUNCTION("GOOGLETRANSLATE($B441,""en"",D$3)"),"Karta koordinater: X")</f>
        <v>Karta koordinater: X</v>
      </c>
      <c r="E441" s="21" t="str">
        <f ca="1">IFERROR(__xludf.DUMMYFUNCTION("GOOGLETRANSLATE($B441,""en"",E$3)"),"Mapa Coords: X")</f>
        <v>Mapa Coords: X</v>
      </c>
      <c r="F441" s="21" t="str">
        <f ca="1">IFERROR(__xludf.DUMMYFUNCTION("GOOGLETRANSLATE($B441,""en"",F$3)"),"Mapa Coords: X")</f>
        <v>Mapa Coords: X</v>
      </c>
      <c r="G441" s="21" t="str">
        <f ca="1">IFERROR(__xludf.DUMMYFUNCTION("GOOGLETRANSLATE($B441,""en"",G$3)"),"Carte Coords: X")</f>
        <v>Carte Coords: X</v>
      </c>
      <c r="H441" s="21" t="str">
        <f ca="1">IFERROR(__xludf.DUMMYFUNCTION("GOOGLETRANSLATE($B441,""en"",H$3)"),"Map koordenatuak: X")</f>
        <v>Map koordenatuak: X</v>
      </c>
      <c r="I441" s="21" t="str">
        <f ca="1">IFERROR(__xludf.DUMMYFUNCTION("GOOGLETRANSLATE($B441,""en"",I$3)"),"Mapa Coordenades: X")</f>
        <v>Mapa Coordenades: X</v>
      </c>
      <c r="J441" s="21" t="str">
        <f ca="1">IFERROR(__xludf.DUMMYFUNCTION("GOOGLETRANSLATE($B441,""en"",J$3)"),"Mapa souřadnicových: X")</f>
        <v>Mapa souřadnicových: X</v>
      </c>
      <c r="K441" s="21" t="str">
        <f ca="1">IFERROR(__xludf.DUMMYFUNCTION("GOOGLETRANSLATE($B441,""en"",K$3)"),"地图坐标：X")</f>
        <v>地图坐标：X</v>
      </c>
      <c r="L441" s="21" t="str">
        <f ca="1">IFERROR(__xludf.DUMMYFUNCTION("GOOGLETRANSLATE($B441,""en"",L$3)"),"地圖坐標：X")</f>
        <v>地圖坐標：X</v>
      </c>
      <c r="M441" s="21" t="str">
        <f ca="1">IFERROR(__xludf.DUMMYFUNCTION("GOOGLETRANSLATE($B441,""en"",M$3)"),"Kaart Coords: X")</f>
        <v>Kaart Coords: X</v>
      </c>
      <c r="N441" s="21" t="str">
        <f ca="1">IFERROR(__xludf.DUMMYFUNCTION("GOOGLETRANSLATE($B441,""en"",N$3)"),"Χάρτης coords: X")</f>
        <v>Χάρτης coords: X</v>
      </c>
      <c r="O441" s="21" t="str">
        <f ca="1">IFERROR(__xludf.DUMMYFUNCTION("GOOGLETRANSLATE($B441,""en"",O$3)"),"Kartta &amp; koordinaatit: X")</f>
        <v>Kartta &amp; koordinaatit: X</v>
      </c>
      <c r="P441" s="21" t="str">
        <f ca="1">IFERROR(__xludf.DUMMYFUNCTION("GOOGLETRANSLATE($B441,""en"",P$3)"),"Léarscáil coords: X")</f>
        <v>Léarscáil coords: X</v>
      </c>
      <c r="Q441" s="21" t="str">
        <f ca="1">IFERROR(__xludf.DUMMYFUNCTION("GOOGLETRANSLATE($B441,""en"",Q$3)"),"نقشه مختصات: X")</f>
        <v>نقشه مختصات: X</v>
      </c>
      <c r="R441" s="21" t="str">
        <f ca="1">IFERROR(__xludf.DUMMYFUNCTION("GOOGLETRANSLATE($B441,""en"",R$3)"),"מפת coords: X")</f>
        <v>מפת coords: X</v>
      </c>
      <c r="S441" s="21" t="str">
        <f ca="1">IFERROR(__xludf.DUMMYFUNCTION("GOOGLETRANSLATE($B441,""en"",S$3)"),"Kort Coords: X")</f>
        <v>Kort Coords: X</v>
      </c>
      <c r="T441" s="21" t="str">
        <f ca="1">IFERROR(__xludf.DUMMYFUNCTION("GOOGLETRANSLATE($B441,""en"",T$3)"),"Kart coords: X")</f>
        <v>Kart coords: X</v>
      </c>
      <c r="U441" s="21" t="str">
        <f ca="1">IFERROR(__xludf.DUMMYFUNCTION("GOOGLETRANSLATE($B441,""en"",U$3)"),"خريطة احداثيات: X")</f>
        <v>خريطة احداثيات: X</v>
      </c>
      <c r="V441" s="21" t="str">
        <f ca="1">IFERROR(__xludf.DUMMYFUNCTION("GOOGLETRANSLATE($B441,""en"",V$3)"),"Mapa Coords: X")</f>
        <v>Mapa Coords: X</v>
      </c>
      <c r="W441" s="21" t="str">
        <f ca="1">IFERROR(__xludf.DUMMYFUNCTION("GOOGLETRANSLATE($B441,""en"",W$3)"),"Карта Coords: X")</f>
        <v>Карта Coords: X</v>
      </c>
      <c r="X441" s="21" t="str">
        <f ca="1">IFERROR(__xludf.DUMMYFUNCTION("GOOGLETRANSLATE($B441,""en"",X$3)"),"Mapa Coordenadas: X")</f>
        <v>Mapa Coordenadas: X</v>
      </c>
      <c r="Y441" s="21"/>
      <c r="Z441" s="21"/>
    </row>
    <row r="442" spans="1:26" ht="32.25" customHeight="1" x14ac:dyDescent="0.2">
      <c r="A442" s="17" t="s">
        <v>991</v>
      </c>
      <c r="B442" s="17" t="s">
        <v>992</v>
      </c>
      <c r="C442" s="21" t="str">
        <f ca="1">IFERROR(__xludf.DUMMYFUNCTION("GOOGLETRANSLATE($B442,""en"",C$3)"),"Die Beschleunigung maximal mit der aktuellen Geschwindigkeit des Vogels erlaubt")</f>
        <v>Die Beschleunigung maximal mit der aktuellen Geschwindigkeit des Vogels erlaubt</v>
      </c>
      <c r="D442" s="21" t="str">
        <f ca="1">IFERROR(__xludf.DUMMYFUNCTION("GOOGLETRANSLATE($B442,""en"",D$3)"),"Den maximala accelerationen får den aktuella hastigheten av fågeln")</f>
        <v>Den maximala accelerationen får den aktuella hastigheten av fågeln</v>
      </c>
      <c r="E442" s="21" t="str">
        <f ca="1">IFERROR(__xludf.DUMMYFUNCTION("GOOGLETRANSLATE($B442,""en"",E$3)"),"A aceleração máxima permitida para a velocidade da corrente da ave")</f>
        <v>A aceleração máxima permitida para a velocidade da corrente da ave</v>
      </c>
      <c r="F442" s="21" t="str">
        <f ca="1">IFERROR(__xludf.DUMMYFUNCTION("GOOGLETRANSLATE($B442,""en"",F$3)"),"A aceleração máxima permitida para a velocidade da corrente da ave")</f>
        <v>A aceleração máxima permitida para a velocidade da corrente da ave</v>
      </c>
      <c r="G442" s="21" t="str">
        <f ca="1">IFERROR(__xludf.DUMMYFUNCTION("GOOGLETRANSLATE($B442,""en"",G$3)"),"L'accélération maximale autorisée à la vitesse actuelle de l'oiseau")</f>
        <v>L'accélération maximale autorisée à la vitesse actuelle de l'oiseau</v>
      </c>
      <c r="H442" s="21" t="str">
        <f ca="1">IFERROR(__xludf.DUMMYFUNCTION("GOOGLETRANSLATE($B442,""en"",H$3)"),"Gehienez azelerazioa Egungo txoria abiadura onartzen")</f>
        <v>Gehienez azelerazioa Egungo txoria abiadura onartzen</v>
      </c>
      <c r="I442" s="21" t="str">
        <f ca="1">IFERROR(__xludf.DUMMYFUNCTION("GOOGLETRANSLATE($B442,""en"",I$3)"),"L'acceleració màxima permesa a la velocitat del corrent de l'au")</f>
        <v>L'acceleració màxima permesa a la velocitat del corrent de l'au</v>
      </c>
      <c r="J442" s="21" t="str">
        <f ca="1">IFERROR(__xludf.DUMMYFUNCTION("GOOGLETRANSLATE($B442,""en"",J$3)"),"Maximální zrychlení nechá aktuální rychlosti ptáka")</f>
        <v>Maximální zrychlení nechá aktuální rychlosti ptáka</v>
      </c>
      <c r="K442" s="21" t="str">
        <f ca="1">IFERROR(__xludf.DUMMYFUNCTION("GOOGLETRANSLATE($B442,""en"",K$3)"),"允许鸟的当前速度的最大加速度")</f>
        <v>允许鸟的当前速度的最大加速度</v>
      </c>
      <c r="L442" s="21" t="str">
        <f ca="1">IFERROR(__xludf.DUMMYFUNCTION("GOOGLETRANSLATE($B442,""en"",L$3)"),"允許鳥的當前速度的最大加速度")</f>
        <v>允許鳥的當前速度的最大加速度</v>
      </c>
      <c r="M442" s="21" t="str">
        <f ca="1">IFERROR(__xludf.DUMMYFUNCTION("GOOGLETRANSLATE($B442,""en"",M$3)"),"De maximale versnelling liet de stroomsnelheid van de vogel")</f>
        <v>De maximale versnelling liet de stroomsnelheid van de vogel</v>
      </c>
      <c r="N442" s="21" t="str">
        <f ca="1">IFERROR(__xludf.DUMMYFUNCTION("GOOGLETRANSLATE($B442,""en"",N$3)"),"Η μέγιστη επιτάχυνση που επιτρέπει με την τρέχουσα ταχύτητα του πουλιού")</f>
        <v>Η μέγιστη επιτάχυνση που επιτρέπει με την τρέχουσα ταχύτητα του πουλιού</v>
      </c>
      <c r="O442" s="21" t="str">
        <f ca="1">IFERROR(__xludf.DUMMYFUNCTION("GOOGLETRANSLATE($B442,""en"",O$3)"),"Suurin kiihtyvyys saa nykyisen nopeuden lintu")</f>
        <v>Suurin kiihtyvyys saa nykyisen nopeuden lintu</v>
      </c>
      <c r="P442" s="21" t="str">
        <f ca="1">IFERROR(__xludf.DUMMYFUNCTION("GOOGLETRANSLATE($B442,""en"",P$3)"),"An luasghéarú uasta a cheadaítear leis an treoluas atá ann faoi láthair ar an t-éan")</f>
        <v>An luasghéarú uasta a cheadaítear leis an treoluas atá ann faoi láthair ar an t-éan</v>
      </c>
      <c r="Q442" s="21" t="str">
        <f ca="1">IFERROR(__xludf.DUMMYFUNCTION("GOOGLETRANSLATE($B442,""en"",Q$3)"),"بیشینه شتاب مجاز به سرعت در حال حاضر از پرنده")</f>
        <v>بیشینه شتاب مجاز به سرعت در حال حاضر از پرنده</v>
      </c>
      <c r="R442" s="21" t="str">
        <f ca="1">IFERROR(__xludf.DUMMYFUNCTION("GOOGLETRANSLATE($B442,""en"",R$3)"),"התאוצה המרבית המוותרת על המהירות הנוכחית של ציפור")</f>
        <v>התאוצה המרבית המוותרת על המהירות הנוכחית של ציפור</v>
      </c>
      <c r="S442" s="21" t="str">
        <f ca="1">IFERROR(__xludf.DUMMYFUNCTION("GOOGLETRANSLATE($B442,""en"",S$3)"),"Hámarks hröðun leyft að núverandi hraða fuglsins")</f>
        <v>Hámarks hröðun leyft að núverandi hraða fuglsins</v>
      </c>
      <c r="T442" s="21" t="str">
        <f ca="1">IFERROR(__xludf.DUMMYFUNCTION("GOOGLETRANSLATE($B442,""en"",T$3)"),"Den maksimale akselerasjon lov til strømningshastigheten av fuglen")</f>
        <v>Den maksimale akselerasjon lov til strømningshastigheten av fuglen</v>
      </c>
      <c r="U442" s="21" t="str">
        <f ca="1">IFERROR(__xludf.DUMMYFUNCTION("GOOGLETRANSLATE($B442,""en"",U$3)"),"الحد الأقصى المسموح به تسارع إلى سرعة الحالية من الطيور")</f>
        <v>الحد الأقصى المسموح به تسارع إلى سرعة الحالية من الطيور</v>
      </c>
      <c r="V442" s="21" t="str">
        <f ca="1">IFERROR(__xludf.DUMMYFUNCTION("GOOGLETRANSLATE($B442,""en"",V$3)"),"Przyspieszenie Maksymalna dopuszczalna do aktualnej prędkości ptaka")</f>
        <v>Przyspieszenie Maksymalna dopuszczalna do aktualnej prędkości ptaka</v>
      </c>
      <c r="W442" s="21" t="str">
        <f ca="1">IFERROR(__xludf.DUMMYFUNCTION("GOOGLETRANSLATE($B442,""en"",W$3)"),"Максимальное ускорение позволило текущей скорости птицы")</f>
        <v>Максимальное ускорение позволило текущей скорости птицы</v>
      </c>
      <c r="X442" s="21" t="str">
        <f ca="1">IFERROR(__xludf.DUMMYFUNCTION("GOOGLETRANSLATE($B442,""en"",X$3)"),"La aceleración máxima permitida a la velocidad de la corriente del ave")</f>
        <v>La aceleración máxima permitida a la velocidad de la corriente del ave</v>
      </c>
      <c r="Y442" s="21"/>
      <c r="Z442" s="21"/>
    </row>
    <row r="443" spans="1:26" ht="32.25" customHeight="1" x14ac:dyDescent="0.2">
      <c r="A443" s="17" t="s">
        <v>993</v>
      </c>
      <c r="B443" s="17" t="s">
        <v>833</v>
      </c>
      <c r="C443" s="21" t="str">
        <f ca="1">IFERROR(__xludf.DUMMYFUNCTION("GOOGLETRANSLATE($B443,""en"",C$3)"),"Wie viele Avatare + NPC kann in einer Region sein, bevor die Region als Voll gezeigt. Der Istwert wird in Immobilien Einstellungen im Betrachter eingestellt.")</f>
        <v>Wie viele Avatare + NPC kann in einer Region sein, bevor die Region als Voll gezeigt. Der Istwert wird in Immobilien Einstellungen im Betrachter eingestellt.</v>
      </c>
      <c r="D443" s="21" t="str">
        <f ca="1">IFERROR(__xludf.DUMMYFUNCTION("GOOGLETRANSLATE($B443,""en"",D$3)"),"Hur många Avatars + NPC: s kan vara i en region innan regionen visas som full. Det verkliga värdet ligger i Estate inställningar i betraktaren.")</f>
        <v>Hur många Avatars + NPC: s kan vara i en region innan regionen visas som full. Det verkliga värdet ligger i Estate inställningar i betraktaren.</v>
      </c>
      <c r="E443" s="21" t="str">
        <f ca="1">IFERROR(__xludf.DUMMYFUNCTION("GOOGLETRANSLATE($B443,""en"",E$3)"),"Quantos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F443" s="21" t="str">
        <f ca="1">IFERROR(__xludf.DUMMYFUNCTION("GOOGLETRANSLATE($B443,""en"",F$3)"),"Quantos de Avatares + NPC pode estar em uma região antes da região é mostrado como completa. O valor real é definido em Configurações Estate no visualizador.")</f>
        <v>Quantos de Avatares + NPC pode estar em uma região antes da região é mostrado como completa. O valor real é definido em Configurações Estate no visualizador.</v>
      </c>
      <c r="G443" s="21" t="str">
        <f ca="1">IFERROR(__xludf.DUMMYFUNCTION("GOOGLETRANSLATE($B443,""en"",G$3)"),"Combien peut être dans une région de + Avatars NPC avant que la région apparaît comme pleine. La valeur réelle est définie dans les paramètres immobiliers dans la visionneuse.")</f>
        <v>Combien peut être dans une région de + Avatars NPC avant que la région apparaît comme pleine. La valeur réelle est définie dans les paramètres immobiliers dans la visionneuse.</v>
      </c>
      <c r="H443" s="21" t="str">
        <f ca="1">IFERROR(__xludf.DUMMYFUNCTION("GOOGLETRANSLATE($B443,""en"",H$3)"),"Zenbat Avatars + NPC en eskualde bat izan daiteke eskualde osoa bezala erakutsiko da aurretik. benetako balioa Higiezinen ezarpenak ezarri ikusleak ere.")</f>
        <v>Zenbat Avatars + NPC en eskualde bat izan daiteke eskualde osoa bezala erakutsiko da aurretik. benetako balioa Higiezinen ezarpenak ezarri ikusleak ere.</v>
      </c>
      <c r="I443" s="21" t="str">
        <f ca="1">IFERROR(__xludf.DUMMYFUNCTION("GOOGLETRANSLATE($B443,""en"",I$3)"),"Quantes d'Avatars + NPC pot estar en una regió abans que aparegui la regió completa. El valor real es troba a Configuració arrels en el visor.")</f>
        <v>Quantes d'Avatars + NPC pot estar en una regió abans que aparegui la regió completa. El valor real es troba a Configuració arrels en el visor.</v>
      </c>
      <c r="J443" s="21" t="str">
        <f ca="1">IFERROR(__xludf.DUMMYFUNCTION("GOOGLETRANSLATE($B443,""en"",J$3)"),"Kolik avatarů + NPC může být v oblasti předtím, než region je zobrazen jako Full. Skutečná hodnota se nastavuje v Nastavení Estate v prohlížeči.")</f>
        <v>Kolik avatarů + NPC může být v oblasti předtím, než region je zobrazen jako Full. Skutečná hodnota se nastavuje v Nastavení Estate v prohlížeči.</v>
      </c>
      <c r="K443" s="21" t="str">
        <f ca="1">IFERROR(__xludf.DUMMYFUNCTION("GOOGLETRANSLATE($B443,""en"",K$3)"),"有多少化身+ NPC的可以在一个区域之前显示为完整的区域。实际值在浏览器中设定的设置村。")</f>
        <v>有多少化身+ NPC的可以在一个区域之前显示为完整的区域。实际值在浏览器中设定的设置村。</v>
      </c>
      <c r="L443" s="21" t="str">
        <f ca="1">IFERROR(__xludf.DUMMYFUNCTION("GOOGLETRANSLATE($B443,""en"",L$3)"),"有多少化身+ NPC的可以在一個區域之前顯示為完整的區域。實際值在瀏覽器中設定的設置村。")</f>
        <v>有多少化身+ NPC的可以在一個區域之前顯示為完整的區域。實際值在瀏覽器中設定的設置村。</v>
      </c>
      <c r="M443" s="21" t="str">
        <f ca="1">IFERROR(__xludf.DUMMYFUNCTION("GOOGLETRANSLATE($B443,""en"",M$3)"),"Hoeveel Avatars + NPC's kan in een gebied voor de regio wordt weergegeven als Full. De werkelijke waarde ligt in Estate Instellingen in de kijker.")</f>
        <v>Hoeveel Avatars + NPC's kan in een gebied voor de regio wordt weergegeven als Full. De werkelijke waarde ligt in Estate Instellingen in de kijker.</v>
      </c>
      <c r="N443" s="21" t="str">
        <f ca="1">IFERROR(__xludf.DUMMYFUNCTION("GOOGLETRANSLATE($B443,""en"",N$3)"),"Πόσες Avatars + NPC μπορεί να είναι σε μια περιοχή, πριν η περιοχή εμφανίζεται ως πλήρης. Η πραγματική αξία βρίσκεται στις Ρυθμίσεις Estate στο θεατή.")</f>
        <v>Πόσες Avatars + NPC μπορεί να είναι σε μια περιοχή, πριν η περιοχή εμφανίζεται ως πλήρης. Η πραγματική αξία βρίσκεται στις Ρυθμίσεις Estate στο θεατή.</v>
      </c>
      <c r="O443" s="21" t="str">
        <f ca="1">IFERROR(__xludf.DUMMYFUNCTION("GOOGLETRANSLATE($B443,""en"",O$3)"),"Kuinka monta hahmot + NPC voi olla alueella ennen alue näkyy koko. Todellinen arvo asetetaan Estate asetukset katsojalle.")</f>
        <v>Kuinka monta hahmot + NPC voi olla alueella ennen alue näkyy koko. Todellinen arvo asetetaan Estate asetukset katsojalle.</v>
      </c>
      <c r="P443" s="21" t="str">
        <f ca="1">IFERROR(__xludf.DUMMYFUNCTION("GOOGLETRANSLATE($B443,""en"",P$3)"),"Cé mhéad is féidir Avatars + NPC a bheith i réigiún sula bhfuil an réigiún a thaispeántar Iomlán. Tá an luach iarbhír in in Eastát Socruithe sa lucht féachana.")</f>
        <v>Cé mhéad is féidir Avatars + NPC a bheith i réigiún sula bhfuil an réigiún a thaispeántar Iomlán. Tá an luach iarbhír in in Eastát Socruithe sa lucht féachana.</v>
      </c>
      <c r="Q443" s="21" t="str">
        <f ca="1">IFERROR(__xludf.DUMMYFUNCTION("GOOGLETRANSLATE($B443,""en"",Q$3)"),"چگونه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f>
        <v>چگونه بسیاری از آواتار ها + پتروشیمی را می توانید در یک منطقه می شود قبل از این منطقه به عنوان کامل نشان داده شده است. ارزش واقعی است که در تنظیمات و مستغلات در بیننده تنظیم شده است.</v>
      </c>
      <c r="R443" s="21" t="str">
        <f ca="1">IFERROR(__xludf.DUMMYFUNCTION("GOOGLETRANSLATE($B443,""en"",R$3)"),"כמה של אווטרים + NPC יכול שיהיה באזור לפני האזור מוצג מלאה. השווי בפועל מוגדר הגדרות נדל""ן הצופה.")</f>
        <v>כמה של אווטרים + NPC יכול שיהיה באזור לפני האזור מוצג מלאה. השווי בפועל מוגדר הגדרות נדל"ן הצופה.</v>
      </c>
      <c r="S443" s="21" t="str">
        <f ca="1">IFERROR(__xludf.DUMMYFUNCTION("GOOGLETRANSLATE($B443,""en"",S$3)"),"Hversu margar Avatars + NPC er hægt að vera í héraði áður en svæðið er sýnt eins fullt. Raunveruleg gildi er stillt á Estate Stillingar í áhorfandann.")</f>
        <v>Hversu margar Avatars + NPC er hægt að vera í héraði áður en svæðið er sýnt eins fullt. Raunveruleg gildi er stillt á Estate Stillingar í áhorfandann.</v>
      </c>
      <c r="T443" s="21" t="str">
        <f ca="1">IFERROR(__xludf.DUMMYFUNCTION("GOOGLETRANSLATE($B443,""en"",T$3)"),"Hvor mange Avatars + NPC-er kan være i et område før området er vist som Full. Den faktiske verdien er satt i eiendom Innstillinger i betrakteren.")</f>
        <v>Hvor mange Avatars + NPC-er kan være i et område før området er vist som Full. Den faktiske verdien er satt i eiendom Innstillinger i betrakteren.</v>
      </c>
      <c r="U443" s="21" t="str">
        <f ca="1">IFERROR(__xludf.DUMMYFUNCTION("GOOGLETRANSLATE($B443,""en"",U$3)"),"كم عدد الصور الرمزية + مجلس الشعب يمكن أن يكون في المنطقة قبل ظهور المنطقة كاملة. يتم تعيين القيمة الفعلية في إعدادات العقارية في العارض.")</f>
        <v>كم عدد الصور الرمزية + مجلس الشعب يمكن أن يكون في المنطقة قبل ظهور المنطقة كاملة. يتم تعيين القيمة الفعلية في إعدادات العقارية في العارض.</v>
      </c>
      <c r="V443" s="21" t="str">
        <f ca="1">IFERROR(__xludf.DUMMYFUNCTION("GOOGLETRANSLATE($B443,""en"",V$3)"),"Ile Avatary + NPC może być w regionie przed regionem jest pokazany jako Full. Rzeczywista wartość jest ustawiona w Ustawieniach Estate w przeglądarce.")</f>
        <v>Ile Avatary + NPC może być w regionie przed regionem jest pokazany jako Full. Rzeczywista wartość jest ustawiona w Ustawieniach Estate w przeglądarce.</v>
      </c>
      <c r="W443" s="21" t="str">
        <f ca="1">IFERROR(__xludf.DUMMYFUNCTION("GOOGLETRANSLATE($B443,""en"",W$3)"),"Сколько Аватар + NPC может быть в области до области показана как Full. Фактическое значение устанавливается в настройках недвижимости в средстве просмотра.")</f>
        <v>Сколько Аватар + NPC может быть в области до области показана как Full. Фактическое значение устанавливается в настройках недвижимости в средстве просмотра.</v>
      </c>
      <c r="X443" s="21" t="str">
        <f ca="1">IFERROR(__xludf.DUMMYFUNCTION("GOOGLETRANSLATE($B443,""en"",X$3)"),"¿Cuántas de Avatares + NPC puede estar en una región antes de que aparezca la región completa. El valor real se encuentra en Ajustes raíces en el visor.")</f>
        <v>¿Cuántas de Avatares + NPC puede estar en una región antes de que aparezca la región completa. El valor real se encuentra en Ajustes raíces en el visor.</v>
      </c>
      <c r="Y443" s="21"/>
      <c r="Z443" s="21"/>
    </row>
    <row r="444" spans="1:26" ht="32.25" customHeight="1" x14ac:dyDescent="0.2">
      <c r="A444" s="10" t="s">
        <v>994</v>
      </c>
      <c r="B444" s="10" t="s">
        <v>995</v>
      </c>
      <c r="C444" s="11" t="str">
        <f ca="1">IFERROR(__xludf.DUMMYFUNCTION("GOOGLETRANSLATE($B444,""en"",C$3)"),"Die maximale Anzahl der Avatare + NPCs")</f>
        <v>Die maximale Anzahl der Avatare + NPCs</v>
      </c>
      <c r="D444" s="11" t="str">
        <f ca="1">IFERROR(__xludf.DUMMYFUNCTION("GOOGLETRANSLATE($B444,""en"",D$3)"),"Max antal Avatars + NPCs")</f>
        <v>Max antal Avatars + NPCs</v>
      </c>
      <c r="E444" s="11" t="str">
        <f ca="1">IFERROR(__xludf.DUMMYFUNCTION("GOOGLETRANSLATE($B444,""en"",E$3)"),"O número máximo de avatares + NPCs")</f>
        <v>O número máximo de avatares + NPCs</v>
      </c>
      <c r="F444" s="11" t="str">
        <f ca="1">IFERROR(__xludf.DUMMYFUNCTION("GOOGLETRANSLATE($B444,""en"",F$3)"),"O número máximo de avatares + NPCs")</f>
        <v>O número máximo de avatares + NPCs</v>
      </c>
      <c r="G444" s="11" t="str">
        <f ca="1">IFERROR(__xludf.DUMMYFUNCTION("GOOGLETRANSLATE($B444,""en"",G$3)"),"Nombre maximum d'Avatars + PNJ")</f>
        <v>Nombre maximum d'Avatars + PNJ</v>
      </c>
      <c r="H444" s="11" t="str">
        <f ca="1">IFERROR(__xludf.DUMMYFUNCTION("GOOGLETRANSLATE($B444,""en"",H$3)"),"Max Avatars + NPCs kopurua")</f>
        <v>Max Avatars + NPCs kopurua</v>
      </c>
      <c r="I444" s="11" t="str">
        <f ca="1">IFERROR(__xludf.DUMMYFUNCTION("GOOGLETRANSLATE($B444,""en"",I$3)"),"Màxima de Avatars + NPC")</f>
        <v>Màxima de Avatars + NPC</v>
      </c>
      <c r="J444" s="11" t="str">
        <f ca="1">IFERROR(__xludf.DUMMYFUNCTION("GOOGLETRANSLATE($B444,""en"",J$3)"),"Maximální počet avatarů + NPC")</f>
        <v>Maximální počet avatarů + NPC</v>
      </c>
      <c r="K444" s="11" t="str">
        <f ca="1">IFERROR(__xludf.DUMMYFUNCTION("GOOGLETRANSLATE($B444,""en"",K$3)"),"头像+筹备的最大数量")</f>
        <v>头像+筹备的最大数量</v>
      </c>
      <c r="L444" s="11" t="str">
        <f ca="1">IFERROR(__xludf.DUMMYFUNCTION("GOOGLETRANSLATE($B444,""en"",L$3)"),"頭像+籌備的最大數量")</f>
        <v>頭像+籌備的最大數量</v>
      </c>
      <c r="M444" s="11" t="str">
        <f ca="1">IFERROR(__xludf.DUMMYFUNCTION("GOOGLETRANSLATE($B444,""en"",M$3)"),"Maximaal aantal Avatars + NPCs")</f>
        <v>Maximaal aantal Avatars + NPCs</v>
      </c>
      <c r="N444" s="11" t="str">
        <f ca="1">IFERROR(__xludf.DUMMYFUNCTION("GOOGLETRANSLATE($B444,""en"",N$3)"),"Μέγιστος αριθμός Avatars + NPCs")</f>
        <v>Μέγιστος αριθμός Avatars + NPCs</v>
      </c>
      <c r="O444" s="11" t="str">
        <f ca="1">IFERROR(__xludf.DUMMYFUNCTION("GOOGLETRANSLATE($B444,""en"",O$3)"),"Maksimi määrä hahmot + NPC")</f>
        <v>Maksimi määrä hahmot + NPC</v>
      </c>
      <c r="P444" s="11" t="str">
        <f ca="1">IFERROR(__xludf.DUMMYFUNCTION("GOOGLETRANSLATE($B444,""en"",P$3)"),"Uaslíon de Avatars + NPCs")</f>
        <v>Uaslíon de Avatars + NPCs</v>
      </c>
      <c r="Q444" s="11" t="str">
        <f ca="1">IFERROR(__xludf.DUMMYFUNCTION("GOOGLETRANSLATE($B444,""en"",Q$3)"),"حداکثر تعداد آواتار ها + NPC ها")</f>
        <v>حداکثر تعداد آواتار ها + NPC ها</v>
      </c>
      <c r="R444" s="11" t="str">
        <f ca="1">IFERROR(__xludf.DUMMYFUNCTION("GOOGLETRANSLATE($B444,""en"",R$3)"),"מקס מספר אווטרים + NPCs")</f>
        <v>מקס מספר אווטרים + NPCs</v>
      </c>
      <c r="S444" s="11" t="str">
        <f ca="1">IFERROR(__xludf.DUMMYFUNCTION("GOOGLETRANSLATE($B444,""en"",S$3)"),"Max fjöldi avatars + NPCs")</f>
        <v>Max fjöldi avatars + NPCs</v>
      </c>
      <c r="T444" s="11" t="str">
        <f ca="1">IFERROR(__xludf.DUMMYFUNCTION("GOOGLETRANSLATE($B444,""en"",T$3)"),"Maks antall avatarer + NPCer")</f>
        <v>Maks antall avatarer + NPCer</v>
      </c>
      <c r="U444" s="11" t="str">
        <f ca="1">IFERROR(__xludf.DUMMYFUNCTION("GOOGLETRANSLATE($B444,""en"",U$3)"),"أقصى عدد من الصور الرمزية + الشخصيات")</f>
        <v>أقصى عدد من الصور الرمزية + الشخصيات</v>
      </c>
      <c r="V444" s="11" t="str">
        <f ca="1">IFERROR(__xludf.DUMMYFUNCTION("GOOGLETRANSLATE($B444,""en"",V$3)"),"Maksymalna liczba awatarów + NPC")</f>
        <v>Maksymalna liczba awatarów + NPC</v>
      </c>
      <c r="W444" s="11" t="str">
        <f ca="1">IFERROR(__xludf.DUMMYFUNCTION("GOOGLETRANSLATE($B444,""en"",W$3)"),"Максимальное количество Avatars + РНУ")</f>
        <v>Максимальное количество Avatars + РНУ</v>
      </c>
      <c r="X444" s="11" t="str">
        <f ca="1">IFERROR(__xludf.DUMMYFUNCTION("GOOGLETRANSLATE($B444,""en"",X$3)"),"Número máximo de Avatares + NPC")</f>
        <v>Número máximo de Avatares + NPC</v>
      </c>
    </row>
    <row r="445" spans="1:26" ht="32.25" customHeight="1" x14ac:dyDescent="0.2">
      <c r="A445" s="17" t="s">
        <v>996</v>
      </c>
      <c r="B445" s="17" t="s">
        <v>997</v>
      </c>
      <c r="C445" s="21" t="str">
        <f ca="1">IFERROR(__xludf.DUMMYFUNCTION("GOOGLETRANSLATE($B445,""en"",C$3)"),"Max Abstand für andere Vögel in der gleichen Herde in Betracht gezogen werden")</f>
        <v>Max Abstand für andere Vögel in der gleichen Herde in Betracht gezogen werden</v>
      </c>
      <c r="D445" s="21" t="str">
        <f ca="1">IFERROR(__xludf.DUMMYFUNCTION("GOOGLETRANSLATE($B445,""en"",D$3)"),"Max avstånd för andra fåglar som skall beaktas i samma flock")</f>
        <v>Max avstånd för andra fåglar som skall beaktas i samma flock</v>
      </c>
      <c r="E445" s="21" t="str">
        <f ca="1">IFERROR(__xludf.DUMMYFUNCTION("GOOGLETRANSLATE($B445,""en"",E$3)"),"Max distância de outras aves a ser considerado no mesmo rebanho")</f>
        <v>Max distância de outras aves a ser considerado no mesmo rebanho</v>
      </c>
      <c r="F445" s="21" t="str">
        <f ca="1">IFERROR(__xludf.DUMMYFUNCTION("GOOGLETRANSLATE($B445,""en"",F$3)"),"Max distância de outras aves a ser considerado no mesmo rebanho")</f>
        <v>Max distância de outras aves a ser considerado no mesmo rebanho</v>
      </c>
      <c r="G445" s="21" t="str">
        <f ca="1">IFERROR(__xludf.DUMMYFUNCTION("GOOGLETRANSLATE($B445,""en"",G$3)"),"Distance maximale pour d'autres oiseaux à considérer dans le même troupeau")</f>
        <v>Distance maximale pour d'autres oiseaux à considérer dans le même troupeau</v>
      </c>
      <c r="H445" s="21" t="str">
        <f ca="1">IFERROR(__xludf.DUMMYFUNCTION("GOOGLETRANSLATE($B445,""en"",H$3)"),"Max beste hegazti distantzia artalde berean kontuan hartu")</f>
        <v>Max beste hegazti distantzia artalde berean kontuan hartu</v>
      </c>
      <c r="I445" s="21" t="str">
        <f ca="1">IFERROR(__xludf.DUMMYFUNCTION("GOOGLETRANSLATE($B445,""en"",I$3)"),"Distància màxima per altres aus per ser considerat en el mateix ramat")</f>
        <v>Distància màxima per altres aus per ser considerat en el mateix ramat</v>
      </c>
      <c r="J445" s="21" t="str">
        <f ca="1">IFERROR(__xludf.DUMMYFUNCTION("GOOGLETRANSLATE($B445,""en"",J$3)"),"Maximální vzdálenost pro ostatní ptáky je třeba zvážit ve stejném stádu")</f>
        <v>Maximální vzdálenost pro ostatní ptáky je třeba zvážit ve stejném stádu</v>
      </c>
      <c r="K445" s="21" t="str">
        <f ca="1">IFERROR(__xludf.DUMMYFUNCTION("GOOGLETRANSLATE($B445,""en"",K$3)"),"对于其他鸟类的最大距离在同一个群被认为是")</f>
        <v>对于其他鸟类的最大距离在同一个群被认为是</v>
      </c>
      <c r="L445" s="21" t="str">
        <f ca="1">IFERROR(__xludf.DUMMYFUNCTION("GOOGLETRANSLATE($B445,""en"",L$3)"),"對於其他鳥類的最大距離在同一個群被認為是")</f>
        <v>對於其他鳥類的最大距離在同一個群被認為是</v>
      </c>
      <c r="M445" s="21" t="str">
        <f ca="1">IFERROR(__xludf.DUMMYFUNCTION("GOOGLETRANSLATE($B445,""en"",M$3)"),"Maximale afstand voor andere vogels te worden beschouwd in hetzelfde koppel")</f>
        <v>Maximale afstand voor andere vogels te worden beschouwd in hetzelfde koppel</v>
      </c>
      <c r="N445" s="21" t="str">
        <f ca="1">IFERROR(__xludf.DUMMYFUNCTION("GOOGLETRANSLATE($B445,""en"",N$3)"),"Μέγιστη απόσταση για άλλα πτηνά που πρέπει να εξεταστούν στο ίδιο κοπάδι")</f>
        <v>Μέγιστη απόσταση για άλλα πτηνά που πρέπει να εξεταστούν στο ίδιο κοπάδι</v>
      </c>
      <c r="O445" s="21" t="str">
        <f ca="1">IFERROR(__xludf.DUMMYFUNCTION("GOOGLETRANSLATE($B445,""en"",O$3)"),"Suurin etäisyys Muiden lintujen katsotaan samassa parvessa")</f>
        <v>Suurin etäisyys Muiden lintujen katsotaan samassa parvessa</v>
      </c>
      <c r="P445" s="21" t="str">
        <f ca="1">IFERROR(__xludf.DUMMYFUNCTION("GOOGLETRANSLATE($B445,""en"",P$3)"),"Max achar d'éin eile le cur san áireamh sa tréad céanna")</f>
        <v>Max achar d'éin eile le cur san áireamh sa tréad céanna</v>
      </c>
      <c r="Q445" s="21" t="str">
        <f ca="1">IFERROR(__xludf.DUMMYFUNCTION("GOOGLETRANSLATE($B445,""en"",Q$3)"),"حداکثر فاصله برای پرندگان دیگر را به در همان گله در نظر گرفته شود")</f>
        <v>حداکثر فاصله برای پرندگان دیگر را به در همان گله در نظر گرفته شود</v>
      </c>
      <c r="R445" s="21" t="str">
        <f ca="1">IFERROR(__xludf.DUMMYFUNCTION("GOOGLETRANSLATE($B445,""en"",R$3)"),"מרחק מקסימאלי עבור ציפור אחרות כדי להיחשב באותה הלהקה")</f>
        <v>מרחק מקסימאלי עבור ציפור אחרות כדי להיחשב באותה הלהקה</v>
      </c>
      <c r="S445" s="21" t="str">
        <f ca="1">IFERROR(__xludf.DUMMYFUNCTION("GOOGLETRANSLATE($B445,""en"",S$3)"),"Max vegalengd fyrir aðra fugla til að hafa í huga við sama hópnum")</f>
        <v>Max vegalengd fyrir aðra fugla til að hafa í huga við sama hópnum</v>
      </c>
      <c r="T445" s="21" t="str">
        <f ca="1">IFERROR(__xludf.DUMMYFUNCTION("GOOGLETRANSLATE($B445,""en"",T$3)"),"Maks avstand til andre fugler å bli vurdert i samme flokk")</f>
        <v>Maks avstand til andre fugler å bli vurdert i samme flokk</v>
      </c>
      <c r="U445" s="21" t="str">
        <f ca="1">IFERROR(__xludf.DUMMYFUNCTION("GOOGLETRANSLATE($B445,""en"",U$3)"),"المسافة القصوى للطيور أخرى للنظر في نفس القطيع")</f>
        <v>المسافة القصوى للطيور أخرى للنظر في نفس القطيع</v>
      </c>
      <c r="V445" s="21" t="str">
        <f ca="1">IFERROR(__xludf.DUMMYFUNCTION("GOOGLETRANSLATE($B445,""en"",V$3)"),"Maksymalna odległość dla innych ptaków, które należy uwzględnić w tym samym stadzie")</f>
        <v>Maksymalna odległość dla innych ptaków, które należy uwzględnić w tym samym stadzie</v>
      </c>
      <c r="W445" s="21" t="str">
        <f ca="1">IFERROR(__xludf.DUMMYFUNCTION("GOOGLETRANSLATE($B445,""en"",W$3)"),"Максимальное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X445" s="21" t="str">
        <f ca="1">IFERROR(__xludf.DUMMYFUNCTION("GOOGLETRANSLATE($B445,""en"",X$3)"),"Distancia máxima para otras aves para ser considerado en el mismo rebaño")</f>
        <v>Distancia máxima para otras aves para ser considerado en el mismo rebaño</v>
      </c>
      <c r="Y445" s="21"/>
      <c r="Z445" s="21"/>
    </row>
    <row r="446" spans="1:26" ht="32.25" customHeight="1" x14ac:dyDescent="0.2">
      <c r="A446" s="17" t="s">
        <v>998</v>
      </c>
      <c r="B446" s="17" t="s">
        <v>999</v>
      </c>
      <c r="C446" s="18" t="s">
        <v>1000</v>
      </c>
      <c r="D446" s="12" t="str">
        <f ca="1">IFERROR(__xludf.DUMMYFUNCTION("GOOGLETRANSLATE($B445,""en"",D$3)"),"Max avstånd för andra fåglar som skall beaktas i samma flock")</f>
        <v>Max avstånd för andra fåglar som skall beaktas i samma flock</v>
      </c>
      <c r="E446" s="12" t="str">
        <f ca="1">IFERROR(__xludf.DUMMYFUNCTION("GOOGLETRANSLATE($B445,""en"",E$3)"),"Max distância de outras aves a ser considerado no mesmo rebanho")</f>
        <v>Max distância de outras aves a ser considerado no mesmo rebanho</v>
      </c>
      <c r="F446" s="12" t="str">
        <f ca="1">IFERROR(__xludf.DUMMYFUNCTION("GOOGLETRANSLATE($B445,""en"",F$3)"),"Max distância de outras aves a ser considerado no mesmo rebanho")</f>
        <v>Max distância de outras aves a ser considerado no mesmo rebanho</v>
      </c>
      <c r="G446" s="12" t="str">
        <f ca="1">IFERROR(__xludf.DUMMYFUNCTION("GOOGLETRANSLATE($B445,""en"",G$3)"),"Distance maximale pour d'autres oiseaux à considérer dans le même troupeau")</f>
        <v>Distance maximale pour d'autres oiseaux à considérer dans le même troupeau</v>
      </c>
      <c r="H446" s="12" t="str">
        <f ca="1">IFERROR(__xludf.DUMMYFUNCTION("GOOGLETRANSLATE($B445,""en"",H$3)"),"Max beste hegazti distantzia artalde berean kontuan hartu")</f>
        <v>Max beste hegazti distantzia artalde berean kontuan hartu</v>
      </c>
      <c r="I446" s="12" t="str">
        <f ca="1">IFERROR(__xludf.DUMMYFUNCTION("GOOGLETRANSLATE($B445,""en"",I$3)"),"Distància màxima per altres aus per ser considerat en el mateix ramat")</f>
        <v>Distància màxima per altres aus per ser considerat en el mateix ramat</v>
      </c>
      <c r="J446" s="12" t="str">
        <f ca="1">IFERROR(__xludf.DUMMYFUNCTION("GOOGLETRANSLATE($B445,""en"",J$3)"),"Maximální vzdálenost pro ostatní ptáky je třeba zvážit ve stejném stádu")</f>
        <v>Maximální vzdálenost pro ostatní ptáky je třeba zvážit ve stejném stádu</v>
      </c>
      <c r="K446" s="12" t="str">
        <f ca="1">IFERROR(__xludf.DUMMYFUNCTION("GOOGLETRANSLATE($B445,""en"",K$3)"),"对于其他鸟类的最大距离在同一个群被认为是")</f>
        <v>对于其他鸟类的最大距离在同一个群被认为是</v>
      </c>
      <c r="L446" s="12" t="str">
        <f ca="1">IFERROR(__xludf.DUMMYFUNCTION("GOOGLETRANSLATE($B445,""en"",L$3)"),"對於其他鳥類的最大距離在同一個群被認為是")</f>
        <v>對於其他鳥類的最大距離在同一個群被認為是</v>
      </c>
      <c r="M446" s="12" t="str">
        <f ca="1">IFERROR(__xludf.DUMMYFUNCTION("GOOGLETRANSLATE($B445,""en"",M$3)"),"Maximale afstand voor andere vogels te worden beschouwd in hetzelfde koppel")</f>
        <v>Maximale afstand voor andere vogels te worden beschouwd in hetzelfde koppel</v>
      </c>
      <c r="N446" s="12" t="str">
        <f ca="1">IFERROR(__xludf.DUMMYFUNCTION("GOOGLETRANSLATE($B445,""en"",N$3)"),"Μέγιστη απόσταση για άλλα πτηνά που πρέπει να εξεταστούν στο ίδιο κοπάδι")</f>
        <v>Μέγιστη απόσταση για άλλα πτηνά που πρέπει να εξεταστούν στο ίδιο κοπάδι</v>
      </c>
      <c r="O446" s="12" t="str">
        <f ca="1">IFERROR(__xludf.DUMMYFUNCTION("GOOGLETRANSLATE($B445,""en"",O$3)"),"Suurin etäisyys Muiden lintujen katsotaan samassa parvessa")</f>
        <v>Suurin etäisyys Muiden lintujen katsotaan samassa parvessa</v>
      </c>
      <c r="P446" s="12" t="str">
        <f ca="1">IFERROR(__xludf.DUMMYFUNCTION("GOOGLETRANSLATE($B445,""en"",P$3)"),"Max achar d'éin eile le cur san áireamh sa tréad céanna")</f>
        <v>Max achar d'éin eile le cur san áireamh sa tréad céanna</v>
      </c>
      <c r="Q446" s="12" t="str">
        <f ca="1">IFERROR(__xludf.DUMMYFUNCTION("GOOGLETRANSLATE($B445,""en"",Q$3)"),"حداکثر فاصله برای پرندگان دیگر را به در همان گله در نظر گرفته شود")</f>
        <v>حداکثر فاصله برای پرندگان دیگر را به در همان گله در نظر گرفته شود</v>
      </c>
      <c r="R446" s="12" t="str">
        <f ca="1">IFERROR(__xludf.DUMMYFUNCTION("GOOGLETRANSLATE($B445,""en"",R$3)"),"מרחק מקסימאלי עבור ציפור אחרות כדי להיחשב באותה הלהקה")</f>
        <v>מרחק מקסימאלי עבור ציפור אחרות כדי להיחשב באותה הלהקה</v>
      </c>
      <c r="S446" s="12" t="str">
        <f ca="1">IFERROR(__xludf.DUMMYFUNCTION("GOOGLETRANSLATE($B445,""en"",S$3)"),"Max vegalengd fyrir aðra fugla til að hafa í huga við sama hópnum")</f>
        <v>Max vegalengd fyrir aðra fugla til að hafa í huga við sama hópnum</v>
      </c>
      <c r="T446" s="12" t="str">
        <f ca="1">IFERROR(__xludf.DUMMYFUNCTION("GOOGLETRANSLATE($B445,""en"",T$3)"),"Maks avstand til andre fugler å bli vurdert i samme flokk")</f>
        <v>Maks avstand til andre fugler å bli vurdert i samme flokk</v>
      </c>
      <c r="U446" s="12" t="str">
        <f ca="1">IFERROR(__xludf.DUMMYFUNCTION("GOOGLETRANSLATE($B445,""en"",U$3)"),"المسافة القصوى للطيور أخرى للنظر في نفس القطيع")</f>
        <v>المسافة القصوى للطيور أخرى للنظر في نفس القطيع</v>
      </c>
      <c r="V446" s="12" t="str">
        <f ca="1">IFERROR(__xludf.DUMMYFUNCTION("GOOGLETRANSLATE($B445,""en"",V$3)"),"Maksymalna odległość dla innych ptaków, które należy uwzględnić w tym samym stadzie")</f>
        <v>Maksymalna odległość dla innych ptaków, które należy uwzględnić w tym samym stadzie</v>
      </c>
      <c r="W446" s="12" t="str">
        <f ca="1">IFERROR(__xludf.DUMMYFUNCTION("GOOGLETRANSLATE($B445,""en"",W$3)"),"Максимальное расстояние для других птиц, которые будут рассматриваться в том же стаде")</f>
        <v>Максимальное расстояние для других птиц, которые будут рассматриваться в том же стаде</v>
      </c>
      <c r="X446" s="12" t="str">
        <f ca="1">IFERROR(__xludf.DUMMYFUNCTION("GOOGLETRANSLATE($B445,""en"",X$3)"),"Distancia máxima para otras aves para ser considerado en el mismo rebaño")</f>
        <v>Distancia máxima para otras aves para ser considerado en el mismo rebaño</v>
      </c>
      <c r="Y446" s="12"/>
      <c r="Z446" s="12"/>
    </row>
    <row r="447" spans="1:26" ht="32.25" customHeight="1" x14ac:dyDescent="0.2">
      <c r="A447" s="17" t="s">
        <v>1001</v>
      </c>
      <c r="B447" s="17" t="s">
        <v>1002</v>
      </c>
      <c r="C447" s="21" t="str">
        <f ca="1">IFERROR(__xludf.DUMMYFUNCTION("GOOGLETRANSLATE($B447,""en"",C$3)"),"Max Höhe (default = 45,0)")</f>
        <v>Max Höhe (default = 45,0)</v>
      </c>
      <c r="D447" s="21" t="str">
        <f ca="1">IFERROR(__xludf.DUMMYFUNCTION("GOOGLETRANSLATE($B447,""en"",D$3)"),"Max Höjd (default = 45,0)")</f>
        <v>Max Höjd (default = 45,0)</v>
      </c>
      <c r="E447" s="21" t="str">
        <f ca="1">IFERROR(__xludf.DUMMYFUNCTION("GOOGLETRANSLATE($B447,""en"",E$3)"),"Altura máxima (padrão = 45,0)")</f>
        <v>Altura máxima (padrão = 45,0)</v>
      </c>
      <c r="F447" s="21" t="str">
        <f ca="1">IFERROR(__xludf.DUMMYFUNCTION("GOOGLETRANSLATE($B447,""en"",F$3)"),"Altura máxima (padrão = 45,0)")</f>
        <v>Altura máxima (padrão = 45,0)</v>
      </c>
      <c r="G447" s="21" t="str">
        <f ca="1">IFERROR(__xludf.DUMMYFUNCTION("GOOGLETRANSLATE($B447,""en"",G$3)"),"Hauteur max (valeur par défaut = 45,0)")</f>
        <v>Hauteur max (valeur par défaut = 45,0)</v>
      </c>
      <c r="H447" s="21" t="str">
        <f ca="1">IFERROR(__xludf.DUMMYFUNCTION("GOOGLETRANSLATE($B447,""en"",H$3)"),"Max Altuera (lehenetsia = 45,0)")</f>
        <v>Max Altuera (lehenetsia = 45,0)</v>
      </c>
      <c r="I447" s="21" t="str">
        <f ca="1">IFERROR(__xludf.DUMMYFUNCTION("GOOGLETRANSLATE($B447,""en"",I$3)"),"Alçada màxima (per defecte = 45,0)")</f>
        <v>Alçada màxima (per defecte = 45,0)</v>
      </c>
      <c r="J447" s="21" t="str">
        <f ca="1">IFERROR(__xludf.DUMMYFUNCTION("GOOGLETRANSLATE($B447,""en"",J$3)"),"Maximální výška (default = 45.0)")</f>
        <v>Maximální výška (default = 45.0)</v>
      </c>
      <c r="K447" s="21" t="str">
        <f ca="1">IFERROR(__xludf.DUMMYFUNCTION("GOOGLETRANSLATE($B447,""en"",K$3)"),"最大高度（缺省值= 45.0）")</f>
        <v>最大高度（缺省值= 45.0）</v>
      </c>
      <c r="L447" s="21" t="str">
        <f ca="1">IFERROR(__xludf.DUMMYFUNCTION("GOOGLETRANSLATE($B447,""en"",L$3)"),"最大高度（缺省值= 45.0）")</f>
        <v>最大高度（缺省值= 45.0）</v>
      </c>
      <c r="M447" s="21" t="str">
        <f ca="1">IFERROR(__xludf.DUMMYFUNCTION("GOOGLETRANSLATE($B447,""en"",M$3)"),"Max Hoogte (default = 45.0)")</f>
        <v>Max Hoogte (default = 45.0)</v>
      </c>
      <c r="N447" s="21" t="str">
        <f ca="1">IFERROR(__xludf.DUMMYFUNCTION("GOOGLETRANSLATE($B447,""en"",N$3)"),"Max Ύψος (default = 45,0)")</f>
        <v>Max Ύψος (default = 45,0)</v>
      </c>
      <c r="O447" s="21" t="str">
        <f ca="1">IFERROR(__xludf.DUMMYFUNCTION("GOOGLETRANSLATE($B447,""en"",O$3)"),"Suurin korkeus (oletus = 45,0)")</f>
        <v>Suurin korkeus (oletus = 45,0)</v>
      </c>
      <c r="P447" s="21" t="str">
        <f ca="1">IFERROR(__xludf.DUMMYFUNCTION("GOOGLETRANSLATE($B447,""en"",P$3)"),"Max Airde (réamhshocrú = 45.0)")</f>
        <v>Max Airde (réamhshocrú = 45.0)</v>
      </c>
      <c r="Q447" s="21" t="str">
        <f ca="1">IFERROR(__xludf.DUMMYFUNCTION("GOOGLETRANSLATE($B447,""en"",Q$3)"),"حداکثر ارتفاع (به طور پیش فرض = 45.0)")</f>
        <v>حداکثر ارتفاع (به طور پیش فرض = 45.0)</v>
      </c>
      <c r="R447" s="21" t="str">
        <f ca="1">IFERROR(__xludf.DUMMYFUNCTION("GOOGLETRANSLATE($B447,""en"",R$3)"),"גובה מקס (ברירת מחדל = 45.0)")</f>
        <v>גובה מקס (ברירת מחדל = 45.0)</v>
      </c>
      <c r="S447" s="21" t="str">
        <f ca="1">IFERROR(__xludf.DUMMYFUNCTION("GOOGLETRANSLATE($B447,""en"",S$3)"),"Max Hæð (sjálfgefið = 45,0)")</f>
        <v>Max Hæð (sjálfgefið = 45,0)</v>
      </c>
      <c r="T447" s="21" t="str">
        <f ca="1">IFERROR(__xludf.DUMMYFUNCTION("GOOGLETRANSLATE($B447,""en"",T$3)"),"Maks høyde (standard = 45,0)")</f>
        <v>Maks høyde (standard = 45,0)</v>
      </c>
      <c r="U447" s="21" t="str">
        <f ca="1">IFERROR(__xludf.DUMMYFUNCTION("GOOGLETRANSLATE($B447,""en"",U$3)"),"ماكس الطول (الافتراضي = 45.0)")</f>
        <v>ماكس الطول (الافتراضي = 45.0)</v>
      </c>
      <c r="V447" s="21" t="str">
        <f ca="1">IFERROR(__xludf.DUMMYFUNCTION("GOOGLETRANSLATE($B447,""en"",V$3)"),"Maksymalna wysokość (default = 45.0)")</f>
        <v>Maksymalna wysokość (default = 45.0)</v>
      </c>
      <c r="W447" s="21" t="str">
        <f ca="1">IFERROR(__xludf.DUMMYFUNCTION("GOOGLETRANSLATE($B447,""en"",W$3)"),"Максимальная высота (по умолчанию = 45,0)")</f>
        <v>Максимальная высота (по умолчанию = 45,0)</v>
      </c>
      <c r="X447" s="21" t="str">
        <f ca="1">IFERROR(__xludf.DUMMYFUNCTION("GOOGLETRANSLATE($B447,""en"",X$3)"),"Altura máxima (por defecto = 45,0)")</f>
        <v>Altura máxima (por defecto = 45,0)</v>
      </c>
      <c r="Y447" s="21"/>
      <c r="Z447" s="21"/>
    </row>
    <row r="448" spans="1:26" ht="32.25" customHeight="1" x14ac:dyDescent="0.2">
      <c r="A448" s="17" t="s">
        <v>1003</v>
      </c>
      <c r="B448" s="17" t="s">
        <v>1004</v>
      </c>
      <c r="C448" s="21" t="str">
        <f ca="1">IFERROR(__xludf.DUMMYFUNCTION("GOOGLETRANSLATE($B448,""en"",C$3)"),"256 Meter in Feuersturm. 1500 Meter mit Singularity. Sie können nicht regelmäßig prim größer als diese machen")</f>
        <v>256 Meter in Feuersturm. 1500 Meter mit Singularity. Sie können nicht regelmäßig prim größer als diese machen</v>
      </c>
      <c r="D448" s="21" t="str">
        <f ca="1">IFERROR(__xludf.DUMMYFUNCTION("GOOGLETRANSLATE($B448,""en"",D$3)"),"256 meter i Firestorm. 1500 meter med singularitet. Du kan inte göra en vanlig prim större än detta")</f>
        <v>256 meter i Firestorm. 1500 meter med singularitet. Du kan inte göra en vanlig prim större än detta</v>
      </c>
      <c r="E448" s="21" t="str">
        <f ca="1">IFERROR(__xludf.DUMMYFUNCTION("GOOGLETRANSLATE($B448,""en"",E$3)"),"256 metros de Firestorm. 1500 metros com singularidade. Você não pode fazer uma prim regulares maior do que isso")</f>
        <v>256 metros de Firestorm. 1500 metros com singularidade. Você não pode fazer uma prim regulares maior do que isso</v>
      </c>
      <c r="F448" s="21" t="str">
        <f ca="1">IFERROR(__xludf.DUMMYFUNCTION("GOOGLETRANSLATE($B448,""en"",F$3)"),"256 metros de Firestorm. 1500 metros com singularidade. Você não pode fazer uma prim regulares maior do que isso")</f>
        <v>256 metros de Firestorm. 1500 metros com singularidade. Você não pode fazer uma prim regulares maior do que isso</v>
      </c>
      <c r="G448" s="21" t="str">
        <f ca="1">IFERROR(__xludf.DUMMYFUNCTION("GOOGLETRANSLATE($B448,""en"",G$3)"),"256 mètres de Firestorm. 1500 mètres avec Singularity. Vous ne pouvez pas faire une prim régulière plus grand que ce")</f>
        <v>256 mètres de Firestorm. 1500 mètres avec Singularity. Vous ne pouvez pas faire une prim régulière plus grand que ce</v>
      </c>
      <c r="H448" s="21" t="str">
        <f ca="1">IFERROR(__xludf.DUMMYFUNCTION("GOOGLETRANSLATE($B448,""en"",H$3)"),"256 metro Firestorm ere. Singularity batera 1500 metro. Ezin duzu erregularra prim a hau baino handiagoa")</f>
        <v>256 metro Firestorm ere. Singularity batera 1500 metro. Ezin duzu erregularra prim a hau baino handiagoa</v>
      </c>
      <c r="I448" s="21" t="str">
        <f ca="1">IFERROR(__xludf.DUMMYFUNCTION("GOOGLETRANSLATE($B448,""en"",I$3)"),"256 metres de la tempesta de foc. 1500 metres amb singularitat. No es pot fer una prim regulars més gran que això")</f>
        <v>256 metres de la tempesta de foc. 1500 metres amb singularitat. No es pot fer una prim regulars més gran que això</v>
      </c>
      <c r="J448" s="21" t="str">
        <f ca="1">IFERROR(__xludf.DUMMYFUNCTION("GOOGLETRANSLATE($B448,""en"",J$3)"),"256 metrů Firestorm. 1500 metrů s Singularity. Nemůžete dělat pravidelné prim větší než toto")</f>
        <v>256 metrů Firestorm. 1500 metrů s Singularity. Nemůžete dělat pravidelné prim větší než toto</v>
      </c>
      <c r="K448" s="21" t="str">
        <f ca="1">IFERROR(__xludf.DUMMYFUNCTION("GOOGLETRANSLATE($B448,""en"",K$3)"),"256米在烈焰风暴。 1500米奇异。你不能让一个普通一本正经比这更大")</f>
        <v>256米在烈焰风暴。 1500米奇异。你不能让一个普通一本正经比这更大</v>
      </c>
      <c r="L448" s="21" t="str">
        <f ca="1">IFERROR(__xludf.DUMMYFUNCTION("GOOGLETRANSLATE($B448,""en"",L$3)"),"256米在烈焰風暴。 1500米奇異。你不能讓一個普通一本正經比這更大")</f>
        <v>256米在烈焰風暴。 1500米奇異。你不能讓一個普通一本正經比這更大</v>
      </c>
      <c r="M448" s="21" t="str">
        <f ca="1">IFERROR(__xludf.DUMMYFUNCTION("GOOGLETRANSLATE($B448,""en"",M$3)"),"256 meter in Firestorm. 1500 meter met Singularity. Je kunt niet een gewone prim groter dan dit te maken")</f>
        <v>256 meter in Firestorm. 1500 meter met Singularity. Je kunt niet een gewone prim groter dan dit te maken</v>
      </c>
      <c r="N448" s="21" t="str">
        <f ca="1">IFERROR(__xludf.DUMMYFUNCTION("GOOGLETRANSLATE($B448,""en"",N$3)"),"256 μέτρα σε Firestorm. 1500 μέτρα με Μοναδικότητα. Δεν μπορείτε να κάνετε μια κανονική prim μεγαλύτερο από αυτό")</f>
        <v>256 μέτρα σε Firestorm. 1500 μέτρα με Μοναδικότητα. Δεν μπορείτε να κάνετε μια κανονική prim μεγαλύτερο από αυτό</v>
      </c>
      <c r="O448" s="21" t="str">
        <f ca="1">IFERROR(__xludf.DUMMYFUNCTION("GOOGLETRANSLATE($B448,""en"",O$3)"),"256 metriä Firestorm. 1500 metriä Singularity. Et voi soittaa tavallisen Prim tätä suurempi")</f>
        <v>256 metriä Firestorm. 1500 metriä Singularity. Et voi soittaa tavallisen Prim tätä suurempi</v>
      </c>
      <c r="P448" s="21" t="str">
        <f ca="1">IFERROR(__xludf.DUMMYFUNCTION("GOOGLETRANSLATE($B448,""en"",P$3)"),"256 méadar i Firestorm. 1500 méadar le Singularity. Ní féidir leat a dhéanamh prim rialta níos mó ná sin")</f>
        <v>256 méadar i Firestorm. 1500 méadar le Singularity. Ní féidir leat a dhéanamh prim rialta níos mó ná sin</v>
      </c>
      <c r="Q448" s="21" t="str">
        <f ca="1">IFERROR(__xludf.DUMMYFUNCTION("GOOGLETRANSLATE($B448,""en"",Q$3)"),"256 متر در طوفان. 1500 متر با تکینگی است. شما می توانید یک رسمی و خشک به طور منظم بزرگتر از این را")</f>
        <v>256 متر در طوفان. 1500 متر با تکینگی است. شما می توانید یک رسمی و خشک به طور منظم بزرگتر از این را</v>
      </c>
      <c r="R448" s="21" t="str">
        <f ca="1">IFERROR(__xludf.DUMMYFUNCTION("GOOGLETRANSLATE($B448,""en"",R$3)"),"256 מטרים ב Firestorm. 1500 מטר עם Singularity. אתה לא יכול לעשות פרים רגילים גדול מזה")</f>
        <v>256 מטרים ב Firestorm. 1500 מטר עם Singularity. אתה לא יכול לעשות פרים רגילים גדול מזה</v>
      </c>
      <c r="S448" s="21" t="str">
        <f ca="1">IFERROR(__xludf.DUMMYFUNCTION("GOOGLETRANSLATE($B448,""en"",S$3)"),"256 metrar í Firestorm. 1500 metra með singularity. Þú getur ekki gert reglulega Prím stærri en þetta")</f>
        <v>256 metrar í Firestorm. 1500 metra með singularity. Þú getur ekki gert reglulega Prím stærri en þetta</v>
      </c>
      <c r="T448" s="21" t="str">
        <f ca="1">IFERROR(__xludf.DUMMYFUNCTION("GOOGLETRANSLATE($B448,""en"",T$3)"),"256 meter i Storm. 1500 meter med singularitet. Du kan ikke lage en vanlig prim større enn dette")</f>
        <v>256 meter i Storm. 1500 meter med singularitet. Du kan ikke lage en vanlig prim større enn dette</v>
      </c>
      <c r="U448" s="21" t="str">
        <f ca="1">IFERROR(__xludf.DUMMYFUNCTION("GOOGLETRANSLATE($B448,""en"",U$3)"),"256 متر في عاصفة. 1500 متر مع التفرد. لا يمكنك جعل متزمت العادية أكبر من هذا")</f>
        <v>256 متر في عاصفة. 1500 متر مع التفرد. لا يمكنك جعل متزمت العادية أكبر من هذا</v>
      </c>
      <c r="V448" s="21" t="str">
        <f ca="1">IFERROR(__xludf.DUMMYFUNCTION("GOOGLETRANSLATE($B448,""en"",V$3)"),"256 metrów Firestorm. 1500 m ze Osobliwości. Nie można zrobić zwykłym prim większy niż ten")</f>
        <v>256 metrów Firestorm. 1500 m ze Osobliwości. Nie można zrobić zwykłym prim większy niż ten</v>
      </c>
      <c r="W448" s="21" t="str">
        <f ca="1">IFERROR(__xludf.DUMMYFUNCTION("GOOGLETRANSLATE($B448,""en"",W$3)"),"256 метров в Firestorm. 1500 метров с Singularity. Вы не можете сделать регулярную примой больше, чем это")</f>
        <v>256 метров в Firestorm. 1500 метров с Singularity. Вы не можете сделать регулярную примой больше, чем это</v>
      </c>
      <c r="X448" s="21" t="str">
        <f ca="1">IFERROR(__xludf.DUMMYFUNCTION("GOOGLETRANSLATE($B448,""en"",X$3)"),"256 metros de la tormenta de fuego. 1500 metros con singularidad. No se puede hacer una prim regulares más grande que esto")</f>
        <v>256 metros de la tormenta de fuego. 1500 metros con singularidad. No se puede hacer una prim regulares más grande que esto</v>
      </c>
      <c r="Y448" s="21"/>
      <c r="Z448" s="21"/>
    </row>
    <row r="449" spans="1:26" ht="32.25" customHeight="1" x14ac:dyDescent="0.2">
      <c r="A449" s="17" t="s">
        <v>1005</v>
      </c>
      <c r="B449" s="17" t="s">
        <v>1006</v>
      </c>
      <c r="C449" s="21" t="str">
        <f ca="1">IFERROR(__xludf.DUMMYFUNCTION("GOOGLETRANSLATE($B449,""en"",C$3)"),"Max Anzahl der Prims in einem Paket")</f>
        <v>Max Anzahl der Prims in einem Paket</v>
      </c>
      <c r="D449" s="21" t="str">
        <f ca="1">IFERROR(__xludf.DUMMYFUNCTION("GOOGLETRANSLATE($B449,""en"",D$3)"),"Max antal Prims i ett paket")</f>
        <v>Max antal Prims i ett paket</v>
      </c>
      <c r="E449" s="21" t="str">
        <f ca="1">IFERROR(__xludf.DUMMYFUNCTION("GOOGLETRANSLATE($B449,""en"",E$3)"),"Número máximo de Prims em uma Parcel")</f>
        <v>Número máximo de Prims em uma Parcel</v>
      </c>
      <c r="F449" s="21" t="str">
        <f ca="1">IFERROR(__xludf.DUMMYFUNCTION("GOOGLETRANSLATE($B449,""en"",F$3)"),"Número máximo de Prims em uma Parcel")</f>
        <v>Número máximo de Prims em uma Parcel</v>
      </c>
      <c r="G449" s="21" t="str">
        <f ca="1">IFERROR(__xludf.DUMMYFUNCTION("GOOGLETRANSLATE($B449,""en"",G$3)"),"Nombre maximum de Prims dans une parcelle")</f>
        <v>Nombre maximum de Prims dans une parcelle</v>
      </c>
      <c r="H449" s="21" t="str">
        <f ca="1">IFERROR(__xludf.DUMMYFUNCTION("GOOGLETRANSLATE($B449,""en"",H$3)"),"Max Prims kopurua pakete bat ere")</f>
        <v>Max Prims kopurua pakete bat ere</v>
      </c>
      <c r="I449" s="21" t="str">
        <f ca="1">IFERROR(__xludf.DUMMYFUNCTION("GOOGLETRANSLATE($B449,""en"",I$3)"),"Màxima de Prims en una parcel·la")</f>
        <v>Màxima de Prims en una parcel·la</v>
      </c>
      <c r="J449" s="21" t="str">
        <f ca="1">IFERROR(__xludf.DUMMYFUNCTION("GOOGLETRANSLATE($B449,""en"",J$3)"),"Maximální počet prims v Parcel")</f>
        <v>Maximální počet prims v Parcel</v>
      </c>
      <c r="K449" s="21" t="str">
        <f ca="1">IFERROR(__xludf.DUMMYFUNCTION("GOOGLETRANSLATE($B449,""en"",K$3)"),"在地块Prims的最大数量")</f>
        <v>在地块Prims的最大数量</v>
      </c>
      <c r="L449" s="21" t="str">
        <f ca="1">IFERROR(__xludf.DUMMYFUNCTION("GOOGLETRANSLATE($B449,""en"",L$3)"),"在地塊Prims的最大數量")</f>
        <v>在地塊Prims的最大數量</v>
      </c>
      <c r="M449" s="21" t="str">
        <f ca="1">IFERROR(__xludf.DUMMYFUNCTION("GOOGLETRANSLATE($B449,""en"",M$3)"),"Max Aantal Prims in een Parcel")</f>
        <v>Max Aantal Prims in een Parcel</v>
      </c>
      <c r="N449" s="21" t="str">
        <f ca="1">IFERROR(__xludf.DUMMYFUNCTION("GOOGLETRANSLATE($B449,""en"",N$3)"),"Μέγιστος αριθμός PRIMS σε αγροτεμάχιο")</f>
        <v>Μέγιστος αριθμός PRIMS σε αγροτεμάχιο</v>
      </c>
      <c r="O449" s="21" t="str">
        <f ca="1">IFERROR(__xludf.DUMMYFUNCTION("GOOGLETRANSLATE($B449,""en"",O$3)"),"Max lukumäärä prims pakettilokeroyksikköön")</f>
        <v>Max lukumäärä prims pakettilokeroyksikköön</v>
      </c>
      <c r="P449" s="21" t="str">
        <f ca="1">IFERROR(__xludf.DUMMYFUNCTION("GOOGLETRANSLATE($B449,""en"",P$3)"),"Max Líon na Prims i Beartán")</f>
        <v>Max Líon na Prims i Beartán</v>
      </c>
      <c r="Q449" s="21" t="str">
        <f ca="1">IFERROR(__xludf.DUMMYFUNCTION("GOOGLETRANSLATE($B449,""en"",Q$3)"),"حداکثر تعداد Prims در یک بسته")</f>
        <v>حداکثر تعداد Prims در یک بسته</v>
      </c>
      <c r="R449" s="21" t="str">
        <f ca="1">IFERROR(__xludf.DUMMYFUNCTION("GOOGLETRANSLATE($B449,""en"",R$3)"),"מקס מספר Prims בחטיבה")</f>
        <v>מקס מספר Prims בחטיבה</v>
      </c>
      <c r="S449" s="21" t="str">
        <f ca="1">IFERROR(__xludf.DUMMYFUNCTION("GOOGLETRANSLATE($B449,""en"",S$3)"),"Max Fjöldi Prims í pakka")</f>
        <v>Max Fjöldi Prims í pakka</v>
      </c>
      <c r="T449" s="21" t="str">
        <f ca="1">IFERROR(__xludf.DUMMYFUNCTION("GOOGLETRANSLATE($B449,""en"",T$3)"),"Max antall Prims i en pakke")</f>
        <v>Max antall Prims i en pakke</v>
      </c>
      <c r="U449" s="21" t="str">
        <f ca="1">IFERROR(__xludf.DUMMYFUNCTION("GOOGLETRANSLATE($B449,""en"",U$3)"),"ماكس عدد PRIMS في الطرود")</f>
        <v>ماكس عدد PRIMS في الطرود</v>
      </c>
      <c r="V449" s="21" t="str">
        <f ca="1">IFERROR(__xludf.DUMMYFUNCTION("GOOGLETRANSLATE($B449,""en"",V$3)"),"Maksymalna liczba Prims w paczce")</f>
        <v>Maksymalna liczba Prims w paczce</v>
      </c>
      <c r="W449" s="21" t="str">
        <f ca="1">IFERROR(__xludf.DUMMYFUNCTION("GOOGLETRANSLATE($B449,""en"",W$3)"),"Максимальное количество примитивов в посылке")</f>
        <v>Максимальное количество примитивов в посылке</v>
      </c>
      <c r="X449" s="21" t="str">
        <f ca="1">IFERROR(__xludf.DUMMYFUNCTION("GOOGLETRANSLATE($B449,""en"",X$3)"),"Número máximo de Prims en una parcela")</f>
        <v>Número máximo de Prims en una parcela</v>
      </c>
      <c r="Y449" s="21"/>
      <c r="Z449" s="21"/>
    </row>
    <row r="450" spans="1:26" ht="32.25" customHeight="1" x14ac:dyDescent="0.2">
      <c r="A450" s="17" t="s">
        <v>1007</v>
      </c>
      <c r="B450" s="17" t="s">
        <v>1008</v>
      </c>
      <c r="C450" s="21" t="str">
        <f ca="1">IFERROR(__xludf.DUMMYFUNCTION("GOOGLETRANSLATE($B450,""en"",C$3)"),"Sie können keine physische prim größer als diese machen")</f>
        <v>Sie können keine physische prim größer als diese machen</v>
      </c>
      <c r="D450" s="21" t="str">
        <f ca="1">IFERROR(__xludf.DUMMYFUNCTION("GOOGLETRANSLATE($B450,""en"",D$3)"),"Du kan inte göra en fysisk prim större än detta")</f>
        <v>Du kan inte göra en fysisk prim större än detta</v>
      </c>
      <c r="E450" s="21" t="str">
        <f ca="1">IFERROR(__xludf.DUMMYFUNCTION("GOOGLETRANSLATE($B450,""en"",E$3)"),"Você não pode fazer uma prim física maior do que isso")</f>
        <v>Você não pode fazer uma prim física maior do que isso</v>
      </c>
      <c r="F450" s="21" t="str">
        <f ca="1">IFERROR(__xludf.DUMMYFUNCTION("GOOGLETRANSLATE($B450,""en"",F$3)"),"Você não pode fazer uma prim física maior do que isso")</f>
        <v>Você não pode fazer uma prim física maior do que isso</v>
      </c>
      <c r="G450" s="21" t="str">
        <f ca="1">IFERROR(__xludf.DUMMYFUNCTION("GOOGLETRANSLATE($B450,""en"",G$3)"),"Vous ne pouvez pas faire une prim physique plus grand que ce")</f>
        <v>Vous ne pouvez pas faire une prim physique plus grand que ce</v>
      </c>
      <c r="H450" s="21" t="str">
        <f ca="1">IFERROR(__xludf.DUMMYFUNCTION("GOOGLETRANSLATE($B450,""en"",H$3)"),"Ezin duzu prim fisiko bat hau baino handiagoa")</f>
        <v>Ezin duzu prim fisiko bat hau baino handiagoa</v>
      </c>
      <c r="I450" s="21" t="str">
        <f ca="1">IFERROR(__xludf.DUMMYFUNCTION("GOOGLETRANSLATE($B450,""en"",I$3)"),"No es pot fer una prim física més gran que això")</f>
        <v>No es pot fer una prim física més gran que això</v>
      </c>
      <c r="J450" s="21" t="str">
        <f ca="1">IFERROR(__xludf.DUMMYFUNCTION("GOOGLETRANSLATE($B450,""en"",J$3)"),"Nemůžete dělat fyzický prim větší než toto")</f>
        <v>Nemůžete dělat fyzický prim větší než toto</v>
      </c>
      <c r="K450" s="21" t="str">
        <f ca="1">IFERROR(__xludf.DUMMYFUNCTION("GOOGLETRANSLATE($B450,""en"",K$3)"),"你不能让一个物理一本正经比这更大")</f>
        <v>你不能让一个物理一本正经比这更大</v>
      </c>
      <c r="L450" s="21" t="str">
        <f ca="1">IFERROR(__xludf.DUMMYFUNCTION("GOOGLETRANSLATE($B450,""en"",L$3)"),"你不能讓一個物理一本正經比這更大")</f>
        <v>你不能讓一個物理一本正經比這更大</v>
      </c>
      <c r="M450" s="21" t="str">
        <f ca="1">IFERROR(__xludf.DUMMYFUNCTION("GOOGLETRANSLATE($B450,""en"",M$3)"),"Je kunt geen fysieke prim groter dan dit te maken")</f>
        <v>Je kunt geen fysieke prim groter dan dit te maken</v>
      </c>
      <c r="N450" s="21" t="str">
        <f ca="1">IFERROR(__xludf.DUMMYFUNCTION("GOOGLETRANSLATE($B450,""en"",N$3)"),"Δεν μπορείτε να κάνετε μια φυσική prim μεγαλύτερο από αυτό")</f>
        <v>Δεν μπορείτε να κάνετε μια φυσική prim μεγαλύτερο από αυτό</v>
      </c>
      <c r="O450" s="21" t="str">
        <f ca="1">IFERROR(__xludf.DUMMYFUNCTION("GOOGLETRANSLATE($B450,""en"",O$3)"),"Et voi tehdä fyysistä Prim tätä suurempi")</f>
        <v>Et voi tehdä fyysistä Prim tätä suurempi</v>
      </c>
      <c r="P450" s="21" t="str">
        <f ca="1">IFERROR(__xludf.DUMMYFUNCTION("GOOGLETRANSLATE($B450,""en"",P$3)"),"Ní féidir leat a dhéanamh prim fisiciúil níos mó ná sin")</f>
        <v>Ní féidir leat a dhéanamh prim fisiciúil níos mó ná sin</v>
      </c>
      <c r="Q450" s="21" t="str">
        <f ca="1">IFERROR(__xludf.DUMMYFUNCTION("GOOGLETRANSLATE($B450,""en"",Q$3)"),"شما می توانید یک رسمی و خشک فیزیکی بزرگتر از این را")</f>
        <v>شما می توانید یک رسمی و خشک فیزیکی بزرگتر از این را</v>
      </c>
      <c r="R450" s="21" t="str">
        <f ca="1">IFERROR(__xludf.DUMMYFUNCTION("GOOGLETRANSLATE($B450,""en"",R$3)"),"אתה לא יכול לעשות פרים פיזי גדול מזה")</f>
        <v>אתה לא יכול לעשות פרים פיזי גדול מזה</v>
      </c>
      <c r="S450" s="21" t="str">
        <f ca="1">IFERROR(__xludf.DUMMYFUNCTION("GOOGLETRANSLATE($B450,""en"",S$3)"),"Þú getur ekki gert líkamlega Prím stærri en þetta")</f>
        <v>Þú getur ekki gert líkamlega Prím stærri en þetta</v>
      </c>
      <c r="T450" s="21" t="str">
        <f ca="1">IFERROR(__xludf.DUMMYFUNCTION("GOOGLETRANSLATE($B450,""en"",T$3)"),"Du kan ikke lage en fysisk prim større enn dette")</f>
        <v>Du kan ikke lage en fysisk prim større enn dette</v>
      </c>
      <c r="U450" s="21" t="str">
        <f ca="1">IFERROR(__xludf.DUMMYFUNCTION("GOOGLETRANSLATE($B450,""en"",U$3)"),"لا يمكنك جعل متزمت المادي أكبر من هذا")</f>
        <v>لا يمكنك جعل متزمت المادي أكبر من هذا</v>
      </c>
      <c r="V450" s="21" t="str">
        <f ca="1">IFERROR(__xludf.DUMMYFUNCTION("GOOGLETRANSLATE($B450,""en"",V$3)"),"Nie można dokonać fizycznego prim większy niż ten")</f>
        <v>Nie można dokonać fizycznego prim większy niż ten</v>
      </c>
      <c r="W450" s="21" t="str">
        <f ca="1">IFERROR(__xludf.DUMMYFUNCTION("GOOGLETRANSLATE($B450,""en"",W$3)"),"Вы не можете сделать физический прима больше, чем это")</f>
        <v>Вы не можете сделать физический прима больше, чем это</v>
      </c>
      <c r="X450" s="21" t="str">
        <f ca="1">IFERROR(__xludf.DUMMYFUNCTION("GOOGLETRANSLATE($B450,""en"",X$3)"),"No se puede hacer una prim física más grande que esto")</f>
        <v>No se puede hacer una prim física más grande que esto</v>
      </c>
      <c r="Y450" s="21"/>
      <c r="Z450" s="21"/>
    </row>
    <row r="451" spans="1:26" ht="32.25" customHeight="1" x14ac:dyDescent="0.2">
      <c r="A451" s="17" t="s">
        <v>1009</v>
      </c>
      <c r="B451" s="17" t="s">
        <v>1010</v>
      </c>
      <c r="C451" s="21" t="str">
        <f ca="1">IFERROR(__xludf.DUMMYFUNCTION("GOOGLETRANSLATE($B451,""en"",C$3)"),"Dadurch wird die Anzahl der Prims auf einer Parzelle begrenzen. Es gibt keine Grenze außer Speicher, wenn deaktiviert.")</f>
        <v>Dadurch wird die Anzahl der Prims auf einer Parzelle begrenzen. Es gibt keine Grenze außer Speicher, wenn deaktiviert.</v>
      </c>
      <c r="D451" s="21" t="str">
        <f ca="1">IFERROR(__xludf.DUMMYFUNCTION("GOOGLETRANSLATE($B451,""en"",D$3)"),"Detta kommer att begränsa antalet Prims på ett skifte. Det finns ingen gräns förutom minnet när inaktiverad.")</f>
        <v>Detta kommer att begränsa antalet Prims på ett skifte. Det finns ingen gräns förutom minnet när inaktiverad.</v>
      </c>
      <c r="E451" s="21" t="str">
        <f ca="1">IFERROR(__xludf.DUMMYFUNCTION("GOOGLETRANSLATE($B451,""en"",E$3)"),"Isto irá limitar o número de prims em uma parcela. Não há limite, exceto memória quando desativado.")</f>
        <v>Isto irá limitar o número de prims em uma parcela. Não há limite, exceto memória quando desativado.</v>
      </c>
      <c r="F451" s="21" t="str">
        <f ca="1">IFERROR(__xludf.DUMMYFUNCTION("GOOGLETRANSLATE($B451,""en"",F$3)"),"Isto irá limitar o número de prims em uma parcela. Não há limite, exceto memória quando desativado.")</f>
        <v>Isto irá limitar o número de prims em uma parcela. Não há limite, exceto memória quando desativado.</v>
      </c>
      <c r="G451" s="21" t="str">
        <f ca="1">IFERROR(__xludf.DUMMYFUNCTION("GOOGLETRANSLATE($B451,""en"",G$3)"),"Cela limitera le nombre de prims sur une parcelle. Il n'y a pas de limite, sauf la mémoire quand il est désactivé.")</f>
        <v>Cela limitera le nombre de prims sur une parcelle. Il n'y a pas de limite, sauf la mémoire quand il est désactivé.</v>
      </c>
      <c r="H451" s="21" t="str">
        <f ca="1">IFERROR(__xludf.DUMMYFUNCTION("GOOGLETRANSLATE($B451,""en"",H$3)"),"Hau Prims kopurua murriztu egingo partzelaren batean. Ez dago mugarik memoria ezik denean desgaituta.")</f>
        <v>Hau Prims kopurua murriztu egingo partzelaren batean. Ez dago mugarik memoria ezik denean desgaituta.</v>
      </c>
      <c r="I451" s="21" t="str">
        <f ca="1">IFERROR(__xludf.DUMMYFUNCTION("GOOGLETRANSLATE($B451,""en"",I$3)"),"Això limitarà el nombre de prims en una parcel·la. No hi ha límit a excepció de memòria quan està desactivat.")</f>
        <v>Això limitarà el nombre de prims en una parcel·la. No hi ha límit a excepció de memòria quan està desactivat.</v>
      </c>
      <c r="J451" s="21" t="str">
        <f ca="1">IFERROR(__xludf.DUMMYFUNCTION("GOOGLETRANSLATE($B451,""en"",J$3)"),"Tím se omezí počet prims na pozemku. Neexistuje žádný limit kromě paměti při zakázána.")</f>
        <v>Tím se omezí počet prims na pozemku. Neexistuje žádný limit kromě paměti při zakázána.</v>
      </c>
      <c r="K451" s="21" t="str">
        <f ca="1">IFERROR(__xludf.DUMMYFUNCTION("GOOGLETRANSLATE($B451,""en"",K$3)"),"这将限制在一个包裹prims的数量。在禁用时没有除内存没有限制。")</f>
        <v>这将限制在一个包裹prims的数量。在禁用时没有除内存没有限制。</v>
      </c>
      <c r="L451" s="21" t="str">
        <f ca="1">IFERROR(__xludf.DUMMYFUNCTION("GOOGLETRANSLATE($B451,""en"",L$3)"),"這將限制在一個包裹prims的數量。在禁用時沒有除內存沒有限制。")</f>
        <v>這將限制在一個包裹prims的數量。在禁用時沒有除內存沒有限制。</v>
      </c>
      <c r="M451" s="21" t="str">
        <f ca="1">IFERROR(__xludf.DUMMYFUNCTION("GOOGLETRANSLATE($B451,""en"",M$3)"),"Dit zal het aantal prims te beperken op een perceel. Er is geen limiet, behalve geheugen wanneer uitgeschakeld.")</f>
        <v>Dit zal het aantal prims te beperken op een perceel. Er is geen limiet, behalve geheugen wanneer uitgeschakeld.</v>
      </c>
      <c r="N451" s="21" t="str">
        <f ca="1">IFERROR(__xludf.DUMMYFUNCTION("GOOGLETRANSLATE($B451,""en"",N$3)"),"Αυτό θα περιορίσει τον αριθμό των prims σε ένα δέμα. Δεν υπάρχει όριο, εκτός από τη μνήμη όταν απενεργοποιηθεί.")</f>
        <v>Αυτό θα περιορίσει τον αριθμό των prims σε ένα δέμα. Δεν υπάρχει όριο, εκτός από τη μνήμη όταν απενεργοποιηθεί.</v>
      </c>
      <c r="O451" s="21" t="str">
        <f ca="1">IFERROR(__xludf.DUMMYFUNCTION("GOOGLETRANSLATE($B451,""en"",O$3)"),"Tämä rajoittaa määrää prims lohkolle. Ei ole mitään rajaa, paitsi muistia, kun käytössä.")</f>
        <v>Tämä rajoittaa määrää prims lohkolle. Ei ole mitään rajaa, paitsi muistia, kun käytössä.</v>
      </c>
      <c r="P451" s="21" t="str">
        <f ca="1">IFERROR(__xludf.DUMMYFUNCTION("GOOGLETRANSLATE($B451,""en"",P$3)"),"Beidh sé seo teorainn le líon na n prims ar dháileacht. Níl aon teorainn amháin chuimhne nuair faoi mhíchumas.")</f>
        <v>Beidh sé seo teorainn le líon na n prims ar dháileacht. Níl aon teorainn amháin chuimhne nuair faoi mhíchumas.</v>
      </c>
      <c r="Q451" s="21" t="str">
        <f ca="1">IFERROR(__xludf.DUMMYFUNCTION("GOOGLETRANSLATE($B451,""en"",Q$3)"),"این خواهد شد تعدادی از prims در یک بسته محدود می کند. هیچ محدودیتی به جز حافظه وجود دارد که غیر فعال است.")</f>
        <v>این خواهد شد تعدادی از prims در یک بسته محدود می کند. هیچ محدودیتی به جز حافظه وجود دارد که غیر فعال است.</v>
      </c>
      <c r="R451" s="21" t="str">
        <f ca="1">IFERROR(__xludf.DUMMYFUNCTION("GOOGLETRANSLATE($B451,""en"",R$3)"),"זה יגביל את מספר prims על חבילה. אין מגבלה למעט זיכרון כאשר הן מושבתות.")</f>
        <v>זה יגביל את מספר prims על חבילה. אין מגבלה למעט זיכרון כאשר הן מושבתות.</v>
      </c>
      <c r="S451" s="21" t="str">
        <f ca="1">IFERROR(__xludf.DUMMYFUNCTION("GOOGLETRANSLATE($B451,""en"",S$3)"),"Þetta mun takmarka fjölda prims á pakka. Það eru engin takmörk nema minni þegar óvirk.")</f>
        <v>Þetta mun takmarka fjölda prims á pakka. Það eru engin takmörk nema minni þegar óvirk.</v>
      </c>
      <c r="T451" s="21" t="str">
        <f ca="1">IFERROR(__xludf.DUMMYFUNCTION("GOOGLETRANSLATE($B451,""en"",T$3)"),"Dette vil begrense antall Prims på en pakke. Det er ingen grense, bortsett fra minnet når deaktivert.")</f>
        <v>Dette vil begrense antall Prims på en pakke. Det er ingen grense, bortsett fra minnet når deaktivert.</v>
      </c>
      <c r="U451" s="21" t="str">
        <f ca="1">IFERROR(__xludf.DUMMYFUNCTION("GOOGLETRANSLATE($B451,""en"",U$3)"),"وهذا يحد من عدد من PRIMS على قطعة. ليس هناك حد باستثناء الذاكرة عند تعطيلها.")</f>
        <v>وهذا يحد من عدد من PRIMS على قطعة. ليس هناك حد باستثناء الذاكرة عند تعطيلها.</v>
      </c>
      <c r="V451" s="21" t="str">
        <f ca="1">IFERROR(__xludf.DUMMYFUNCTION("GOOGLETRANSLATE($B451,""en"",V$3)"),"Pozwoli to ograniczyć liczbę Prims na działce. Nie ma ograniczeń, z wyjątkiem pamięci, gdy jest wyłączona.")</f>
        <v>Pozwoli to ograniczyć liczbę Prims na działce. Nie ma ograniczeń, z wyjątkiem pamięci, gdy jest wyłączona.</v>
      </c>
      <c r="W451" s="21" t="str">
        <f ca="1">IFERROR(__xludf.DUMMYFUNCTION("GOOGLETRANSLATE($B451,""en"",W$3)"),"Это позволит ограничить количество примитивов на участке. Там нет ограничений, кроме памяти, когда отключено.")</f>
        <v>Это позволит ограничить количество примитивов на участке. Там нет ограничений, кроме памяти, когда отключено.</v>
      </c>
      <c r="X451" s="21" t="str">
        <f ca="1">IFERROR(__xludf.DUMMYFUNCTION("GOOGLETRANSLATE($B451,""en"",X$3)"),"Esto limitará el número de prims en una parcela. No hay límite a excepción de memoria cuando está desactivado.")</f>
        <v>Esto limitará el número de prims en una parcela. No hay límite a excepción de memoria cuando está desactivado.</v>
      </c>
      <c r="Y451" s="21"/>
      <c r="Z451" s="21"/>
    </row>
    <row r="452" spans="1:26" ht="32.25" customHeight="1" x14ac:dyDescent="0.2">
      <c r="A452" s="17" t="s">
        <v>1011</v>
      </c>
      <c r="B452" s="17" t="s">
        <v>1012</v>
      </c>
      <c r="C452" s="21" t="str">
        <f ca="1">IFERROR(__xludf.DUMMYFUNCTION("GOOGLETRANSLATE($B452,""en"",C$3)"),"Aktivieren MAXPRIMS Grenzen")</f>
        <v>Aktivieren MAXPRIMS Grenzen</v>
      </c>
      <c r="D452" s="21" t="str">
        <f ca="1">IFERROR(__xludf.DUMMYFUNCTION("GOOGLETRANSLATE($B452,""en"",D$3)"),"Aktivera MAXPRIMS gränser")</f>
        <v>Aktivera MAXPRIMS gränser</v>
      </c>
      <c r="E452" s="21" t="str">
        <f ca="1">IFERROR(__xludf.DUMMYFUNCTION("GOOGLETRANSLATE($B452,""en"",E$3)"),"Ativar limites MAXPRIMS")</f>
        <v>Ativar limites MAXPRIMS</v>
      </c>
      <c r="F452" s="21" t="str">
        <f ca="1">IFERROR(__xludf.DUMMYFUNCTION("GOOGLETRANSLATE($B452,""en"",F$3)"),"Ativar limites MAXPRIMS")</f>
        <v>Ativar limites MAXPRIMS</v>
      </c>
      <c r="G452" s="21" t="str">
        <f ca="1">IFERROR(__xludf.DUMMYFUNCTION("GOOGLETRANSLATE($B452,""en"",G$3)"),"Activer les limites MAXPRIMS")</f>
        <v>Activer les limites MAXPRIMS</v>
      </c>
      <c r="H452" s="21" t="str">
        <f ca="1">IFERROR(__xludf.DUMMYFUNCTION("GOOGLETRANSLATE($B452,""en"",H$3)"),"Gaitu MAXPRIMS mugak")</f>
        <v>Gaitu MAXPRIMS mugak</v>
      </c>
      <c r="I452" s="21" t="str">
        <f ca="1">IFERROR(__xludf.DUMMYFUNCTION("GOOGLETRANSLATE($B452,""en"",I$3)"),"Habilitar límits MAXPRIMS")</f>
        <v>Habilitar límits MAXPRIMS</v>
      </c>
      <c r="J452" s="21" t="str">
        <f ca="1">IFERROR(__xludf.DUMMYFUNCTION("GOOGLETRANSLATE($B452,""en"",J$3)"),"Aktivovat MAXPRIMS limity")</f>
        <v>Aktivovat MAXPRIMS limity</v>
      </c>
      <c r="K452" s="21" t="str">
        <f ca="1">IFERROR(__xludf.DUMMYFUNCTION("GOOGLETRANSLATE($B452,""en"",K$3)"),"启用MAXPRIMS限制")</f>
        <v>启用MAXPRIMS限制</v>
      </c>
      <c r="L452" s="21" t="str">
        <f ca="1">IFERROR(__xludf.DUMMYFUNCTION("GOOGLETRANSLATE($B452,""en"",L$3)"),"啟用MAXPRIMS限制")</f>
        <v>啟用MAXPRIMS限制</v>
      </c>
      <c r="M452" s="21" t="str">
        <f ca="1">IFERROR(__xludf.DUMMYFUNCTION("GOOGLETRANSLATE($B452,""en"",M$3)"),"Inschakelen MAXPRIMS grenzen")</f>
        <v>Inschakelen MAXPRIMS grenzen</v>
      </c>
      <c r="N452" s="21" t="str">
        <f ca="1">IFERROR(__xludf.DUMMYFUNCTION("GOOGLETRANSLATE($B452,""en"",N$3)"),"Ενεργοποίηση όρια MAXPRIMS")</f>
        <v>Ενεργοποίηση όρια MAXPRIMS</v>
      </c>
      <c r="O452" s="21" t="str">
        <f ca="1">IFERROR(__xludf.DUMMYFUNCTION("GOOGLETRANSLATE($B452,""en"",O$3)"),"Ota MAXPRIMS rajoja")</f>
        <v>Ota MAXPRIMS rajoja</v>
      </c>
      <c r="P452" s="21" t="str">
        <f ca="1">IFERROR(__xludf.DUMMYFUNCTION("GOOGLETRANSLATE($B452,""en"",P$3)"),"Cumasaigh Teorainneacha MAXPRIMS")</f>
        <v>Cumasaigh Teorainneacha MAXPRIMS</v>
      </c>
      <c r="Q452" s="21" t="str">
        <f ca="1">IFERROR(__xludf.DUMMYFUNCTION("GOOGLETRANSLATE($B452,""en"",Q$3)"),"فعال کردن محدودیت MAXPRIMS")</f>
        <v>فعال کردن محدودیت MAXPRIMS</v>
      </c>
      <c r="R452" s="21" t="str">
        <f ca="1">IFERROR(__xludf.DUMMYFUNCTION("GOOGLETRANSLATE($B452,""en"",R$3)"),"אפשר גבולות MAXPRIMS")</f>
        <v>אפשר גבולות MAXPRIMS</v>
      </c>
      <c r="S452" s="21" t="str">
        <f ca="1">IFERROR(__xludf.DUMMYFUNCTION("GOOGLETRANSLATE($B452,""en"",S$3)"),"Virkja MAXPRIMS mörk")</f>
        <v>Virkja MAXPRIMS mörk</v>
      </c>
      <c r="T452" s="21" t="str">
        <f ca="1">IFERROR(__xludf.DUMMYFUNCTION("GOOGLETRANSLATE($B452,""en"",T$3)"),"Aktiver MAXPRIMS grenser")</f>
        <v>Aktiver MAXPRIMS grenser</v>
      </c>
      <c r="U452" s="21" t="str">
        <f ca="1">IFERROR(__xludf.DUMMYFUNCTION("GOOGLETRANSLATE($B452,""en"",U$3)"),"تمكين حدود MAXPRIMS")</f>
        <v>تمكين حدود MAXPRIMS</v>
      </c>
      <c r="V452" s="21" t="str">
        <f ca="1">IFERROR(__xludf.DUMMYFUNCTION("GOOGLETRANSLATE($B452,""en"",V$3)"),"Włącz limity MAXPRIMS")</f>
        <v>Włącz limity MAXPRIMS</v>
      </c>
      <c r="W452" s="21" t="str">
        <f ca="1">IFERROR(__xludf.DUMMYFUNCTION("GOOGLETRANSLATE($B452,""en"",W$3)"),"Включить ограничения MAXPRIMS")</f>
        <v>Включить ограничения MAXPRIMS</v>
      </c>
      <c r="X452" s="21" t="str">
        <f ca="1">IFERROR(__xludf.DUMMYFUNCTION("GOOGLETRANSLATE($B452,""en"",X$3)"),"Habilitar límites MAXPRIMS")</f>
        <v>Habilitar límites MAXPRIMS</v>
      </c>
      <c r="Y452" s="21"/>
      <c r="Z452" s="21"/>
    </row>
    <row r="453" spans="1:26" ht="32.25" customHeight="1" x14ac:dyDescent="0.2">
      <c r="A453" s="17" t="s">
        <v>1013</v>
      </c>
      <c r="B453" s="17" t="s">
        <v>1014</v>
      </c>
      <c r="C453" s="21" t="str">
        <f ca="1">IFERROR(__xludf.DUMMYFUNCTION("GOOGLETRANSLATE($B453,""en"",C$3)"),"Max Speed ​​(default = 1.0)")</f>
        <v>Max Speed ​​(default = 1.0)</v>
      </c>
      <c r="D453" s="21" t="str">
        <f ca="1">IFERROR(__xludf.DUMMYFUNCTION("GOOGLETRANSLATE($B453,""en"",D$3)"),"Max hastighet (default = 1,0)")</f>
        <v>Max hastighet (default = 1,0)</v>
      </c>
      <c r="E453" s="21" t="str">
        <f ca="1">IFERROR(__xludf.DUMMYFUNCTION("GOOGLETRANSLATE($B453,""en"",E$3)"),"Max Speed ​​(default = 1.0)")</f>
        <v>Max Speed ​​(default = 1.0)</v>
      </c>
      <c r="F453" s="21" t="str">
        <f ca="1">IFERROR(__xludf.DUMMYFUNCTION("GOOGLETRANSLATE($B453,""en"",F$3)"),"Max Speed ​​(default = 1.0)")</f>
        <v>Max Speed ​​(default = 1.0)</v>
      </c>
      <c r="G453" s="21" t="str">
        <f ca="1">IFERROR(__xludf.DUMMYFUNCTION("GOOGLETRANSLATE($B453,""en"",G$3)"),"Vitesse maximum (valeur par défaut = 1,0)")</f>
        <v>Vitesse maximum (valeur par défaut = 1,0)</v>
      </c>
      <c r="H453" s="21" t="str">
        <f ca="1">IFERROR(__xludf.DUMMYFUNCTION("GOOGLETRANSLATE($B453,""en"",H$3)"),"Max Abiadura (lehenetsia = 1.0)")</f>
        <v>Max Abiadura (lehenetsia = 1.0)</v>
      </c>
      <c r="I453" s="21" t="str">
        <f ca="1">IFERROR(__xludf.DUMMYFUNCTION("GOOGLETRANSLATE($B453,""en"",I$3)"),"Velocitat màxima (per defecte = 1,0)")</f>
        <v>Velocitat màxima (per defecte = 1,0)</v>
      </c>
      <c r="J453" s="21" t="str">
        <f ca="1">IFERROR(__xludf.DUMMYFUNCTION("GOOGLETRANSLATE($B453,""en"",J$3)"),"Maximální rychlost (default = 1.0)")</f>
        <v>Maximální rychlost (default = 1.0)</v>
      </c>
      <c r="K453" s="21" t="str">
        <f ca="1">IFERROR(__xludf.DUMMYFUNCTION("GOOGLETRANSLATE($B453,""en"",K$3)"),"最大速度（缺省值= 1.0）")</f>
        <v>最大速度（缺省值= 1.0）</v>
      </c>
      <c r="L453" s="21" t="str">
        <f ca="1">IFERROR(__xludf.DUMMYFUNCTION("GOOGLETRANSLATE($B453,""en"",L$3)"),"最大速度（缺省值= 1.0）")</f>
        <v>最大速度（缺省值= 1.0）</v>
      </c>
      <c r="M453" s="21" t="str">
        <f ca="1">IFERROR(__xludf.DUMMYFUNCTION("GOOGLETRANSLATE($B453,""en"",M$3)"),"Max Speed ​​(default = 1.0)")</f>
        <v>Max Speed ​​(default = 1.0)</v>
      </c>
      <c r="N453" s="21" t="str">
        <f ca="1">IFERROR(__xludf.DUMMYFUNCTION("GOOGLETRANSLATE($B453,""en"",N$3)"),"Μέγιστη Ταχύτητα (προεπιλογή = 1,0)")</f>
        <v>Μέγιστη Ταχύτητα (προεπιλογή = 1,0)</v>
      </c>
      <c r="O453" s="21" t="str">
        <f ca="1">IFERROR(__xludf.DUMMYFUNCTION("GOOGLETRANSLATE($B453,""en"",O$3)"),"Maksiminopeus (oletus = 1,0)")</f>
        <v>Maksiminopeus (oletus = 1,0)</v>
      </c>
      <c r="P453" s="21" t="str">
        <f ca="1">IFERROR(__xludf.DUMMYFUNCTION("GOOGLETRANSLATE($B453,""en"",P$3)"),"Max Gaoithe (réamhshocrú = 1.0)")</f>
        <v>Max Gaoithe (réamhshocrú = 1.0)</v>
      </c>
      <c r="Q453" s="21" t="str">
        <f ca="1">IFERROR(__xludf.DUMMYFUNCTION("GOOGLETRANSLATE($B453,""en"",Q$3)"),"حداکثر سرعت (به طور پیش فرض = 1.0)")</f>
        <v>حداکثر سرعت (به طور پیش فرض = 1.0)</v>
      </c>
      <c r="R453" s="21" t="str">
        <f ca="1">IFERROR(__xludf.DUMMYFUNCTION("GOOGLETRANSLATE($B453,""en"",R$3)"),"מהירות מקסימלית (ברירת מחדל = 1.0)")</f>
        <v>מהירות מקסימלית (ברירת מחדל = 1.0)</v>
      </c>
      <c r="S453" s="21" t="str">
        <f ca="1">IFERROR(__xludf.DUMMYFUNCTION("GOOGLETRANSLATE($B453,""en"",S$3)"),"Max Speed ​​(sjálfgefið = 1,0)")</f>
        <v>Max Speed ​​(sjálfgefið = 1,0)</v>
      </c>
      <c r="T453" s="21" t="str">
        <f ca="1">IFERROR(__xludf.DUMMYFUNCTION("GOOGLETRANSLATE($B453,""en"",T$3)"),"Max Speed ​​(standard = 1,0)")</f>
        <v>Max Speed ​​(standard = 1,0)</v>
      </c>
      <c r="U453" s="21" t="str">
        <f ca="1">IFERROR(__xludf.DUMMYFUNCTION("GOOGLETRANSLATE($B453,""en"",U$3)"),"السرعة القصوى (الافتراضي = 1.0)")</f>
        <v>السرعة القصوى (الافتراضي = 1.0)</v>
      </c>
      <c r="V453" s="21" t="str">
        <f ca="1">IFERROR(__xludf.DUMMYFUNCTION("GOOGLETRANSLATE($B453,""en"",V$3)"),"Prędkość maksymalna (default = 1.0)")</f>
        <v>Prędkość maksymalna (default = 1.0)</v>
      </c>
      <c r="W453" s="21" t="str">
        <f ca="1">IFERROR(__xludf.DUMMYFUNCTION("GOOGLETRANSLATE($B453,""en"",W$3)"),"Максимальная скорость (по умолчанию = 1,0)")</f>
        <v>Максимальная скорость (по умолчанию = 1,0)</v>
      </c>
      <c r="X453" s="21" t="str">
        <f ca="1">IFERROR(__xludf.DUMMYFUNCTION("GOOGLETRANSLATE($B453,""en"",X$3)"),"Velocidad máxima (por defecto = 1,0)")</f>
        <v>Velocidad máxima (por defecto = 1,0)</v>
      </c>
      <c r="Y453" s="21"/>
      <c r="Z453" s="21"/>
    </row>
    <row r="454" spans="1:26" ht="32.25" customHeight="1" x14ac:dyDescent="0.2">
      <c r="A454" s="17" t="s">
        <v>1015</v>
      </c>
      <c r="B454" s="17" t="s">
        <v>1016</v>
      </c>
      <c r="C454" s="21" t="str">
        <f ca="1">IFERROR(__xludf.DUMMYFUNCTION("GOOGLETRANSLATE($B454,""en"",C$3)"),"Maximal 4096")</f>
        <v>Maximal 4096</v>
      </c>
      <c r="D454" s="21" t="str">
        <f ca="1">IFERROR(__xludf.DUMMYFUNCTION("GOOGLETRANSLATE($B454,""en"",D$3)"),"Max 4096")</f>
        <v>Max 4096</v>
      </c>
      <c r="E454" s="21" t="str">
        <f ca="1">IFERROR(__xludf.DUMMYFUNCTION("GOOGLETRANSLATE($B454,""en"",E$3)"),"Máximo de 4096")</f>
        <v>Máximo de 4096</v>
      </c>
      <c r="F454" s="21" t="str">
        <f ca="1">IFERROR(__xludf.DUMMYFUNCTION("GOOGLETRANSLATE($B454,""en"",F$3)"),"Máximo de 4096")</f>
        <v>Máximo de 4096</v>
      </c>
      <c r="G454" s="21" t="str">
        <f ca="1">IFERROR(__xludf.DUMMYFUNCTION("GOOGLETRANSLATE($B454,""en"",G$3)"),"4096")</f>
        <v>4096</v>
      </c>
      <c r="H454" s="21" t="str">
        <f ca="1">IFERROR(__xludf.DUMMYFUNCTION("GOOGLETRANSLATE($B454,""en"",H$3)"),"4096 gehienez")</f>
        <v>4096 gehienez</v>
      </c>
      <c r="I454" s="21" t="str">
        <f ca="1">IFERROR(__xludf.DUMMYFUNCTION("GOOGLETRANSLATE($B454,""en"",I$3)"),"Màxim de 4096")</f>
        <v>Màxim de 4096</v>
      </c>
      <c r="J454" s="21" t="str">
        <f ca="1">IFERROR(__xludf.DUMMYFUNCTION("GOOGLETRANSLATE($B454,""en"",J$3)"),"Maximálně 4096")</f>
        <v>Maximálně 4096</v>
      </c>
      <c r="K454" s="21" t="str">
        <f ca="1">IFERROR(__xludf.DUMMYFUNCTION("GOOGLETRANSLATE($B454,""en"",K$3)"),"4096最大")</f>
        <v>4096最大</v>
      </c>
      <c r="L454" s="21" t="str">
        <f ca="1">IFERROR(__xludf.DUMMYFUNCTION("GOOGLETRANSLATE($B454,""en"",L$3)"),"4096最大")</f>
        <v>4096最大</v>
      </c>
      <c r="M454" s="21" t="str">
        <f ca="1">IFERROR(__xludf.DUMMYFUNCTION("GOOGLETRANSLATE($B454,""en"",M$3)"),"Maximaal 4096")</f>
        <v>Maximaal 4096</v>
      </c>
      <c r="N454" s="21" t="str">
        <f ca="1">IFERROR(__xludf.DUMMYFUNCTION("GOOGLETRANSLATE($B454,""en"",N$3)"),"Κατ 'ανώτατο όριο 4096")</f>
        <v>Κατ 'ανώτατο όριο 4096</v>
      </c>
      <c r="O454" s="21" t="str">
        <f ca="1">IFERROR(__xludf.DUMMYFUNCTION("GOOGLETRANSLATE($B454,""en"",O$3)"),"Enintään 4096")</f>
        <v>Enintään 4096</v>
      </c>
      <c r="P454" s="21" t="str">
        <f ca="1">IFERROR(__xludf.DUMMYFUNCTION("GOOGLETRANSLATE($B454,""en"",P$3)"),"Uasmhéid 4096")</f>
        <v>Uasmhéid 4096</v>
      </c>
      <c r="Q454" s="21" t="str">
        <f ca="1">IFERROR(__xludf.DUMMYFUNCTION("GOOGLETRANSLATE($B454,""en"",Q$3)"),"حداکثر 4096")</f>
        <v>حداکثر 4096</v>
      </c>
      <c r="R454" s="21" t="str">
        <f ca="1">IFERROR(__xludf.DUMMYFUNCTION("GOOGLETRANSLATE($B454,""en"",R$3)"),"מקסימאלי של 4096")</f>
        <v>מקסימאלי של 4096</v>
      </c>
      <c r="S454" s="21" t="str">
        <f ca="1">IFERROR(__xludf.DUMMYFUNCTION("GOOGLETRANSLATE($B454,""en"",S$3)"),"Hámark 4096")</f>
        <v>Hámark 4096</v>
      </c>
      <c r="T454" s="21" t="str">
        <f ca="1">IFERROR(__xludf.DUMMYFUNCTION("GOOGLETRANSLATE($B454,""en"",T$3)"),"Maksimalt 4096")</f>
        <v>Maksimalt 4096</v>
      </c>
      <c r="U454" s="21" t="str">
        <f ca="1">IFERROR(__xludf.DUMMYFUNCTION("GOOGLETRANSLATE($B454,""en"",U$3)"),"الحد الأقصى من 4096")</f>
        <v>الحد الأقصى من 4096</v>
      </c>
      <c r="V454" s="21" t="str">
        <f ca="1">IFERROR(__xludf.DUMMYFUNCTION("GOOGLETRANSLATE($B454,""en"",V$3)"),"Maksymalnie 4096")</f>
        <v>Maksymalnie 4096</v>
      </c>
      <c r="W454" s="21" t="str">
        <f ca="1">IFERROR(__xludf.DUMMYFUNCTION("GOOGLETRANSLATE($B454,""en"",W$3)"),"Максимум 4096")</f>
        <v>Максимум 4096</v>
      </c>
      <c r="X454" s="21" t="str">
        <f ca="1">IFERROR(__xludf.DUMMYFUNCTION("GOOGLETRANSLATE($B454,""en"",X$3)"),"Máximo de 4096")</f>
        <v>Máximo de 4096</v>
      </c>
      <c r="Y454" s="21"/>
      <c r="Z454" s="21"/>
    </row>
    <row r="455" spans="1:26" ht="32.25" customHeight="1" x14ac:dyDescent="0.2">
      <c r="A455" s="17" t="s">
        <v>1017</v>
      </c>
      <c r="B455" s="17" t="s">
        <v>1018</v>
      </c>
      <c r="C455" s="18" t="s">
        <v>1019</v>
      </c>
      <c r="D455" s="12" t="str">
        <f ca="1">IFERROR(__xludf.DUMMYFUNCTION("GOOGLETRANSLATE($B454,""en"",D$3)"),"Max 4096")</f>
        <v>Max 4096</v>
      </c>
      <c r="E455" s="12" t="str">
        <f ca="1">IFERROR(__xludf.DUMMYFUNCTION("GOOGLETRANSLATE($B454,""en"",E$3)"),"Máximo de 4096")</f>
        <v>Máximo de 4096</v>
      </c>
      <c r="F455" s="12" t="str">
        <f ca="1">IFERROR(__xludf.DUMMYFUNCTION("GOOGLETRANSLATE($B454,""en"",F$3)"),"Máximo de 4096")</f>
        <v>Máximo de 4096</v>
      </c>
      <c r="G455" s="12" t="str">
        <f ca="1">IFERROR(__xludf.DUMMYFUNCTION("GOOGLETRANSLATE($B454,""en"",G$3)"),"4096")</f>
        <v>4096</v>
      </c>
      <c r="H455" s="12" t="str">
        <f ca="1">IFERROR(__xludf.DUMMYFUNCTION("GOOGLETRANSLATE($B454,""en"",H$3)"),"4096 gehienez")</f>
        <v>4096 gehienez</v>
      </c>
      <c r="I455" s="12" t="str">
        <f ca="1">IFERROR(__xludf.DUMMYFUNCTION("GOOGLETRANSLATE($B454,""en"",I$3)"),"Màxim de 4096")</f>
        <v>Màxim de 4096</v>
      </c>
      <c r="J455" s="12" t="str">
        <f ca="1">IFERROR(__xludf.DUMMYFUNCTION("GOOGLETRANSLATE($B454,""en"",J$3)"),"Maximálně 4096")</f>
        <v>Maximálně 4096</v>
      </c>
      <c r="K455" s="12" t="str">
        <f ca="1">IFERROR(__xludf.DUMMYFUNCTION("GOOGLETRANSLATE($B454,""en"",K$3)"),"4096最大")</f>
        <v>4096最大</v>
      </c>
      <c r="L455" s="12" t="str">
        <f ca="1">IFERROR(__xludf.DUMMYFUNCTION("GOOGLETRANSLATE($B454,""en"",L$3)"),"4096最大")</f>
        <v>4096最大</v>
      </c>
      <c r="M455" s="12" t="str">
        <f ca="1">IFERROR(__xludf.DUMMYFUNCTION("GOOGLETRANSLATE($B454,""en"",M$3)"),"Maximaal 4096")</f>
        <v>Maximaal 4096</v>
      </c>
      <c r="N455" s="12" t="str">
        <f ca="1">IFERROR(__xludf.DUMMYFUNCTION("GOOGLETRANSLATE($B454,""en"",N$3)"),"Κατ 'ανώτατο όριο 4096")</f>
        <v>Κατ 'ανώτατο όριο 4096</v>
      </c>
      <c r="O455" s="12" t="str">
        <f ca="1">IFERROR(__xludf.DUMMYFUNCTION("GOOGLETRANSLATE($B454,""en"",O$3)"),"Enintään 4096")</f>
        <v>Enintään 4096</v>
      </c>
      <c r="P455" s="12" t="str">
        <f ca="1">IFERROR(__xludf.DUMMYFUNCTION("GOOGLETRANSLATE($B454,""en"",P$3)"),"Uasmhéid 4096")</f>
        <v>Uasmhéid 4096</v>
      </c>
      <c r="Q455" s="12" t="str">
        <f ca="1">IFERROR(__xludf.DUMMYFUNCTION("GOOGLETRANSLATE($B454,""en"",Q$3)"),"حداکثر 4096")</f>
        <v>حداکثر 4096</v>
      </c>
      <c r="R455" s="12" t="str">
        <f ca="1">IFERROR(__xludf.DUMMYFUNCTION("GOOGLETRANSLATE($B454,""en"",R$3)"),"מקסימאלי של 4096")</f>
        <v>מקסימאלי של 4096</v>
      </c>
      <c r="S455" s="12" t="str">
        <f ca="1">IFERROR(__xludf.DUMMYFUNCTION("GOOGLETRANSLATE($B454,""en"",S$3)"),"Hámark 4096")</f>
        <v>Hámark 4096</v>
      </c>
      <c r="T455" s="12" t="str">
        <f ca="1">IFERROR(__xludf.DUMMYFUNCTION("GOOGLETRANSLATE($B454,""en"",T$3)"),"Maksimalt 4096")</f>
        <v>Maksimalt 4096</v>
      </c>
      <c r="U455" s="12" t="str">
        <f ca="1">IFERROR(__xludf.DUMMYFUNCTION("GOOGLETRANSLATE($B454,""en"",U$3)"),"الحد الأقصى من 4096")</f>
        <v>الحد الأقصى من 4096</v>
      </c>
      <c r="V455" s="12" t="str">
        <f ca="1">IFERROR(__xludf.DUMMYFUNCTION("GOOGLETRANSLATE($B454,""en"",V$3)"),"Maksymalnie 4096")</f>
        <v>Maksymalnie 4096</v>
      </c>
      <c r="W455" s="12" t="str">
        <f ca="1">IFERROR(__xludf.DUMMYFUNCTION("GOOGLETRANSLATE($B454,""en"",W$3)"),"Максимум 4096")</f>
        <v>Максимум 4096</v>
      </c>
      <c r="X455" s="12" t="str">
        <f ca="1">IFERROR(__xludf.DUMMYFUNCTION("GOOGLETRANSLATE($B454,""en"",X$3)"),"Máximo de 4096")</f>
        <v>Máximo de 4096</v>
      </c>
      <c r="Y455" s="12"/>
      <c r="Z455" s="12"/>
    </row>
    <row r="456" spans="1:26" ht="32.25" customHeight="1" x14ac:dyDescent="0.2">
      <c r="A456" s="17" t="s">
        <v>1020</v>
      </c>
      <c r="B456" s="17" t="s">
        <v>1021</v>
      </c>
      <c r="C456" s="18" t="s">
        <v>1022</v>
      </c>
      <c r="D456" s="12" t="str">
        <f ca="1">IFERROR(__xludf.DUMMYFUNCTION("GOOGLETRANSLATE($B455,""en"",D$3)"),"Merge OAR")</f>
        <v>Merge OAR</v>
      </c>
      <c r="E456" s="12" t="str">
        <f ca="1">IFERROR(__xludf.DUMMYFUNCTION("GOOGLETRANSLATE($B455,""en"",E$3)"),"OAR merge")</f>
        <v>OAR merge</v>
      </c>
      <c r="F456" s="12" t="str">
        <f ca="1">IFERROR(__xludf.DUMMYFUNCTION("GOOGLETRANSLATE($B455,""en"",F$3)"),"OAR merge")</f>
        <v>OAR merge</v>
      </c>
      <c r="G456" s="12" t="str">
        <f ca="1">IFERROR(__xludf.DUMMYFUNCTION("GOOGLETRANSLATE($B455,""en"",G$3)"),"OAR Merge")</f>
        <v>OAR Merge</v>
      </c>
      <c r="H456" s="12" t="str">
        <f ca="1">IFERROR(__xludf.DUMMYFUNCTION("GOOGLETRANSLATE($B455,""en"",H$3)"),"merge OAR")</f>
        <v>merge OAR</v>
      </c>
      <c r="I456" s="12" t="str">
        <f ca="1">IFERROR(__xludf.DUMMYFUNCTION("GOOGLETRANSLATE($B455,""en"",I$3)"),"combinar OAR")</f>
        <v>combinar OAR</v>
      </c>
      <c r="J456" s="12" t="str">
        <f ca="1">IFERROR(__xludf.DUMMYFUNCTION("GOOGLETRANSLATE($B455,""en"",J$3)"),"sloučení OAR")</f>
        <v>sloučení OAR</v>
      </c>
      <c r="K456" s="12" t="str">
        <f ca="1">IFERROR(__xludf.DUMMYFUNCTION("GOOGLETRANSLATE($B455,""en"",K$3)"),"合并OAR")</f>
        <v>合并OAR</v>
      </c>
      <c r="L456" s="12" t="str">
        <f ca="1">IFERROR(__xludf.DUMMYFUNCTION("GOOGLETRANSLATE($B455,""en"",L$3)"),"合併OAR")</f>
        <v>合併OAR</v>
      </c>
      <c r="M456" s="12" t="str">
        <f ca="1">IFERROR(__xludf.DUMMYFUNCTION("GOOGLETRANSLATE($B455,""en"",M$3)"),"Merge OAR")</f>
        <v>Merge OAR</v>
      </c>
      <c r="N456" s="12" t="str">
        <f ca="1">IFERROR(__xludf.DUMMYFUNCTION("GOOGLETRANSLATE($B455,""en"",N$3)"),"συγχώνευση OAR")</f>
        <v>συγχώνευση OAR</v>
      </c>
      <c r="O456" s="12" t="str">
        <f ca="1">IFERROR(__xludf.DUMMYFUNCTION("GOOGLETRANSLATE($B455,""en"",O$3)"),"yhdistämisen OAR")</f>
        <v>yhdistämisen OAR</v>
      </c>
      <c r="P456" s="12" t="str">
        <f ca="1">IFERROR(__xludf.DUMMYFUNCTION("GOOGLETRANSLATE($B455,""en"",P$3)"),"OAR Cumaisc")</f>
        <v>OAR Cumaisc</v>
      </c>
      <c r="Q456" s="12" t="str">
        <f ca="1">IFERROR(__xludf.DUMMYFUNCTION("GOOGLETRANSLATE($B455,""en"",Q$3)"),"پارو ادغام")</f>
        <v>پارو ادغام</v>
      </c>
      <c r="R456" s="12" t="str">
        <f ca="1">IFERROR(__xludf.DUMMYFUNCTION("GOOGLETRANSLATE($B455,""en"",R$3)"),"משוט Merge")</f>
        <v>משוט Merge</v>
      </c>
      <c r="S456" s="12" t="str">
        <f ca="1">IFERROR(__xludf.DUMMYFUNCTION("GOOGLETRANSLATE($B455,""en"",S$3)"),"Sameina OAR")</f>
        <v>Sameina OAR</v>
      </c>
      <c r="T456" s="12" t="str">
        <f ca="1">IFERROR(__xludf.DUMMYFUNCTION("GOOGLETRANSLATE($B455,""en"",T$3)"),"Flett OAR")</f>
        <v>Flett OAR</v>
      </c>
      <c r="U456" s="12" t="str">
        <f ca="1">IFERROR(__xludf.DUMMYFUNCTION("GOOGLETRANSLATE($B455,""en"",U$3)"),"دمج OAR")</f>
        <v>دمج OAR</v>
      </c>
      <c r="V456" s="12" t="str">
        <f ca="1">IFERROR(__xludf.DUMMYFUNCTION("GOOGLETRANSLATE($B455,""en"",V$3)"),"Merge OAR")</f>
        <v>Merge OAR</v>
      </c>
      <c r="W456" s="12" t="str">
        <f ca="1">IFERROR(__xludf.DUMMYFUNCTION("GOOGLETRANSLATE($B455,""en"",W$3)"),"Объединить ОАР")</f>
        <v>Объединить ОАР</v>
      </c>
      <c r="X456" s="12" t="str">
        <f ca="1">IFERROR(__xludf.DUMMYFUNCTION("GOOGLETRANSLATE($B455,""en"",X$3)"),"Combinar OAR")</f>
        <v>Combinar OAR</v>
      </c>
      <c r="Y456" s="12"/>
      <c r="Z456" s="12"/>
    </row>
    <row r="457" spans="1:26" ht="32.25" customHeight="1" x14ac:dyDescent="0.2">
      <c r="A457" s="17" t="s">
        <v>1023</v>
      </c>
      <c r="B457" s="17" t="s">
        <v>1024</v>
      </c>
      <c r="C457" s="21" t="str">
        <f ca="1">IFERROR(__xludf.DUMMYFUNCTION("GOOGLETRANSLATE($B457,""en"",C$3)"),"Mesh-Cache")</f>
        <v>Mesh-Cache</v>
      </c>
      <c r="D457" s="21" t="str">
        <f ca="1">IFERROR(__xludf.DUMMYFUNCTION("GOOGLETRANSLATE($B457,""en"",D$3)"),"mesh Cache")</f>
        <v>mesh Cache</v>
      </c>
      <c r="E457" s="21" t="str">
        <f ca="1">IFERROR(__xludf.DUMMYFUNCTION("GOOGLETRANSLATE($B457,""en"",E$3)"),"malha cache")</f>
        <v>malha cache</v>
      </c>
      <c r="F457" s="21" t="str">
        <f ca="1">IFERROR(__xludf.DUMMYFUNCTION("GOOGLETRANSLATE($B457,""en"",F$3)"),"malha cache")</f>
        <v>malha cache</v>
      </c>
      <c r="G457" s="21" t="str">
        <f ca="1">IFERROR(__xludf.DUMMYFUNCTION("GOOGLETRANSLATE($B457,""en"",G$3)"),"mesh Cache")</f>
        <v>mesh Cache</v>
      </c>
      <c r="H457" s="21" t="str">
        <f ca="1">IFERROR(__xludf.DUMMYFUNCTION("GOOGLETRANSLATE($B457,""en"",H$3)"),"Malla Cache")</f>
        <v>Malla Cache</v>
      </c>
      <c r="I457" s="21" t="str">
        <f ca="1">IFERROR(__xludf.DUMMYFUNCTION("GOOGLETRANSLATE($B457,""en"",I$3)"),"malla de memòria cau")</f>
        <v>malla de memòria cau</v>
      </c>
      <c r="J457" s="21" t="str">
        <f ca="1">IFERROR(__xludf.DUMMYFUNCTION("GOOGLETRANSLATE($B457,""en"",J$3)"),"mesh Cache")</f>
        <v>mesh Cache</v>
      </c>
      <c r="K457" s="21" t="str">
        <f ca="1">IFERROR(__xludf.DUMMYFUNCTION("GOOGLETRANSLATE($B457,""en"",K$3)"),"网格缓存")</f>
        <v>网格缓存</v>
      </c>
      <c r="L457" s="21" t="str">
        <f ca="1">IFERROR(__xludf.DUMMYFUNCTION("GOOGLETRANSLATE($B457,""en"",L$3)"),"網格緩存")</f>
        <v>網格緩存</v>
      </c>
      <c r="M457" s="21" t="str">
        <f ca="1">IFERROR(__xludf.DUMMYFUNCTION("GOOGLETRANSLATE($B457,""en"",M$3)"),"mesh Cache")</f>
        <v>mesh Cache</v>
      </c>
      <c r="N457" s="21" t="str">
        <f ca="1">IFERROR(__xludf.DUMMYFUNCTION("GOOGLETRANSLATE($B457,""en"",N$3)"),"Πλέγμα Cache")</f>
        <v>Πλέγμα Cache</v>
      </c>
      <c r="O457" s="21" t="str">
        <f ca="1">IFERROR(__xludf.DUMMYFUNCTION("GOOGLETRANSLATE($B457,""en"",O$3)"),"mesh Cache")</f>
        <v>mesh Cache</v>
      </c>
      <c r="P457" s="21" t="str">
        <f ca="1">IFERROR(__xludf.DUMMYFUNCTION("GOOGLETRANSLATE($B457,""en"",P$3)"),"mogalra Cache")</f>
        <v>mogalra Cache</v>
      </c>
      <c r="Q457" s="21" t="str">
        <f ca="1">IFERROR(__xludf.DUMMYFUNCTION("GOOGLETRANSLATE($B457,""en"",Q$3)"),"مش کش")</f>
        <v>مش کش</v>
      </c>
      <c r="R457" s="21" t="str">
        <f ca="1">IFERROR(__xludf.DUMMYFUNCTION("GOOGLETRANSLATE($B457,""en"",R$3)"),"מטמון Mesh")</f>
        <v>מטמון Mesh</v>
      </c>
      <c r="S457" s="21" t="str">
        <f ca="1">IFERROR(__xludf.DUMMYFUNCTION("GOOGLETRANSLATE($B457,""en"",S$3)"),"Mesh Cache")</f>
        <v>Mesh Cache</v>
      </c>
      <c r="T457" s="21" t="str">
        <f ca="1">IFERROR(__xludf.DUMMYFUNCTION("GOOGLETRANSLATE($B457,""en"",T$3)"),"mesh Cache")</f>
        <v>mesh Cache</v>
      </c>
      <c r="U457" s="21" t="str">
        <f ca="1">IFERROR(__xludf.DUMMYFUNCTION("GOOGLETRANSLATE($B457,""en"",U$3)"),"شبكة الكاش")</f>
        <v>شبكة الكاش</v>
      </c>
      <c r="V457" s="21" t="str">
        <f ca="1">IFERROR(__xludf.DUMMYFUNCTION("GOOGLETRANSLATE($B457,""en"",V$3)"),"mesh Cache")</f>
        <v>mesh Cache</v>
      </c>
      <c r="W457" s="21" t="str">
        <f ca="1">IFERROR(__xludf.DUMMYFUNCTION("GOOGLETRANSLATE($B457,""en"",W$3)"),"Mesh Cache")</f>
        <v>Mesh Cache</v>
      </c>
      <c r="X457" s="21" t="str">
        <f ca="1">IFERROR(__xludf.DUMMYFUNCTION("GOOGLETRANSLATE($B457,""en"",X$3)"),"malla de caché")</f>
        <v>malla de caché</v>
      </c>
      <c r="Y457" s="21"/>
      <c r="Z457" s="21"/>
    </row>
    <row r="458" spans="1:26" ht="32.25" customHeight="1" x14ac:dyDescent="0.2">
      <c r="A458" s="17" t="s">
        <v>1025</v>
      </c>
      <c r="B458" s="17" t="s">
        <v>1026</v>
      </c>
      <c r="C458" s="21" t="str">
        <f ca="1">IFERROR(__xludf.DUMMYFUNCTION("GOOGLETRANSLATE($B458,""en"",C$3)"),"Nachricht gesendet")</f>
        <v>Nachricht gesendet</v>
      </c>
      <c r="D458" s="21" t="str">
        <f ca="1">IFERROR(__xludf.DUMMYFUNCTION("GOOGLETRANSLATE($B458,""en"",D$3)"),"Meddelande skickat")</f>
        <v>Meddelande skickat</v>
      </c>
      <c r="E458" s="21" t="str">
        <f ca="1">IFERROR(__xludf.DUMMYFUNCTION("GOOGLETRANSLATE($B458,""en"",E$3)"),"Mensagem enviada")</f>
        <v>Mensagem enviada</v>
      </c>
      <c r="F458" s="21" t="str">
        <f ca="1">IFERROR(__xludf.DUMMYFUNCTION("GOOGLETRANSLATE($B458,""en"",F$3)"),"Mensagem enviada")</f>
        <v>Mensagem enviada</v>
      </c>
      <c r="G458" s="21" t="str">
        <f ca="1">IFERROR(__xludf.DUMMYFUNCTION("GOOGLETRANSLATE($B458,""en"",G$3)"),"Message envoyé")</f>
        <v>Message envoyé</v>
      </c>
      <c r="H458" s="21" t="str">
        <f ca="1">IFERROR(__xludf.DUMMYFUNCTION("GOOGLETRANSLATE($B458,""en"",H$3)"),"mezua bidali")</f>
        <v>mezua bidali</v>
      </c>
      <c r="I458" s="21" t="str">
        <f ca="1">IFERROR(__xludf.DUMMYFUNCTION("GOOGLETRANSLATE($B458,""en"",I$3)"),"Missatge enviat")</f>
        <v>Missatge enviat</v>
      </c>
      <c r="J458" s="21" t="str">
        <f ca="1">IFERROR(__xludf.DUMMYFUNCTION("GOOGLETRANSLATE($B458,""en"",J$3)"),"Zpráva odeslána")</f>
        <v>Zpráva odeslána</v>
      </c>
      <c r="K458" s="21" t="str">
        <f ca="1">IFERROR(__xludf.DUMMYFUNCTION("GOOGLETRANSLATE($B458,""en"",K$3)"),"消息中发送")</f>
        <v>消息中发送</v>
      </c>
      <c r="L458" s="21" t="str">
        <f ca="1">IFERROR(__xludf.DUMMYFUNCTION("GOOGLETRANSLATE($B458,""en"",L$3)"),"消息中發送")</f>
        <v>消息中發送</v>
      </c>
      <c r="M458" s="21" t="str">
        <f ca="1">IFERROR(__xludf.DUMMYFUNCTION("GOOGLETRANSLATE($B458,""en"",M$3)"),"Bericht verzonden")</f>
        <v>Bericht verzonden</v>
      </c>
      <c r="N458" s="21" t="str">
        <f ca="1">IFERROR(__xludf.DUMMYFUNCTION("GOOGLETRANSLATE($B458,""en"",N$3)"),"Το μήνυμα στάλθηκε")</f>
        <v>Το μήνυμα στάλθηκε</v>
      </c>
      <c r="O458" s="21" t="str">
        <f ca="1">IFERROR(__xludf.DUMMYFUNCTION("GOOGLETRANSLATE($B458,""en"",O$3)"),"Viesti lähetetty")</f>
        <v>Viesti lähetetty</v>
      </c>
      <c r="P458" s="21" t="str">
        <f ca="1">IFERROR(__xludf.DUMMYFUNCTION("GOOGLETRANSLATE($B458,""en"",P$3)"),"teachtaireacht a seoladh")</f>
        <v>teachtaireacht a seoladh</v>
      </c>
      <c r="Q458" s="21" t="str">
        <f ca="1">IFERROR(__xludf.DUMMYFUNCTION("GOOGLETRANSLATE($B458,""en"",Q$3)"),"پیغام فرستاده شد")</f>
        <v>پیغام فرستاده شد</v>
      </c>
      <c r="R458" s="21" t="str">
        <f ca="1">IFERROR(__xludf.DUMMYFUNCTION("GOOGLETRANSLATE($B458,""en"",R$3)"),"הודעה נשלחה")</f>
        <v>הודעה נשלחה</v>
      </c>
      <c r="S458" s="21" t="str">
        <f ca="1">IFERROR(__xludf.DUMMYFUNCTION("GOOGLETRANSLATE($B458,""en"",S$3)"),"Skilaboð send")</f>
        <v>Skilaboð send</v>
      </c>
      <c r="T458" s="21" t="str">
        <f ca="1">IFERROR(__xludf.DUMMYFUNCTION("GOOGLETRANSLATE($B458,""en"",T$3)"),"Melding sendt")</f>
        <v>Melding sendt</v>
      </c>
      <c r="U458" s="21" t="str">
        <f ca="1">IFERROR(__xludf.DUMMYFUNCTION("GOOGLETRANSLATE($B458,""en"",U$3)"),"تم الارسال")</f>
        <v>تم الارسال</v>
      </c>
      <c r="V458" s="21" t="str">
        <f ca="1">IFERROR(__xludf.DUMMYFUNCTION("GOOGLETRANSLATE($B458,""en"",V$3)"),"Wiadomość wysłana")</f>
        <v>Wiadomość wysłana</v>
      </c>
      <c r="W458" s="21" t="str">
        <f ca="1">IFERROR(__xludf.DUMMYFUNCTION("GOOGLETRANSLATE($B458,""en"",W$3)"),"Сообщение отправлено")</f>
        <v>Сообщение отправлено</v>
      </c>
      <c r="X458" s="21" t="str">
        <f ca="1">IFERROR(__xludf.DUMMYFUNCTION("GOOGLETRANSLATE($B458,""en"",X$3)"),"Mensaje enviado")</f>
        <v>Mensaje enviado</v>
      </c>
      <c r="Y458" s="21"/>
      <c r="Z458" s="21"/>
    </row>
    <row r="459" spans="1:26" ht="32.25" customHeight="1" x14ac:dyDescent="0.2">
      <c r="A459" s="17" t="s">
        <v>1027</v>
      </c>
      <c r="B459" s="17" t="s">
        <v>1028</v>
      </c>
      <c r="C459" s="21" t="str">
        <f ca="1">IFERROR(__xludf.DUMMYFUNCTION("GOOGLETRANSLATE($B459,""en"",C$3)"),"Hypergrid.org Region Server")</f>
        <v>Hypergrid.org Region Server</v>
      </c>
      <c r="D459" s="21" t="str">
        <f ca="1">IFERROR(__xludf.DUMMYFUNCTION("GOOGLETRANSLATE($B459,""en"",D$3)"),"Hypergrid.org Region Server")</f>
        <v>Hypergrid.org Region Server</v>
      </c>
      <c r="E459" s="21" t="str">
        <f ca="1">IFERROR(__xludf.DUMMYFUNCTION("GOOGLETRANSLATE($B459,""en"",E$3)"),"Hypergrid.org Região Servidor")</f>
        <v>Hypergrid.org Região Servidor</v>
      </c>
      <c r="F459" s="21" t="str">
        <f ca="1">IFERROR(__xludf.DUMMYFUNCTION("GOOGLETRANSLATE($B459,""en"",F$3)"),"Hypergrid.org Região Servidor")</f>
        <v>Hypergrid.org Região Servidor</v>
      </c>
      <c r="G459" s="21" t="str">
        <f ca="1">IFERROR(__xludf.DUMMYFUNCTION("GOOGLETRANSLATE($B459,""en"",G$3)"),"Hypergrid.org Région serveur")</f>
        <v>Hypergrid.org Région serveur</v>
      </c>
      <c r="H459" s="21" t="str">
        <f ca="1">IFERROR(__xludf.DUMMYFUNCTION("GOOGLETRANSLATE($B459,""en"",H$3)"),"Hypergrid.org eskualdea zerbitzaria")</f>
        <v>Hypergrid.org eskualdea zerbitzaria</v>
      </c>
      <c r="I459" s="21" t="str">
        <f ca="1">IFERROR(__xludf.DUMMYFUNCTION("GOOGLETRANSLATE($B459,""en"",I$3)"),"Hypergrid.org regió de servidor")</f>
        <v>Hypergrid.org regió de servidor</v>
      </c>
      <c r="J459" s="21" t="str">
        <f ca="1">IFERROR(__xludf.DUMMYFUNCTION("GOOGLETRANSLATE($B459,""en"",J$3)"),"Hypergrid.org Region Server")</f>
        <v>Hypergrid.org Region Server</v>
      </c>
      <c r="K459" s="21" t="str">
        <f ca="1">IFERROR(__xludf.DUMMYFUNCTION("GOOGLETRANSLATE($B459,""en"",K$3)"),"Hypergrid.org地区服务器")</f>
        <v>Hypergrid.org地区服务器</v>
      </c>
      <c r="L459" s="21" t="str">
        <f ca="1">IFERROR(__xludf.DUMMYFUNCTION("GOOGLETRANSLATE($B459,""en"",L$3)"),"Hypergrid.org地區服務器")</f>
        <v>Hypergrid.org地區服務器</v>
      </c>
      <c r="M459" s="21" t="str">
        <f ca="1">IFERROR(__xludf.DUMMYFUNCTION("GOOGLETRANSLATE($B459,""en"",M$3)"),"Hypergrid.org Region Server")</f>
        <v>Hypergrid.org Region Server</v>
      </c>
      <c r="N459" s="21" t="str">
        <f ca="1">IFERROR(__xludf.DUMMYFUNCTION("GOOGLETRANSLATE($B459,""en"",N$3)"),"Hypergrid.org Περιφέρεια διακομιστή")</f>
        <v>Hypergrid.org Περιφέρεια διακομιστή</v>
      </c>
      <c r="O459" s="21" t="str">
        <f ca="1">IFERROR(__xludf.DUMMYFUNCTION("GOOGLETRANSLATE($B459,""en"",O$3)"),"Hypergrid.org Region Server")</f>
        <v>Hypergrid.org Region Server</v>
      </c>
      <c r="P459" s="21" t="str">
        <f ca="1">IFERROR(__xludf.DUMMYFUNCTION("GOOGLETRANSLATE($B459,""en"",P$3)"),"Hypergrid.org Réigiún Freastalaí")</f>
        <v>Hypergrid.org Réigiún Freastalaí</v>
      </c>
      <c r="Q459" s="21" t="str">
        <f ca="1">IFERROR(__xludf.DUMMYFUNCTION("GOOGLETRANSLATE($B459,""en"",Q$3)"),"Hypergrid.org منطقه سرور")</f>
        <v>Hypergrid.org منطقه سرور</v>
      </c>
      <c r="R459" s="21" t="str">
        <f ca="1">IFERROR(__xludf.DUMMYFUNCTION("GOOGLETRANSLATE($B459,""en"",R$3)"),"Hypergrid.org אזור שרת")</f>
        <v>Hypergrid.org אזור שרת</v>
      </c>
      <c r="S459" s="21" t="str">
        <f ca="1">IFERROR(__xludf.DUMMYFUNCTION("GOOGLETRANSLATE($B459,""en"",S$3)"),"Hypergrid.org Region Server")</f>
        <v>Hypergrid.org Region Server</v>
      </c>
      <c r="T459" s="21" t="str">
        <f ca="1">IFERROR(__xludf.DUMMYFUNCTION("GOOGLETRANSLATE($B459,""en"",T$3)"),"Hypergrid.org Region Server")</f>
        <v>Hypergrid.org Region Server</v>
      </c>
      <c r="U459" s="21" t="str">
        <f ca="1">IFERROR(__xludf.DUMMYFUNCTION("GOOGLETRANSLATE($B459,""en"",U$3)"),"Hypergrid.org منطقة الخادم")</f>
        <v>Hypergrid.org منطقة الخادم</v>
      </c>
      <c r="V459" s="21" t="str">
        <f ca="1">IFERROR(__xludf.DUMMYFUNCTION("GOOGLETRANSLATE($B459,""en"",V$3)"),"Hypergrid.org Region Server")</f>
        <v>Hypergrid.org Region Server</v>
      </c>
      <c r="W459" s="21" t="str">
        <f ca="1">IFERROR(__xludf.DUMMYFUNCTION("GOOGLETRANSLATE($B459,""en"",W$3)"),"Hypergrid.org область сервера")</f>
        <v>Hypergrid.org область сервера</v>
      </c>
      <c r="X459" s="21" t="str">
        <f ca="1">IFERROR(__xludf.DUMMYFUNCTION("GOOGLETRANSLATE($B459,""en"",X$3)"),"Hypergrid.org región del servidor")</f>
        <v>Hypergrid.org región del servidor</v>
      </c>
      <c r="Y459" s="21"/>
      <c r="Z459" s="21"/>
    </row>
    <row r="460" spans="1:26" ht="32.25" customHeight="1" x14ac:dyDescent="0.2">
      <c r="A460" s="17" t="s">
        <v>1029</v>
      </c>
      <c r="B460" s="17" t="s">
        <v>1030</v>
      </c>
      <c r="C460" s="21" t="str">
        <f ca="1">IFERROR(__xludf.DUMMYFUNCTION("GOOGLETRANSLATE($B460,""en"",C$3)"),"Protokoll")</f>
        <v>Protokoll</v>
      </c>
      <c r="D460" s="21" t="str">
        <f ca="1">IFERROR(__xludf.DUMMYFUNCTION("GOOGLETRANSLATE($B460,""en"",D$3)"),"Minuter")</f>
        <v>Minuter</v>
      </c>
      <c r="E460" s="21" t="str">
        <f ca="1">IFERROR(__xludf.DUMMYFUNCTION("GOOGLETRANSLATE($B460,""en"",E$3)"),"Minutos")</f>
        <v>Minutos</v>
      </c>
      <c r="F460" s="21" t="str">
        <f ca="1">IFERROR(__xludf.DUMMYFUNCTION("GOOGLETRANSLATE($B460,""en"",F$3)"),"Minutos")</f>
        <v>Minutos</v>
      </c>
      <c r="G460" s="21" t="str">
        <f ca="1">IFERROR(__xludf.DUMMYFUNCTION("GOOGLETRANSLATE($B460,""en"",G$3)"),"Minutes")</f>
        <v>Minutes</v>
      </c>
      <c r="H460" s="21" t="str">
        <f ca="1">IFERROR(__xludf.DUMMYFUNCTION("GOOGLETRANSLATE($B460,""en"",H$3)"),"Minutu")</f>
        <v>Minutu</v>
      </c>
      <c r="I460" s="21" t="str">
        <f ca="1">IFERROR(__xludf.DUMMYFUNCTION("GOOGLETRANSLATE($B460,""en"",I$3)"),"acta")</f>
        <v>acta</v>
      </c>
      <c r="J460" s="21" t="str">
        <f ca="1">IFERROR(__xludf.DUMMYFUNCTION("GOOGLETRANSLATE($B460,""en"",J$3)"),"Minut")</f>
        <v>Minut</v>
      </c>
      <c r="K460" s="21" t="str">
        <f ca="1">IFERROR(__xludf.DUMMYFUNCTION("GOOGLETRANSLATE($B460,""en"",K$3)"),"分钟")</f>
        <v>分钟</v>
      </c>
      <c r="L460" s="21" t="str">
        <f ca="1">IFERROR(__xludf.DUMMYFUNCTION("GOOGLETRANSLATE($B460,""en"",L$3)"),"分鐘")</f>
        <v>分鐘</v>
      </c>
      <c r="M460" s="21" t="str">
        <f ca="1">IFERROR(__xludf.DUMMYFUNCTION("GOOGLETRANSLATE($B460,""en"",M$3)"),"Minuten")</f>
        <v>Minuten</v>
      </c>
      <c r="N460" s="21" t="str">
        <f ca="1">IFERROR(__xludf.DUMMYFUNCTION("GOOGLETRANSLATE($B460,""en"",N$3)"),"Λεπτά")</f>
        <v>Λεπτά</v>
      </c>
      <c r="O460" s="21" t="str">
        <f ca="1">IFERROR(__xludf.DUMMYFUNCTION("GOOGLETRANSLATE($B460,""en"",O$3)"),"Pöytäkirja")</f>
        <v>Pöytäkirja</v>
      </c>
      <c r="P460" s="21" t="str">
        <f ca="1">IFERROR(__xludf.DUMMYFUNCTION("GOOGLETRANSLATE($B460,""en"",P$3)"),"Miontuairiscí")</f>
        <v>Miontuairiscí</v>
      </c>
      <c r="Q460" s="21" t="str">
        <f ca="1">IFERROR(__xludf.DUMMYFUNCTION("GOOGLETRANSLATE($B460,""en"",Q$3)"),"دقایق")</f>
        <v>دقایق</v>
      </c>
      <c r="R460" s="21" t="str">
        <f ca="1">IFERROR(__xludf.DUMMYFUNCTION("GOOGLETRANSLATE($B460,""en"",R$3)"),"דקות")</f>
        <v>דקות</v>
      </c>
      <c r="S460" s="21" t="str">
        <f ca="1">IFERROR(__xludf.DUMMYFUNCTION("GOOGLETRANSLATE($B460,""en"",S$3)"),"mínútur")</f>
        <v>mínútur</v>
      </c>
      <c r="T460" s="21" t="str">
        <f ca="1">IFERROR(__xludf.DUMMYFUNCTION("GOOGLETRANSLATE($B460,""en"",T$3)"),"Minutter")</f>
        <v>Minutter</v>
      </c>
      <c r="U460" s="21" t="str">
        <f ca="1">IFERROR(__xludf.DUMMYFUNCTION("GOOGLETRANSLATE($B460,""en"",U$3)"),"الدقائق")</f>
        <v>الدقائق</v>
      </c>
      <c r="V460" s="21" t="str">
        <f ca="1">IFERROR(__xludf.DUMMYFUNCTION("GOOGLETRANSLATE($B460,""en"",V$3)"),"Minuty")</f>
        <v>Minuty</v>
      </c>
      <c r="W460" s="21" t="str">
        <f ca="1">IFERROR(__xludf.DUMMYFUNCTION("GOOGLETRANSLATE($B460,""en"",W$3)"),"минут")</f>
        <v>минут</v>
      </c>
      <c r="X460" s="21" t="str">
        <f ca="1">IFERROR(__xludf.DUMMYFUNCTION("GOOGLETRANSLATE($B460,""en"",X$3)"),"Minutos")</f>
        <v>Minutos</v>
      </c>
      <c r="Y460" s="21"/>
      <c r="Z460" s="21"/>
    </row>
    <row r="461" spans="1:26" ht="32.25" customHeight="1" x14ac:dyDescent="0.2">
      <c r="A461" s="17" t="s">
        <v>1031</v>
      </c>
      <c r="B461" s="17" t="s">
        <v>1032</v>
      </c>
      <c r="C461" s="21" t="str">
        <f ca="1">IFERROR(__xludf.DUMMYFUNCTION("GOOGLETRANSLATE($B461,""en"",C$3)"),"Modus")</f>
        <v>Modus</v>
      </c>
      <c r="D461" s="21" t="str">
        <f ca="1">IFERROR(__xludf.DUMMYFUNCTION("GOOGLETRANSLATE($B461,""en"",D$3)"),"Läge")</f>
        <v>Läge</v>
      </c>
      <c r="E461" s="21" t="str">
        <f ca="1">IFERROR(__xludf.DUMMYFUNCTION("GOOGLETRANSLATE($B461,""en"",E$3)"),"Modo")</f>
        <v>Modo</v>
      </c>
      <c r="F461" s="21" t="str">
        <f ca="1">IFERROR(__xludf.DUMMYFUNCTION("GOOGLETRANSLATE($B461,""en"",F$3)"),"Modo")</f>
        <v>Modo</v>
      </c>
      <c r="G461" s="21" t="str">
        <f ca="1">IFERROR(__xludf.DUMMYFUNCTION("GOOGLETRANSLATE($B461,""en"",G$3)"),"Mode")</f>
        <v>Mode</v>
      </c>
      <c r="H461" s="21" t="str">
        <f ca="1">IFERROR(__xludf.DUMMYFUNCTION("GOOGLETRANSLATE($B461,""en"",H$3)"),"Modu")</f>
        <v>Modu</v>
      </c>
      <c r="I461" s="21" t="str">
        <f ca="1">IFERROR(__xludf.DUMMYFUNCTION("GOOGLETRANSLATE($B461,""en"",I$3)"),"manera")</f>
        <v>manera</v>
      </c>
      <c r="J461" s="21" t="str">
        <f ca="1">IFERROR(__xludf.DUMMYFUNCTION("GOOGLETRANSLATE($B461,""en"",J$3)"),"režim")</f>
        <v>režim</v>
      </c>
      <c r="K461" s="21" t="str">
        <f ca="1">IFERROR(__xludf.DUMMYFUNCTION("GOOGLETRANSLATE($B461,""en"",K$3)"),"模式")</f>
        <v>模式</v>
      </c>
      <c r="L461" s="21" t="str">
        <f ca="1">IFERROR(__xludf.DUMMYFUNCTION("GOOGLETRANSLATE($B461,""en"",L$3)"),"模式")</f>
        <v>模式</v>
      </c>
      <c r="M461" s="21" t="str">
        <f ca="1">IFERROR(__xludf.DUMMYFUNCTION("GOOGLETRANSLATE($B461,""en"",M$3)"),"mode")</f>
        <v>mode</v>
      </c>
      <c r="N461" s="21" t="str">
        <f ca="1">IFERROR(__xludf.DUMMYFUNCTION("GOOGLETRANSLATE($B461,""en"",N$3)"),"Τρόπος")</f>
        <v>Τρόπος</v>
      </c>
      <c r="O461" s="21" t="str">
        <f ca="1">IFERROR(__xludf.DUMMYFUNCTION("GOOGLETRANSLATE($B461,""en"",O$3)"),"tila")</f>
        <v>tila</v>
      </c>
      <c r="P461" s="21" t="str">
        <f ca="1">IFERROR(__xludf.DUMMYFUNCTION("GOOGLETRANSLATE($B461,""en"",P$3)"),"mód")</f>
        <v>mód</v>
      </c>
      <c r="Q461" s="21" t="str">
        <f ca="1">IFERROR(__xludf.DUMMYFUNCTION("GOOGLETRANSLATE($B461,""en"",Q$3)"),"حالت")</f>
        <v>حالت</v>
      </c>
      <c r="R461" s="21" t="str">
        <f ca="1">IFERROR(__xludf.DUMMYFUNCTION("GOOGLETRANSLATE($B461,""en"",R$3)"),"מצב")</f>
        <v>מצב</v>
      </c>
      <c r="S461" s="21" t="str">
        <f ca="1">IFERROR(__xludf.DUMMYFUNCTION("GOOGLETRANSLATE($B461,""en"",S$3)"),"Mode")</f>
        <v>Mode</v>
      </c>
      <c r="T461" s="21" t="str">
        <f ca="1">IFERROR(__xludf.DUMMYFUNCTION("GOOGLETRANSLATE($B461,""en"",T$3)"),"Modus")</f>
        <v>Modus</v>
      </c>
      <c r="U461" s="21" t="str">
        <f ca="1">IFERROR(__xludf.DUMMYFUNCTION("GOOGLETRANSLATE($B461,""en"",U$3)"),"الوضع")</f>
        <v>الوضع</v>
      </c>
      <c r="V461" s="21" t="str">
        <f ca="1">IFERROR(__xludf.DUMMYFUNCTION("GOOGLETRANSLATE($B461,""en"",V$3)"),"Tryb")</f>
        <v>Tryb</v>
      </c>
      <c r="W461" s="21" t="str">
        <f ca="1">IFERROR(__xludf.DUMMYFUNCTION("GOOGLETRANSLATE($B461,""en"",W$3)"),"Режим")</f>
        <v>Режим</v>
      </c>
      <c r="X461" s="21" t="str">
        <f ca="1">IFERROR(__xludf.DUMMYFUNCTION("GOOGLETRANSLATE($B461,""en"",X$3)"),"Modo")</f>
        <v>Modo</v>
      </c>
      <c r="Y461" s="21"/>
      <c r="Z461" s="21"/>
    </row>
    <row r="462" spans="1:26" ht="32.25" customHeight="1" x14ac:dyDescent="0.2">
      <c r="A462" s="17" t="s">
        <v>1033</v>
      </c>
      <c r="B462" s="17" t="s">
        <v>1034</v>
      </c>
      <c r="C462" s="21" t="str">
        <f ca="1">IFERROR(__xludf.DUMMYFUNCTION("GOOGLETRANSLATE($B462,""en"",C$3)"),"Module")</f>
        <v>Module</v>
      </c>
      <c r="D462" s="21" t="str">
        <f ca="1">IFERROR(__xludf.DUMMYFUNCTION("GOOGLETRANSLATE($B462,""en"",D$3)"),"moduler")</f>
        <v>moduler</v>
      </c>
      <c r="E462" s="21" t="str">
        <f ca="1">IFERROR(__xludf.DUMMYFUNCTION("GOOGLETRANSLATE($B462,""en"",E$3)"),"módulos")</f>
        <v>módulos</v>
      </c>
      <c r="F462" s="21" t="str">
        <f ca="1">IFERROR(__xludf.DUMMYFUNCTION("GOOGLETRANSLATE($B462,""en"",F$3)"),"módulos")</f>
        <v>módulos</v>
      </c>
      <c r="G462" s="21" t="str">
        <f ca="1">IFERROR(__xludf.DUMMYFUNCTION("GOOGLETRANSLATE($B462,""en"",G$3)"),"Modules")</f>
        <v>Modules</v>
      </c>
      <c r="H462" s="21" t="str">
        <f ca="1">IFERROR(__xludf.DUMMYFUNCTION("GOOGLETRANSLATE($B462,""en"",H$3)"),"moduluak")</f>
        <v>moduluak</v>
      </c>
      <c r="I462" s="21" t="str">
        <f ca="1">IFERROR(__xludf.DUMMYFUNCTION("GOOGLETRANSLATE($B462,""en"",I$3)"),"mòduls")</f>
        <v>mòduls</v>
      </c>
      <c r="J462" s="21" t="str">
        <f ca="1">IFERROR(__xludf.DUMMYFUNCTION("GOOGLETRANSLATE($B462,""en"",J$3)"),"moduly")</f>
        <v>moduly</v>
      </c>
      <c r="K462" s="21" t="str">
        <f ca="1">IFERROR(__xludf.DUMMYFUNCTION("GOOGLETRANSLATE($B462,""en"",K$3)"),"模块")</f>
        <v>模块</v>
      </c>
      <c r="L462" s="21" t="str">
        <f ca="1">IFERROR(__xludf.DUMMYFUNCTION("GOOGLETRANSLATE($B462,""en"",L$3)"),"模塊")</f>
        <v>模塊</v>
      </c>
      <c r="M462" s="21" t="str">
        <f ca="1">IFERROR(__xludf.DUMMYFUNCTION("GOOGLETRANSLATE($B462,""en"",M$3)"),"modules")</f>
        <v>modules</v>
      </c>
      <c r="N462" s="21" t="str">
        <f ca="1">IFERROR(__xludf.DUMMYFUNCTION("GOOGLETRANSLATE($B462,""en"",N$3)"),"ενότητες")</f>
        <v>ενότητες</v>
      </c>
      <c r="O462" s="21" t="str">
        <f ca="1">IFERROR(__xludf.DUMMYFUNCTION("GOOGLETRANSLATE($B462,""en"",O$3)"),"moduulit")</f>
        <v>moduulit</v>
      </c>
      <c r="P462" s="21" t="str">
        <f ca="1">IFERROR(__xludf.DUMMYFUNCTION("GOOGLETRANSLATE($B462,""en"",P$3)"),"Modúil")</f>
        <v>Modúil</v>
      </c>
      <c r="Q462" s="21" t="str">
        <f ca="1">IFERROR(__xludf.DUMMYFUNCTION("GOOGLETRANSLATE($B462,""en"",Q$3)"),"ماژول")</f>
        <v>ماژول</v>
      </c>
      <c r="R462" s="21" t="str">
        <f ca="1">IFERROR(__xludf.DUMMYFUNCTION("GOOGLETRANSLATE($B462,""en"",R$3)"),"מודולים")</f>
        <v>מודולים</v>
      </c>
      <c r="S462" s="21" t="str">
        <f ca="1">IFERROR(__xludf.DUMMYFUNCTION("GOOGLETRANSLATE($B462,""en"",S$3)"),"einingar")</f>
        <v>einingar</v>
      </c>
      <c r="T462" s="21" t="str">
        <f ca="1">IFERROR(__xludf.DUMMYFUNCTION("GOOGLETRANSLATE($B462,""en"",T$3)"),"moduler")</f>
        <v>moduler</v>
      </c>
      <c r="U462" s="21" t="str">
        <f ca="1">IFERROR(__xludf.DUMMYFUNCTION("GOOGLETRANSLATE($B462,""en"",U$3)"),"وحدات")</f>
        <v>وحدات</v>
      </c>
      <c r="V462" s="21" t="str">
        <f ca="1">IFERROR(__xludf.DUMMYFUNCTION("GOOGLETRANSLATE($B462,""en"",V$3)"),"moduły")</f>
        <v>moduły</v>
      </c>
      <c r="W462" s="21" t="str">
        <f ca="1">IFERROR(__xludf.DUMMYFUNCTION("GOOGLETRANSLATE($B462,""en"",W$3)"),"Модули")</f>
        <v>Модули</v>
      </c>
      <c r="X462" s="21" t="str">
        <f ca="1">IFERROR(__xludf.DUMMYFUNCTION("GOOGLETRANSLATE($B462,""en"",X$3)"),"módulos")</f>
        <v>módulos</v>
      </c>
      <c r="Y462" s="21"/>
      <c r="Z462" s="21"/>
    </row>
    <row r="463" spans="1:26" ht="32.25" customHeight="1" x14ac:dyDescent="0.2">
      <c r="A463" s="17" t="s">
        <v>1035</v>
      </c>
      <c r="B463" s="17" t="s">
        <v>1036</v>
      </c>
      <c r="C463" s="21" t="str">
        <f ca="1">IFERROR(__xludf.DUMMYFUNCTION("GOOGLETRANSLATE($B463,""en"",C$3)"),"Weitere Gratis-Inseln und Teile")</f>
        <v>Weitere Gratis-Inseln und Teile</v>
      </c>
      <c r="D463" s="21" t="str">
        <f ca="1">IFERROR(__xludf.DUMMYFUNCTION("GOOGLETRANSLATE($B463,""en"",D$3)"),"Friare Islands och delar")</f>
        <v>Friare Islands och delar</v>
      </c>
      <c r="E463" s="21" t="str">
        <f ca="1">IFERROR(__xludf.DUMMYFUNCTION("GOOGLETRANSLATE($B463,""en"",E$3)"),"Mais Islands grátis e Peças")</f>
        <v>Mais Islands grátis e Peças</v>
      </c>
      <c r="F463" s="21" t="str">
        <f ca="1">IFERROR(__xludf.DUMMYFUNCTION("GOOGLETRANSLATE($B463,""en"",F$3)"),"Mais Islands grátis e Peças")</f>
        <v>Mais Islands grátis e Peças</v>
      </c>
      <c r="G463" s="21" t="str">
        <f ca="1">IFERROR(__xludf.DUMMYFUNCTION("GOOGLETRANSLATE($B463,""en"",G$3)"),"Plus Îles gratuites et pièces")</f>
        <v>Plus Îles gratuites et pièces</v>
      </c>
      <c r="H463" s="21" t="str">
        <f ca="1">IFERROR(__xludf.DUMMYFUNCTION("GOOGLETRANSLATE($B463,""en"",H$3)"),"Gehiago Free Uharteak eta piezak")</f>
        <v>Gehiago Free Uharteak eta piezak</v>
      </c>
      <c r="I463" s="21" t="str">
        <f ca="1">IFERROR(__xludf.DUMMYFUNCTION("GOOGLETRANSLATE($B463,""en"",I$3)"),"Més illes lliures i Peces")</f>
        <v>Més illes lliures i Peces</v>
      </c>
      <c r="J463" s="21" t="str">
        <f ca="1">IFERROR(__xludf.DUMMYFUNCTION("GOOGLETRANSLATE($B463,""en"",J$3)"),"Více Zdarma ostrovy a díly")</f>
        <v>Více Zdarma ostrovy a díly</v>
      </c>
      <c r="K463" s="21" t="str">
        <f ca="1">IFERROR(__xludf.DUMMYFUNCTION("GOOGLETRANSLATE($B463,""en"",K$3)"),"更多免费群岛和配件")</f>
        <v>更多免费群岛和配件</v>
      </c>
      <c r="L463" s="21" t="str">
        <f ca="1">IFERROR(__xludf.DUMMYFUNCTION("GOOGLETRANSLATE($B463,""en"",L$3)"),"更多免費群島和配件")</f>
        <v>更多免費群島和配件</v>
      </c>
      <c r="M463" s="21" t="str">
        <f ca="1">IFERROR(__xludf.DUMMYFUNCTION("GOOGLETRANSLATE($B463,""en"",M$3)"),"Meer gratis Eilanden en Parts")</f>
        <v>Meer gratis Eilanden en Parts</v>
      </c>
      <c r="N463" s="21" t="str">
        <f ca="1">IFERROR(__xludf.DUMMYFUNCTION("GOOGLETRANSLATE($B463,""en"",N$3)"),"Περισσότερα Δωρεάν Νήσων και Ανταλλακτικά")</f>
        <v>Περισσότερα Δωρεάν Νήσων και Ανταλλακτικά</v>
      </c>
      <c r="O463" s="21" t="str">
        <f ca="1">IFERROR(__xludf.DUMMYFUNCTION("GOOGLETRANSLATE($B463,""en"",O$3)"),"Lisää Ilmainen saaret ja osat")</f>
        <v>Lisää Ilmainen saaret ja osat</v>
      </c>
      <c r="P463" s="21" t="str">
        <f ca="1">IFERROR(__xludf.DUMMYFUNCTION("GOOGLETRANSLATE($B463,""en"",P$3)"),"Níos mó Oileáin Saor in aisce agus Codanna")</f>
        <v>Níos mó Oileáin Saor in aisce agus Codanna</v>
      </c>
      <c r="Q463" s="21" t="str">
        <f ca="1">IFERROR(__xludf.DUMMYFUNCTION("GOOGLETRANSLATE($B463,""en"",Q$3)"),"بیشتر جزایر رایگان و قطعات")</f>
        <v>بیشتر جزایر رایگان و قطعات</v>
      </c>
      <c r="R463" s="21" t="str">
        <f ca="1">IFERROR(__xludf.DUMMYFUNCTION("GOOGLETRANSLATE($B463,""en"",R$3)"),"נוסף איים חינם Parts")</f>
        <v>נוסף איים חינם Parts</v>
      </c>
      <c r="S463" s="21" t="str">
        <f ca="1">IFERROR(__xludf.DUMMYFUNCTION("GOOGLETRANSLATE($B463,""en"",S$3)"),"Meira ókeypis Islands og hlutar")</f>
        <v>Meira ókeypis Islands og hlutar</v>
      </c>
      <c r="T463" s="21" t="str">
        <f ca="1">IFERROR(__xludf.DUMMYFUNCTION("GOOGLETRANSLATE($B463,""en"",T$3)"),"Mer gratis Øyene og deler")</f>
        <v>Mer gratis Øyene og deler</v>
      </c>
      <c r="U463" s="21" t="str">
        <f ca="1">IFERROR(__xludf.DUMMYFUNCTION("GOOGLETRANSLATE($B463,""en"",U$3)"),"أكثر جزر الحرة وأجزاء")</f>
        <v>أكثر جزر الحرة وأجزاء</v>
      </c>
      <c r="V463" s="21" t="str">
        <f ca="1">IFERROR(__xludf.DUMMYFUNCTION("GOOGLETRANSLATE($B463,""en"",V$3)"),"Więcej darmowych Wyspy i części zamienne")</f>
        <v>Więcej darmowych Wyspy i części zamienne</v>
      </c>
      <c r="W463" s="21" t="str">
        <f ca="1">IFERROR(__xludf.DUMMYFUNCTION("GOOGLETRANSLATE($B463,""en"",W$3)"),"Подробнее Свободные острова и детали")</f>
        <v>Подробнее Свободные острова и детали</v>
      </c>
      <c r="X463" s="21" t="str">
        <f ca="1">IFERROR(__xludf.DUMMYFUNCTION("GOOGLETRANSLATE($B463,""en"",X$3)"),"Más islas libres y Piezas")</f>
        <v>Más islas libres y Piezas</v>
      </c>
      <c r="Y463" s="21"/>
      <c r="Z463" s="21"/>
    </row>
    <row r="464" spans="1:26" ht="32.25" customHeight="1" x14ac:dyDescent="0.2">
      <c r="A464" s="17" t="s">
        <v>1037</v>
      </c>
      <c r="B464" s="17" t="s">
        <v>1038</v>
      </c>
      <c r="C464" s="21" t="str">
        <f ca="1">IFERROR(__xludf.DUMMYFUNCTION("GOOGLETRANSLATE($B464,""en"",C$3)"),"Weitere Gratis-Inseln und Teile (www)")</f>
        <v>Weitere Gratis-Inseln und Teile (www)</v>
      </c>
      <c r="D464" s="21" t="str">
        <f ca="1">IFERROR(__xludf.DUMMYFUNCTION("GOOGLETRANSLATE($B464,""en"",D$3)"),"Friare Islands och delar (www)")</f>
        <v>Friare Islands och delar (www)</v>
      </c>
      <c r="E464" s="21" t="str">
        <f ca="1">IFERROR(__xludf.DUMMYFUNCTION("GOOGLETRANSLATE($B464,""en"",E$3)"),"Mais Islands e Peças Livres (www)")</f>
        <v>Mais Islands e Peças Livres (www)</v>
      </c>
      <c r="F464" s="21" t="str">
        <f ca="1">IFERROR(__xludf.DUMMYFUNCTION("GOOGLETRANSLATE($B464,""en"",F$3)"),"Mais Islands e Peças Livres (www)")</f>
        <v>Mais Islands e Peças Livres (www)</v>
      </c>
      <c r="G464" s="21" t="str">
        <f ca="1">IFERROR(__xludf.DUMMYFUNCTION("GOOGLETRANSLATE($B464,""en"",G$3)"),"Plus Îles gratuites et pièces (www)")</f>
        <v>Plus Îles gratuites et pièces (www)</v>
      </c>
      <c r="H464" s="21" t="str">
        <f ca="1">IFERROR(__xludf.DUMMYFUNCTION("GOOGLETRANSLATE($B464,""en"",H$3)"),"Gehiago Free Uharteak eta atalak (www)")</f>
        <v>Gehiago Free Uharteak eta atalak (www)</v>
      </c>
      <c r="I464" s="21" t="str">
        <f ca="1">IFERROR(__xludf.DUMMYFUNCTION("GOOGLETRANSLATE($B464,""en"",I$3)"),"Més illes lliures i Peces (WWW)")</f>
        <v>Més illes lliures i Peces (WWW)</v>
      </c>
      <c r="J464" s="21" t="str">
        <f ca="1">IFERROR(__xludf.DUMMYFUNCTION("GOOGLETRANSLATE($B464,""en"",J$3)"),"Více zdarma ostrovy a díly (www)")</f>
        <v>Více zdarma ostrovy a díly (www)</v>
      </c>
      <c r="K464" s="21" t="str">
        <f ca="1">IFERROR(__xludf.DUMMYFUNCTION("GOOGLETRANSLATE($B464,""en"",K$3)"),"更多免费群岛及其零件（WWW）")</f>
        <v>更多免费群岛及其零件（WWW）</v>
      </c>
      <c r="L464" s="21" t="str">
        <f ca="1">IFERROR(__xludf.DUMMYFUNCTION("GOOGLETRANSLATE($B464,""en"",L$3)"),"更多免費群島及其零件（WWW）")</f>
        <v>更多免費群島及其零件（WWW）</v>
      </c>
      <c r="M464" s="21" t="str">
        <f ca="1">IFERROR(__xludf.DUMMYFUNCTION("GOOGLETRANSLATE($B464,""en"",M$3)"),"Meer gratis Islands and Parts (www)")</f>
        <v>Meer gratis Islands and Parts (www)</v>
      </c>
      <c r="N464" s="21" t="str">
        <f ca="1">IFERROR(__xludf.DUMMYFUNCTION("GOOGLETRANSLATE($B464,""en"",N$3)"),"Περισσότερα Δωρεάν Νήσων και ανταλλακτικά (www)")</f>
        <v>Περισσότερα Δωρεάν Νήσων και ανταλλακτικά (www)</v>
      </c>
      <c r="O464" s="21" t="str">
        <f ca="1">IFERROR(__xludf.DUMMYFUNCTION("GOOGLETRANSLATE($B464,""en"",O$3)"),"Lisää Ilmainen saaret ja osat (www)")</f>
        <v>Lisää Ilmainen saaret ja osat (www)</v>
      </c>
      <c r="P464" s="21" t="str">
        <f ca="1">IFERROR(__xludf.DUMMYFUNCTION("GOOGLETRANSLATE($B464,""en"",P$3)"),"Níos Oileáin agus Codanna Saor in Aisce (www)")</f>
        <v>Níos Oileáin agus Codanna Saor in Aisce (www)</v>
      </c>
      <c r="Q464" s="21" t="str">
        <f ca="1">IFERROR(__xludf.DUMMYFUNCTION("GOOGLETRANSLATE($B464,""en"",Q$3)"),"بیشتر جزایر رایگان و قطعات (WWW)")</f>
        <v>بیشتر جزایر رایگان و قطعات (WWW)</v>
      </c>
      <c r="R464" s="21" t="str">
        <f ca="1">IFERROR(__xludf.DUMMYFUNCTION("GOOGLETRANSLATE($B464,""en"",R$3)"),"עוד חופשי איים וחלקים (www)")</f>
        <v>עוד חופשי איים וחלקים (www)</v>
      </c>
      <c r="S464" s="21" t="str">
        <f ca="1">IFERROR(__xludf.DUMMYFUNCTION("GOOGLETRANSLATE($B464,""en"",S$3)"),"Fleiri Ókeypis Islands og Varahlutir (www)")</f>
        <v>Fleiri Ókeypis Islands og Varahlutir (www)</v>
      </c>
      <c r="T464" s="21" t="str">
        <f ca="1">IFERROR(__xludf.DUMMYFUNCTION("GOOGLETRANSLATE($B464,""en"",T$3)"),"Flere Gratis Øyene og deler (www)")</f>
        <v>Flere Gratis Øyene og deler (www)</v>
      </c>
      <c r="U464" s="21" t="str">
        <f ca="1">IFERROR(__xludf.DUMMYFUNCTION("GOOGLETRANSLATE($B464,""en"",U$3)"),"أكثر جزر الحرة وقطع غيار (الشبكة العالمية)")</f>
        <v>أكثر جزر الحرة وقطع غيار (الشبكة العالمية)</v>
      </c>
      <c r="V464" s="21" t="str">
        <f ca="1">IFERROR(__xludf.DUMMYFUNCTION("GOOGLETRANSLATE($B464,""en"",V$3)"),"Więcej darmowych Wyspy i części (www)")</f>
        <v>Więcej darmowych Wyspy i części (www)</v>
      </c>
      <c r="W464" s="21" t="str">
        <f ca="1">IFERROR(__xludf.DUMMYFUNCTION("GOOGLETRANSLATE($B464,""en"",W$3)"),"Другие бесплатные острова и части (WWW)")</f>
        <v>Другие бесплатные острова и части (WWW)</v>
      </c>
      <c r="X464" s="21" t="str">
        <f ca="1">IFERROR(__xludf.DUMMYFUNCTION("GOOGLETRANSLATE($B464,""en"",X$3)"),"Más islas libres y Piezas (WWW)")</f>
        <v>Más islas libres y Piezas (WWW)</v>
      </c>
      <c r="Y464" s="21"/>
      <c r="Z464" s="21"/>
    </row>
    <row r="465" spans="1:26" ht="32.25" customHeight="1" x14ac:dyDescent="0.2">
      <c r="A465" s="17" t="s">
        <v>1039</v>
      </c>
      <c r="B465" s="17" t="s">
        <v>1040</v>
      </c>
      <c r="C465" s="21" t="str">
        <f ca="1">IFERROR(__xludf.DUMMYFUNCTION("GOOGLETRANSLATE($B465,""en"",C$3)"),"Klicken Sie für weitere Hilfe auf der Website")</f>
        <v>Klicken Sie für weitere Hilfe auf der Website</v>
      </c>
      <c r="D465" s="21" t="str">
        <f ca="1">IFERROR(__xludf.DUMMYFUNCTION("GOOGLETRANSLATE($B465,""en"",D$3)"),"Klicka för mer hjälp på webbplatsen")</f>
        <v>Klicka för mer hjälp på webbplatsen</v>
      </c>
      <c r="E465" s="21" t="str">
        <f ca="1">IFERROR(__xludf.DUMMYFUNCTION("GOOGLETRANSLATE($B465,""en"",E$3)"),"Clique para mais ajuda no site")</f>
        <v>Clique para mais ajuda no site</v>
      </c>
      <c r="F465" s="21" t="str">
        <f ca="1">IFERROR(__xludf.DUMMYFUNCTION("GOOGLETRANSLATE($B465,""en"",F$3)"),"Clique para mais ajuda no site")</f>
        <v>Clique para mais ajuda no site</v>
      </c>
      <c r="G465" s="21" t="str">
        <f ca="1">IFERROR(__xludf.DUMMYFUNCTION("GOOGLETRANSLATE($B465,""en"",G$3)"),"Cliquez pour plus d'aide sur le site")</f>
        <v>Cliquez pour plus d'aide sur le site</v>
      </c>
      <c r="H465" s="21" t="str">
        <f ca="1">IFERROR(__xludf.DUMMYFUNCTION("GOOGLETRANSLATE($B465,""en"",H$3)"),"Klik Laguntza gehiago Web orrian")</f>
        <v>Klik Laguntza gehiago Web orrian</v>
      </c>
      <c r="I465" s="21" t="str">
        <f ca="1">IFERROR(__xludf.DUMMYFUNCTION("GOOGLETRANSLATE($B465,""en"",I$3)"),"Feu clic per obtenir més ajuda al lloc web")</f>
        <v>Feu clic per obtenir més ajuda al lloc web</v>
      </c>
      <c r="J465" s="21" t="str">
        <f ca="1">IFERROR(__xludf.DUMMYFUNCTION("GOOGLETRANSLATE($B465,""en"",J$3)"),"Klikněte pro další pomoc na webových stránkách")</f>
        <v>Klikněte pro další pomoc na webových stránkách</v>
      </c>
      <c r="K465" s="21" t="str">
        <f ca="1">IFERROR(__xludf.DUMMYFUNCTION("GOOGLETRANSLATE($B465,""en"",K$3)"),"点击网站上的更多帮助")</f>
        <v>点击网站上的更多帮助</v>
      </c>
      <c r="L465" s="21" t="str">
        <f ca="1">IFERROR(__xludf.DUMMYFUNCTION("GOOGLETRANSLATE($B465,""en"",L$3)"),"點擊網站上的更多幫助")</f>
        <v>點擊網站上的更多幫助</v>
      </c>
      <c r="M465" s="21" t="str">
        <f ca="1">IFERROR(__xludf.DUMMYFUNCTION("GOOGLETRANSLATE($B465,""en"",M$3)"),"Klik voor meer hulp bij de Website")</f>
        <v>Klik voor meer hulp bij de Website</v>
      </c>
      <c r="N465" s="21" t="str">
        <f ca="1">IFERROR(__xludf.DUMMYFUNCTION("GOOGLETRANSLATE($B465,""en"",N$3)"),"Κάντε κλικ στο κουμπί Για περισσότερη βοήθεια σχετικά με την Ιστοσελίδα")</f>
        <v>Κάντε κλικ στο κουμπί Για περισσότερη βοήθεια σχετικά με την Ιστοσελίδα</v>
      </c>
      <c r="O465" s="21" t="str">
        <f ca="1">IFERROR(__xludf.DUMMYFUNCTION("GOOGLETRANSLATE($B465,""en"",O$3)"),"Klikkaa lisäohjeita verkkosivustolla")</f>
        <v>Klikkaa lisäohjeita verkkosivustolla</v>
      </c>
      <c r="P465" s="21" t="str">
        <f ca="1">IFERROR(__xludf.DUMMYFUNCTION("GOOGLETRANSLATE($B465,""en"",P$3)"),"Click for níos Cabhair ar an láithreán")</f>
        <v>Click for níos Cabhair ar an láithreán</v>
      </c>
      <c r="Q465" s="21" t="str">
        <f ca="1">IFERROR(__xludf.DUMMYFUNCTION("GOOGLETRANSLATE($B465,""en"",Q$3)"),"برای راهنمایی بیشتر در وب سایت کلیک کنید")</f>
        <v>برای راهنمایی بیشتر در وب سایت کلیک کنید</v>
      </c>
      <c r="R465" s="21" t="str">
        <f ca="1">IFERROR(__xludf.DUMMYFUNCTION("GOOGLETRANSLATE($B465,""en"",R$3)"),"לחץ לקבלת עזרה נוספת באתר")</f>
        <v>לחץ לקבלת עזרה נוספת באתר</v>
      </c>
      <c r="S465" s="21" t="str">
        <f ca="1">IFERROR(__xludf.DUMMYFUNCTION("GOOGLETRANSLATE($B465,""en"",S$3)"),"Smelltu fyrir frekari hjálp á vefsvæðinu")</f>
        <v>Smelltu fyrir frekari hjálp á vefsvæðinu</v>
      </c>
      <c r="T465" s="21" t="str">
        <f ca="1">IFERROR(__xludf.DUMMYFUNCTION("GOOGLETRANSLATE($B465,""en"",T$3)"),"Klikk for mer hjelp på nettsiden")</f>
        <v>Klikk for mer hjelp på nettsiden</v>
      </c>
      <c r="U465" s="21" t="str">
        <f ca="1">IFERROR(__xludf.DUMMYFUNCTION("GOOGLETRANSLATE($B465,""en"",U$3)"),"انقر للحصول على المزيد من المساعدة على الموقع")</f>
        <v>انقر للحصول على المزيد من المساعدة على الموقع</v>
      </c>
      <c r="V465" s="21" t="str">
        <f ca="1">IFERROR(__xludf.DUMMYFUNCTION("GOOGLETRANSLATE($B465,""en"",V$3)"),"Kliknij po więcej pomocy w Serwisie")</f>
        <v>Kliknij po więcej pomocy w Serwisie</v>
      </c>
      <c r="W465" s="21" t="str">
        <f ca="1">IFERROR(__xludf.DUMMYFUNCTION("GOOGLETRANSLATE($B465,""en"",W$3)"),"Нажмите для получения дополнительной помощи на веб-сайте")</f>
        <v>Нажмите для получения дополнительной помощи на веб-сайте</v>
      </c>
      <c r="X465" s="21" t="str">
        <f ca="1">IFERROR(__xludf.DUMMYFUNCTION("GOOGLETRANSLATE($B465,""en"",X$3)"),"Haga clic para obtener más ayuda en el sitio Web")</f>
        <v>Haga clic para obtener más ayuda en el sitio Web</v>
      </c>
      <c r="Y465" s="21"/>
      <c r="Z465" s="21"/>
    </row>
    <row r="466" spans="1:26" ht="32.25" customHeight="1" x14ac:dyDescent="0.2">
      <c r="A466" s="17" t="s">
        <v>1041</v>
      </c>
      <c r="B466" s="17" t="s">
        <v>1042</v>
      </c>
      <c r="C466" s="21" t="str">
        <f ca="1">IFERROR(__xludf.DUMMYFUNCTION("GOOGLETRANSLATE($B466,""en"",C$3)"),"Muss eine Nummer sein")</f>
        <v>Muss eine Nummer sein</v>
      </c>
      <c r="D466" s="21" t="str">
        <f ca="1">IFERROR(__xludf.DUMMYFUNCTION("GOOGLETRANSLATE($B466,""en"",D$3)"),"Måste vara en siffra")</f>
        <v>Måste vara en siffra</v>
      </c>
      <c r="E466" s="21" t="str">
        <f ca="1">IFERROR(__xludf.DUMMYFUNCTION("GOOGLETRANSLATE($B466,""en"",E$3)"),"Deve ser um número")</f>
        <v>Deve ser um número</v>
      </c>
      <c r="F466" s="21" t="str">
        <f ca="1">IFERROR(__xludf.DUMMYFUNCTION("GOOGLETRANSLATE($B466,""en"",F$3)"),"Deve ser um número")</f>
        <v>Deve ser um número</v>
      </c>
      <c r="G466" s="21" t="str">
        <f ca="1">IFERROR(__xludf.DUMMYFUNCTION("GOOGLETRANSLATE($B466,""en"",G$3)"),"Doit être un nombre")</f>
        <v>Doit être un nombre</v>
      </c>
      <c r="H466" s="21" t="str">
        <f ca="1">IFERROR(__xludf.DUMMYFUNCTION("GOOGLETRANSLATE($B466,""en"",H$3)"),"zenbakia izan behar")</f>
        <v>zenbakia izan behar</v>
      </c>
      <c r="I466" s="21" t="str">
        <f ca="1">IFERROR(__xludf.DUMMYFUNCTION("GOOGLETRANSLATE($B466,""en"",I$3)"),"Ha de ser un nombre")</f>
        <v>Ha de ser un nombre</v>
      </c>
      <c r="J466" s="21" t="str">
        <f ca="1">IFERROR(__xludf.DUMMYFUNCTION("GOOGLETRANSLATE($B466,""en"",J$3)"),"Musí být číslo")</f>
        <v>Musí být číslo</v>
      </c>
      <c r="K466" s="21" t="str">
        <f ca="1">IFERROR(__xludf.DUMMYFUNCTION("GOOGLETRANSLATE($B466,""en"",K$3)"),"必须是数字")</f>
        <v>必须是数字</v>
      </c>
      <c r="L466" s="21" t="str">
        <f ca="1">IFERROR(__xludf.DUMMYFUNCTION("GOOGLETRANSLATE($B466,""en"",L$3)"),"必須是數字")</f>
        <v>必須是數字</v>
      </c>
      <c r="M466" s="21" t="str">
        <f ca="1">IFERROR(__xludf.DUMMYFUNCTION("GOOGLETRANSLATE($B466,""en"",M$3)"),"Moet een nummer zijn")</f>
        <v>Moet een nummer zijn</v>
      </c>
      <c r="N466" s="21" t="str">
        <f ca="1">IFERROR(__xludf.DUMMYFUNCTION("GOOGLETRANSLATE($B466,""en"",N$3)"),"Πρέπει να είναι ένας αριθμός")</f>
        <v>Πρέπει να είναι ένας αριθμός</v>
      </c>
      <c r="O466" s="21" t="str">
        <f ca="1">IFERROR(__xludf.DUMMYFUNCTION("GOOGLETRANSLATE($B466,""en"",O$3)"),"Numeron on oltava")</f>
        <v>Numeron on oltava</v>
      </c>
      <c r="P466" s="21" t="str">
        <f ca="1">IFERROR(__xludf.DUMMYFUNCTION("GOOGLETRANSLATE($B466,""en"",P$3)"),"Caithfidh sé a bheith ina uimhir")</f>
        <v>Caithfidh sé a bheith ina uimhir</v>
      </c>
      <c r="Q466" s="21" t="str">
        <f ca="1">IFERROR(__xludf.DUMMYFUNCTION("GOOGLETRANSLATE($B466,""en"",Q$3)"),"باید یک عدد باشد")</f>
        <v>باید یک عدد باشد</v>
      </c>
      <c r="R466" s="21" t="str">
        <f ca="1">IFERROR(__xludf.DUMMYFUNCTION("GOOGLETRANSLATE($B466,""en"",R$3)"),"חייב להיות מספר")</f>
        <v>חייב להיות מספר</v>
      </c>
      <c r="S466" s="21" t="str">
        <f ca="1">IFERROR(__xludf.DUMMYFUNCTION("GOOGLETRANSLATE($B466,""en"",S$3)"),"Verður að vera tala")</f>
        <v>Verður að vera tala</v>
      </c>
      <c r="T466" s="21" t="str">
        <f ca="1">IFERROR(__xludf.DUMMYFUNCTION("GOOGLETRANSLATE($B466,""en"",T$3)"),"Må være et tall")</f>
        <v>Må være et tall</v>
      </c>
      <c r="U466" s="21" t="str">
        <f ca="1">IFERROR(__xludf.DUMMYFUNCTION("GOOGLETRANSLATE($B466,""en"",U$3)"),"يجب أن يكون رقما")</f>
        <v>يجب أن يكون رقما</v>
      </c>
      <c r="V466" s="21" t="str">
        <f ca="1">IFERROR(__xludf.DUMMYFUNCTION("GOOGLETRANSLATE($B466,""en"",V$3)"),"Musi być liczbą")</f>
        <v>Musi być liczbą</v>
      </c>
      <c r="W466" s="21" t="str">
        <f ca="1">IFERROR(__xludf.DUMMYFUNCTION("GOOGLETRANSLATE($B466,""en"",W$3)"),"Должно быть числом")</f>
        <v>Должно быть числом</v>
      </c>
      <c r="X466" s="21" t="str">
        <f ca="1">IFERROR(__xludf.DUMMYFUNCTION("GOOGLETRANSLATE($B466,""en"",X$3)"),"Tiene que ser un número")</f>
        <v>Tiene que ser un número</v>
      </c>
      <c r="Y466" s="21"/>
      <c r="Z466" s="21"/>
    </row>
    <row r="467" spans="1:26" ht="32.25" customHeight="1" x14ac:dyDescent="0.2">
      <c r="A467" s="17" t="s">
        <v>1043</v>
      </c>
      <c r="B467" s="17" t="s">
        <v>1044</v>
      </c>
      <c r="C467" s="21" t="str">
        <f ca="1">IFERROR(__xludf.DUMMYFUNCTION("GOOGLETRANSLATE($B467,""en"",C$3)"),"Muss eine PNG-Datei sein")</f>
        <v>Muss eine PNG-Datei sein</v>
      </c>
      <c r="D467" s="21" t="str">
        <f ca="1">IFERROR(__xludf.DUMMYFUNCTION("GOOGLETRANSLATE($B467,""en"",D$3)"),"Måste vara en PNG-fil")</f>
        <v>Måste vara en PNG-fil</v>
      </c>
      <c r="E467" s="21" t="str">
        <f ca="1">IFERROR(__xludf.DUMMYFUNCTION("GOOGLETRANSLATE($B467,""en"",E$3)"),"Deve ser um arquivo PNG")</f>
        <v>Deve ser um arquivo PNG</v>
      </c>
      <c r="F467" s="21" t="str">
        <f ca="1">IFERROR(__xludf.DUMMYFUNCTION("GOOGLETRANSLATE($B467,""en"",F$3)"),"Deve ser um arquivo PNG")</f>
        <v>Deve ser um arquivo PNG</v>
      </c>
      <c r="G467" s="21" t="str">
        <f ca="1">IFERROR(__xludf.DUMMYFUNCTION("GOOGLETRANSLATE($B467,""en"",G$3)"),"Doit être un fichier PNG")</f>
        <v>Doit être un fichier PNG</v>
      </c>
      <c r="H467" s="21" t="str">
        <f ca="1">IFERROR(__xludf.DUMMYFUNCTION("GOOGLETRANSLATE($B467,""en"",H$3)"),"PNG fitxategia izan behar")</f>
        <v>PNG fitxategia izan behar</v>
      </c>
      <c r="I467" s="21" t="str">
        <f ca="1">IFERROR(__xludf.DUMMYFUNCTION("GOOGLETRANSLATE($B467,""en"",I$3)"),"Ha de ser un arxiu PNG")</f>
        <v>Ha de ser un arxiu PNG</v>
      </c>
      <c r="J467" s="21" t="str">
        <f ca="1">IFERROR(__xludf.DUMMYFUNCTION("GOOGLETRANSLATE($B467,""en"",J$3)"),"Musí být ve formátu PNG")</f>
        <v>Musí být ve formátu PNG</v>
      </c>
      <c r="K467" s="21" t="str">
        <f ca="1">IFERROR(__xludf.DUMMYFUNCTION("GOOGLETRANSLATE($B467,""en"",K$3)"),"必须是一个PNG文件")</f>
        <v>必须是一个PNG文件</v>
      </c>
      <c r="L467" s="21" t="str">
        <f ca="1">IFERROR(__xludf.DUMMYFUNCTION("GOOGLETRANSLATE($B467,""en"",L$3)"),"必須是一個PNG文件")</f>
        <v>必須是一個PNG文件</v>
      </c>
      <c r="M467" s="21" t="str">
        <f ca="1">IFERROR(__xludf.DUMMYFUNCTION("GOOGLETRANSLATE($B467,""en"",M$3)"),"Moet een PNG-bestand te zijn")</f>
        <v>Moet een PNG-bestand te zijn</v>
      </c>
      <c r="N467" s="21" t="str">
        <f ca="1">IFERROR(__xludf.DUMMYFUNCTION("GOOGLETRANSLATE($B467,""en"",N$3)"),"Πρέπει να είναι ένα αρχείο PNG")</f>
        <v>Πρέπει να είναι ένα αρχείο PNG</v>
      </c>
      <c r="O467" s="21" t="str">
        <f ca="1">IFERROR(__xludf.DUMMYFUNCTION("GOOGLETRANSLATE($B467,""en"",O$3)"),"Täytyy olla PNG")</f>
        <v>Täytyy olla PNG</v>
      </c>
      <c r="P467" s="21" t="str">
        <f ca="1">IFERROR(__xludf.DUMMYFUNCTION("GOOGLETRANSLATE($B467,""en"",P$3)"),"Ní mór a bheith ina comhad PNG")</f>
        <v>Ní mór a bheith ina comhad PNG</v>
      </c>
      <c r="Q467" s="21" t="str">
        <f ca="1">IFERROR(__xludf.DUMMYFUNCTION("GOOGLETRANSLATE($B467,""en"",Q$3)"),"باید یک فایل PNG می باشد")</f>
        <v>باید یک فایل PNG می باشد</v>
      </c>
      <c r="R467" s="21" t="str">
        <f ca="1">IFERROR(__xludf.DUMMYFUNCTION("GOOGLETRANSLATE($B467,""en"",R$3)"),"חייב להיות קובץ PNG")</f>
        <v>חייב להיות קובץ PNG</v>
      </c>
      <c r="S467" s="21" t="str">
        <f ca="1">IFERROR(__xludf.DUMMYFUNCTION("GOOGLETRANSLATE($B467,""en"",S$3)"),"Verður að vera PNG skrá")</f>
        <v>Verður að vera PNG skrá</v>
      </c>
      <c r="T467" s="21" t="str">
        <f ca="1">IFERROR(__xludf.DUMMYFUNCTION("GOOGLETRANSLATE($B467,""en"",T$3)"),"Må være en PNG-fil")</f>
        <v>Må være en PNG-fil</v>
      </c>
      <c r="U467" s="21" t="str">
        <f ca="1">IFERROR(__xludf.DUMMYFUNCTION("GOOGLETRANSLATE($B467,""en"",U$3)"),"يجب أن يكون ملف PNG")</f>
        <v>يجب أن يكون ملف PNG</v>
      </c>
      <c r="V467" s="21" t="str">
        <f ca="1">IFERROR(__xludf.DUMMYFUNCTION("GOOGLETRANSLATE($B467,""en"",V$3)"),"Musi być plik PNG")</f>
        <v>Musi być plik PNG</v>
      </c>
      <c r="W467" s="21" t="str">
        <f ca="1">IFERROR(__xludf.DUMMYFUNCTION("GOOGLETRANSLATE($B467,""en"",W$3)"),"Должен быть файл PNG")</f>
        <v>Должен быть файл PNG</v>
      </c>
      <c r="X467" s="21" t="str">
        <f ca="1">IFERROR(__xludf.DUMMYFUNCTION("GOOGLETRANSLATE($B467,""en"",X$3)"),"Debe ser un archivo PNG")</f>
        <v>Debe ser un archivo PNG</v>
      </c>
      <c r="Y467" s="21"/>
      <c r="Z467" s="21"/>
    </row>
    <row r="468" spans="1:26" ht="32.25" customHeight="1" x14ac:dyDescent="0.2">
      <c r="A468" s="17" t="s">
        <v>1045</v>
      </c>
      <c r="B468" s="17" t="s">
        <v>1046</v>
      </c>
      <c r="C468" s="21" t="str">
        <f ca="1">IFERROR(__xludf.DUMMYFUNCTION("GOOGLETRANSLATE($B468,""en"",C$3)"),"Muss einen Namen eines Inventargegenstand haben")</f>
        <v>Muss einen Namen eines Inventargegenstand haben</v>
      </c>
      <c r="D468" s="21" t="str">
        <f ca="1">IFERROR(__xludf.DUMMYFUNCTION("GOOGLETRANSLATE($B468,""en"",D$3)"),"Måste ha ett namn på en inventering objekt")</f>
        <v>Måste ha ett namn på en inventering objekt</v>
      </c>
      <c r="E468" s="21" t="str">
        <f ca="1">IFERROR(__xludf.DUMMYFUNCTION("GOOGLETRANSLATE($B468,""en"",E$3)"),"Deve ter um nome de um item de inventário")</f>
        <v>Deve ter um nome de um item de inventário</v>
      </c>
      <c r="F468" s="21" t="str">
        <f ca="1">IFERROR(__xludf.DUMMYFUNCTION("GOOGLETRANSLATE($B468,""en"",F$3)"),"Deve ter um nome de um item de inventário")</f>
        <v>Deve ter um nome de um item de inventário</v>
      </c>
      <c r="G468" s="21" t="str">
        <f ca="1">IFERROR(__xludf.DUMMYFUNCTION("GOOGLETRANSLATE($B468,""en"",G$3)"),"Doit avoir un nom d'un élément d'inventaire")</f>
        <v>Doit avoir un nom d'un élément d'inventaire</v>
      </c>
      <c r="H468" s="21" t="str">
        <f ca="1">IFERROR(__xludf.DUMMYFUNCTION("GOOGLETRANSLATE($B468,""en"",H$3)"),"inbentarioa elementu bat izen bat eduki behar du")</f>
        <v>inbentarioa elementu bat izen bat eduki behar du</v>
      </c>
      <c r="I468" s="21" t="str">
        <f ca="1">IFERROR(__xludf.DUMMYFUNCTION("GOOGLETRANSLATE($B468,""en"",I$3)"),"Ha de tenir un nom d'un article d'inventari")</f>
        <v>Ha de tenir un nom d'un article d'inventari</v>
      </c>
      <c r="J468" s="21" t="str">
        <f ca="1">IFERROR(__xludf.DUMMYFUNCTION("GOOGLETRANSLATE($B468,""en"",J$3)"),"Musí mít název položky inventáře")</f>
        <v>Musí mít název položky inventáře</v>
      </c>
      <c r="K468" s="21" t="str">
        <f ca="1">IFERROR(__xludf.DUMMYFUNCTION("GOOGLETRANSLATE($B468,""en"",K$3)"),"必须有一个库存物品的名称")</f>
        <v>必须有一个库存物品的名称</v>
      </c>
      <c r="L468" s="21" t="str">
        <f ca="1">IFERROR(__xludf.DUMMYFUNCTION("GOOGLETRANSLATE($B468,""en"",L$3)"),"必須有一個庫存物品的名稱")</f>
        <v>必須有一個庫存物品的名稱</v>
      </c>
      <c r="M468" s="21" t="str">
        <f ca="1">IFERROR(__xludf.DUMMYFUNCTION("GOOGLETRANSLATE($B468,""en"",M$3)"),"Moet een naam van een inventaris post hebben")</f>
        <v>Moet een naam van een inventaris post hebben</v>
      </c>
      <c r="N468" s="21" t="str">
        <f ca="1">IFERROR(__xludf.DUMMYFUNCTION("GOOGLETRANSLATE($B468,""en"",N$3)"),"Πρέπει να έχει ένα όνομα ενός στοιχείου απογραφής")</f>
        <v>Πρέπει να έχει ένα όνομα ενός στοιχείου απογραφής</v>
      </c>
      <c r="O468" s="21" t="str">
        <f ca="1">IFERROR(__xludf.DUMMYFUNCTION("GOOGLETRANSLATE($B468,""en"",O$3)"),"Oltava nimi inventoinnin kohde")</f>
        <v>Oltava nimi inventoinnin kohde</v>
      </c>
      <c r="P468" s="21" t="str">
        <f ca="1">IFERROR(__xludf.DUMMYFUNCTION("GOOGLETRANSLATE($B468,""en"",P$3)"),"Ní mór go mbeadh ainm mhír fardal")</f>
        <v>Ní mór go mbeadh ainm mhír fardal</v>
      </c>
      <c r="Q468" s="21" t="str">
        <f ca="1">IFERROR(__xludf.DUMMYFUNCTION("GOOGLETRANSLATE($B468,""en"",Q$3)"),"باید یک نام از یک آیتم موجودی")</f>
        <v>باید یک نام از یک آیتم موجودی</v>
      </c>
      <c r="R468" s="21" t="str">
        <f ca="1">IFERROR(__xludf.DUMMYFUNCTION("GOOGLETRANSLATE($B468,""en"",R$3)"),"חייב להיות שם של פריט מלאה")</f>
        <v>חייב להיות שם של פריט מלאה</v>
      </c>
      <c r="S468" s="21" t="str">
        <f ca="1">IFERROR(__xludf.DUMMYFUNCTION("GOOGLETRANSLATE($B468,""en"",S$3)"),"Verður að hafa nafn af birgðum hlut")</f>
        <v>Verður að hafa nafn af birgðum hlut</v>
      </c>
      <c r="T468" s="21" t="str">
        <f ca="1">IFERROR(__xludf.DUMMYFUNCTION("GOOGLETRANSLATE($B468,""en"",T$3)"),"Må ha et navn på en lagervare")</f>
        <v>Må ha et navn på en lagervare</v>
      </c>
      <c r="U468" s="21" t="str">
        <f ca="1">IFERROR(__xludf.DUMMYFUNCTION("GOOGLETRANSLATE($B468,""en"",U$3)"),"يجب أن يكون اسم بند المخزون")</f>
        <v>يجب أن يكون اسم بند المخزون</v>
      </c>
      <c r="V468" s="21" t="str">
        <f ca="1">IFERROR(__xludf.DUMMYFUNCTION("GOOGLETRANSLATE($B468,""en"",V$3)"),"Musi mieć nazwę zapasu")</f>
        <v>Musi mieć nazwę zapasu</v>
      </c>
      <c r="W468" s="21" t="str">
        <f ca="1">IFERROR(__xludf.DUMMYFUNCTION("GOOGLETRANSLATE($B468,""en"",W$3)"),"Должен иметь имя элемента инвентаризации")</f>
        <v>Должен иметь имя элемента инвентаризации</v>
      </c>
      <c r="X468" s="21" t="str">
        <f ca="1">IFERROR(__xludf.DUMMYFUNCTION("GOOGLETRANSLATE($B468,""en"",X$3)"),"Debe tener un nombre de un artículo de inventario")</f>
        <v>Debe tener un nombre de un artículo de inventario</v>
      </c>
      <c r="Y468" s="21"/>
      <c r="Z468" s="21"/>
    </row>
    <row r="469" spans="1:26" ht="32.25" customHeight="1" x14ac:dyDescent="0.2">
      <c r="A469" s="17" t="s">
        <v>1047</v>
      </c>
      <c r="B469" s="17" t="s">
        <v>1048</v>
      </c>
      <c r="C469" s="21" t="str">
        <f ca="1">IFERROR(__xludf.DUMMYFUNCTION("GOOGLETRANSLATE($B469,""en"",C$3)"),"Muss gleich X sein")</f>
        <v>Muss gleich X sein</v>
      </c>
      <c r="D469" s="21" t="str">
        <f ca="1">IFERROR(__xludf.DUMMYFUNCTION("GOOGLETRANSLATE($B469,""en"",D$3)"),"Måste vara samma som X")</f>
        <v>Måste vara samma som X</v>
      </c>
      <c r="E469" s="21" t="str">
        <f ca="1">IFERROR(__xludf.DUMMYFUNCTION("GOOGLETRANSLATE($B469,""en"",E$3)"),"Deve ser o mesmo que X")</f>
        <v>Deve ser o mesmo que X</v>
      </c>
      <c r="F469" s="21" t="str">
        <f ca="1">IFERROR(__xludf.DUMMYFUNCTION("GOOGLETRANSLATE($B469,""en"",F$3)"),"Deve ser o mesmo que X")</f>
        <v>Deve ser o mesmo que X</v>
      </c>
      <c r="G469" s="21" t="str">
        <f ca="1">IFERROR(__xludf.DUMMYFUNCTION("GOOGLETRANSLATE($B469,""en"",G$3)"),"Doit être le même que X")</f>
        <v>Doit être le même que X</v>
      </c>
      <c r="H469" s="21" t="str">
        <f ca="1">IFERROR(__xludf.DUMMYFUNCTION("GOOGLETRANSLATE($B469,""en"",H$3)"),"X berdina izan behar du")</f>
        <v>X berdina izan behar du</v>
      </c>
      <c r="I469" s="21" t="str">
        <f ca="1">IFERROR(__xludf.DUMMYFUNCTION("GOOGLETRANSLATE($B469,""en"",I$3)"),"Ha de ser el mateix que X")</f>
        <v>Ha de ser el mateix que X</v>
      </c>
      <c r="J469" s="21" t="str">
        <f ca="1">IFERROR(__xludf.DUMMYFUNCTION("GOOGLETRANSLATE($B469,""en"",J$3)"),"Musí být stejné jako X")</f>
        <v>Musí být stejné jako X</v>
      </c>
      <c r="K469" s="21" t="str">
        <f ca="1">IFERROR(__xludf.DUMMYFUNCTION("GOOGLETRANSLATE($B469,""en"",K$3)"),"必须是相同的X")</f>
        <v>必须是相同的X</v>
      </c>
      <c r="L469" s="21" t="str">
        <f ca="1">IFERROR(__xludf.DUMMYFUNCTION("GOOGLETRANSLATE($B469,""en"",L$3)"),"必須是相同的X")</f>
        <v>必須是相同的X</v>
      </c>
      <c r="M469" s="21" t="str">
        <f ca="1">IFERROR(__xludf.DUMMYFUNCTION("GOOGLETRANSLATE($B469,""en"",M$3)"),"Moet hetzelfde zijn als X zijn")</f>
        <v>Moet hetzelfde zijn als X zijn</v>
      </c>
      <c r="N469" s="21" t="str">
        <f ca="1">IFERROR(__xludf.DUMMYFUNCTION("GOOGLETRANSLATE($B469,""en"",N$3)"),"Πρέπει να είναι το ίδιο με το Χ")</f>
        <v>Πρέπει να είναι το ίδιο με το Χ</v>
      </c>
      <c r="O469" s="21" t="str">
        <f ca="1">IFERROR(__xludf.DUMMYFUNCTION("GOOGLETRANSLATE($B469,""en"",O$3)"),"On oltava sama kuin X")</f>
        <v>On oltava sama kuin X</v>
      </c>
      <c r="P469" s="21" t="str">
        <f ca="1">IFERROR(__xludf.DUMMYFUNCTION("GOOGLETRANSLATE($B469,""en"",P$3)"),"Caithfidh sé a bheith mar an gcéanna X")</f>
        <v>Caithfidh sé a bheith mar an gcéanna X</v>
      </c>
      <c r="Q469" s="21" t="str">
        <f ca="1">IFERROR(__xludf.DUMMYFUNCTION("GOOGLETRANSLATE($B469,""en"",Q$3)"),"باید آن را همان X باشد")</f>
        <v>باید آن را همان X باشد</v>
      </c>
      <c r="R469" s="21" t="str">
        <f ca="1">IFERROR(__xludf.DUMMYFUNCTION("GOOGLETRANSLATE($B469,""en"",R$3)"),"חייב להיות זהה X")</f>
        <v>חייב להיות זהה X</v>
      </c>
      <c r="S469" s="21" t="str">
        <f ca="1">IFERROR(__xludf.DUMMYFUNCTION("GOOGLETRANSLATE($B469,""en"",S$3)"),"Verður að vera það sama og X")</f>
        <v>Verður að vera það sama og X</v>
      </c>
      <c r="T469" s="21" t="str">
        <f ca="1">IFERROR(__xludf.DUMMYFUNCTION("GOOGLETRANSLATE($B469,""en"",T$3)"),"Må være den samme som X")</f>
        <v>Må være den samme som X</v>
      </c>
      <c r="U469" s="21" t="str">
        <f ca="1">IFERROR(__xludf.DUMMYFUNCTION("GOOGLETRANSLATE($B469,""en"",U$3)"),"يجب أن يكون هو نفسه X")</f>
        <v>يجب أن يكون هو نفسه X</v>
      </c>
      <c r="V469" s="21" t="str">
        <f ca="1">IFERROR(__xludf.DUMMYFUNCTION("GOOGLETRANSLATE($B469,""en"",V$3)"),"Musi być taka sama jak X")</f>
        <v>Musi być taka sama jak X</v>
      </c>
      <c r="W469" s="21" t="str">
        <f ca="1">IFERROR(__xludf.DUMMYFUNCTION("GOOGLETRANSLATE($B469,""en"",W$3)"),"Должен быть такой же, как X")</f>
        <v>Должен быть такой же, как X</v>
      </c>
      <c r="X469" s="21" t="str">
        <f ca="1">IFERROR(__xludf.DUMMYFUNCTION("GOOGLETRANSLATE($B469,""en"",X$3)"),"Debe ser el mismo que X")</f>
        <v>Debe ser el mismo que X</v>
      </c>
      <c r="Y469" s="21"/>
      <c r="Z469" s="21"/>
    </row>
    <row r="470" spans="1:26" ht="32.25" customHeight="1" x14ac:dyDescent="0.2">
      <c r="A470" s="17" t="s">
        <v>1049</v>
      </c>
      <c r="B470" s="17" t="s">
        <v>1050</v>
      </c>
      <c r="C470" s="21" t="str">
        <f ca="1">IFERROR(__xludf.DUMMYFUNCTION("GOOGLETRANSLATE($B470,""en"",C$3)"),"Muss gleich Y sein")</f>
        <v>Muss gleich Y sein</v>
      </c>
      <c r="D470" s="21" t="str">
        <f ca="1">IFERROR(__xludf.DUMMYFUNCTION("GOOGLETRANSLATE($B470,""en"",D$3)"),"Måste vara samma som Y")</f>
        <v>Måste vara samma som Y</v>
      </c>
      <c r="E470" s="21" t="str">
        <f ca="1">IFERROR(__xludf.DUMMYFUNCTION("GOOGLETRANSLATE($B470,""en"",E$3)"),"Deve ser o mesmo que Y")</f>
        <v>Deve ser o mesmo que Y</v>
      </c>
      <c r="F470" s="21" t="str">
        <f ca="1">IFERROR(__xludf.DUMMYFUNCTION("GOOGLETRANSLATE($B470,""en"",F$3)"),"Deve ser o mesmo que Y")</f>
        <v>Deve ser o mesmo que Y</v>
      </c>
      <c r="G470" s="21" t="str">
        <f ca="1">IFERROR(__xludf.DUMMYFUNCTION("GOOGLETRANSLATE($B470,""en"",G$3)"),"Doit être le même que Y")</f>
        <v>Doit être le même que Y</v>
      </c>
      <c r="H470" s="21" t="str">
        <f ca="1">IFERROR(__xludf.DUMMYFUNCTION("GOOGLETRANSLATE($B470,""en"",H$3)"),"Y berdina izan behar du")</f>
        <v>Y berdina izan behar du</v>
      </c>
      <c r="I470" s="21" t="str">
        <f ca="1">IFERROR(__xludf.DUMMYFUNCTION("GOOGLETRANSLATE($B470,""en"",I$3)"),"Ha de ser el mateix que I")</f>
        <v>Ha de ser el mateix que I</v>
      </c>
      <c r="J470" s="21" t="str">
        <f ca="1">IFERROR(__xludf.DUMMYFUNCTION("GOOGLETRANSLATE($B470,""en"",J$3)"),"Musí být stejná jako Y")</f>
        <v>Musí být stejná jako Y</v>
      </c>
      <c r="K470" s="21" t="str">
        <f ca="1">IFERROR(__xludf.DUMMYFUNCTION("GOOGLETRANSLATE($B470,""en"",K$3)"),"必须是相同的Y")</f>
        <v>必须是相同的Y</v>
      </c>
      <c r="L470" s="21" t="str">
        <f ca="1">IFERROR(__xludf.DUMMYFUNCTION("GOOGLETRANSLATE($B470,""en"",L$3)"),"必須是相同的Y")</f>
        <v>必須是相同的Y</v>
      </c>
      <c r="M470" s="21" t="str">
        <f ca="1">IFERROR(__xludf.DUMMYFUNCTION("GOOGLETRANSLATE($B470,""en"",M$3)"),"Moet hetzelfde zijn als Y")</f>
        <v>Moet hetzelfde zijn als Y</v>
      </c>
      <c r="N470" s="21" t="str">
        <f ca="1">IFERROR(__xludf.DUMMYFUNCTION("GOOGLETRANSLATE($B470,""en"",N$3)"),"Πρέπει να είναι το ίδιο με το Υ")</f>
        <v>Πρέπει να είναι το ίδιο με το Υ</v>
      </c>
      <c r="O470" s="21" t="str">
        <f ca="1">IFERROR(__xludf.DUMMYFUNCTION("GOOGLETRANSLATE($B470,""en"",O$3)"),"On oltava sama kuin Y-")</f>
        <v>On oltava sama kuin Y-</v>
      </c>
      <c r="P470" s="21" t="str">
        <f ca="1">IFERROR(__xludf.DUMMYFUNCTION("GOOGLETRANSLATE($B470,""en"",P$3)"),"Caithfidh sé a bheith mar an gcéanna Y")</f>
        <v>Caithfidh sé a bheith mar an gcéanna Y</v>
      </c>
      <c r="Q470" s="21" t="str">
        <f ca="1">IFERROR(__xludf.DUMMYFUNCTION("GOOGLETRANSLATE($B470,""en"",Q$3)"),"باید همان عنوان Y باشد")</f>
        <v>باید همان عنوان Y باشد</v>
      </c>
      <c r="R470" s="21" t="str">
        <f ca="1">IFERROR(__xludf.DUMMYFUNCTION("GOOGLETRANSLATE($B470,""en"",R$3)"),"חייב להיות זהה Y")</f>
        <v>חייב להיות זהה Y</v>
      </c>
      <c r="S470" s="21" t="str">
        <f ca="1">IFERROR(__xludf.DUMMYFUNCTION("GOOGLETRANSLATE($B470,""en"",S$3)"),"Verður að vera það sama og Y")</f>
        <v>Verður að vera það sama og Y</v>
      </c>
      <c r="T470" s="21" t="str">
        <f ca="1">IFERROR(__xludf.DUMMYFUNCTION("GOOGLETRANSLATE($B470,""en"",T$3)"),"Må være den samme som Y-")</f>
        <v>Må være den samme som Y-</v>
      </c>
      <c r="U470" s="21" t="str">
        <f ca="1">IFERROR(__xludf.DUMMYFUNCTION("GOOGLETRANSLATE($B470,""en"",U$3)"),"يجب أن يكون هو نفسه Y")</f>
        <v>يجب أن يكون هو نفسه Y</v>
      </c>
      <c r="V470" s="21" t="str">
        <f ca="1">IFERROR(__xludf.DUMMYFUNCTION("GOOGLETRANSLATE($B470,""en"",V$3)"),"Musi być taka sama jak Y")</f>
        <v>Musi być taka sama jak Y</v>
      </c>
      <c r="W470" s="21" t="str">
        <f ca="1">IFERROR(__xludf.DUMMYFUNCTION("GOOGLETRANSLATE($B470,""en"",W$3)"),"Должен быть такой же, как Y")</f>
        <v>Должен быть такой же, как Y</v>
      </c>
      <c r="X470" s="21" t="str">
        <f ca="1">IFERROR(__xludf.DUMMYFUNCTION("GOOGLETRANSLATE($B470,""en"",X$3)"),"Debe ser el mismo que Y")</f>
        <v>Debe ser el mismo que Y</v>
      </c>
      <c r="Y470" s="21"/>
      <c r="Z470" s="21"/>
    </row>
    <row r="471" spans="1:26" ht="32.25" customHeight="1" x14ac:dyDescent="0.2">
      <c r="A471" s="17" t="s">
        <v>1051</v>
      </c>
      <c r="B471" s="17" t="s">
        <v>1052</v>
      </c>
      <c r="C471" s="21" t="str">
        <f ca="1">IFERROR(__xludf.DUMMYFUNCTION("GOOGLETRANSLATE($B471,""en"",C$3)"),"MySQL verlassen. Möchten Sie das Fehlerprotokoll-Datei sehen?")</f>
        <v>MySQL verlassen. Möchten Sie das Fehlerprotokoll-Datei sehen?</v>
      </c>
      <c r="D471" s="21" t="str">
        <f ca="1">IFERROR(__xludf.DUMMYFUNCTION("GOOGLETRANSLATE($B471,""en"",D$3)"),"MySQL lämnat. Vill du se felloggfilen?")</f>
        <v>MySQL lämnat. Vill du se felloggfilen?</v>
      </c>
      <c r="E471" s="21" t="str">
        <f ca="1">IFERROR(__xludf.DUMMYFUNCTION("GOOGLETRANSLATE($B471,""en"",E$3)"),"MySQL saiu. Você quer ver o arquivo de log de erro?")</f>
        <v>MySQL saiu. Você quer ver o arquivo de log de erro?</v>
      </c>
      <c r="F471" s="21" t="str">
        <f ca="1">IFERROR(__xludf.DUMMYFUNCTION("GOOGLETRANSLATE($B471,""en"",F$3)"),"MySQL saiu. Você quer ver o arquivo de log de erro?")</f>
        <v>MySQL saiu. Você quer ver o arquivo de log de erro?</v>
      </c>
      <c r="G471" s="21" t="str">
        <f ca="1">IFERROR(__xludf.DUMMYFUNCTION("GOOGLETRANSLATE($B471,""en"",G$3)"),"MySQL est sorti. Voulez-vous voir le fichier journal des erreurs?")</f>
        <v>MySQL est sorti. Voulez-vous voir le fichier journal des erreurs?</v>
      </c>
      <c r="H471" s="21" t="str">
        <f ca="1">IFERROR(__xludf.DUMMYFUNCTION("GOOGLETRANSLATE($B471,""en"",H$3)"),"MySQL irten da. Ez error log fitxategia ikusi nahi al duzu?")</f>
        <v>MySQL irten da. Ez error log fitxategia ikusi nahi al duzu?</v>
      </c>
      <c r="I471" s="21" t="str">
        <f ca="1">IFERROR(__xludf.DUMMYFUNCTION("GOOGLETRANSLATE($B471,""en"",I$3)"),"MySQL tanca. Vols veure el fitxer de registre d'errors?")</f>
        <v>MySQL tanca. Vols veure el fitxer de registre d'errors?</v>
      </c>
      <c r="J471" s="21" t="str">
        <f ca="1">IFERROR(__xludf.DUMMYFUNCTION("GOOGLETRANSLATE($B471,""en"",J$3)"),"MySQL ukončen. Chcete vidět soubor protokolu chyb?")</f>
        <v>MySQL ukončen. Chcete vidět soubor protokolu chyb?</v>
      </c>
      <c r="K471" s="21" t="str">
        <f ca="1">IFERROR(__xludf.DUMMYFUNCTION("GOOGLETRANSLATE($B471,""en"",K$3)"),"MySQL的退出。你想看到错误日志文件？")</f>
        <v>MySQL的退出。你想看到错误日志文件？</v>
      </c>
      <c r="L471" s="21" t="str">
        <f ca="1">IFERROR(__xludf.DUMMYFUNCTION("GOOGLETRANSLATE($B471,""en"",L$3)"),"MySQL的退出。你想看到錯誤日誌文件？")</f>
        <v>MySQL的退出。你想看到錯誤日誌文件？</v>
      </c>
      <c r="M471" s="21" t="str">
        <f ca="1">IFERROR(__xludf.DUMMYFUNCTION("GOOGLETRANSLATE($B471,""en"",M$3)"),"MySQL verlaten. Wilt u de fout logbestand zien?")</f>
        <v>MySQL verlaten. Wilt u de fout logbestand zien?</v>
      </c>
      <c r="N471" s="21" t="str">
        <f ca="1">IFERROR(__xludf.DUMMYFUNCTION("GOOGLETRANSLATE($B471,""en"",N$3)"),"MySQL αποχώρησε. Θέλετε να δείτε το αρχείο καταγραφής σφαλμάτων;")</f>
        <v>MySQL αποχώρησε. Θέλετε να δείτε το αρχείο καταγραφής σφαλμάτων;</v>
      </c>
      <c r="O471" s="21" t="str">
        <f ca="1">IFERROR(__xludf.DUMMYFUNCTION("GOOGLETRANSLATE($B471,""en"",O$3)"),"MySQL poistui. Haluatko nähdä virhelokitiedostoon?")</f>
        <v>MySQL poistui. Haluatko nähdä virhelokitiedostoon?</v>
      </c>
      <c r="P471" s="21" t="str">
        <f ca="1">IFERROR(__xludf.DUMMYFUNCTION("GOOGLETRANSLATE($B471,""en"",P$3)"),"MySQL sendmail. Ar mhaith leat a fheiceáil ar an comhad a logáil earráid?")</f>
        <v>MySQL sendmail. Ar mhaith leat a fheiceáil ar an comhad a logáil earráid?</v>
      </c>
      <c r="Q471" s="21" t="str">
        <f ca="1">IFERROR(__xludf.DUMMYFUNCTION("GOOGLETRANSLATE($B471,""en"",Q$3)"),"خروجی خارج می شود. آیا شما می خواهید برای دیدن فایل ورود به خطا؟")</f>
        <v>خروجی خارج می شود. آیا شما می خواهید برای دیدن فایل ورود به خطا؟</v>
      </c>
      <c r="R471" s="21" t="str">
        <f ca="1">IFERROR(__xludf.DUMMYFUNCTION("GOOGLETRANSLATE($B471,""en"",R$3)"),"MySQL יצא. האם אתה רוצה לראות את קובץ היומן השגיא?")</f>
        <v>MySQL יצא. האם אתה רוצה לראות את קובץ היומן השגיא?</v>
      </c>
      <c r="S471" s="21" t="str">
        <f ca="1">IFERROR(__xludf.DUMMYFUNCTION("GOOGLETRANSLATE($B471,""en"",S$3)"),"MySQL lauk. Viltu sjá Villuannáll?")</f>
        <v>MySQL lauk. Viltu sjá Villuannáll?</v>
      </c>
      <c r="T471" s="21" t="str">
        <f ca="1">IFERROR(__xludf.DUMMYFUNCTION("GOOGLETRANSLATE($B471,""en"",T$3)"),"MySQL gått ut. Ønsker du å se feilloggfilen?")</f>
        <v>MySQL gått ut. Ønsker du å se feilloggfilen?</v>
      </c>
      <c r="U471" s="21" t="str">
        <f ca="1">IFERROR(__xludf.DUMMYFUNCTION("GOOGLETRANSLATE($B471,""en"",U$3)"),"خرجت الخلية. هل تريد أن ترى ملف سجل خطأ؟")</f>
        <v>خرجت الخلية. هل تريد أن ترى ملف سجل خطأ؟</v>
      </c>
      <c r="V471" s="21" t="str">
        <f ca="1">IFERROR(__xludf.DUMMYFUNCTION("GOOGLETRANSLATE($B471,""en"",V$3)"),"MySQL odszedł. Chcesz zobaczyć plik dziennika błędów?")</f>
        <v>MySQL odszedł. Chcesz zobaczyć plik dziennika błędów?</v>
      </c>
      <c r="W471" s="21" t="str">
        <f ca="1">IFERROR(__xludf.DUMMYFUNCTION("GOOGLETRANSLATE($B471,""en"",W$3)"),"MySQL вышел. Вы хотите, чтобы увидеть файл журнала ошибок?")</f>
        <v>MySQL вышел. Вы хотите, чтобы увидеть файл журнала ошибок?</v>
      </c>
      <c r="X471" s="21" t="str">
        <f ca="1">IFERROR(__xludf.DUMMYFUNCTION("GOOGLETRANSLATE($B471,""en"",X$3)"),"MySQL cierra. ¿Quieres ver el archivo de registro de errores?")</f>
        <v>MySQL cierra. ¿Quieres ver el archivo de registro de errores?</v>
      </c>
      <c r="Y471" s="21"/>
      <c r="Z471" s="21"/>
    </row>
    <row r="472" spans="1:26" ht="32.25" customHeight="1" x14ac:dyDescent="0.2">
      <c r="A472" s="17" t="s">
        <v>1053</v>
      </c>
      <c r="B472" s="17" t="s">
        <v>1054</v>
      </c>
      <c r="C472" s="21" t="str">
        <f ca="1">IFERROR(__xludf.DUMMYFUNCTION("GOOGLETRANSLATE($B472,""en"",C$3)"),"Die Datenbank wird nicht gestartet. Wollen Sie die Log-Datei sehen?")</f>
        <v>Die Datenbank wird nicht gestartet. Wollen Sie die Log-Datei sehen?</v>
      </c>
      <c r="D472" s="21" t="str">
        <f ca="1">IFERROR(__xludf.DUMMYFUNCTION("GOOGLETRANSLATE($B472,""en"",D$3)"),"Databasen startade inte. Vill du se loggfilen?")</f>
        <v>Databasen startade inte. Vill du se loggfilen?</v>
      </c>
      <c r="E472" s="21" t="str">
        <f ca="1">IFERROR(__xludf.DUMMYFUNCTION("GOOGLETRANSLATE($B472,""en"",E$3)"),"O banco de dados não foi iniciado. Você quer ver o arquivo de log?")</f>
        <v>O banco de dados não foi iniciado. Você quer ver o arquivo de log?</v>
      </c>
      <c r="F472" s="21" t="str">
        <f ca="1">IFERROR(__xludf.DUMMYFUNCTION("GOOGLETRANSLATE($B472,""en"",F$3)"),"O banco de dados não foi iniciado. Você quer ver o arquivo de log?")</f>
        <v>O banco de dados não foi iniciado. Você quer ver o arquivo de log?</v>
      </c>
      <c r="G472" s="21" t="str">
        <f ca="1">IFERROR(__xludf.DUMMYFUNCTION("GOOGLETRANSLATE($B472,""en"",G$3)"),"La base de données n'a pas commencé. Voulez-vous voir le fichier journal?")</f>
        <v>La base de données n'a pas commencé. Voulez-vous voir le fichier journal?</v>
      </c>
      <c r="H472" s="21" t="str">
        <f ca="1">IFERROR(__xludf.DUMMYFUNCTION("GOOGLETRANSLATE($B472,""en"",H$3)"),"Databaseak ez hasteko. Ez log fitxategia ikusi nahi al duzu?")</f>
        <v>Databaseak ez hasteko. Ez log fitxategia ikusi nahi al duzu?</v>
      </c>
      <c r="I472" s="21" t="str">
        <f ca="1">IFERROR(__xludf.DUMMYFUNCTION("GOOGLETRANSLATE($B472,""en"",I$3)"),"La base de dades no s'ha iniciat. Vols veure el fitxer de registre?")</f>
        <v>La base de dades no s'ha iniciat. Vols veure el fitxer de registre?</v>
      </c>
      <c r="J472" s="21" t="str">
        <f ca="1">IFERROR(__xludf.DUMMYFUNCTION("GOOGLETRANSLATE($B472,""en"",J$3)"),"Databáze nezačala. Chcete vidět log soubor?")</f>
        <v>Databáze nezačala. Chcete vidět log soubor?</v>
      </c>
      <c r="K472" s="21" t="str">
        <f ca="1">IFERROR(__xludf.DUMMYFUNCTION("GOOGLETRANSLATE($B472,""en"",K$3)"),"该数据库没有启动。你想看到的日志文件？")</f>
        <v>该数据库没有启动。你想看到的日志文件？</v>
      </c>
      <c r="L472" s="21" t="str">
        <f ca="1">IFERROR(__xludf.DUMMYFUNCTION("GOOGLETRANSLATE($B472,""en"",L$3)"),"該數據庫沒有啟動。你想看到的日誌文件？")</f>
        <v>該數據庫沒有啟動。你想看到的日誌文件？</v>
      </c>
      <c r="M472" s="21" t="str">
        <f ca="1">IFERROR(__xludf.DUMMYFUNCTION("GOOGLETRANSLATE($B472,""en"",M$3)"),"De database is niet gestart. Wilt u het logbestand zien?")</f>
        <v>De database is niet gestart. Wilt u het logbestand zien?</v>
      </c>
      <c r="N472" s="21" t="str">
        <f ca="1">IFERROR(__xludf.DUMMYFUNCTION("GOOGLETRANSLATE($B472,""en"",N$3)"),"Η βάση δεδομένων δεν ξεκινήσει. Θέλετε να δείτε το αρχείο καταγραφής;")</f>
        <v>Η βάση δεδομένων δεν ξεκινήσει. Θέλετε να δείτε το αρχείο καταγραφής;</v>
      </c>
      <c r="O472" s="21" t="str">
        <f ca="1">IFERROR(__xludf.DUMMYFUNCTION("GOOGLETRANSLATE($B472,""en"",O$3)"),"Tietokannasta ei käynnisty. Haluatko nähdä lokitiedoston?")</f>
        <v>Tietokannasta ei käynnisty. Haluatko nähdä lokitiedoston?</v>
      </c>
      <c r="P472" s="21" t="str">
        <f ca="1">IFERROR(__xludf.DUMMYFUNCTION("GOOGLETRANSLATE($B472,""en"",P$3)"),"Chuardaigh an bunachar sonraí thosú. Ar mhaith leat a fheiceáil ar an comhad a logáil?")</f>
        <v>Chuardaigh an bunachar sonraí thosú. Ar mhaith leat a fheiceáil ar an comhad a logáil?</v>
      </c>
      <c r="Q472" s="21" t="str">
        <f ca="1">IFERROR(__xludf.DUMMYFUNCTION("GOOGLETRANSLATE($B472,""en"",Q$3)"),"پایگاه داده شروع نکردند. آیا شما می خواهید برای دیدن فایل ورود به سیستم؟")</f>
        <v>پایگاه داده شروع نکردند. آیا شما می خواهید برای دیدن فایل ورود به سیستم؟</v>
      </c>
      <c r="R472" s="21" t="str">
        <f ca="1">IFERROR(__xludf.DUMMYFUNCTION("GOOGLETRANSLATE($B472,""en"",R$3)"),"בסיס הנתונים לא להתחיל. האם אתה רוצה לראות את קובץ היומן?")</f>
        <v>בסיס הנתונים לא להתחיל. האם אתה רוצה לראות את קובץ היומן?</v>
      </c>
      <c r="S472" s="21" t="str">
        <f ca="1">IFERROR(__xludf.DUMMYFUNCTION("GOOGLETRANSLATE($B472,""en"",S$3)"),"Gagnagrunnurinn fann ekki byrja. Viltu sjá annálinn?")</f>
        <v>Gagnagrunnurinn fann ekki byrja. Viltu sjá annálinn?</v>
      </c>
      <c r="T472" s="21" t="str">
        <f ca="1">IFERROR(__xludf.DUMMYFUNCTION("GOOGLETRANSLATE($B472,""en"",T$3)"),"Databasen fant ikke starte. Ønsker du å se loggfilen?")</f>
        <v>Databasen fant ikke starte. Ønsker du å se loggfilen?</v>
      </c>
      <c r="U472" s="21" t="str">
        <f ca="1">IFERROR(__xludf.DUMMYFUNCTION("GOOGLETRANSLATE($B472,""en"",U$3)"),"لم تبدأ قاعدة البيانات. هل تريد أن ترى ملف السجل؟")</f>
        <v>لم تبدأ قاعدة البيانات. هل تريد أن ترى ملف السجل؟</v>
      </c>
      <c r="V472" s="21" t="str">
        <f ca="1">IFERROR(__xludf.DUMMYFUNCTION("GOOGLETRANSLATE($B472,""en"",V$3)"),"W bazie danych nie rozpocznie. Chcesz zobaczyć plik dziennika?")</f>
        <v>W bazie danych nie rozpocznie. Chcesz zobaczyć plik dziennika?</v>
      </c>
      <c r="W472" s="21" t="str">
        <f ca="1">IFERROR(__xludf.DUMMYFUNCTION("GOOGLETRANSLATE($B472,""en"",W$3)"),"База данных не запускается. Вы хотите, чтобы увидеть файл журнала?")</f>
        <v>База данных не запускается. Вы хотите, чтобы увидеть файл журнала?</v>
      </c>
      <c r="X472" s="21" t="str">
        <f ca="1">IFERROR(__xludf.DUMMYFUNCTION("GOOGLETRANSLATE($B472,""en"",X$3)"),"La base de datos no se ha iniciado. ¿Quieres ver el archivo de registro?")</f>
        <v>La base de datos no se ha iniciado. ¿Quieres ver el archivo de registro?</v>
      </c>
      <c r="Y472" s="21"/>
      <c r="Z472" s="21"/>
    </row>
    <row r="473" spans="1:26" ht="32.25" customHeight="1" x14ac:dyDescent="0.2">
      <c r="A473" s="17" t="s">
        <v>1055</v>
      </c>
      <c r="B473" s="17" t="s">
        <v>1056</v>
      </c>
      <c r="C473" s="21" t="str">
        <f ca="1">IFERROR(__xludf.DUMMYFUNCTION("GOOGLETRANSLATE($B473,""en"",C$3)"),"MySQL ausgeführt")</f>
        <v>MySQL ausgeführt</v>
      </c>
      <c r="D473" s="21" t="str">
        <f ca="1">IFERROR(__xludf.DUMMYFUNCTION("GOOGLETRANSLATE($B473,""en"",D$3)"),"MySQL är Running")</f>
        <v>MySQL är Running</v>
      </c>
      <c r="E473" s="21" t="str">
        <f ca="1">IFERROR(__xludf.DUMMYFUNCTION("GOOGLETRANSLATE($B473,""en"",E$3)"),"MySQL está em execução")</f>
        <v>MySQL está em execução</v>
      </c>
      <c r="F473" s="21" t="str">
        <f ca="1">IFERROR(__xludf.DUMMYFUNCTION("GOOGLETRANSLATE($B473,""en"",F$3)"),"MySQL está em execução")</f>
        <v>MySQL está em execução</v>
      </c>
      <c r="G473" s="21" t="str">
        <f ca="1">IFERROR(__xludf.DUMMYFUNCTION("GOOGLETRANSLATE($B473,""en"",G$3)"),"MySQL est en marche")</f>
        <v>MySQL est en marche</v>
      </c>
      <c r="H473" s="21" t="str">
        <f ca="1">IFERROR(__xludf.DUMMYFUNCTION("GOOGLETRANSLATE($B473,""en"",H$3)"),"MySQL exekutatzen ari da")</f>
        <v>MySQL exekutatzen ari da</v>
      </c>
      <c r="I473" s="21" t="str">
        <f ca="1">IFERROR(__xludf.DUMMYFUNCTION("GOOGLETRANSLATE($B473,""en"",I$3)"),"MySQL s'està executant")</f>
        <v>MySQL s'està executant</v>
      </c>
      <c r="J473" s="21" t="str">
        <f ca="1">IFERROR(__xludf.DUMMYFUNCTION("GOOGLETRANSLATE($B473,""en"",J$3)"),"MySQL je spuštěna")</f>
        <v>MySQL je spuštěna</v>
      </c>
      <c r="K473" s="21" t="str">
        <f ca="1">IFERROR(__xludf.DUMMYFUNCTION("GOOGLETRANSLATE($B473,""en"",K$3)"),"运行MySQL")</f>
        <v>运行MySQL</v>
      </c>
      <c r="L473" s="21" t="str">
        <f ca="1">IFERROR(__xludf.DUMMYFUNCTION("GOOGLETRANSLATE($B473,""en"",L$3)"),"運行MySQL")</f>
        <v>運行MySQL</v>
      </c>
      <c r="M473" s="21" t="str">
        <f ca="1">IFERROR(__xludf.DUMMYFUNCTION("GOOGLETRANSLATE($B473,""en"",M$3)"),"MySQL is Running")</f>
        <v>MySQL is Running</v>
      </c>
      <c r="N473" s="21" t="str">
        <f ca="1">IFERROR(__xludf.DUMMYFUNCTION("GOOGLETRANSLATE($B473,""en"",N$3)"),"MySQL είναι Τρέξιμο")</f>
        <v>MySQL είναι Τρέξιμο</v>
      </c>
      <c r="O473" s="21" t="str">
        <f ca="1">IFERROR(__xludf.DUMMYFUNCTION("GOOGLETRANSLATE($B473,""en"",O$3)"),"MySQL on käynnissä")</f>
        <v>MySQL on käynnissä</v>
      </c>
      <c r="P473" s="21" t="str">
        <f ca="1">IFERROR(__xludf.DUMMYFUNCTION("GOOGLETRANSLATE($B473,""en"",P$3)"),"MySQL Tá Rith")</f>
        <v>MySQL Tá Rith</v>
      </c>
      <c r="Q473" s="21" t="str">
        <f ca="1">IFERROR(__xludf.DUMMYFUNCTION("GOOGLETRANSLATE($B473,""en"",Q$3)"),"خروجی زیر در حال اجرا است")</f>
        <v>خروجی زیر در حال اجرا است</v>
      </c>
      <c r="R473" s="21" t="str">
        <f ca="1">IFERROR(__xludf.DUMMYFUNCTION("GOOGLETRANSLATE($B473,""en"",R$3)"),"MySQL פועל")</f>
        <v>MySQL פועל</v>
      </c>
      <c r="S473" s="21" t="str">
        <f ca="1">IFERROR(__xludf.DUMMYFUNCTION("GOOGLETRANSLATE($B473,""en"",S$3)"),"MySQL er í gangi")</f>
        <v>MySQL er í gangi</v>
      </c>
      <c r="T473" s="21" t="str">
        <f ca="1">IFERROR(__xludf.DUMMYFUNCTION("GOOGLETRANSLATE($B473,""en"",T$3)"),"MySQL er Running")</f>
        <v>MySQL er Running</v>
      </c>
      <c r="U473" s="21" t="str">
        <f ca="1">IFERROR(__xludf.DUMMYFUNCTION("GOOGLETRANSLATE($B473,""en"",U$3)"),"الخلية والجري")</f>
        <v>الخلية والجري</v>
      </c>
      <c r="V473" s="21" t="str">
        <f ca="1">IFERROR(__xludf.DUMMYFUNCTION("GOOGLETRANSLATE($B473,""en"",V$3)"),"MySQL jest uruchomiony")</f>
        <v>MySQL jest uruchomiony</v>
      </c>
      <c r="W473" s="21" t="str">
        <f ca="1">IFERROR(__xludf.DUMMYFUNCTION("GOOGLETRANSLATE($B473,""en"",W$3)"),"MySQL является Running")</f>
        <v>MySQL является Running</v>
      </c>
      <c r="X473" s="21" t="str">
        <f ca="1">IFERROR(__xludf.DUMMYFUNCTION("GOOGLETRANSLATE($B473,""en"",X$3)"),"MySQL se está ejecutando")</f>
        <v>MySQL se está ejecutando</v>
      </c>
      <c r="Y473" s="21"/>
      <c r="Z473" s="21"/>
    </row>
    <row r="474" spans="1:26" ht="32.25" customHeight="1" x14ac:dyDescent="0.2">
      <c r="A474" s="17" t="s">
        <v>1057</v>
      </c>
      <c r="B474" s="17" t="s">
        <v>1058</v>
      </c>
      <c r="C474" s="21" t="str">
        <f ca="1">IFERROR(__xludf.DUMMYFUNCTION("GOOGLETRANSLATE($B474,""en"",C$3)"),"Standard = 3306")</f>
        <v>Standard = 3306</v>
      </c>
      <c r="D474" s="21" t="str">
        <f ca="1">IFERROR(__xludf.DUMMYFUNCTION("GOOGLETRANSLATE($B474,""en"",D$3)"),"Default = 3306")</f>
        <v>Default = 3306</v>
      </c>
      <c r="E474" s="21" t="str">
        <f ca="1">IFERROR(__xludf.DUMMYFUNCTION("GOOGLETRANSLATE($B474,""en"",E$3)"),"Padrão = 3306")</f>
        <v>Padrão = 3306</v>
      </c>
      <c r="F474" s="21" t="str">
        <f ca="1">IFERROR(__xludf.DUMMYFUNCTION("GOOGLETRANSLATE($B474,""en"",F$3)"),"Padrão = 3306")</f>
        <v>Padrão = 3306</v>
      </c>
      <c r="G474" s="21" t="str">
        <f ca="1">IFERROR(__xludf.DUMMYFUNCTION("GOOGLETRANSLATE($B474,""en"",G$3)"),"Par défaut = 3306")</f>
        <v>Par défaut = 3306</v>
      </c>
      <c r="H474" s="21" t="str">
        <f ca="1">IFERROR(__xludf.DUMMYFUNCTION("GOOGLETRANSLATE($B474,""en"",H$3)"),"= 3306 Default")</f>
        <v>= 3306 Default</v>
      </c>
      <c r="I474" s="21" t="str">
        <f ca="1">IFERROR(__xludf.DUMMYFUNCTION("GOOGLETRANSLATE($B474,""en"",I$3)"),"Per defecte = 3306")</f>
        <v>Per defecte = 3306</v>
      </c>
      <c r="J474" s="21" t="str">
        <f ca="1">IFERROR(__xludf.DUMMYFUNCTION("GOOGLETRANSLATE($B474,""en"",J$3)"),"Default = 3306")</f>
        <v>Default = 3306</v>
      </c>
      <c r="K474" s="21" t="str">
        <f ca="1">IFERROR(__xludf.DUMMYFUNCTION("GOOGLETRANSLATE($B474,""en"",K$3)"),"默认值= 3306")</f>
        <v>默认值= 3306</v>
      </c>
      <c r="L474" s="21" t="str">
        <f ca="1">IFERROR(__xludf.DUMMYFUNCTION("GOOGLETRANSLATE($B474,""en"",L$3)"),"默認值= 3306")</f>
        <v>默認值= 3306</v>
      </c>
      <c r="M474" s="21" t="str">
        <f ca="1">IFERROR(__xludf.DUMMYFUNCTION("GOOGLETRANSLATE($B474,""en"",M$3)"),"Standaard = 3306")</f>
        <v>Standaard = 3306</v>
      </c>
      <c r="N474" s="21" t="str">
        <f ca="1">IFERROR(__xludf.DUMMYFUNCTION("GOOGLETRANSLATE($B474,""en"",N$3)"),"Προεπιλεγμένη = 3306")</f>
        <v>Προεπιλεγμένη = 3306</v>
      </c>
      <c r="O474" s="21" t="str">
        <f ca="1">IFERROR(__xludf.DUMMYFUNCTION("GOOGLETRANSLATE($B474,""en"",O$3)"),"Oletus = 3306")</f>
        <v>Oletus = 3306</v>
      </c>
      <c r="P474" s="21" t="str">
        <f ca="1">IFERROR(__xludf.DUMMYFUNCTION("GOOGLETRANSLATE($B474,""en"",P$3)"),"Réamhshocrú = 3306")</f>
        <v>Réamhshocrú = 3306</v>
      </c>
      <c r="Q474" s="21" t="str">
        <f ca="1">IFERROR(__xludf.DUMMYFUNCTION("GOOGLETRANSLATE($B474,""en"",Q$3)"),"به طور پیش فرض = 3306")</f>
        <v>به طور پیش فرض = 3306</v>
      </c>
      <c r="R474" s="21" t="str">
        <f ca="1">IFERROR(__xludf.DUMMYFUNCTION("GOOGLETRANSLATE($B474,""en"",R$3)"),"ברירה = 3306")</f>
        <v>ברירה = 3306</v>
      </c>
      <c r="S474" s="21" t="str">
        <f ca="1">IFERROR(__xludf.DUMMYFUNCTION("GOOGLETRANSLATE($B474,""en"",S$3)"),"Sjálfgefin = 3306")</f>
        <v>Sjálfgefin = 3306</v>
      </c>
      <c r="T474" s="21" t="str">
        <f ca="1">IFERROR(__xludf.DUMMYFUNCTION("GOOGLETRANSLATE($B474,""en"",T$3)"),"Standard = 3306")</f>
        <v>Standard = 3306</v>
      </c>
      <c r="U474" s="21" t="str">
        <f ca="1">IFERROR(__xludf.DUMMYFUNCTION("GOOGLETRANSLATE($B474,""en"",U$3)"),"افتراضي = 3306")</f>
        <v>افتراضي = 3306</v>
      </c>
      <c r="V474" s="21" t="str">
        <f ca="1">IFERROR(__xludf.DUMMYFUNCTION("GOOGLETRANSLATE($B474,""en"",V$3)"),"Domyślnie = 3306")</f>
        <v>Domyślnie = 3306</v>
      </c>
      <c r="W474" s="21" t="str">
        <f ca="1">IFERROR(__xludf.DUMMYFUNCTION("GOOGLETRANSLATE($B474,""en"",W$3)"),"По умолчанию = 3306")</f>
        <v>По умолчанию = 3306</v>
      </c>
      <c r="X474" s="21" t="str">
        <f ca="1">IFERROR(__xludf.DUMMYFUNCTION("GOOGLETRANSLATE($B474,""en"",X$3)"),"Por defecto = 3306")</f>
        <v>Por defecto = 3306</v>
      </c>
      <c r="Y474" s="21"/>
      <c r="Z474" s="21"/>
    </row>
    <row r="475" spans="1:26" ht="32.25" customHeight="1" x14ac:dyDescent="0.2">
      <c r="A475" s="17" t="s">
        <v>1059</v>
      </c>
      <c r="B475" s="17" t="s">
        <v>1060</v>
      </c>
      <c r="C475" s="21" t="str">
        <f ca="1">IFERROR(__xludf.DUMMYFUNCTION("GOOGLETRANSLATE($B475,""en"",C$3)"),"Ab MySQL-Datenbank")</f>
        <v>Ab MySQL-Datenbank</v>
      </c>
      <c r="D475" s="21" t="str">
        <f ca="1">IFERROR(__xludf.DUMMYFUNCTION("GOOGLETRANSLATE($B475,""en"",D$3)"),"Från och mysql databas")</f>
        <v>Från och mysql databas</v>
      </c>
      <c r="E475" s="21" t="str">
        <f ca="1">IFERROR(__xludf.DUMMYFUNCTION("GOOGLETRANSLATE($B475,""en"",E$3)"),"Começando banco de dados MySQL")</f>
        <v>Começando banco de dados MySQL</v>
      </c>
      <c r="F475" s="21" t="str">
        <f ca="1">IFERROR(__xludf.DUMMYFUNCTION("GOOGLETRANSLATE($B475,""en"",F$3)"),"Começando banco de dados MySQL")</f>
        <v>Começando banco de dados MySQL</v>
      </c>
      <c r="G475" s="21" t="str">
        <f ca="1">IFERROR(__xludf.DUMMYFUNCTION("GOOGLETRANSLATE($B475,""en"",G$3)"),"À partir de la base de données MySql")</f>
        <v>À partir de la base de données MySql</v>
      </c>
      <c r="H475" s="21" t="str">
        <f ca="1">IFERROR(__xludf.DUMMYFUNCTION("GOOGLETRANSLATE($B475,""en"",H$3)"),"MySQL datu-base hasita")</f>
        <v>MySQL datu-base hasita</v>
      </c>
      <c r="I475" s="21" t="str">
        <f ca="1">IFERROR(__xludf.DUMMYFUNCTION("GOOGLETRANSLATE($B475,""en"",I$3)"),"A partir base de dades MySQL")</f>
        <v>A partir base de dades MySQL</v>
      </c>
      <c r="J475" s="21" t="str">
        <f ca="1">IFERROR(__xludf.DUMMYFUNCTION("GOOGLETRANSLATE($B475,""en"",J$3)"),"Spuštění databáze MySQL")</f>
        <v>Spuštění databáze MySQL</v>
      </c>
      <c r="K475" s="21" t="str">
        <f ca="1">IFERROR(__xludf.DUMMYFUNCTION("GOOGLETRANSLATE($B475,""en"",K$3)"),"启动MySQL数据库")</f>
        <v>启动MySQL数据库</v>
      </c>
      <c r="L475" s="21" t="str">
        <f ca="1">IFERROR(__xludf.DUMMYFUNCTION("GOOGLETRANSLATE($B475,""en"",L$3)"),"啟動MySQL數據庫")</f>
        <v>啟動MySQL數據庫</v>
      </c>
      <c r="M475" s="21" t="str">
        <f ca="1">IFERROR(__xludf.DUMMYFUNCTION("GOOGLETRANSLATE($B475,""en"",M$3)"),"Vanaf MySQL database")</f>
        <v>Vanaf MySQL database</v>
      </c>
      <c r="N475" s="21" t="str">
        <f ca="1">IFERROR(__xludf.DUMMYFUNCTION("GOOGLETRANSLATE($B475,""en"",N$3)"),"Ξεκινώντας βάσεων δεδομένων MySQL")</f>
        <v>Ξεκινώντας βάσεων δεδομένων MySQL</v>
      </c>
      <c r="O475" s="21" t="str">
        <f ca="1">IFERROR(__xludf.DUMMYFUNCTION("GOOGLETRANSLATE($B475,""en"",O$3)"),"Starting mysql")</f>
        <v>Starting mysql</v>
      </c>
      <c r="P475" s="21" t="str">
        <f ca="1">IFERROR(__xludf.DUMMYFUNCTION("GOOGLETRANSLATE($B475,""en"",P$3)"),"Ag tosú Bunachar Sonraí MySQL")</f>
        <v>Ag tosú Bunachar Sonraí MySQL</v>
      </c>
      <c r="Q475" s="21" t="str">
        <f ca="1">IFERROR(__xludf.DUMMYFUNCTION("GOOGLETRANSLATE($B475,""en"",Q$3)"),"شروع پایگاه داده MySQL")</f>
        <v>شروع پایگاه داده MySQL</v>
      </c>
      <c r="R475" s="21" t="str">
        <f ca="1">IFERROR(__xludf.DUMMYFUNCTION("GOOGLETRANSLATE($B475,""en"",R$3)"),"החל מסד הנתונים MySQL")</f>
        <v>החל מסד הנתונים MySQL</v>
      </c>
      <c r="S475" s="21" t="str">
        <f ca="1">IFERROR(__xludf.DUMMYFUNCTION("GOOGLETRANSLATE($B475,""en"",S$3)"),"Byrjar MySQL gagnagrunnur")</f>
        <v>Byrjar MySQL gagnagrunnur</v>
      </c>
      <c r="T475" s="21" t="str">
        <f ca="1">IFERROR(__xludf.DUMMYFUNCTION("GOOGLETRANSLATE($B475,""en"",T$3)"),"Starter MySQL database")</f>
        <v>Starter MySQL database</v>
      </c>
      <c r="U475" s="21" t="str">
        <f ca="1">IFERROR(__xludf.DUMMYFUNCTION("GOOGLETRANSLATE($B475,""en"",U$3)"),"ابتداء من قاعدة بيانات MySQL")</f>
        <v>ابتداء من قاعدة بيانات MySQL</v>
      </c>
      <c r="V475" s="21" t="str">
        <f ca="1">IFERROR(__xludf.DUMMYFUNCTION("GOOGLETRANSLATE($B475,""en"",V$3)"),"Począwszy bazy danych MySQL")</f>
        <v>Począwszy bazy danych MySQL</v>
      </c>
      <c r="W475" s="21" t="str">
        <f ca="1">IFERROR(__xludf.DUMMYFUNCTION("GOOGLETRANSLATE($B475,""en"",W$3)"),"Запуск базы данных MySql")</f>
        <v>Запуск базы данных MySql</v>
      </c>
      <c r="X475" s="21" t="str">
        <f ca="1">IFERROR(__xludf.DUMMYFUNCTION("GOOGLETRANSLATE($B475,""en"",X$3)"),"A partir base de datos MySQL")</f>
        <v>A partir base de datos MySQL</v>
      </c>
      <c r="Y475" s="21"/>
      <c r="Z475" s="21"/>
    </row>
    <row r="476" spans="1:26" ht="32.25" customHeight="1" x14ac:dyDescent="0.2">
      <c r="A476" s="17" t="s">
        <v>1061</v>
      </c>
      <c r="B476" s="17" t="s">
        <v>1062</v>
      </c>
      <c r="C476" s="21" t="str">
        <f ca="1">IFERROR(__xludf.DUMMYFUNCTION("GOOGLETRANSLATE($B476,""en"",C$3)"),"MySQL ausgeführt wurde, als ich gestartet wurde, so dass ich auf MySQL verlasse.")</f>
        <v>MySQL ausgeführt wurde, als ich gestartet wurde, so dass ich auf MySQL verlasse.</v>
      </c>
      <c r="D476" s="21" t="str">
        <f ca="1">IFERROR(__xludf.DUMMYFUNCTION("GOOGLETRANSLATE($B476,""en"",D$3)"),"MySQL kördes när jag började, så jag lämnar MySQL på.")</f>
        <v>MySQL kördes när jag började, så jag lämnar MySQL på.</v>
      </c>
      <c r="E476" s="21" t="str">
        <f ca="1">IFERROR(__xludf.DUMMYFUNCTION("GOOGLETRANSLATE($B476,""en"",E$3)"),"MySQL estava correndo quando eu foi iniciado, por isso estou deixando MySQL diante.")</f>
        <v>MySQL estava correndo quando eu foi iniciado, por isso estou deixando MySQL diante.</v>
      </c>
      <c r="F476" s="21" t="str">
        <f ca="1">IFERROR(__xludf.DUMMYFUNCTION("GOOGLETRANSLATE($B476,""en"",F$3)"),"MySQL estava correndo quando eu foi iniciado, por isso estou deixando MySQL diante.")</f>
        <v>MySQL estava correndo quando eu foi iniciado, por isso estou deixando MySQL diante.</v>
      </c>
      <c r="G476" s="21" t="str">
        <f ca="1">IFERROR(__xludf.DUMMYFUNCTION("GOOGLETRANSLATE($B476,""en"",G$3)"),"MySQL est en cours d'exécution quand je commencé, donc je quitte MySQL.")</f>
        <v>MySQL est en cours d'exécution quand je commencé, donc je quitte MySQL.</v>
      </c>
      <c r="H476" s="21" t="str">
        <f ca="1">IFERROR(__xludf.DUMMYFUNCTION("GOOGLETRANSLATE($B476,""en"",H$3)"),"MySQL noiz hasi nintzen, beraz, ez naiz on MySQL utziz exekutatzen zen.")</f>
        <v>MySQL noiz hasi nintzen, beraz, ez naiz on MySQL utziz exekutatzen zen.</v>
      </c>
      <c r="I476" s="21" t="str">
        <f ca="1">IFERROR(__xludf.DUMMYFUNCTION("GOOGLETRANSLATE($B476,""en"",I$3)"),"MySQL s'executa quan es va iniciar, pel que estic deixant MySQL en.")</f>
        <v>MySQL s'executa quan es va iniciar, pel que estic deixant MySQL en.</v>
      </c>
      <c r="J476" s="21" t="str">
        <f ca="1">IFERROR(__xludf.DUMMYFUNCTION("GOOGLETRANSLATE($B476,""en"",J$3)"),"MySQL běžel, když jsem začal, tak odcházím MySQL dál.")</f>
        <v>MySQL běžel, když jsem začal, tak odcházím MySQL dál.</v>
      </c>
      <c r="K476" s="21" t="str">
        <f ca="1">IFERROR(__xludf.DUMMYFUNCTION("GOOGLETRANSLATE($B476,""en"",K$3)"),"当我开始了，所以我在离开的MySQL的MySQL正在运行。")</f>
        <v>当我开始了，所以我在离开的MySQL的MySQL正在运行。</v>
      </c>
      <c r="L476" s="21" t="str">
        <f ca="1">IFERROR(__xludf.DUMMYFUNCTION("GOOGLETRANSLATE($B476,""en"",L$3)"),"當我開始了，所以我在離開的MySQL的MySQL正在運行。")</f>
        <v>當我開始了，所以我在離開的MySQL的MySQL正在運行。</v>
      </c>
      <c r="M476" s="21" t="str">
        <f ca="1">IFERROR(__xludf.DUMMYFUNCTION("GOOGLETRANSLATE($B476,""en"",M$3)"),"MySQL werd uitgevoerd toen ik begon, dus ik ben het verlaten van MySQL op.")</f>
        <v>MySQL werd uitgevoerd toen ik begon, dus ik ben het verlaten van MySQL op.</v>
      </c>
      <c r="N476" s="21" t="str">
        <f ca="1">IFERROR(__xludf.DUMMYFUNCTION("GOOGLETRANSLATE($B476,""en"",N$3)"),"MySQL έτρεχε όταν ξεκίνησε, έτσι φεύγω MySQL στο.")</f>
        <v>MySQL έτρεχε όταν ξεκίνησε, έτσι φεύγω MySQL στο.</v>
      </c>
      <c r="O476" s="21" t="str">
        <f ca="1">IFERROR(__xludf.DUMMYFUNCTION("GOOGLETRANSLATE($B476,""en"",O$3)"),"MySQL oli käynnissä, kun olin alkanut, joten Lähden MySQL.")</f>
        <v>MySQL oli käynnissä, kun olin alkanut, joten Lähden MySQL.</v>
      </c>
      <c r="P476" s="21" t="str">
        <f ca="1">IFERROR(__xludf.DUMMYFUNCTION("GOOGLETRANSLATE($B476,""en"",P$3)"),"Bhí MySQL ag rith nuair a bhí a thosaigh mé, agus mar sin tá mé ag fágáil MySQL ar.")</f>
        <v>Bhí MySQL ag rith nuair a bhí a thosaigh mé, agus mar sin tá mé ag fágáil MySQL ar.</v>
      </c>
      <c r="Q476" s="21" t="str">
        <f ca="1">IFERROR(__xludf.DUMMYFUNCTION("GOOGLETRANSLATE($B476,""en"",Q$3)"),"MySQL در حال اجرا بود که من آغاز شد، به طوری که من می روم خروجی زیر بر روی هستم.")</f>
        <v>MySQL در حال اجرا بود که من آغاز شد، به طوری که من می روم خروجی زیر بر روی هستم.</v>
      </c>
      <c r="R476" s="21" t="str">
        <f ca="1">IFERROR(__xludf.DUMMYFUNCTION("GOOGLETRANSLATE($B476,""en"",R$3)"),"MySQL רץ כשאני החלתי, כך אני עוזב MySQL על.")</f>
        <v>MySQL רץ כשאני החלתי, כך אני עוזב MySQL על.</v>
      </c>
      <c r="S476" s="21" t="str">
        <f ca="1">IFERROR(__xludf.DUMMYFUNCTION("GOOGLETRANSLATE($B476,""en"",S$3)"),"MySQL var í gangi þegar ég var að byrja, þannig að ég er að fara MySQL á.")</f>
        <v>MySQL var í gangi þegar ég var að byrja, þannig að ég er að fara MySQL á.</v>
      </c>
      <c r="T476" s="21" t="str">
        <f ca="1">IFERROR(__xludf.DUMMYFUNCTION("GOOGLETRANSLATE($B476,""en"",T$3)"),"MySQL kjørte da jeg var i gang, så jeg drar MySQL på.")</f>
        <v>MySQL kjørte da jeg var i gang, så jeg drar MySQL på.</v>
      </c>
      <c r="U476" s="21" t="str">
        <f ca="1">IFERROR(__xludf.DUMMYFUNCTION("GOOGLETRANSLATE($B476,""en"",U$3)"),"والخلية تعمل عندما بدأ أنا، لذلك سأرحل الخلية على.")</f>
        <v>والخلية تعمل عندما بدأ أنا، لذلك سأرحل الخلية على.</v>
      </c>
      <c r="V476" s="21" t="str">
        <f ca="1">IFERROR(__xludf.DUMMYFUNCTION("GOOGLETRANSLATE($B476,""en"",V$3)"),"MySQL został uruchomiony, kiedy rozpoczęto, więc wyjeżdżam na MySQL.")</f>
        <v>MySQL został uruchomiony, kiedy rozpoczęto, więc wyjeżdżam na MySQL.</v>
      </c>
      <c r="W476" s="21" t="str">
        <f ca="1">IFERROR(__xludf.DUMMYFUNCTION("GOOGLETRANSLATE($B476,""en"",W$3)"),"MySQL был запущен, когда я начал, так что я уезжаю MySQL на.")</f>
        <v>MySQL был запущен, когда я начал, так что я уезжаю MySQL на.</v>
      </c>
      <c r="X476" s="21" t="str">
        <f ca="1">IFERROR(__xludf.DUMMYFUNCTION("GOOGLETRANSLATE($B476,""en"",X$3)"),"MySQL se ejecuta cuando se inició, por lo que estoy dejando MySQL en.")</f>
        <v>MySQL se ejecuta cuando se inició, por lo que estoy dejando MySQL en.</v>
      </c>
      <c r="Y476" s="21"/>
      <c r="Z476" s="21"/>
    </row>
    <row r="477" spans="1:26" ht="32.25" customHeight="1" x14ac:dyDescent="0.2">
      <c r="A477" s="17" t="s">
        <v>1063</v>
      </c>
      <c r="B477" s="17" t="s">
        <v>1064</v>
      </c>
      <c r="C477" s="21" t="str">
        <f ca="1">IFERROR(__xludf.DUMMYFUNCTION("GOOGLETRANSLATE($B477,""en"",C$3)"),"MySQL-Port")</f>
        <v>MySQL-Port</v>
      </c>
      <c r="D477" s="21" t="str">
        <f ca="1">IFERROR(__xludf.DUMMYFUNCTION("GOOGLETRANSLATE($B477,""en"",D$3)"),"MySQL Port")</f>
        <v>MySQL Port</v>
      </c>
      <c r="E477" s="21" t="str">
        <f ca="1">IFERROR(__xludf.DUMMYFUNCTION("GOOGLETRANSLATE($B477,""en"",E$3)"),"MySQL Porto")</f>
        <v>MySQL Porto</v>
      </c>
      <c r="F477" s="21" t="str">
        <f ca="1">IFERROR(__xludf.DUMMYFUNCTION("GOOGLETRANSLATE($B477,""en"",F$3)"),"MySQL Porto")</f>
        <v>MySQL Porto</v>
      </c>
      <c r="G477" s="21" t="str">
        <f ca="1">IFERROR(__xludf.DUMMYFUNCTION("GOOGLETRANSLATE($B477,""en"",G$3)"),"Port MySQL")</f>
        <v>Port MySQL</v>
      </c>
      <c r="H477" s="21" t="str">
        <f ca="1">IFERROR(__xludf.DUMMYFUNCTION("GOOGLETRANSLATE($B477,""en"",H$3)"),"MySQL Port")</f>
        <v>MySQL Port</v>
      </c>
      <c r="I477" s="21" t="str">
        <f ca="1">IFERROR(__xludf.DUMMYFUNCTION("GOOGLETRANSLATE($B477,""en"",I$3)"),"port MySQL")</f>
        <v>port MySQL</v>
      </c>
      <c r="J477" s="21" t="str">
        <f ca="1">IFERROR(__xludf.DUMMYFUNCTION("GOOGLETRANSLATE($B477,""en"",J$3)"),"MySQL Port")</f>
        <v>MySQL Port</v>
      </c>
      <c r="K477" s="21" t="str">
        <f ca="1">IFERROR(__xludf.DUMMYFUNCTION("GOOGLETRANSLATE($B477,""en"",K$3)"),"MySQL端口")</f>
        <v>MySQL端口</v>
      </c>
      <c r="L477" s="21" t="str">
        <f ca="1">IFERROR(__xludf.DUMMYFUNCTION("GOOGLETRANSLATE($B477,""en"",L$3)"),"MySQL端口")</f>
        <v>MySQL端口</v>
      </c>
      <c r="M477" s="21" t="str">
        <f ca="1">IFERROR(__xludf.DUMMYFUNCTION("GOOGLETRANSLATE($B477,""en"",M$3)"),"MySQL Port")</f>
        <v>MySQL Port</v>
      </c>
      <c r="N477" s="21" t="str">
        <f ca="1">IFERROR(__xludf.DUMMYFUNCTION("GOOGLETRANSLATE($B477,""en"",N$3)"),"Port MySQL")</f>
        <v>Port MySQL</v>
      </c>
      <c r="O477" s="21" t="str">
        <f ca="1">IFERROR(__xludf.DUMMYFUNCTION("GOOGLETRANSLATE($B477,""en"",O$3)"),"MySQL Port")</f>
        <v>MySQL Port</v>
      </c>
      <c r="P477" s="21" t="str">
        <f ca="1">IFERROR(__xludf.DUMMYFUNCTION("GOOGLETRANSLATE($B477,""en"",P$3)"),"MySQL Port")</f>
        <v>MySQL Port</v>
      </c>
      <c r="Q477" s="21" t="str">
        <f ca="1">IFERROR(__xludf.DUMMYFUNCTION("GOOGLETRANSLATE($B477,""en"",Q$3)"),"خروجی بندر")</f>
        <v>خروجی بندر</v>
      </c>
      <c r="R477" s="21" t="str">
        <f ca="1">IFERROR(__xludf.DUMMYFUNCTION("GOOGLETRANSLATE($B477,""en"",R$3)"),"MySQL פורט")</f>
        <v>MySQL פורט</v>
      </c>
      <c r="S477" s="21" t="str">
        <f ca="1">IFERROR(__xludf.DUMMYFUNCTION("GOOGLETRANSLATE($B477,""en"",S$3)"),"MySQL Port")</f>
        <v>MySQL Port</v>
      </c>
      <c r="T477" s="21" t="str">
        <f ca="1">IFERROR(__xludf.DUMMYFUNCTION("GOOGLETRANSLATE($B477,""en"",T$3)"),"MySQL Port")</f>
        <v>MySQL Port</v>
      </c>
      <c r="U477" s="21" t="str">
        <f ca="1">IFERROR(__xludf.DUMMYFUNCTION("GOOGLETRANSLATE($B477,""en"",U$3)"),"ميناء الخلية")</f>
        <v>ميناء الخلية</v>
      </c>
      <c r="V477" s="21" t="str">
        <f ca="1">IFERROR(__xludf.DUMMYFUNCTION("GOOGLETRANSLATE($B477,""en"",V$3)"),"MySQL Port")</f>
        <v>MySQL Port</v>
      </c>
      <c r="W477" s="21" t="str">
        <f ca="1">IFERROR(__xludf.DUMMYFUNCTION("GOOGLETRANSLATE($B477,""en"",W$3)"),"MySQL порт")</f>
        <v>MySQL порт</v>
      </c>
      <c r="X477" s="21" t="str">
        <f ca="1">IFERROR(__xludf.DUMMYFUNCTION("GOOGLETRANSLATE($B477,""en"",X$3)"),"Puerto MySQL")</f>
        <v>Puerto MySQL</v>
      </c>
      <c r="Y477" s="21"/>
      <c r="Z477" s="21"/>
    </row>
    <row r="478" spans="1:26" ht="32.25" customHeight="1" x14ac:dyDescent="0.2">
      <c r="A478" s="17" t="s">
        <v>1065</v>
      </c>
      <c r="B478" s="17" t="s">
        <v>1065</v>
      </c>
      <c r="C478" s="21" t="str">
        <f ca="1">IFERROR(__xludf.DUMMYFUNCTION("GOOGLETRANSLATE($B478,""en"",C$3)"),"Name")</f>
        <v>Name</v>
      </c>
      <c r="D478" s="21" t="str">
        <f ca="1">IFERROR(__xludf.DUMMYFUNCTION("GOOGLETRANSLATE($B478,""en"",D$3)"),"namn")</f>
        <v>namn</v>
      </c>
      <c r="E478" s="21" t="str">
        <f ca="1">IFERROR(__xludf.DUMMYFUNCTION("GOOGLETRANSLATE($B478,""en"",E$3)"),"Nome")</f>
        <v>Nome</v>
      </c>
      <c r="F478" s="21" t="str">
        <f ca="1">IFERROR(__xludf.DUMMYFUNCTION("GOOGLETRANSLATE($B478,""en"",F$3)"),"Nome")</f>
        <v>Nome</v>
      </c>
      <c r="G478" s="21" t="str">
        <f ca="1">IFERROR(__xludf.DUMMYFUNCTION("GOOGLETRANSLATE($B478,""en"",G$3)"),"Nom")</f>
        <v>Nom</v>
      </c>
      <c r="H478" s="21" t="str">
        <f ca="1">IFERROR(__xludf.DUMMYFUNCTION("GOOGLETRANSLATE($B478,""en"",H$3)"),"izena")</f>
        <v>izena</v>
      </c>
      <c r="I478" s="21" t="str">
        <f ca="1">IFERROR(__xludf.DUMMYFUNCTION("GOOGLETRANSLATE($B478,""en"",I$3)"),"Nom")</f>
        <v>Nom</v>
      </c>
      <c r="J478" s="21" t="str">
        <f ca="1">IFERROR(__xludf.DUMMYFUNCTION("GOOGLETRANSLATE($B478,""en"",J$3)"),"název")</f>
        <v>název</v>
      </c>
      <c r="K478" s="21" t="str">
        <f ca="1">IFERROR(__xludf.DUMMYFUNCTION("GOOGLETRANSLATE($B478,""en"",K$3)"),"名称")</f>
        <v>名称</v>
      </c>
      <c r="L478" s="21" t="str">
        <f ca="1">IFERROR(__xludf.DUMMYFUNCTION("GOOGLETRANSLATE($B478,""en"",L$3)"),"名稱")</f>
        <v>名稱</v>
      </c>
      <c r="M478" s="21" t="str">
        <f ca="1">IFERROR(__xludf.DUMMYFUNCTION("GOOGLETRANSLATE($B478,""en"",M$3)"),"Naam")</f>
        <v>Naam</v>
      </c>
      <c r="N478" s="21" t="str">
        <f ca="1">IFERROR(__xludf.DUMMYFUNCTION("GOOGLETRANSLATE($B478,""en"",N$3)"),"Ονομα")</f>
        <v>Ονομα</v>
      </c>
      <c r="O478" s="21" t="str">
        <f ca="1">IFERROR(__xludf.DUMMYFUNCTION("GOOGLETRANSLATE($B478,""en"",O$3)"),"Nimi")</f>
        <v>Nimi</v>
      </c>
      <c r="P478" s="21" t="str">
        <f ca="1">IFERROR(__xludf.DUMMYFUNCTION("GOOGLETRANSLATE($B478,""en"",P$3)"),"Ainm")</f>
        <v>Ainm</v>
      </c>
      <c r="Q478" s="21" t="str">
        <f ca="1">IFERROR(__xludf.DUMMYFUNCTION("GOOGLETRANSLATE($B478,""en"",Q$3)"),"نام")</f>
        <v>نام</v>
      </c>
      <c r="R478" s="21" t="str">
        <f ca="1">IFERROR(__xludf.DUMMYFUNCTION("GOOGLETRANSLATE($B478,""en"",R$3)"),"שֵׁם")</f>
        <v>שֵׁם</v>
      </c>
      <c r="S478" s="21" t="str">
        <f ca="1">IFERROR(__xludf.DUMMYFUNCTION("GOOGLETRANSLATE($B478,""en"",S$3)"),"heiti")</f>
        <v>heiti</v>
      </c>
      <c r="T478" s="21" t="str">
        <f ca="1">IFERROR(__xludf.DUMMYFUNCTION("GOOGLETRANSLATE($B478,""en"",T$3)"),"Navn")</f>
        <v>Navn</v>
      </c>
      <c r="U478" s="21" t="str">
        <f ca="1">IFERROR(__xludf.DUMMYFUNCTION("GOOGLETRANSLATE($B478,""en"",U$3)"),"اسم")</f>
        <v>اسم</v>
      </c>
      <c r="V478" s="21" t="str">
        <f ca="1">IFERROR(__xludf.DUMMYFUNCTION("GOOGLETRANSLATE($B478,""en"",V$3)"),"Imię")</f>
        <v>Imię</v>
      </c>
      <c r="W478" s="21" t="str">
        <f ca="1">IFERROR(__xludf.DUMMYFUNCTION("GOOGLETRANSLATE($B478,""en"",W$3)"),"название")</f>
        <v>название</v>
      </c>
      <c r="X478" s="21" t="str">
        <f ca="1">IFERROR(__xludf.DUMMYFUNCTION("GOOGLETRANSLATE($B478,""en"",X$3)"),"Nombre")</f>
        <v>Nombre</v>
      </c>
      <c r="Y478" s="21"/>
      <c r="Z478" s="21"/>
    </row>
    <row r="479" spans="1:26" ht="32.25" customHeight="1" x14ac:dyDescent="0.2">
      <c r="A479" s="17" t="s">
        <v>1066</v>
      </c>
      <c r="B479" s="17" t="s">
        <v>1067</v>
      </c>
      <c r="C479" s="21" t="str">
        <f ca="1">IFERROR(__xludf.DUMMYFUNCTION("GOOGLETRANSLATE($B479,""en"",C$3)"),"Name der Region")</f>
        <v>Name der Region</v>
      </c>
      <c r="D479" s="21" t="str">
        <f ca="1">IFERROR(__xludf.DUMMYFUNCTION("GOOGLETRANSLATE($B479,""en"",D$3)"),"Namn på Region")</f>
        <v>Namn på Region</v>
      </c>
      <c r="E479" s="21" t="str">
        <f ca="1">IFERROR(__xludf.DUMMYFUNCTION("GOOGLETRANSLATE($B479,""en"",E$3)"),"Nome da Região")</f>
        <v>Nome da Região</v>
      </c>
      <c r="F479" s="21" t="str">
        <f ca="1">IFERROR(__xludf.DUMMYFUNCTION("GOOGLETRANSLATE($B479,""en"",F$3)"),"Nome da Região")</f>
        <v>Nome da Região</v>
      </c>
      <c r="G479" s="21" t="str">
        <f ca="1">IFERROR(__xludf.DUMMYFUNCTION("GOOGLETRANSLATE($B479,""en"",G$3)"),"Nom de la région")</f>
        <v>Nom de la région</v>
      </c>
      <c r="H479" s="21" t="str">
        <f ca="1">IFERROR(__xludf.DUMMYFUNCTION("GOOGLETRANSLATE($B479,""en"",H$3)"),"Region izena")</f>
        <v>Region izena</v>
      </c>
      <c r="I479" s="21" t="str">
        <f ca="1">IFERROR(__xludf.DUMMYFUNCTION("GOOGLETRANSLATE($B479,""en"",I$3)"),"Nom de la Regió")</f>
        <v>Nom de la Regió</v>
      </c>
      <c r="J479" s="21" t="str">
        <f ca="1">IFERROR(__xludf.DUMMYFUNCTION("GOOGLETRANSLATE($B479,""en"",J$3)"),"Název regionu")</f>
        <v>Název regionu</v>
      </c>
      <c r="K479" s="21" t="str">
        <f ca="1">IFERROR(__xludf.DUMMYFUNCTION("GOOGLETRANSLATE($B479,""en"",K$3)"),"地区名称")</f>
        <v>地区名称</v>
      </c>
      <c r="L479" s="21" t="str">
        <f ca="1">IFERROR(__xludf.DUMMYFUNCTION("GOOGLETRANSLATE($B479,""en"",L$3)"),"地區名稱")</f>
        <v>地區名稱</v>
      </c>
      <c r="M479" s="21" t="str">
        <f ca="1">IFERROR(__xludf.DUMMYFUNCTION("GOOGLETRANSLATE($B479,""en"",M$3)"),"Naam van de regio")</f>
        <v>Naam van de regio</v>
      </c>
      <c r="N479" s="21" t="str">
        <f ca="1">IFERROR(__xludf.DUMMYFUNCTION("GOOGLETRANSLATE($B479,""en"",N$3)"),"Ονομασία της περιφέρειας")</f>
        <v>Ονομασία της περιφέρειας</v>
      </c>
      <c r="O479" s="21" t="str">
        <f ca="1">IFERROR(__xludf.DUMMYFUNCTION("GOOGLETRANSLATE($B479,""en"",O$3)"),"Nimi Alueen")</f>
        <v>Nimi Alueen</v>
      </c>
      <c r="P479" s="21" t="str">
        <f ca="1">IFERROR(__xludf.DUMMYFUNCTION("GOOGLETRANSLATE($B479,""en"",P$3)"),"Ainm na Réigiún")</f>
        <v>Ainm na Réigiún</v>
      </c>
      <c r="Q479" s="21" t="str">
        <f ca="1">IFERROR(__xludf.DUMMYFUNCTION("GOOGLETRANSLATE($B479,""en"",Q$3)"),"نام منطقه")</f>
        <v>نام منطقه</v>
      </c>
      <c r="R479" s="21" t="str">
        <f ca="1">IFERROR(__xludf.DUMMYFUNCTION("GOOGLETRANSLATE($B479,""en"",R$3)"),"שם אזור")</f>
        <v>שם אזור</v>
      </c>
      <c r="S479" s="21" t="str">
        <f ca="1">IFERROR(__xludf.DUMMYFUNCTION("GOOGLETRANSLATE($B479,""en"",S$3)"),"Heiti svæðum")</f>
        <v>Heiti svæðum</v>
      </c>
      <c r="T479" s="21" t="str">
        <f ca="1">IFERROR(__xludf.DUMMYFUNCTION("GOOGLETRANSLATE($B479,""en"",T$3)"),"Navn Region")</f>
        <v>Navn Region</v>
      </c>
      <c r="U479" s="21" t="str">
        <f ca="1">IFERROR(__xludf.DUMMYFUNCTION("GOOGLETRANSLATE($B479,""en"",U$3)"),"اسم المنطقة")</f>
        <v>اسم المنطقة</v>
      </c>
      <c r="V479" s="21" t="str">
        <f ca="1">IFERROR(__xludf.DUMMYFUNCTION("GOOGLETRANSLATE($B479,""en"",V$3)"),"Nazwa regionu")</f>
        <v>Nazwa regionu</v>
      </c>
      <c r="W479" s="21" t="str">
        <f ca="1">IFERROR(__xludf.DUMMYFUNCTION("GOOGLETRANSLATE($B479,""en"",W$3)"),"Название области")</f>
        <v>Название области</v>
      </c>
      <c r="X479" s="21" t="str">
        <f ca="1">IFERROR(__xludf.DUMMYFUNCTION("GOOGLETRANSLATE($B479,""en"",X$3)"),"Nombre de la Región")</f>
        <v>Nombre de la Región</v>
      </c>
      <c r="Y479" s="21"/>
      <c r="Z479" s="21"/>
    </row>
    <row r="480" spans="1:26" ht="32.25" customHeight="1" x14ac:dyDescent="0.2">
      <c r="A480" s="17" t="s">
        <v>1068</v>
      </c>
      <c r="B480" s="17" t="s">
        <v>1069</v>
      </c>
      <c r="C480" s="21" t="str">
        <f ca="1">IFERROR(__xludf.DUMMYFUNCTION("GOOGLETRANSLATE($B480,""en"",C$3)"),"Ihr System Hypergrid Name wurde zurückgesetzt. Sie können den Namen im Setup-Einstellungen-&gt; DNS-Menü ändern")</f>
        <v>Ihr System Hypergrid Name wurde zurückgesetzt. Sie können den Namen im Setup-Einstellungen-&gt; DNS-Menü ändern</v>
      </c>
      <c r="D480" s="21" t="str">
        <f ca="1">IFERROR(__xludf.DUMMYFUNCTION("GOOGLETRANSLATE($B480,""en"",D$3)"),"Systemet Hypergrid namn har återställts. Du kan ändra namnet på Setup-Inställningar&gt; DNS-menyn")</f>
        <v>Systemet Hypergrid namn har återställts. Du kan ändra namnet på Setup-Inställningar&gt; DNS-menyn</v>
      </c>
      <c r="E480" s="21" t="str">
        <f ca="1">IFERROR(__xludf.DUMMYFUNCTION("GOOGLETRANSLATE($B480,""en"",E$3)"),"Seu sistema de nomes de Hypergrid foi redefinida. Você pode alterar o nome no programa de configuração em Configurações&gt; Menu DNS")</f>
        <v>Seu sistema de nomes de Hypergrid foi redefinida. Você pode alterar o nome no programa de configuração em Configurações&gt; Menu DNS</v>
      </c>
      <c r="F480" s="21" t="str">
        <f ca="1">IFERROR(__xludf.DUMMYFUNCTION("GOOGLETRANSLATE($B480,""en"",F$3)"),"Seu sistema de nomes de Hypergrid foi redefinida. Você pode alterar o nome no programa de configuração em Configurações&gt; Menu DNS")</f>
        <v>Seu sistema de nomes de Hypergrid foi redefinida. Você pode alterar o nome no programa de configuração em Configurações&gt; Menu DNS</v>
      </c>
      <c r="G480" s="21" t="str">
        <f ca="1">IFERROR(__xludf.DUMMYFUNCTION("GOOGLETRANSLATE($B480,""en"",G$3)"),"Votre nom système Hypergrid a été remis à zéro. Vous pouvez modifier le nom dans le menu Configuration-Paramètres-&gt; menu DNS")</f>
        <v>Votre nom système Hypergrid a été remis à zéro. Vous pouvez modifier le nom dans le menu Configuration-Paramètres-&gt; menu DNS</v>
      </c>
      <c r="H480" s="21" t="str">
        <f ca="1">IFERROR(__xludf.DUMMYFUNCTION("GOOGLETRANSLATE($B480,""en"",H$3)"),"Zure sistema Hypergrid izen berrezarri da. Izenak aldatu dezakezu konfigurazioa-Ezarpenak-&gt; DNS menuan")</f>
        <v>Zure sistema Hypergrid izen berrezarri da. Izenak aldatu dezakezu konfigurazioa-Ezarpenak-&gt; DNS menuan</v>
      </c>
      <c r="I480" s="21" t="str">
        <f ca="1">IFERROR(__xludf.DUMMYFUNCTION("GOOGLETRANSLATE($B480,""en"",I$3)"),"El seu sistema de noms de Hypergrid s'ha restablert. Podeu canviar el nom al menú de configuració de DNS-Configuració-&gt;")</f>
        <v>El seu sistema de noms de Hypergrid s'ha restablert. Podeu canviar el nom al menú de configuració de DNS-Configuració-&gt;</v>
      </c>
      <c r="J480" s="21" t="str">
        <f ca="1">IFERROR(__xludf.DUMMYFUNCTION("GOOGLETRANSLATE($B480,""en"",J$3)"),"Systém název Hypergrid bylo obnoveno. Můžete změnit název v Setup-Nastavení-&gt; nabídce DNS")</f>
        <v>Systém název Hypergrid bylo obnoveno. Můžete změnit název v Setup-Nastavení-&gt; nabídce DNS</v>
      </c>
      <c r="K480" s="21" t="str">
        <f ca="1">IFERROR(__xludf.DUMMYFUNCTION("GOOGLETRANSLATE($B480,""en"",K$3)"),"您的系统Hypergrid的名字已被重置。您可以在设置 - 设置 - &gt; DNS菜单中更改名称")</f>
        <v>您的系统Hypergrid的名字已被重置。您可以在设置 - 设置 - &gt; DNS菜单中更改名称</v>
      </c>
      <c r="L480" s="21" t="str">
        <f ca="1">IFERROR(__xludf.DUMMYFUNCTION("GOOGLETRANSLATE($B480,""en"",L$3)"),"您的系統Hypergrid的名字已被重置。您可以在設置 - 設置 - &gt; DNS菜單中更改名稱")</f>
        <v>您的系統Hypergrid的名字已被重置。您可以在設置 - 設置 - &gt; DNS菜單中更改名稱</v>
      </c>
      <c r="M480" s="21" t="str">
        <f ca="1">IFERROR(__xludf.DUMMYFUNCTION("GOOGLETRANSLATE($B480,""en"",M$3)"),"Uw systeem HyperGrid naam is gereset. U kunt de naam veranderen in de Setup-instellingen-&gt; DNS menu")</f>
        <v>Uw systeem HyperGrid naam is gereset. U kunt de naam veranderen in de Setup-instellingen-&gt; DNS menu</v>
      </c>
      <c r="N480" s="21" t="str">
        <f ca="1">IFERROR(__xludf.DUMMYFUNCTION("GOOGLETRANSLATE($B480,""en"",N$3)"),"Το σύστημά σας όνομα Hypergrid έχει γίνει επαναφορά. Μπορείτε να αλλάξετε το όνομα της ρύθμισης-Ρυθμίσεις-&gt; μενού DNS")</f>
        <v>Το σύστημά σας όνομα Hypergrid έχει γίνει επαναφορά. Μπορείτε να αλλάξετε το όνομα της ρύθμισης-Ρυθμίσεις-&gt; μενού DNS</v>
      </c>
      <c r="O480" s="21" t="str">
        <f ca="1">IFERROR(__xludf.DUMMYFUNCTION("GOOGLETRANSLATE($B480,""en"",O$3)"),"Järjestelmän Hypergrid nimi on nollattu. Voit muuttaa nimeä Setup-Asetukset-&gt; DNS-valikossa")</f>
        <v>Järjestelmän Hypergrid nimi on nollattu. Voit muuttaa nimeä Setup-Asetukset-&gt; DNS-valikossa</v>
      </c>
      <c r="P480" s="21" t="str">
        <f ca="1">IFERROR(__xludf.DUMMYFUNCTION("GOOGLETRANSLATE($B480,""en"",P$3)"),"Tá do chóras Hypergrid ainm curtha athshocrú. Is féidir leat athrú ar an t-ainm sa Socrú-Socruithe&gt; roghchlár DNS")</f>
        <v>Tá do chóras Hypergrid ainm curtha athshocrú. Is féidir leat athrú ar an t-ainm sa Socrú-Socruithe&gt; roghchlár DNS</v>
      </c>
      <c r="Q480" s="21" t="str">
        <f ca="1">IFERROR(__xludf.DUMMYFUNCTION("GOOGLETRANSLATE($B480,""en"",Q$3)"),"سیستم شما نام Hypergrid بازنشانی شده است. شما می توانید نام در راه اندازی-تنظیمات&gt; منوی DNS تغییر")</f>
        <v>سیستم شما نام Hypergrid بازنشانی شده است. شما می توانید نام در راه اندازی-تنظیمات&gt; منوی DNS تغییر</v>
      </c>
      <c r="R480" s="21" t="str">
        <f ca="1">IFERROR(__xludf.DUMMYFUNCTION("GOOGLETRANSLATE($B480,""en"",R$3)"),"שם Hypergrid המערכת שלך אופס. אתה יכול לשנות את השם של התקנה-הגדרות-&gt; תפריט DNS")</f>
        <v>שם Hypergrid המערכת שלך אופס. אתה יכול לשנות את השם של התקנה-הגדרות-&gt; תפריט DNS</v>
      </c>
      <c r="S480" s="21" t="str">
        <f ca="1">IFERROR(__xludf.DUMMYFUNCTION("GOOGLETRANSLATE($B480,""en"",S$3)"),"Kerfið Hypergrid Nafnið þitt hefur verið endurstillt. Hægt er að breyta nafni á Setup-Stillingar-&gt; DNS matseðill")</f>
        <v>Kerfið Hypergrid Nafnið þitt hefur verið endurstillt. Hægt er að breyta nafni á Setup-Stillingar-&gt; DNS matseðill</v>
      </c>
      <c r="T480" s="21" t="str">
        <f ca="1">IFERROR(__xludf.DUMMYFUNCTION("GOOGLETRANSLATE($B480,""en"",T$3)"),"System Hypergrid navn har blitt tilbakestilt. Du kan endre navnet på Setup-Innstillinger-&gt; DNS-menyen")</f>
        <v>System Hypergrid navn har blitt tilbakestilt. Du kan endre navnet på Setup-Innstillinger-&gt; DNS-menyen</v>
      </c>
      <c r="U480" s="21" t="str">
        <f ca="1">IFERROR(__xludf.DUMMYFUNCTION("GOOGLETRANSLATE($B480,""en"",U$3)"),"وكان النظام الخاص بك اسم Hypergrid إعادة تعيين. يمكنك تغيير الاسم في الإعداد-إعدادات-&gt; القائمة DNS")</f>
        <v>وكان النظام الخاص بك اسم Hypergrid إعادة تعيين. يمكنك تغيير الاسم في الإعداد-إعدادات-&gt; القائمة DNS</v>
      </c>
      <c r="V480" s="21" t="str">
        <f ca="1">IFERROR(__xludf.DUMMYFUNCTION("GOOGLETRANSLATE($B480,""en"",V$3)"),"System nazwa Hypergrid został zresetowany. Można zmienić nazwę w Setup menu Ustawienia-&gt; DNS")</f>
        <v>System nazwa Hypergrid został zresetowany. Można zmienić nazwę w Setup menu Ustawienia-&gt; DNS</v>
      </c>
      <c r="W480" s="21" t="str">
        <f ca="1">IFERROR(__xludf.DUMMYFUNCTION("GOOGLETRANSLATE($B480,""en"",W$3)"),"Ваше имя системы Hypergrid сброшено. Вы можете изменить имя в&gt; меню DNS Setup-Настройки-")</f>
        <v>Ваше имя системы Hypergrid сброшено. Вы можете изменить имя в&gt; меню DNS Setup-Настройки-</v>
      </c>
      <c r="X480" s="21" t="str">
        <f ca="1">IFERROR(__xludf.DUMMYFUNCTION("GOOGLETRANSLATE($B480,""en"",X$3)"),"Su sistema de nombres de Hypergrid se ha restablecido. Puede cambiar el nombre en el menú de configuración de DNS-Configuración-&gt;")</f>
        <v>Su sistema de nombres de Hypergrid se ha restablecido. Puede cambiar el nombre en el menú de configuración de DNS-Configuración-&gt;</v>
      </c>
      <c r="Y480" s="21"/>
      <c r="Z480" s="21"/>
    </row>
    <row r="481" spans="1:26" ht="32.25" customHeight="1" x14ac:dyDescent="0.2">
      <c r="A481" s="17" t="s">
        <v>1070</v>
      </c>
      <c r="B481" s="17" t="s">
        <v>1071</v>
      </c>
      <c r="C481" s="21" t="str">
        <f ca="1">IFERROR(__xludf.DUMMYFUNCTION("GOOGLETRANSLATE($B481,""en"",C$3)"),"Nachbar Entfernung (default = 25,0)")</f>
        <v>Nachbar Entfernung (default = 25,0)</v>
      </c>
      <c r="D481" s="21" t="str">
        <f ca="1">IFERROR(__xludf.DUMMYFUNCTION("GOOGLETRANSLATE($B481,""en"",D$3)"),"Granne Avstånd (default = 25,0)")</f>
        <v>Granne Avstånd (default = 25,0)</v>
      </c>
      <c r="E481" s="21" t="str">
        <f ca="1">IFERROR(__xludf.DUMMYFUNCTION("GOOGLETRANSLATE($B481,""en"",E$3)"),"Vizinho Distância (padrão = 25,0)")</f>
        <v>Vizinho Distância (padrão = 25,0)</v>
      </c>
      <c r="F481" s="21" t="str">
        <f ca="1">IFERROR(__xludf.DUMMYFUNCTION("GOOGLETRANSLATE($B481,""en"",F$3)"),"Vizinho Distância (padrão = 25,0)")</f>
        <v>Vizinho Distância (padrão = 25,0)</v>
      </c>
      <c r="G481" s="21" t="str">
        <f ca="1">IFERROR(__xludf.DUMMYFUNCTION("GOOGLETRANSLATE($B481,""en"",G$3)"),"Distance Neighbor (valeur par défaut = 25,0)")</f>
        <v>Distance Neighbor (valeur par défaut = 25,0)</v>
      </c>
      <c r="H481" s="21" t="str">
        <f ca="1">IFERROR(__xludf.DUMMYFUNCTION("GOOGLETRANSLATE($B481,""en"",H$3)"),"Neighbor Distantzia (lehenetsia = 25,0)")</f>
        <v>Neighbor Distantzia (lehenetsia = 25,0)</v>
      </c>
      <c r="I481" s="21" t="str">
        <f ca="1">IFERROR(__xludf.DUMMYFUNCTION("GOOGLETRANSLATE($B481,""en"",I$3)"),"Veí Distància (per defecte = 25,0)")</f>
        <v>Veí Distància (per defecte = 25,0)</v>
      </c>
      <c r="J481" s="21" t="str">
        <f ca="1">IFERROR(__xludf.DUMMYFUNCTION("GOOGLETRANSLATE($B481,""en"",J$3)"),"Soused Distance (default = 25.0)")</f>
        <v>Soused Distance (default = 25.0)</v>
      </c>
      <c r="K481" s="21" t="str">
        <f ca="1">IFERROR(__xludf.DUMMYFUNCTION("GOOGLETRANSLATE($B481,""en"",K$3)"),"相邻距离（缺省值= 25.0）")</f>
        <v>相邻距离（缺省值= 25.0）</v>
      </c>
      <c r="L481" s="21" t="str">
        <f ca="1">IFERROR(__xludf.DUMMYFUNCTION("GOOGLETRANSLATE($B481,""en"",L$3)"),"相鄰距離（缺省值= 25.0）")</f>
        <v>相鄰距離（缺省值= 25.0）</v>
      </c>
      <c r="M481" s="21" t="str">
        <f ca="1">IFERROR(__xludf.DUMMYFUNCTION("GOOGLETRANSLATE($B481,""en"",M$3)"),"Neighbor Afstand (default = 25,0)")</f>
        <v>Neighbor Afstand (default = 25,0)</v>
      </c>
      <c r="N481" s="21" t="str">
        <f ca="1">IFERROR(__xludf.DUMMYFUNCTION("GOOGLETRANSLATE($B481,""en"",N$3)"),"Γείτονας Απόσταση (προεπιλογή = 25,0)")</f>
        <v>Γείτονας Απόσταση (προεπιλογή = 25,0)</v>
      </c>
      <c r="O481" s="21" t="str">
        <f ca="1">IFERROR(__xludf.DUMMYFUNCTION("GOOGLETRANSLATE($B481,""en"",O$3)"),"Naapuri Etäisyys (oletus = 25,0)")</f>
        <v>Naapuri Etäisyys (oletus = 25,0)</v>
      </c>
      <c r="P481" s="21" t="str">
        <f ca="1">IFERROR(__xludf.DUMMYFUNCTION("GOOGLETRANSLATE($B481,""en"",P$3)"),"Comharsa Fad (réamhshocrú = 25.0)")</f>
        <v>Comharsa Fad (réamhshocrú = 25.0)</v>
      </c>
      <c r="Q481" s="21" t="str">
        <f ca="1">IFERROR(__xludf.DUMMYFUNCTION("GOOGLETRANSLATE($B481,""en"",Q$3)"),"همسایه فاصله (به طور پیش فرض = 25.0)")</f>
        <v>همسایه فاصله (به طور پیش فرض = 25.0)</v>
      </c>
      <c r="R481" s="21" t="str">
        <f ca="1">IFERROR(__xludf.DUMMYFUNCTION("GOOGLETRANSLATE($B481,""en"",R$3)"),"שכן מרחק (ברירת מחדל = 25.0)")</f>
        <v>שכן מרחק (ברירת מחדל = 25.0)</v>
      </c>
      <c r="S481" s="21" t="str">
        <f ca="1">IFERROR(__xludf.DUMMYFUNCTION("GOOGLETRANSLATE($B481,""en"",S$3)"),"Nágranni Vegalengd (sjálfgefið = 25,0)")</f>
        <v>Nágranni Vegalengd (sjálfgefið = 25,0)</v>
      </c>
      <c r="T481" s="21" t="str">
        <f ca="1">IFERROR(__xludf.DUMMYFUNCTION("GOOGLETRANSLATE($B481,""en"",T$3)"),"Nabo Avstand (standard = 25,0)")</f>
        <v>Nabo Avstand (standard = 25,0)</v>
      </c>
      <c r="U481" s="21" t="str">
        <f ca="1">IFERROR(__xludf.DUMMYFUNCTION("GOOGLETRANSLATE($B481,""en"",U$3)"),"الجيران المسافة (الافتراضي = 25.0)")</f>
        <v>الجيران المسافة (الافتراضي = 25.0)</v>
      </c>
      <c r="V481" s="21" t="str">
        <f ca="1">IFERROR(__xludf.DUMMYFUNCTION("GOOGLETRANSLATE($B481,""en"",V$3)"),"Sąsiad Odległość (default = 25.0)")</f>
        <v>Sąsiad Odległość (default = 25.0)</v>
      </c>
      <c r="W481" s="21" t="str">
        <f ca="1">IFERROR(__xludf.DUMMYFUNCTION("GOOGLETRANSLATE($B481,""en"",W$3)"),"Сосед Расстояние (по умолчанию = 25,0)")</f>
        <v>Сосед Расстояние (по умолчанию = 25,0)</v>
      </c>
      <c r="X481" s="21" t="str">
        <f ca="1">IFERROR(__xludf.DUMMYFUNCTION("GOOGLETRANSLATE($B481,""en"",X$3)"),"Vecino Distancia (por defecto = 25,0)")</f>
        <v>Vecino Distancia (por defecto = 25,0)</v>
      </c>
      <c r="Y481" s="21"/>
      <c r="Z481" s="21"/>
    </row>
    <row r="482" spans="1:26" ht="32.25" customHeight="1" x14ac:dyDescent="0.2">
      <c r="A482" s="17" t="s">
        <v>1072</v>
      </c>
      <c r="B482" s="17" t="s">
        <v>1073</v>
      </c>
      <c r="C482" s="21" t="str">
        <f ca="1">IFERROR(__xludf.DUMMYFUNCTION("GOOGLETRANSLATE($B482,""en"",C$3)"),"Ein Netzwechsel aufgetreten. Ein Neustart kann erforderlich sein.")</f>
        <v>Ein Netzwechsel aufgetreten. Ein Neustart kann erforderlich sein.</v>
      </c>
      <c r="D482" s="21" t="str">
        <f ca="1">IFERROR(__xludf.DUMMYFUNCTION("GOOGLETRANSLATE($B482,""en"",D$3)"),"Ett nätverk förändring inträffade. En omstart kan vara nödvändigt.")</f>
        <v>Ett nätverk förändring inträffade. En omstart kan vara nödvändigt.</v>
      </c>
      <c r="E482" s="21" t="str">
        <f ca="1">IFERROR(__xludf.DUMMYFUNCTION("GOOGLETRANSLATE($B482,""en"",E$3)"),"A mudança de rede ocorreu. Uma reinicialização pode ser necessária.")</f>
        <v>A mudança de rede ocorreu. Uma reinicialização pode ser necessária.</v>
      </c>
      <c r="F482" s="21" t="str">
        <f ca="1">IFERROR(__xludf.DUMMYFUNCTION("GOOGLETRANSLATE($B482,""en"",F$3)"),"A mudança de rede ocorreu. Uma reinicialização pode ser necessária.")</f>
        <v>A mudança de rede ocorreu. Uma reinicialização pode ser necessária.</v>
      </c>
      <c r="G482" s="21" t="str">
        <f ca="1">IFERROR(__xludf.DUMMYFUNCTION("GOOGLETRANSLATE($B482,""en"",G$3)"),"Un changement de réseau est survenue. Un redémarrage peut être nécessaire.")</f>
        <v>Un changement de réseau est survenue. Un redémarrage peut être nécessaire.</v>
      </c>
      <c r="H482" s="21" t="str">
        <f ca="1">IFERROR(__xludf.DUMMYFUNCTION("GOOGLETRANSLATE($B482,""en"",H$3)"),"sare aldaketa gertatu da. berrabiaraztea beharrezkoa izan daiteke.")</f>
        <v>sare aldaketa gertatu da. berrabiaraztea beharrezkoa izan daiteke.</v>
      </c>
      <c r="I482" s="21" t="str">
        <f ca="1">IFERROR(__xludf.DUMMYFUNCTION("GOOGLETRANSLATE($B482,""en"",I$3)"),"Un canvi a la xarxa va ocórrer. Un reinici pot ser necessari.")</f>
        <v>Un canvi a la xarxa va ocórrer. Un reinici pot ser necessari.</v>
      </c>
      <c r="J482" s="21" t="str">
        <f ca="1">IFERROR(__xludf.DUMMYFUNCTION("GOOGLETRANSLATE($B482,""en"",J$3)"),"Změna sítě došlo. Nový start může být nezbytná.")</f>
        <v>Změna sítě došlo. Nový start může být nezbytná.</v>
      </c>
      <c r="K482" s="21" t="str">
        <f ca="1">IFERROR(__xludf.DUMMYFUNCTION("GOOGLETRANSLATE($B482,""en"",K$3)"),"网络发生更改。重新启动可能是必要的。")</f>
        <v>网络发生更改。重新启动可能是必要的。</v>
      </c>
      <c r="L482" s="21" t="str">
        <f ca="1">IFERROR(__xludf.DUMMYFUNCTION("GOOGLETRANSLATE($B482,""en"",L$3)"),"網絡發生更改。重新啟動可能是必要的。")</f>
        <v>網絡發生更改。重新啟動可能是必要的。</v>
      </c>
      <c r="M482" s="21" t="str">
        <f ca="1">IFERROR(__xludf.DUMMYFUNCTION("GOOGLETRANSLATE($B482,""en"",M$3)"),"Een netwerk verandering opgetreden. Een herstart kan noodzakelijk zijn.")</f>
        <v>Een netwerk verandering opgetreden. Een herstart kan noodzakelijk zijn.</v>
      </c>
      <c r="N482" s="21" t="str">
        <f ca="1">IFERROR(__xludf.DUMMYFUNCTION("GOOGLETRANSLATE($B482,""en"",N$3)"),"Μια αλλαγή του δικτύου συνέβη. Μια επανεκκίνηση μπορεί να είναι απαραίτητη.")</f>
        <v>Μια αλλαγή του δικτύου συνέβη. Μια επανεκκίνηση μπορεί να είναι απαραίτητη.</v>
      </c>
      <c r="O482" s="21" t="str">
        <f ca="1">IFERROR(__xludf.DUMMYFUNCTION("GOOGLETRANSLATE($B482,""en"",O$3)"),"Verkko muutos tapahtui. Uudelleenkäynnistys saattaa olla tarpeen.")</f>
        <v>Verkko muutos tapahtui. Uudelleenkäynnistys saattaa olla tarpeen.</v>
      </c>
      <c r="P482" s="21" t="str">
        <f ca="1">IFERROR(__xludf.DUMMYFUNCTION("GOOGLETRANSLATE($B482,""en"",P$3)"),"Athrú líonra Tharla. D'fhéadfadh atosú a bheith riachtanach.")</f>
        <v>Athrú líonra Tharla. D'fhéadfadh atosú a bheith riachtanach.</v>
      </c>
      <c r="Q482" s="21" t="str">
        <f ca="1">IFERROR(__xludf.DUMMYFUNCTION("GOOGLETRANSLATE($B482,""en"",Q$3)"),"تغییر شبکه رخ داد. راه اندازی مجدد ممکن است لازم باشد.")</f>
        <v>تغییر شبکه رخ داد. راه اندازی مجدد ممکن است لازم باشد.</v>
      </c>
      <c r="R482" s="21" t="str">
        <f ca="1">IFERROR(__xludf.DUMMYFUNCTION("GOOGLETRANSLATE($B482,""en"",R$3)"),"שינוי ברשת התרחש. הפעלה מחדש עשויה להיות נחוצה.")</f>
        <v>שינוי ברשת התרחש. הפעלה מחדש עשויה להיות נחוצה.</v>
      </c>
      <c r="S482" s="21" t="str">
        <f ca="1">IFERROR(__xludf.DUMMYFUNCTION("GOOGLETRANSLATE($B482,""en"",S$3)"),"A net breyting átt sér stað. A endurræsa kann að vera nauðsynlegt.")</f>
        <v>A net breyting átt sér stað. A endurræsa kann að vera nauðsynlegt.</v>
      </c>
      <c r="T482" s="21" t="str">
        <f ca="1">IFERROR(__xludf.DUMMYFUNCTION("GOOGLETRANSLATE($B482,""en"",T$3)"),"Et nettverk endring oppstått. En omstart kan være nødvendig.")</f>
        <v>Et nettverk endring oppstått. En omstart kan være nødvendig.</v>
      </c>
      <c r="U482" s="21" t="str">
        <f ca="1">IFERROR(__xludf.DUMMYFUNCTION("GOOGLETRANSLATE($B482,""en"",U$3)"),"حدث تغيير الشبكة. قد يكون من الضروري إعادة تشغيل.")</f>
        <v>حدث تغيير الشبكة. قد يكون من الضروري إعادة تشغيل.</v>
      </c>
      <c r="V482" s="21" t="str">
        <f ca="1">IFERROR(__xludf.DUMMYFUNCTION("GOOGLETRANSLATE($B482,""en"",V$3)"),"Zmiana sieci wystąpił. Ponowne uruchomienie może być konieczne.")</f>
        <v>Zmiana sieci wystąpił. Ponowne uruchomienie może być konieczne.</v>
      </c>
      <c r="W482" s="21" t="str">
        <f ca="1">IFERROR(__xludf.DUMMYFUNCTION("GOOGLETRANSLATE($B482,""en"",W$3)"),"Изменение сети произошло. Перезагрузка может понадобиться.")</f>
        <v>Изменение сети произошло. Перезагрузка может понадобиться.</v>
      </c>
      <c r="X482" s="21" t="str">
        <f ca="1">IFERROR(__xludf.DUMMYFUNCTION("GOOGLETRANSLATE($B482,""en"",X$3)"),"Un cambio a la red ocurrió. Un reinicio puede ser necesario.")</f>
        <v>Un cambio a la red ocurrió. Un reinicio puede ser necesario.</v>
      </c>
      <c r="Y482" s="21"/>
      <c r="Z482" s="21"/>
    </row>
    <row r="483" spans="1:26" ht="32.25" customHeight="1" x14ac:dyDescent="0.2">
      <c r="A483" s="17" t="s">
        <v>1074</v>
      </c>
      <c r="B483" s="17" t="s">
        <v>1075</v>
      </c>
      <c r="C483" s="21" t="str">
        <f ca="1">IFERROR(__xludf.DUMMYFUNCTION("GOOGLETRANSLATE($B483,""en"",C$3)"),"Netzwerkdiagnose")</f>
        <v>Netzwerkdiagnose</v>
      </c>
      <c r="D483" s="21" t="str">
        <f ca="1">IFERROR(__xludf.DUMMYFUNCTION("GOOGLETRANSLATE($B483,""en"",D$3)"),"Nätverksdiagnostik")</f>
        <v>Nätverksdiagnostik</v>
      </c>
      <c r="E483" s="21" t="str">
        <f ca="1">IFERROR(__xludf.DUMMYFUNCTION("GOOGLETRANSLATE($B483,""en"",E$3)"),"Diagnóstico de rede")</f>
        <v>Diagnóstico de rede</v>
      </c>
      <c r="F483" s="21" t="str">
        <f ca="1">IFERROR(__xludf.DUMMYFUNCTION("GOOGLETRANSLATE($B483,""en"",F$3)"),"Diagnóstico de rede")</f>
        <v>Diagnóstico de rede</v>
      </c>
      <c r="G483" s="21" t="str">
        <f ca="1">IFERROR(__xludf.DUMMYFUNCTION("GOOGLETRANSLATE($B483,""en"",G$3)"),"Diagnostics du réseau")</f>
        <v>Diagnostics du réseau</v>
      </c>
      <c r="H483" s="21" t="str">
        <f ca="1">IFERROR(__xludf.DUMMYFUNCTION("GOOGLETRANSLATE($B483,""en"",H$3)"),"Sare-diagnostikoak")</f>
        <v>Sare-diagnostikoak</v>
      </c>
      <c r="I483" s="21" t="str">
        <f ca="1">IFERROR(__xludf.DUMMYFUNCTION("GOOGLETRANSLATE($B483,""en"",I$3)"),"Diagnòstics de xarxa")</f>
        <v>Diagnòstics de xarxa</v>
      </c>
      <c r="J483" s="21" t="str">
        <f ca="1">IFERROR(__xludf.DUMMYFUNCTION("GOOGLETRANSLATE($B483,""en"",J$3)"),"Diagnostika sítě")</f>
        <v>Diagnostika sítě</v>
      </c>
      <c r="K483" s="21" t="str">
        <f ca="1">IFERROR(__xludf.DUMMYFUNCTION("GOOGLETRANSLATE($B483,""en"",K$3)"),"网络诊断")</f>
        <v>网络诊断</v>
      </c>
      <c r="L483" s="21" t="str">
        <f ca="1">IFERROR(__xludf.DUMMYFUNCTION("GOOGLETRANSLATE($B483,""en"",L$3)"),"網絡診斷")</f>
        <v>網絡診斷</v>
      </c>
      <c r="M483" s="21" t="str">
        <f ca="1">IFERROR(__xludf.DUMMYFUNCTION("GOOGLETRANSLATE($B483,""en"",M$3)"),"Network Diagnostics")</f>
        <v>Network Diagnostics</v>
      </c>
      <c r="N483" s="21" t="str">
        <f ca="1">IFERROR(__xludf.DUMMYFUNCTION("GOOGLETRANSLATE($B483,""en"",N$3)"),"Διαγνωστικά δικτύου")</f>
        <v>Διαγνωστικά δικτύου</v>
      </c>
      <c r="O483" s="21" t="str">
        <f ca="1">IFERROR(__xludf.DUMMYFUNCTION("GOOGLETRANSLATE($B483,""en"",O$3)"),"verkon diagnostiikka")</f>
        <v>verkon diagnostiikka</v>
      </c>
      <c r="P483" s="21" t="str">
        <f ca="1">IFERROR(__xludf.DUMMYFUNCTION("GOOGLETRANSLATE($B483,""en"",P$3)"),"Diagnóisic Network")</f>
        <v>Diagnóisic Network</v>
      </c>
      <c r="Q483" s="21" t="str">
        <f ca="1">IFERROR(__xludf.DUMMYFUNCTION("GOOGLETRANSLATE($B483,""en"",Q$3)"),"تشخیص شبکه")</f>
        <v>تشخیص شبکه</v>
      </c>
      <c r="R483" s="21" t="str">
        <f ca="1">IFERROR(__xludf.DUMMYFUNCTION("GOOGLETRANSLATE($B483,""en"",R$3)"),"אבחון רשת")</f>
        <v>אבחון רשת</v>
      </c>
      <c r="S483" s="21" t="str">
        <f ca="1">IFERROR(__xludf.DUMMYFUNCTION("GOOGLETRANSLATE($B483,""en"",S$3)"),"netgreiningu")</f>
        <v>netgreiningu</v>
      </c>
      <c r="T483" s="21" t="str">
        <f ca="1">IFERROR(__xludf.DUMMYFUNCTION("GOOGLETRANSLATE($B483,""en"",T$3)"),"Nettverksdiagnostikk")</f>
        <v>Nettverksdiagnostikk</v>
      </c>
      <c r="U483" s="21" t="str">
        <f ca="1">IFERROR(__xludf.DUMMYFUNCTION("GOOGLETRANSLATE($B483,""en"",U$3)"),"تشخيص الشبكة")</f>
        <v>تشخيص الشبكة</v>
      </c>
      <c r="V483" s="21" t="str">
        <f ca="1">IFERROR(__xludf.DUMMYFUNCTION("GOOGLETRANSLATE($B483,""en"",V$3)"),"Diagnostyka sieci")</f>
        <v>Diagnostyka sieci</v>
      </c>
      <c r="W483" s="21" t="str">
        <f ca="1">IFERROR(__xludf.DUMMYFUNCTION("GOOGLETRANSLATE($B483,""en"",W$3)"),"Диагностика сети")</f>
        <v>Диагностика сети</v>
      </c>
      <c r="X483" s="21" t="str">
        <f ca="1">IFERROR(__xludf.DUMMYFUNCTION("GOOGLETRANSLATE($B483,""en"",X$3)"),"Diagnósticos de red")</f>
        <v>Diagnósticos de red</v>
      </c>
      <c r="Y483" s="21"/>
      <c r="Z483" s="21"/>
    </row>
    <row r="484" spans="1:26" ht="32.25" customHeight="1" x14ac:dyDescent="0.2">
      <c r="A484" s="17" t="s">
        <v>1076</v>
      </c>
      <c r="B484" s="17" t="s">
        <v>1077</v>
      </c>
      <c r="C484" s="21" t="str">
        <f ca="1">IFERROR(__xludf.DUMMYFUNCTION("GOOGLETRANSLATE($B484,""en"",C$3)"),"Führen Sie die Installationsdiagnose")</f>
        <v>Führen Sie die Installationsdiagnose</v>
      </c>
      <c r="D484" s="21" t="str">
        <f ca="1">IFERROR(__xludf.DUMMYFUNCTION("GOOGLETRANSLATE($B484,""en"",D$3)"),"Kör diagnostikinstallations")</f>
        <v>Kör diagnostikinstallations</v>
      </c>
      <c r="E484" s="21" t="str">
        <f ca="1">IFERROR(__xludf.DUMMYFUNCTION("GOOGLETRANSLATE($B484,""en"",E$3)"),"Execute o diagnóstico de instalação")</f>
        <v>Execute o diagnóstico de instalação</v>
      </c>
      <c r="F484" s="21" t="str">
        <f ca="1">IFERROR(__xludf.DUMMYFUNCTION("GOOGLETRANSLATE($B484,""en"",F$3)"),"Execute o diagnóstico de instalação")</f>
        <v>Execute o diagnóstico de instalação</v>
      </c>
      <c r="G484" s="21" t="str">
        <f ca="1">IFERROR(__xludf.DUMMYFUNCTION("GOOGLETRANSLATE($B484,""en"",G$3)"),"Exécutez les diagnostics d'installation")</f>
        <v>Exécutez les diagnostics d'installation</v>
      </c>
      <c r="H484" s="21" t="str">
        <f ca="1">IFERROR(__xludf.DUMMYFUNCTION("GOOGLETRANSLATE($B484,""en"",H$3)"),"Korrika instalazioan diagnostiko")</f>
        <v>Korrika instalazioan diagnostiko</v>
      </c>
      <c r="I484" s="21" t="str">
        <f ca="1">IFERROR(__xludf.DUMMYFUNCTION("GOOGLETRANSLATE($B484,""en"",I$3)"),"Executar els diagnòstics d'instal·lació")</f>
        <v>Executar els diagnòstics d'instal·lació</v>
      </c>
      <c r="J484" s="21" t="str">
        <f ca="1">IFERROR(__xludf.DUMMYFUNCTION("GOOGLETRANSLATE($B484,""en"",J$3)"),"Spustit instalační diagnostiku")</f>
        <v>Spustit instalační diagnostiku</v>
      </c>
      <c r="K484" s="21" t="str">
        <f ca="1">IFERROR(__xludf.DUMMYFUNCTION("GOOGLETRANSLATE($B484,""en"",K$3)"),"运行安装诊断")</f>
        <v>运行安装诊断</v>
      </c>
      <c r="L484" s="21" t="str">
        <f ca="1">IFERROR(__xludf.DUMMYFUNCTION("GOOGLETRANSLATE($B484,""en"",L$3)"),"運行安裝診斷")</f>
        <v>運行安裝診斷</v>
      </c>
      <c r="M484" s="21" t="str">
        <f ca="1">IFERROR(__xludf.DUMMYFUNCTION("GOOGLETRANSLATE($B484,""en"",M$3)"),"Voer de installatie diagnostiek")</f>
        <v>Voer de installatie diagnostiek</v>
      </c>
      <c r="N484" s="21" t="str">
        <f ca="1">IFERROR(__xludf.DUMMYFUNCTION("GOOGLETRANSLATE($B484,""en"",N$3)"),"Εκτελέστε τα διαγνωστικά εγκατάστασης")</f>
        <v>Εκτελέστε τα διαγνωστικά εγκατάστασης</v>
      </c>
      <c r="O484" s="21" t="str">
        <f ca="1">IFERROR(__xludf.DUMMYFUNCTION("GOOGLETRANSLATE($B484,""en"",O$3)"),"Suorita Asennusdiagnostiikka")</f>
        <v>Suorita Asennusdiagnostiikka</v>
      </c>
      <c r="P484" s="21" t="str">
        <f ca="1">IFERROR(__xludf.DUMMYFUNCTION("GOOGLETRANSLATE($B484,""en"",P$3)"),"Rith na diagnóisic shuiteáil")</f>
        <v>Rith na diagnóisic shuiteáil</v>
      </c>
      <c r="Q484" s="21" t="str">
        <f ca="1">IFERROR(__xludf.DUMMYFUNCTION("GOOGLETRANSLATE($B484,""en"",Q$3)"),"اجرا تشخیص نصب")</f>
        <v>اجرا تشخیص نصب</v>
      </c>
      <c r="R484" s="21" t="str">
        <f ca="1">IFERROR(__xludf.DUMMYFUNCTION("GOOGLETRANSLATE($B484,""en"",R$3)"),"הפעל את תוכנית האבחון התקנה")</f>
        <v>הפעל את תוכנית האבחון התקנה</v>
      </c>
      <c r="S484" s="21" t="str">
        <f ca="1">IFERROR(__xludf.DUMMYFUNCTION("GOOGLETRANSLATE($B484,""en"",S$3)"),"Keyra uppsetninguna greiningu")</f>
        <v>Keyra uppsetninguna greiningu</v>
      </c>
      <c r="T484" s="21" t="str">
        <f ca="1">IFERROR(__xludf.DUMMYFUNCTION("GOOGLETRANSLATE($B484,""en"",T$3)"),"Kjør installasjons diagnostikk")</f>
        <v>Kjør installasjons diagnostikk</v>
      </c>
      <c r="U484" s="21" t="str">
        <f ca="1">IFERROR(__xludf.DUMMYFUNCTION("GOOGLETRANSLATE($B484,""en"",U$3)"),"تشغيل التشخيص التثبيت")</f>
        <v>تشغيل التشخيص التثبيت</v>
      </c>
      <c r="V484" s="21" t="str">
        <f ca="1">IFERROR(__xludf.DUMMYFUNCTION("GOOGLETRANSLATE($B484,""en"",V$3)"),"Przeprowadź diagnostykę instalacji")</f>
        <v>Przeprowadź diagnostykę instalacji</v>
      </c>
      <c r="W484" s="21" t="str">
        <f ca="1">IFERROR(__xludf.DUMMYFUNCTION("GOOGLETRANSLATE($B484,""en"",W$3)"),"Выполните диагностику установки")</f>
        <v>Выполните диагностику установки</v>
      </c>
      <c r="X484" s="21" t="str">
        <f ca="1">IFERROR(__xludf.DUMMYFUNCTION("GOOGLETRANSLATE($B484,""en"",X$3)"),"Ejecutar los diagnósticos de instalación")</f>
        <v>Ejecutar los diagnósticos de instalación</v>
      </c>
      <c r="Y484" s="21"/>
      <c r="Z484" s="21"/>
    </row>
    <row r="485" spans="1:26" ht="32.25" customHeight="1" x14ac:dyDescent="0.2">
      <c r="A485" s="17" t="s">
        <v>1078</v>
      </c>
      <c r="B485" s="17" t="s">
        <v>1079</v>
      </c>
      <c r="C485" s="21" t="str">
        <f ca="1">IFERROR(__xludf.DUMMYFUNCTION("GOOGLETRANSLATE($B485,""en"",C$3)"),"Netzwerk-Ports")</f>
        <v>Netzwerk-Ports</v>
      </c>
      <c r="D485" s="21" t="str">
        <f ca="1">IFERROR(__xludf.DUMMYFUNCTION("GOOGLETRANSLATE($B485,""en"",D$3)"),"nätverksportar")</f>
        <v>nätverksportar</v>
      </c>
      <c r="E485" s="21" t="str">
        <f ca="1">IFERROR(__xludf.DUMMYFUNCTION("GOOGLETRANSLATE($B485,""en"",E$3)"),"Portas de rede")</f>
        <v>Portas de rede</v>
      </c>
      <c r="F485" s="21" t="str">
        <f ca="1">IFERROR(__xludf.DUMMYFUNCTION("GOOGLETRANSLATE($B485,""en"",F$3)"),"Portas de rede")</f>
        <v>Portas de rede</v>
      </c>
      <c r="G485" s="21" t="str">
        <f ca="1">IFERROR(__xludf.DUMMYFUNCTION("GOOGLETRANSLATE($B485,""en"",G$3)"),"Ports réseau")</f>
        <v>Ports réseau</v>
      </c>
      <c r="H485" s="21" t="str">
        <f ca="1">IFERROR(__xludf.DUMMYFUNCTION("GOOGLETRANSLATE($B485,""en"",H$3)"),"Network Portuak")</f>
        <v>Network Portuak</v>
      </c>
      <c r="I485" s="21" t="str">
        <f ca="1">IFERROR(__xludf.DUMMYFUNCTION("GOOGLETRANSLATE($B485,""en"",I$3)"),"Ports de xarxa")</f>
        <v>Ports de xarxa</v>
      </c>
      <c r="J485" s="21" t="str">
        <f ca="1">IFERROR(__xludf.DUMMYFUNCTION("GOOGLETRANSLATE($B485,""en"",J$3)"),"síťové porty")</f>
        <v>síťové porty</v>
      </c>
      <c r="K485" s="21" t="str">
        <f ca="1">IFERROR(__xludf.DUMMYFUNCTION("GOOGLETRANSLATE($B485,""en"",K$3)"),"网络端口")</f>
        <v>网络端口</v>
      </c>
      <c r="L485" s="21" t="str">
        <f ca="1">IFERROR(__xludf.DUMMYFUNCTION("GOOGLETRANSLATE($B485,""en"",L$3)"),"網絡端口")</f>
        <v>網絡端口</v>
      </c>
      <c r="M485" s="21" t="str">
        <f ca="1">IFERROR(__xludf.DUMMYFUNCTION("GOOGLETRANSLATE($B485,""en"",M$3)"),"netwerkpoorten")</f>
        <v>netwerkpoorten</v>
      </c>
      <c r="N485" s="21" t="str">
        <f ca="1">IFERROR(__xludf.DUMMYFUNCTION("GOOGLETRANSLATE($B485,""en"",N$3)"),"Θύρες δικτύου")</f>
        <v>Θύρες δικτύου</v>
      </c>
      <c r="O485" s="21" t="str">
        <f ca="1">IFERROR(__xludf.DUMMYFUNCTION("GOOGLETRANSLATE($B485,""en"",O$3)"),"verkkoportit")</f>
        <v>verkkoportit</v>
      </c>
      <c r="P485" s="21" t="str">
        <f ca="1">IFERROR(__xludf.DUMMYFUNCTION("GOOGLETRANSLATE($B485,""en"",P$3)"),"Calafoirt líonra")</f>
        <v>Calafoirt líonra</v>
      </c>
      <c r="Q485" s="21" t="str">
        <f ca="1">IFERROR(__xludf.DUMMYFUNCTION("GOOGLETRANSLATE($B485,""en"",Q$3)"),"پورت شبکه")</f>
        <v>پورت شبکه</v>
      </c>
      <c r="R485" s="21" t="str">
        <f ca="1">IFERROR(__xludf.DUMMYFUNCTION("GOOGLETRANSLATE($B485,""en"",R$3)"),"רשת יציאות")</f>
        <v>רשת יציאות</v>
      </c>
      <c r="S485" s="21" t="str">
        <f ca="1">IFERROR(__xludf.DUMMYFUNCTION("GOOGLETRANSLATE($B485,""en"",S$3)"),"net Hafnir")</f>
        <v>net Hafnir</v>
      </c>
      <c r="T485" s="21" t="str">
        <f ca="1">IFERROR(__xludf.DUMMYFUNCTION("GOOGLETRANSLATE($B485,""en"",T$3)"),"nettverksporter")</f>
        <v>nettverksporter</v>
      </c>
      <c r="U485" s="21" t="str">
        <f ca="1">IFERROR(__xludf.DUMMYFUNCTION("GOOGLETRANSLATE($B485,""en"",U$3)"),"منافذ الشبكة")</f>
        <v>منافذ الشبكة</v>
      </c>
      <c r="V485" s="21" t="str">
        <f ca="1">IFERROR(__xludf.DUMMYFUNCTION("GOOGLETRANSLATE($B485,""en"",V$3)"),"Porty sieciowe")</f>
        <v>Porty sieciowe</v>
      </c>
      <c r="W485" s="21" t="str">
        <f ca="1">IFERROR(__xludf.DUMMYFUNCTION("GOOGLETRANSLATE($B485,""en"",W$3)"),"Сетевые порты")</f>
        <v>Сетевые порты</v>
      </c>
      <c r="X485" s="21" t="str">
        <f ca="1">IFERROR(__xludf.DUMMYFUNCTION("GOOGLETRANSLATE($B485,""en"",X$3)"),"Puertos de red")</f>
        <v>Puertos de red</v>
      </c>
      <c r="Y485" s="21"/>
      <c r="Z485" s="21"/>
    </row>
    <row r="486" spans="1:26" ht="32.25" customHeight="1" x14ac:dyDescent="0.2">
      <c r="A486" s="17" t="s">
        <v>1080</v>
      </c>
      <c r="B486" s="17" t="s">
        <v>1081</v>
      </c>
      <c r="C486" s="21" t="str">
        <f ca="1">IFERROR(__xludf.DUMMYFUNCTION("GOOGLETRANSLATE($B486,""en"",C$3)"),"Neue Inhalte werden geladen")</f>
        <v>Neue Inhalte werden geladen</v>
      </c>
      <c r="D486" s="21" t="str">
        <f ca="1">IFERROR(__xludf.DUMMYFUNCTION("GOOGLETRANSLATE($B486,""en"",D$3)"),"Nytt innehåll laddar")</f>
        <v>Nytt innehåll laddar</v>
      </c>
      <c r="E486" s="21" t="str">
        <f ca="1">IFERROR(__xludf.DUMMYFUNCTION("GOOGLETRANSLATE($B486,""en"",E$3)"),"Novo conteúdo está sendo carregado")</f>
        <v>Novo conteúdo está sendo carregado</v>
      </c>
      <c r="F486" s="21" t="str">
        <f ca="1">IFERROR(__xludf.DUMMYFUNCTION("GOOGLETRANSLATE($B486,""en"",F$3)"),"Novo conteúdo está sendo carregado")</f>
        <v>Novo conteúdo está sendo carregado</v>
      </c>
      <c r="G486" s="21" t="str">
        <f ca="1">IFERROR(__xludf.DUMMYFUNCTION("GOOGLETRANSLATE($B486,""en"",G$3)"),"Le nouveau contenu est en cours de chargement")</f>
        <v>Le nouveau contenu est en cours de chargement</v>
      </c>
      <c r="H486" s="21" t="str">
        <f ca="1">IFERROR(__xludf.DUMMYFUNCTION("GOOGLETRANSLATE($B486,""en"",H$3)"),"eduki berriak kargatzeko")</f>
        <v>eduki berriak kargatzeko</v>
      </c>
      <c r="I486" s="21" t="str">
        <f ca="1">IFERROR(__xludf.DUMMYFUNCTION("GOOGLETRANSLATE($B486,""en"",I$3)"),"El nou contingut està carregant")</f>
        <v>El nou contingut està carregant</v>
      </c>
      <c r="J486" s="21" t="str">
        <f ca="1">IFERROR(__xludf.DUMMYFUNCTION("GOOGLETRANSLATE($B486,""en"",J$3)"),"Nový obsah se načítá")</f>
        <v>Nový obsah se načítá</v>
      </c>
      <c r="K486" s="21" t="str">
        <f ca="1">IFERROR(__xludf.DUMMYFUNCTION("GOOGLETRANSLATE($B486,""en"",K$3)"),"新内容加载")</f>
        <v>新内容加载</v>
      </c>
      <c r="L486" s="21" t="str">
        <f ca="1">IFERROR(__xludf.DUMMYFUNCTION("GOOGLETRANSLATE($B486,""en"",L$3)"),"新內容加載")</f>
        <v>新內容加載</v>
      </c>
      <c r="M486" s="21" t="str">
        <f ca="1">IFERROR(__xludf.DUMMYFUNCTION("GOOGLETRANSLATE($B486,""en"",M$3)"),"Nieuwe inhoud wordt geladen")</f>
        <v>Nieuwe inhoud wordt geladen</v>
      </c>
      <c r="N486" s="21" t="str">
        <f ca="1">IFERROR(__xludf.DUMMYFUNCTION("GOOGLETRANSLATE($B486,""en"",N$3)"),"Νέο περιεχόμενο φορτώνει")</f>
        <v>Νέο περιεχόμενο φορτώνει</v>
      </c>
      <c r="O486" s="21" t="str">
        <f ca="1">IFERROR(__xludf.DUMMYFUNCTION("GOOGLETRANSLATE($B486,""en"",O$3)"),"Uutta sisältöä ladataan")</f>
        <v>Uutta sisältöä ladataan</v>
      </c>
      <c r="P486" s="21" t="str">
        <f ca="1">IFERROR(__xludf.DUMMYFUNCTION("GOOGLETRANSLATE($B486,""en"",P$3)"),"ábhar nua An bhfuil luchtú")</f>
        <v>ábhar nua An bhfuil luchtú</v>
      </c>
      <c r="Q486" s="21" t="str">
        <f ca="1">IFERROR(__xludf.DUMMYFUNCTION("GOOGLETRANSLATE($B486,""en"",Q$3)"),"محتوای جدید در حال بارگذاری است")</f>
        <v>محتوای جدید در حال بارگذاری است</v>
      </c>
      <c r="R486" s="21" t="str">
        <f ca="1">IFERROR(__xludf.DUMMYFUNCTION("GOOGLETRANSLATE($B486,""en"",R$3)"),"התוכן החדש הוא טוען")</f>
        <v>התוכן החדש הוא טוען</v>
      </c>
      <c r="S486" s="21" t="str">
        <f ca="1">IFERROR(__xludf.DUMMYFUNCTION("GOOGLETRANSLATE($B486,""en"",S$3)"),"Nýtt efni er hleðsla")</f>
        <v>Nýtt efni er hleðsla</v>
      </c>
      <c r="T486" s="21" t="str">
        <f ca="1">IFERROR(__xludf.DUMMYFUNCTION("GOOGLETRANSLATE($B486,""en"",T$3)"),"Nytt innhold Er lasting")</f>
        <v>Nytt innhold Er lasting</v>
      </c>
      <c r="U486" s="21" t="str">
        <f ca="1">IFERROR(__xludf.DUMMYFUNCTION("GOOGLETRANSLATE($B486,""en"",U$3)"),"محتوى جديد يتم تحميل")</f>
        <v>محتوى جديد يتم تحميل</v>
      </c>
      <c r="V486" s="21" t="str">
        <f ca="1">IFERROR(__xludf.DUMMYFUNCTION("GOOGLETRANSLATE($B486,""en"",V$3)"),"Nowa zawartość jest ładowanie")</f>
        <v>Nowa zawartość jest ładowanie</v>
      </c>
      <c r="W486" s="21" t="str">
        <f ca="1">IFERROR(__xludf.DUMMYFUNCTION("GOOGLETRANSLATE($B486,""en"",W$3)"),"Новый контент загружается")</f>
        <v>Новый контент загружается</v>
      </c>
      <c r="X486" s="21" t="str">
        <f ca="1">IFERROR(__xludf.DUMMYFUNCTION("GOOGLETRANSLATE($B486,""en"",X$3)"),"El nuevo contenido está cargando")</f>
        <v>El nuevo contenido está cargando</v>
      </c>
      <c r="Y486" s="21"/>
      <c r="Z486" s="21"/>
    </row>
    <row r="487" spans="1:26" ht="32.25" customHeight="1" x14ac:dyDescent="0.2">
      <c r="A487" s="17" t="s">
        <v>1082</v>
      </c>
      <c r="B487" s="17" t="s">
        <v>1083</v>
      </c>
      <c r="C487" s="21" t="str">
        <f ca="1">IFERROR(__xludf.DUMMYFUNCTION("GOOGLETRANSLATE($B487,""en"",C$3)"),"nur neue Inhalte geladen")</f>
        <v>nur neue Inhalte geladen</v>
      </c>
      <c r="D487" s="21" t="str">
        <f ca="1">IFERROR(__xludf.DUMMYFUNCTION("GOOGLETRANSLATE($B487,""en"",D$3)"),"Nytt innehåll just laddade")</f>
        <v>Nytt innehåll just laddade</v>
      </c>
      <c r="E487" s="21" t="str">
        <f ca="1">IFERROR(__xludf.DUMMYFUNCTION("GOOGLETRANSLATE($B487,""en"",E$3)"),"Novo conteúdo apenas carregado")</f>
        <v>Novo conteúdo apenas carregado</v>
      </c>
      <c r="F487" s="21" t="str">
        <f ca="1">IFERROR(__xludf.DUMMYFUNCTION("GOOGLETRANSLATE($B487,""en"",F$3)"),"Novo conteúdo apenas carregado")</f>
        <v>Novo conteúdo apenas carregado</v>
      </c>
      <c r="G487" s="21" t="str">
        <f ca="1">IFERROR(__xludf.DUMMYFUNCTION("GOOGLETRANSLATE($B487,""en"",G$3)"),"Le nouveau contenu vient d'être chargé")</f>
        <v>Le nouveau contenu vient d'être chargé</v>
      </c>
      <c r="H487" s="21" t="str">
        <f ca="1">IFERROR(__xludf.DUMMYFUNCTION("GOOGLETRANSLATE($B487,""en"",H$3)"),"eduki berriak besterik kargatuta")</f>
        <v>eduki berriak besterik kargatuta</v>
      </c>
      <c r="I487" s="21" t="str">
        <f ca="1">IFERROR(__xludf.DUMMYFUNCTION("GOOGLETRANSLATE($B487,""en"",I$3)"),"El nou contingut acaba de carregar")</f>
        <v>El nou contingut acaba de carregar</v>
      </c>
      <c r="J487" s="21" t="str">
        <f ca="1">IFERROR(__xludf.DUMMYFUNCTION("GOOGLETRANSLATE($B487,""en"",J$3)"),"Nový obsah právě načteny")</f>
        <v>Nový obsah právě načteny</v>
      </c>
      <c r="K487" s="21" t="str">
        <f ca="1">IFERROR(__xludf.DUMMYFUNCTION("GOOGLETRANSLATE($B487,""en"",K$3)"),"新的内容只是装")</f>
        <v>新的内容只是装</v>
      </c>
      <c r="L487" s="21" t="str">
        <f ca="1">IFERROR(__xludf.DUMMYFUNCTION("GOOGLETRANSLATE($B487,""en"",L$3)"),"新的內容只是裝")</f>
        <v>新的內容只是裝</v>
      </c>
      <c r="M487" s="21" t="str">
        <f ca="1">IFERROR(__xludf.DUMMYFUNCTION("GOOGLETRANSLATE($B487,""en"",M$3)"),"Nieuwe content gewoon geladen")</f>
        <v>Nieuwe content gewoon geladen</v>
      </c>
      <c r="N487" s="21" t="str">
        <f ca="1">IFERROR(__xludf.DUMMYFUNCTION("GOOGLETRANSLATE($B487,""en"",N$3)"),"Νέο περιεχόμενο μόλις φορτωθεί")</f>
        <v>Νέο περιεχόμενο μόλις φορτωθεί</v>
      </c>
      <c r="O487" s="21" t="str">
        <f ca="1">IFERROR(__xludf.DUMMYFUNCTION("GOOGLETRANSLATE($B487,""en"",O$3)"),"Uutta sisältöä juuri ladattu")</f>
        <v>Uutta sisältöä juuri ladattu</v>
      </c>
      <c r="P487" s="21" t="str">
        <f ca="1">IFERROR(__xludf.DUMMYFUNCTION("GOOGLETRANSLATE($B487,""en"",P$3)"),"ábhar nua luchtaithe díreach")</f>
        <v>ábhar nua luchtaithe díreach</v>
      </c>
      <c r="Q487" s="21" t="str">
        <f ca="1">IFERROR(__xludf.DUMMYFUNCTION("GOOGLETRANSLATE($B487,""en"",Q$3)"),"مطالب جدید فقط لود")</f>
        <v>مطالب جدید فقط لود</v>
      </c>
      <c r="R487" s="21" t="str">
        <f ca="1">IFERROR(__xludf.DUMMYFUNCTION("GOOGLETRANSLATE($B487,""en"",R$3)"),"תוכן חדש רק טעון")</f>
        <v>תוכן חדש רק טעון</v>
      </c>
      <c r="S487" s="21" t="str">
        <f ca="1">IFERROR(__xludf.DUMMYFUNCTION("GOOGLETRANSLATE($B487,""en"",S$3)"),"Nýtt efni hlaðinn bara")</f>
        <v>Nýtt efni hlaðinn bara</v>
      </c>
      <c r="T487" s="21" t="str">
        <f ca="1">IFERROR(__xludf.DUMMYFUNCTION("GOOGLETRANSLATE($B487,""en"",T$3)"),"Nytt innhold nettopp lastet")</f>
        <v>Nytt innhold nettopp lastet</v>
      </c>
      <c r="U487" s="21" t="str">
        <f ca="1">IFERROR(__xludf.DUMMYFUNCTION("GOOGLETRANSLATE($B487,""en"",U$3)"),"محتوى جديد تحميلها فقط")</f>
        <v>محتوى جديد تحميلها فقط</v>
      </c>
      <c r="V487" s="21" t="str">
        <f ca="1">IFERROR(__xludf.DUMMYFUNCTION("GOOGLETRANSLATE($B487,""en"",V$3)"),"Nowa zawartość tylko załadowaniu")</f>
        <v>Nowa zawartość tylko załadowaniu</v>
      </c>
      <c r="W487" s="21" t="str">
        <f ca="1">IFERROR(__xludf.DUMMYFUNCTION("GOOGLETRANSLATE($B487,""en"",W$3)"),"Новое содержание только что загрузили")</f>
        <v>Новое содержание только что загрузили</v>
      </c>
      <c r="X487" s="21" t="str">
        <f ca="1">IFERROR(__xludf.DUMMYFUNCTION("GOOGLETRANSLATE($B487,""en"",X$3)"),"El nuevo contenido acaba de cargar")</f>
        <v>El nuevo contenido acaba de cargar</v>
      </c>
      <c r="Y487" s="21"/>
      <c r="Z487" s="21"/>
    </row>
    <row r="488" spans="1:26" ht="32.25" customHeight="1" x14ac:dyDescent="0.2">
      <c r="A488" s="17" t="s">
        <v>1084</v>
      </c>
      <c r="B488" s="17" t="s">
        <v>1085</v>
      </c>
      <c r="C488" s="21" t="str">
        <f ca="1">IFERROR(__xludf.DUMMYFUNCTION("GOOGLETRANSLATE($B488,""en"",C$3)"),"Neue Benutzer-Home X, Y, Z")</f>
        <v>Neue Benutzer-Home X, Y, Z</v>
      </c>
      <c r="D488" s="21" t="str">
        <f ca="1">IFERROR(__xludf.DUMMYFUNCTION("GOOGLETRANSLATE($B488,""en"",D$3)"),"Ny Användare Home X, Y, Z")</f>
        <v>Ny Användare Home X, Y, Z</v>
      </c>
      <c r="E488" s="21" t="str">
        <f ca="1">IFERROR(__xludf.DUMMYFUNCTION("GOOGLETRANSLATE($B488,""en"",E$3)"),"New User inicial X, Y, Z")</f>
        <v>New User inicial X, Y, Z</v>
      </c>
      <c r="F488" s="21" t="str">
        <f ca="1">IFERROR(__xludf.DUMMYFUNCTION("GOOGLETRANSLATE($B488,""en"",F$3)"),"New User inicial X, Y, Z")</f>
        <v>New User inicial X, Y, Z</v>
      </c>
      <c r="G488" s="21" t="str">
        <f ca="1">IFERROR(__xludf.DUMMYFUNCTION("GOOGLETRANSLATE($B488,""en"",G$3)"),"Nouvel utilisateur Accueil X, Y, Z")</f>
        <v>Nouvel utilisateur Accueil X, Y, Z</v>
      </c>
      <c r="H488" s="21" t="str">
        <f ca="1">IFERROR(__xludf.DUMMYFUNCTION("GOOGLETRANSLATE($B488,""en"",H$3)"),"Erabiltzaile New Home X, Y, Z")</f>
        <v>Erabiltzaile New Home X, Y, Z</v>
      </c>
      <c r="I488" s="21" t="str">
        <f ca="1">IFERROR(__xludf.DUMMYFUNCTION("GOOGLETRANSLATE($B488,""en"",I$3)"),"Nou usuari Inici X, Y, Z")</f>
        <v>Nou usuari Inici X, Y, Z</v>
      </c>
      <c r="J488" s="21" t="str">
        <f ca="1">IFERROR(__xludf.DUMMYFUNCTION("GOOGLETRANSLATE($B488,""en"",J$3)"),"Nový uživatel Home X, Y, Z")</f>
        <v>Nový uživatel Home X, Y, Z</v>
      </c>
      <c r="K488" s="21" t="str">
        <f ca="1">IFERROR(__xludf.DUMMYFUNCTION("GOOGLETRANSLATE($B488,""en"",K$3)"),"新用户首页X，Y，Z")</f>
        <v>新用户首页X，Y，Z</v>
      </c>
      <c r="L488" s="21" t="str">
        <f ca="1">IFERROR(__xludf.DUMMYFUNCTION("GOOGLETRANSLATE($B488,""en"",L$3)"),"新用戶首頁X，Y，Z")</f>
        <v>新用戶首頁X，Y，Z</v>
      </c>
      <c r="M488" s="21" t="str">
        <f ca="1">IFERROR(__xludf.DUMMYFUNCTION("GOOGLETRANSLATE($B488,""en"",M$3)"),"Nieuwe gebruiker huis X, Y, Z")</f>
        <v>Nieuwe gebruiker huis X, Y, Z</v>
      </c>
      <c r="N488" s="21" t="str">
        <f ca="1">IFERROR(__xludf.DUMMYFUNCTION("GOOGLETRANSLATE($B488,""en"",N$3)"),"Νέος χρήστης Home Χ, Υ, Ζ")</f>
        <v>Νέος χρήστης Home Χ, Υ, Ζ</v>
      </c>
      <c r="O488" s="21" t="str">
        <f ca="1">IFERROR(__xludf.DUMMYFUNCTION("GOOGLETRANSLATE($B488,""en"",O$3)"),"Uusi käyttäjä Home X, Y ja Z")</f>
        <v>Uusi käyttäjä Home X, Y ja Z</v>
      </c>
      <c r="P488" s="21" t="str">
        <f ca="1">IFERROR(__xludf.DUMMYFUNCTION("GOOGLETRANSLATE($B488,""en"",P$3)"),"Úsáideoir Nua Baile X, Y, Z")</f>
        <v>Úsáideoir Nua Baile X, Y, Z</v>
      </c>
      <c r="Q488" s="21" t="str">
        <f ca="1">IFERROR(__xludf.DUMMYFUNCTION("GOOGLETRANSLATE($B488,""en"",Q$3)"),"کاربر جدید صفحه اصلی X، Y، Z")</f>
        <v>کاربر جدید صفحه اصلی X، Y، Z</v>
      </c>
      <c r="R488" s="21" t="str">
        <f ca="1">IFERROR(__xludf.DUMMYFUNCTION("GOOGLETRANSLATE($B488,""en"",R$3)"),"בית משתמש חדש X, Y, Z")</f>
        <v>בית משתמש חדש X, Y, Z</v>
      </c>
      <c r="S488" s="21" t="str">
        <f ca="1">IFERROR(__xludf.DUMMYFUNCTION("GOOGLETRANSLATE($B488,""en"",S$3)"),"Nýr notandi Home X, Y, Z")</f>
        <v>Nýr notandi Home X, Y, Z</v>
      </c>
      <c r="T488" s="21" t="str">
        <f ca="1">IFERROR(__xludf.DUMMYFUNCTION("GOOGLETRANSLATE($B488,""en"",T$3)"),"Ny bruker Hjem X, Y, Z")</f>
        <v>Ny bruker Hjem X, Y, Z</v>
      </c>
      <c r="U488" s="21" t="str">
        <f ca="1">IFERROR(__xludf.DUMMYFUNCTION("GOOGLETRANSLATE($B488,""en"",U$3)"),"مستخدم جديد الرئيسية X، Y، Z")</f>
        <v>مستخدم جديد الرئيسية X، Y، Z</v>
      </c>
      <c r="V488" s="21" t="str">
        <f ca="1">IFERROR(__xludf.DUMMYFUNCTION("GOOGLETRANSLATE($B488,""en"",V$3)"),"Nowy użytkownik Strona główna X, Y, Z")</f>
        <v>Nowy użytkownik Strona główna X, Y, Z</v>
      </c>
      <c r="W488" s="21" t="str">
        <f ca="1">IFERROR(__xludf.DUMMYFUNCTION("GOOGLETRANSLATE($B488,""en"",W$3)"),"Новый пользователь Главная X, Y, Z")</f>
        <v>Новый пользователь Главная X, Y, Z</v>
      </c>
      <c r="X488" s="21" t="str">
        <f ca="1">IFERROR(__xludf.DUMMYFUNCTION("GOOGLETRANSLATE($B488,""en"",X$3)"),"Nuevo usuario Inicio X, Y, Z")</f>
        <v>Nuevo usuario Inicio X, Y, Z</v>
      </c>
      <c r="Y488" s="21"/>
      <c r="Z488" s="21"/>
    </row>
    <row r="489" spans="1:26" ht="32.25" customHeight="1" x14ac:dyDescent="0.2">
      <c r="A489" s="17" t="s">
        <v>1086</v>
      </c>
      <c r="B489" s="17" t="s">
        <v>1087</v>
      </c>
      <c r="C489" s="21" t="str">
        <f ca="1">IFERROR(__xludf.DUMMYFUNCTION("GOOGLETRANSLATE($B489,""en"",C$3)"),"Nächster Name")</f>
        <v>Nächster Name</v>
      </c>
      <c r="D489" s="21" t="str">
        <f ca="1">IFERROR(__xludf.DUMMYFUNCTION("GOOGLETRANSLATE($B489,""en"",D$3)"),"Nästa namn")</f>
        <v>Nästa namn</v>
      </c>
      <c r="E489" s="21" t="str">
        <f ca="1">IFERROR(__xludf.DUMMYFUNCTION("GOOGLETRANSLATE($B489,""en"",E$3)"),"Seguinte Nome")</f>
        <v>Seguinte Nome</v>
      </c>
      <c r="F489" s="21" t="str">
        <f ca="1">IFERROR(__xludf.DUMMYFUNCTION("GOOGLETRANSLATE($B489,""en"",F$3)"),"Seguinte Nome")</f>
        <v>Seguinte Nome</v>
      </c>
      <c r="G489" s="21" t="str">
        <f ca="1">IFERROR(__xludf.DUMMYFUNCTION("GOOGLETRANSLATE($B489,""en"",G$3)"),"Suivant Nom")</f>
        <v>Suivant Nom</v>
      </c>
      <c r="H489" s="21" t="str">
        <f ca="1">IFERROR(__xludf.DUMMYFUNCTION("GOOGLETRANSLATE($B489,""en"",H$3)"),"hurrengo izena")</f>
        <v>hurrengo izena</v>
      </c>
      <c r="I489" s="21" t="str">
        <f ca="1">IFERROR(__xludf.DUMMYFUNCTION("GOOGLETRANSLATE($B489,""en"",I$3)"),"següent Nom")</f>
        <v>següent Nom</v>
      </c>
      <c r="J489" s="21" t="str">
        <f ca="1">IFERROR(__xludf.DUMMYFUNCTION("GOOGLETRANSLATE($B489,""en"",J$3)"),"next Name")</f>
        <v>next Name</v>
      </c>
      <c r="K489" s="21" t="str">
        <f ca="1">IFERROR(__xludf.DUMMYFUNCTION("GOOGLETRANSLATE($B489,""en"",K$3)"),"接下来名称")</f>
        <v>接下来名称</v>
      </c>
      <c r="L489" s="21" t="str">
        <f ca="1">IFERROR(__xludf.DUMMYFUNCTION("GOOGLETRANSLATE($B489,""en"",L$3)"),"接下來名稱")</f>
        <v>接下來名稱</v>
      </c>
      <c r="M489" s="21" t="str">
        <f ca="1">IFERROR(__xludf.DUMMYFUNCTION("GOOGLETRANSLATE($B489,""en"",M$3)"),"Volgende Naam")</f>
        <v>Volgende Naam</v>
      </c>
      <c r="N489" s="21" t="str">
        <f ca="1">IFERROR(__xludf.DUMMYFUNCTION("GOOGLETRANSLATE($B489,""en"",N$3)"),"επόμενη Όνομα")</f>
        <v>επόμενη Όνομα</v>
      </c>
      <c r="O489" s="21" t="str">
        <f ca="1">IFERROR(__xludf.DUMMYFUNCTION("GOOGLETRANSLATE($B489,""en"",O$3)"),"Seuraava Name")</f>
        <v>Seuraava Name</v>
      </c>
      <c r="P489" s="21" t="str">
        <f ca="1">IFERROR(__xludf.DUMMYFUNCTION("GOOGLETRANSLATE($B489,""en"",P$3)"),"Ar Aghaidh Ainm")</f>
        <v>Ar Aghaidh Ainm</v>
      </c>
      <c r="Q489" s="21" t="str">
        <f ca="1">IFERROR(__xludf.DUMMYFUNCTION("GOOGLETRANSLATE($B489,""en"",Q$3)"),"نام بعدی")</f>
        <v>نام بعدی</v>
      </c>
      <c r="R489" s="21" t="str">
        <f ca="1">IFERROR(__xludf.DUMMYFUNCTION("GOOGLETRANSLATE($B489,""en"",R$3)"),"הבא שם")</f>
        <v>הבא שם</v>
      </c>
      <c r="S489" s="21" t="str">
        <f ca="1">IFERROR(__xludf.DUMMYFUNCTION("GOOGLETRANSLATE($B489,""en"",S$3)"),"næsta Name")</f>
        <v>næsta Name</v>
      </c>
      <c r="T489" s="21" t="str">
        <f ca="1">IFERROR(__xludf.DUMMYFUNCTION("GOOGLETRANSLATE($B489,""en"",T$3)"),"Neste Name")</f>
        <v>Neste Name</v>
      </c>
      <c r="U489" s="21" t="str">
        <f ca="1">IFERROR(__xludf.DUMMYFUNCTION("GOOGLETRANSLATE($B489,""en"",U$3)"),"الاسم التالي")</f>
        <v>الاسم التالي</v>
      </c>
      <c r="V489" s="21" t="str">
        <f ca="1">IFERROR(__xludf.DUMMYFUNCTION("GOOGLETRANSLATE($B489,""en"",V$3)"),"Następny Nazwa")</f>
        <v>Następny Nazwa</v>
      </c>
      <c r="W489" s="21" t="str">
        <f ca="1">IFERROR(__xludf.DUMMYFUNCTION("GOOGLETRANSLATE($B489,""en"",W$3)"),"Следующее Имя")</f>
        <v>Следующее Имя</v>
      </c>
      <c r="X489" s="21" t="str">
        <f ca="1">IFERROR(__xludf.DUMMYFUNCTION("GOOGLETRANSLATE($B489,""en"",X$3)"),"Siguiente Nombre")</f>
        <v>Siguiente Nombre</v>
      </c>
      <c r="Y489" s="21"/>
      <c r="Z489" s="21"/>
    </row>
    <row r="490" spans="1:26" ht="32.25" customHeight="1" x14ac:dyDescent="0.2">
      <c r="A490" s="17" t="s">
        <v>1088</v>
      </c>
      <c r="B490" s="17" t="s">
        <v>1089</v>
      </c>
      <c r="C490" s="21" t="str">
        <f ca="1">IFERROR(__xludf.DUMMYFUNCTION("GOOGLETRANSLATE($B490,""en"",C$3)"),"Nächster")</f>
        <v>Nächster</v>
      </c>
      <c r="D490" s="21" t="str">
        <f ca="1">IFERROR(__xludf.DUMMYFUNCTION("GOOGLETRANSLATE($B490,""en"",D$3)"),"Nästa")</f>
        <v>Nästa</v>
      </c>
      <c r="E490" s="21" t="str">
        <f ca="1">IFERROR(__xludf.DUMMYFUNCTION("GOOGLETRANSLATE($B490,""en"",E$3)"),"Próximo")</f>
        <v>Próximo</v>
      </c>
      <c r="F490" s="21" t="str">
        <f ca="1">IFERROR(__xludf.DUMMYFUNCTION("GOOGLETRANSLATE($B490,""en"",F$3)"),"Próximo")</f>
        <v>Próximo</v>
      </c>
      <c r="G490" s="21" t="str">
        <f ca="1">IFERROR(__xludf.DUMMYFUNCTION("GOOGLETRANSLATE($B490,""en"",G$3)"),"Prochain")</f>
        <v>Prochain</v>
      </c>
      <c r="H490" s="21" t="str">
        <f ca="1">IFERROR(__xludf.DUMMYFUNCTION("GOOGLETRANSLATE($B490,""en"",H$3)"),"hurrengo")</f>
        <v>hurrengo</v>
      </c>
      <c r="I490" s="21" t="str">
        <f ca="1">IFERROR(__xludf.DUMMYFUNCTION("GOOGLETRANSLATE($B490,""en"",I$3)"),"Pròxim")</f>
        <v>Pròxim</v>
      </c>
      <c r="J490" s="21" t="str">
        <f ca="1">IFERROR(__xludf.DUMMYFUNCTION("GOOGLETRANSLATE($B490,""en"",J$3)"),"další")</f>
        <v>další</v>
      </c>
      <c r="K490" s="21" t="str">
        <f ca="1">IFERROR(__xludf.DUMMYFUNCTION("GOOGLETRANSLATE($B490,""en"",K$3)"),"下一个")</f>
        <v>下一个</v>
      </c>
      <c r="L490" s="21" t="str">
        <f ca="1">IFERROR(__xludf.DUMMYFUNCTION("GOOGLETRANSLATE($B490,""en"",L$3)"),"下一個")</f>
        <v>下一個</v>
      </c>
      <c r="M490" s="21" t="str">
        <f ca="1">IFERROR(__xludf.DUMMYFUNCTION("GOOGLETRANSLATE($B490,""en"",M$3)"),"De volgende")</f>
        <v>De volgende</v>
      </c>
      <c r="N490" s="21" t="str">
        <f ca="1">IFERROR(__xludf.DUMMYFUNCTION("GOOGLETRANSLATE($B490,""en"",N$3)"),"Επόμενο")</f>
        <v>Επόμενο</v>
      </c>
      <c r="O490" s="21" t="str">
        <f ca="1">IFERROR(__xludf.DUMMYFUNCTION("GOOGLETRANSLATE($B490,""en"",O$3)"),"Seuraava")</f>
        <v>Seuraava</v>
      </c>
      <c r="P490" s="21" t="str">
        <f ca="1">IFERROR(__xludf.DUMMYFUNCTION("GOOGLETRANSLATE($B490,""en"",P$3)"),"Ar Aghaidh")</f>
        <v>Ar Aghaidh</v>
      </c>
      <c r="Q490" s="21" t="str">
        <f ca="1">IFERROR(__xludf.DUMMYFUNCTION("GOOGLETRANSLATE($B490,""en"",Q$3)"),"بعد")</f>
        <v>بعد</v>
      </c>
      <c r="R490" s="21" t="str">
        <f ca="1">IFERROR(__xludf.DUMMYFUNCTION("GOOGLETRANSLATE($B490,""en"",R$3)"),"הַבָּא")</f>
        <v>הַבָּא</v>
      </c>
      <c r="S490" s="21" t="str">
        <f ca="1">IFERROR(__xludf.DUMMYFUNCTION("GOOGLETRANSLATE($B490,""en"",S$3)"),"næsta")</f>
        <v>næsta</v>
      </c>
      <c r="T490" s="21" t="str">
        <f ca="1">IFERROR(__xludf.DUMMYFUNCTION("GOOGLETRANSLATE($B490,""en"",T$3)"),"neste")</f>
        <v>neste</v>
      </c>
      <c r="U490" s="21" t="str">
        <f ca="1">IFERROR(__xludf.DUMMYFUNCTION("GOOGLETRANSLATE($B490,""en"",U$3)"),"التالى")</f>
        <v>التالى</v>
      </c>
      <c r="V490" s="21" t="str">
        <f ca="1">IFERROR(__xludf.DUMMYFUNCTION("GOOGLETRANSLATE($B490,""en"",V$3)"),"Kolejny")</f>
        <v>Kolejny</v>
      </c>
      <c r="W490" s="21" t="str">
        <f ca="1">IFERROR(__xludf.DUMMYFUNCTION("GOOGLETRANSLATE($B490,""en"",W$3)"),"следующий")</f>
        <v>следующий</v>
      </c>
      <c r="X490" s="21" t="str">
        <f ca="1">IFERROR(__xludf.DUMMYFUNCTION("GOOGLETRANSLATE($B490,""en"",X$3)"),"próximo")</f>
        <v>próximo</v>
      </c>
      <c r="Y490" s="21"/>
      <c r="Z490" s="21"/>
    </row>
    <row r="491" spans="1:26" ht="32.25" customHeight="1" x14ac:dyDescent="0.2">
      <c r="A491" s="17" t="s">
        <v>1090</v>
      </c>
      <c r="B491" s="17" t="s">
        <v>1091</v>
      </c>
      <c r="C491" s="21" t="str">
        <f ca="1">IFERROR(__xludf.DUMMYFUNCTION("GOOGLETRANSLATE($B491,""en"",C$3)"),"kein Autobackup")</f>
        <v>kein Autobackup</v>
      </c>
      <c r="D491" s="21" t="str">
        <f ca="1">IFERROR(__xludf.DUMMYFUNCTION("GOOGLETRANSLATE($B491,""en"",D$3)"),"Ingen Autobackup")</f>
        <v>Ingen Autobackup</v>
      </c>
      <c r="E491" s="21" t="str">
        <f ca="1">IFERROR(__xludf.DUMMYFUNCTION("GOOGLETRANSLATE($B491,""en"",E$3)"),"nenhum Cópia de Segurança Automática")</f>
        <v>nenhum Cópia de Segurança Automática</v>
      </c>
      <c r="F491" s="21" t="str">
        <f ca="1">IFERROR(__xludf.DUMMYFUNCTION("GOOGLETRANSLATE($B491,""en"",F$3)"),"nenhum Cópia de Segurança Automática")</f>
        <v>nenhum Cópia de Segurança Automática</v>
      </c>
      <c r="G491" s="21" t="str">
        <f ca="1">IFERROR(__xludf.DUMMYFUNCTION("GOOGLETRANSLATE($B491,""en"",G$3)"),"pas Autobackup")</f>
        <v>pas Autobackup</v>
      </c>
      <c r="H491" s="21" t="str">
        <f ca="1">IFERROR(__xludf.DUMMYFUNCTION("GOOGLETRANSLATE($B491,""en"",H$3)"),"Ez Autobackup")</f>
        <v>Ez Autobackup</v>
      </c>
      <c r="I491" s="21" t="str">
        <f ca="1">IFERROR(__xludf.DUMMYFUNCTION("GOOGLETRANSLATE($B491,""en"",I$3)"),"No es copia de seguretat automàtica")</f>
        <v>No es copia de seguretat automàtica</v>
      </c>
      <c r="J491" s="21" t="str">
        <f ca="1">IFERROR(__xludf.DUMMYFUNCTION("GOOGLETRANSLATE($B491,""en"",J$3)"),"No Autobackup")</f>
        <v>No Autobackup</v>
      </c>
      <c r="K491" s="21" t="str">
        <f ca="1">IFERROR(__xludf.DUMMYFUNCTION("GOOGLETRANSLATE($B491,""en"",K$3)"),"没有自动备份")</f>
        <v>没有自动备份</v>
      </c>
      <c r="L491" s="21" t="str">
        <f ca="1">IFERROR(__xludf.DUMMYFUNCTION("GOOGLETRANSLATE($B491,""en"",L$3)"),"沒有自動備份")</f>
        <v>沒有自動備份</v>
      </c>
      <c r="M491" s="21" t="str">
        <f ca="1">IFERROR(__xludf.DUMMYFUNCTION("GOOGLETRANSLATE($B491,""en"",M$3)"),"geen Autobackup")</f>
        <v>geen Autobackup</v>
      </c>
      <c r="N491" s="21" t="str">
        <f ca="1">IFERROR(__xludf.DUMMYFUNCTION("GOOGLETRANSLATE($B491,""en"",N$3)"),"δεν Autobackup")</f>
        <v>δεν Autobackup</v>
      </c>
      <c r="O491" s="21" t="str">
        <f ca="1">IFERROR(__xludf.DUMMYFUNCTION("GOOGLETRANSLATE($B491,""en"",O$3)"),"ei AutoBackup")</f>
        <v>ei AutoBackup</v>
      </c>
      <c r="P491" s="21" t="str">
        <f ca="1">IFERROR(__xludf.DUMMYFUNCTION("GOOGLETRANSLATE($B491,""en"",P$3)"),"Gan Autobackup")</f>
        <v>Gan Autobackup</v>
      </c>
      <c r="Q491" s="21" t="str">
        <f ca="1">IFERROR(__xludf.DUMMYFUNCTION("GOOGLETRANSLATE($B491,""en"",Q$3)"),"بدون AutoBackup می")</f>
        <v>بدون AutoBackup می</v>
      </c>
      <c r="R491" s="21" t="str">
        <f ca="1">IFERROR(__xludf.DUMMYFUNCTION("GOOGLETRANSLATE($B491,""en"",R$3)"),"אין Autobackup")</f>
        <v>אין Autobackup</v>
      </c>
      <c r="S491" s="21" t="str">
        <f ca="1">IFERROR(__xludf.DUMMYFUNCTION("GOOGLETRANSLATE($B491,""en"",S$3)"),"engin sjálfvirkri afritun")</f>
        <v>engin sjálfvirkri afritun</v>
      </c>
      <c r="T491" s="21" t="str">
        <f ca="1">IFERROR(__xludf.DUMMYFUNCTION("GOOGLETRANSLATE($B491,""en"",T$3)"),"Ingen Autobackup")</f>
        <v>Ingen Autobackup</v>
      </c>
      <c r="U491" s="21" t="str">
        <f ca="1">IFERROR(__xludf.DUMMYFUNCTION("GOOGLETRANSLATE($B491,""en"",U$3)"),"لا التحميل التلقائي")</f>
        <v>لا التحميل التلقائي</v>
      </c>
      <c r="V491" s="21" t="str">
        <f ca="1">IFERROR(__xludf.DUMMYFUNCTION("GOOGLETRANSLATE($B491,""en"",V$3)"),"Nie Autobackup")</f>
        <v>Nie Autobackup</v>
      </c>
      <c r="W491" s="21" t="str">
        <f ca="1">IFERROR(__xludf.DUMMYFUNCTION("GOOGLETRANSLATE($B491,""en"",W$3)"),"Нет Autobackup")</f>
        <v>Нет Autobackup</v>
      </c>
      <c r="X491" s="21" t="str">
        <f ca="1">IFERROR(__xludf.DUMMYFUNCTION("GOOGLETRANSLATE($B491,""en"",X$3)"),"No se copia de seguridad automática")</f>
        <v>No se copia de seguridad automática</v>
      </c>
      <c r="Y491" s="21"/>
      <c r="Z491" s="21"/>
    </row>
    <row r="492" spans="1:26" ht="32.25" customHeight="1" x14ac:dyDescent="0.2">
      <c r="A492" s="17" t="s">
        <v>1092</v>
      </c>
      <c r="B492" s="17" t="s">
        <v>1093</v>
      </c>
      <c r="C492" s="21" t="str">
        <f ca="1">IFERROR(__xludf.DUMMYFUNCTION("GOOGLETRANSLATE($B492,""en"",C$3)"),"keine Avatare")</f>
        <v>keine Avatare</v>
      </c>
      <c r="D492" s="21" t="str">
        <f ca="1">IFERROR(__xludf.DUMMYFUNCTION("GOOGLETRANSLATE($B492,""en"",D$3)"),"Ingen Avatars")</f>
        <v>Ingen Avatars</v>
      </c>
      <c r="E492" s="21" t="str">
        <f ca="1">IFERROR(__xludf.DUMMYFUNCTION("GOOGLETRANSLATE($B492,""en"",E$3)"),"Sem Avatares")</f>
        <v>Sem Avatares</v>
      </c>
      <c r="F492" s="21" t="str">
        <f ca="1">IFERROR(__xludf.DUMMYFUNCTION("GOOGLETRANSLATE($B492,""en"",F$3)"),"Sem Avatares")</f>
        <v>Sem Avatares</v>
      </c>
      <c r="G492" s="21" t="str">
        <f ca="1">IFERROR(__xludf.DUMMYFUNCTION("GOOGLETRANSLATE($B492,""en"",G$3)"),"Non Avatars")</f>
        <v>Non Avatars</v>
      </c>
      <c r="H492" s="21" t="str">
        <f ca="1">IFERROR(__xludf.DUMMYFUNCTION("GOOGLETRANSLATE($B492,""en"",H$3)"),"Ez Avatars")</f>
        <v>Ez Avatars</v>
      </c>
      <c r="I492" s="21" t="str">
        <f ca="1">IFERROR(__xludf.DUMMYFUNCTION("GOOGLETRANSLATE($B492,""en"",I$3)"),"sense Avatars")</f>
        <v>sense Avatars</v>
      </c>
      <c r="J492" s="21" t="str">
        <f ca="1">IFERROR(__xludf.DUMMYFUNCTION("GOOGLETRANSLATE($B492,""en"",J$3)"),"No Avatary")</f>
        <v>No Avatary</v>
      </c>
      <c r="K492" s="21" t="str">
        <f ca="1">IFERROR(__xludf.DUMMYFUNCTION("GOOGLETRANSLATE($B492,""en"",K$3)"),"无头像")</f>
        <v>无头像</v>
      </c>
      <c r="L492" s="21" t="str">
        <f ca="1">IFERROR(__xludf.DUMMYFUNCTION("GOOGLETRANSLATE($B492,""en"",L$3)"),"無頭像")</f>
        <v>無頭像</v>
      </c>
      <c r="M492" s="21" t="str">
        <f ca="1">IFERROR(__xludf.DUMMYFUNCTION("GOOGLETRANSLATE($B492,""en"",M$3)"),"geen Avatars")</f>
        <v>geen Avatars</v>
      </c>
      <c r="N492" s="21" t="str">
        <f ca="1">IFERROR(__xludf.DUMMYFUNCTION("GOOGLETRANSLATE($B492,""en"",N$3)"),"δεν Avatars")</f>
        <v>δεν Avatars</v>
      </c>
      <c r="O492" s="21" t="str">
        <f ca="1">IFERROR(__xludf.DUMMYFUNCTION("GOOGLETRANSLATE($B492,""en"",O$3)"),"ei hahmot")</f>
        <v>ei hahmot</v>
      </c>
      <c r="P492" s="21" t="str">
        <f ca="1">IFERROR(__xludf.DUMMYFUNCTION("GOOGLETRANSLATE($B492,""en"",P$3)"),"Gan Avatars")</f>
        <v>Gan Avatars</v>
      </c>
      <c r="Q492" s="21" t="str">
        <f ca="1">IFERROR(__xludf.DUMMYFUNCTION("GOOGLETRANSLATE($B492,""en"",Q$3)"),"بدون آواتار ها")</f>
        <v>بدون آواتار ها</v>
      </c>
      <c r="R492" s="21" t="str">
        <f ca="1">IFERROR(__xludf.DUMMYFUNCTION("GOOGLETRANSLATE($B492,""en"",R$3)"),"אין אווטרים")</f>
        <v>אין אווטרים</v>
      </c>
      <c r="S492" s="21" t="str">
        <f ca="1">IFERROR(__xludf.DUMMYFUNCTION("GOOGLETRANSLATE($B492,""en"",S$3)"),"engin Avatars")</f>
        <v>engin Avatars</v>
      </c>
      <c r="T492" s="21" t="str">
        <f ca="1">IFERROR(__xludf.DUMMYFUNCTION("GOOGLETRANSLATE($B492,""en"",T$3)"),"Ingen avatarer")</f>
        <v>Ingen avatarer</v>
      </c>
      <c r="U492" s="21" t="str">
        <f ca="1">IFERROR(__xludf.DUMMYFUNCTION("GOOGLETRANSLATE($B492,""en"",U$3)"),"لا الرمزية")</f>
        <v>لا الرمزية</v>
      </c>
      <c r="V492" s="21" t="str">
        <f ca="1">IFERROR(__xludf.DUMMYFUNCTION("GOOGLETRANSLATE($B492,""en"",V$3)"),"Nie Awatary")</f>
        <v>Nie Awatary</v>
      </c>
      <c r="W492" s="21" t="str">
        <f ca="1">IFERROR(__xludf.DUMMYFUNCTION("GOOGLETRANSLATE($B492,""en"",W$3)"),"Нет Аватары")</f>
        <v>Нет Аватары</v>
      </c>
      <c r="X492" s="21" t="str">
        <f ca="1">IFERROR(__xludf.DUMMYFUNCTION("GOOGLETRANSLATE($B492,""en"",X$3)"),"sin Avatares")</f>
        <v>sin Avatares</v>
      </c>
      <c r="Y492" s="21"/>
      <c r="Z492" s="21"/>
    </row>
    <row r="493" spans="1:26" ht="32.25" customHeight="1" x14ac:dyDescent="0.2">
      <c r="A493" s="17" t="s">
        <v>1094</v>
      </c>
      <c r="B493" s="17" t="s">
        <v>1095</v>
      </c>
      <c r="C493" s="21" t="str">
        <f ca="1">IFERROR(__xludf.DUMMYFUNCTION("GOOGLETRANSLATE($B493,""en"",C$3)"),"Kann nicht Standard-SIM für Besucher eingestellt. Siehe Regionen-Panel.")</f>
        <v>Kann nicht Standard-SIM für Besucher eingestellt. Siehe Regionen-Panel.</v>
      </c>
      <c r="D493" s="21" t="str">
        <f ca="1">IFERROR(__xludf.DUMMYFUNCTION("GOOGLETRANSLATE($B493,""en"",D$3)"),"Kunde inte in standard sim för besökare. Se Regioner Panelen.")</f>
        <v>Kunde inte in standard sim för besökare. Se Regioner Panelen.</v>
      </c>
      <c r="E493" s="21" t="str">
        <f ca="1">IFERROR(__xludf.DUMMYFUNCTION("GOOGLETRANSLATE($B493,""en"",E$3)"),"Não foi possível definir sim padrão para os visitantes. Ver Regiões Painel.")</f>
        <v>Não foi possível definir sim padrão para os visitantes. Ver Regiões Painel.</v>
      </c>
      <c r="F493" s="21" t="str">
        <f ca="1">IFERROR(__xludf.DUMMYFUNCTION("GOOGLETRANSLATE($B493,""en"",F$3)"),"Não foi possível definir sim padrão para os visitantes. Ver Regiões Painel.")</f>
        <v>Não foi possível definir sim padrão para os visitantes. Ver Regiões Painel.</v>
      </c>
      <c r="G493" s="21" t="str">
        <f ca="1">IFERROR(__xludf.DUMMYFUNCTION("GOOGLETRANSLATE($B493,""en"",G$3)"),"Impossible de définir la sim par défaut pour les visiteurs. Panel Voir les régions.")</f>
        <v>Impossible de définir la sim par défaut pour les visiteurs. Panel Voir les régions.</v>
      </c>
      <c r="H493" s="21" t="str">
        <f ca="1">IFERROR(__xludf.DUMMYFUNCTION("GOOGLETRANSLATE($B493,""en"",H$3)"),"Ezin izan da ezarri sim lehenetsia bisitarientzat. Ikusi Eskualde Panel.")</f>
        <v>Ezin izan da ezarri sim lehenetsia bisitarientzat. Ikusi Eskualde Panel.</v>
      </c>
      <c r="I493" s="21" t="str">
        <f ca="1">IFERROR(__xludf.DUMMYFUNCTION("GOOGLETRANSLATE($B493,""en"",I$3)"),"No s'ha pogut establir sim per defecte per als visitants. Veure Panell de Regions.")</f>
        <v>No s'ha pogut establir sim per defecte per als visitants. Veure Panell de Regions.</v>
      </c>
      <c r="J493" s="21" t="str">
        <f ca="1">IFERROR(__xludf.DUMMYFUNCTION("GOOGLETRANSLATE($B493,""en"",J$3)"),"Nelze nastavit výchozí sim pro návštěvníky. Viz Regiony Panel.")</f>
        <v>Nelze nastavit výchozí sim pro návštěvníky. Viz Regiony Panel.</v>
      </c>
      <c r="K493" s="21" t="str">
        <f ca="1">IFERROR(__xludf.DUMMYFUNCTION("GOOGLETRANSLATE($B493,""en"",K$3)"),"无法为游客设置默认SIM卡。看地域面板。")</f>
        <v>无法为游客设置默认SIM卡。看地域面板。</v>
      </c>
      <c r="L493" s="21" t="str">
        <f ca="1">IFERROR(__xludf.DUMMYFUNCTION("GOOGLETRANSLATE($B493,""en"",L$3)"),"無法為遊客設置默認SIM卡。看地域面板。")</f>
        <v>無法為遊客設置默認SIM卡。看地域面板。</v>
      </c>
      <c r="M493" s="21" t="str">
        <f ca="1">IFERROR(__xludf.DUMMYFUNCTION("GOOGLETRANSLATE($B493,""en"",M$3)"),"Kan geen standaardwaarden sim voor bezoekers. Zie Regio's Panel.")</f>
        <v>Kan geen standaardwaarden sim voor bezoekers. Zie Regio's Panel.</v>
      </c>
      <c r="N493" s="21" t="str">
        <f ca="1">IFERROR(__xludf.DUMMYFUNCTION("GOOGLETRANSLATE($B493,""en"",N$3)"),"Δεν ήταν δυνατή η προεπιλεγμένη ρύθμιση sim για τους επισκέπτες. Δείτε Περιφερειών Panel.")</f>
        <v>Δεν ήταν δυνατή η προεπιλεγμένη ρύθμιση sim για τους επισκέπτες. Δείτε Περιφερειών Panel.</v>
      </c>
      <c r="O493" s="21" t="str">
        <f ca="1">IFERROR(__xludf.DUMMYFUNCTION("GOOGLETRANSLATE($B493,""en"",O$3)"),"Ei voitu asettaa oletus sim vierailijoille. Katso Alueet paneeli.")</f>
        <v>Ei voitu asettaa oletus sim vierailijoille. Katso Alueet paneeli.</v>
      </c>
      <c r="P493" s="21" t="str">
        <f ca="1">IFERROR(__xludf.DUMMYFUNCTION("GOOGLETRANSLATE($B493,""en"",P$3)"),"Níorbh fhéidir SIM réamhshocraithe do chuairteoirí. Féach Réigiúin Painéal.")</f>
        <v>Níorbh fhéidir SIM réamhshocraithe do chuairteoirí. Féach Réigiúin Painéal.</v>
      </c>
      <c r="Q493" s="21" t="str">
        <f ca="1">IFERROR(__xludf.DUMMYFUNCTION("GOOGLETRANSLATE($B493,""en"",Q$3)"),"ممکن است به سیم به طور پیش فرض برای بازدید کنندگان تنظیم نشده است. مشاهده مناطق پنل.")</f>
        <v>ممکن است به سیم به طور پیش فرض برای بازدید کنندگان تنظیم نشده است. مشاهده مناطق پنل.</v>
      </c>
      <c r="R493" s="21" t="str">
        <f ca="1">IFERROR(__xludf.DUMMYFUNCTION("GOOGLETRANSLATE($B493,""en"",R$3)"),"לא ניתן להגדיר SIM ברירת המחדל עבור מבקרים. לוח האזורים רואים.")</f>
        <v>לא ניתן להגדיר SIM ברירת המחדל עבור מבקרים. לוח האזורים רואים.</v>
      </c>
      <c r="S493" s="21" t="str">
        <f ca="1">IFERROR(__xludf.DUMMYFUNCTION("GOOGLETRANSLATE($B493,""en"",S$3)"),"Gat ekki sett sjálfgefið SIM-kort fyrir gesti. Sjá Svæði Panel.")</f>
        <v>Gat ekki sett sjálfgefið SIM-kort fyrir gesti. Sjá Svæði Panel.</v>
      </c>
      <c r="T493" s="21" t="str">
        <f ca="1">IFERROR(__xludf.DUMMYFUNCTION("GOOGLETRANSLATE($B493,""en"",T$3)"),"Kunne ikke sette standard sim for besøkende. Se Regioner Panel.")</f>
        <v>Kunne ikke sette standard sim for besøkende. Se Regioner Panel.</v>
      </c>
      <c r="U493" s="21" t="str">
        <f ca="1">IFERROR(__xludf.DUMMYFUNCTION("GOOGLETRANSLATE($B493,""en"",U$3)"),"تعذر تعيين سيم الافتراضي للزوار. انظر لوحة المناطق.")</f>
        <v>تعذر تعيين سيم الافتراضي للزوار. انظر لوحة المناطق.</v>
      </c>
      <c r="V493" s="21" t="str">
        <f ca="1">IFERROR(__xludf.DUMMYFUNCTION("GOOGLETRANSLATE($B493,""en"",V$3)"),"Nie można ustawić domyślną sim dla zwiedzających. See Regiony panelu.")</f>
        <v>Nie można ustawić domyślną sim dla zwiedzających. See Regiony panelu.</v>
      </c>
      <c r="W493" s="21" t="str">
        <f ca="1">IFERROR(__xludf.DUMMYFUNCTION("GOOGLETRANSLATE($B493,""en"",W$3)"),"Не удалось установить по умолчанию сима для посетителей. См Регионы панели.")</f>
        <v>Не удалось установить по умолчанию сима для посетителей. См Регионы панели.</v>
      </c>
      <c r="X493" s="21" t="str">
        <f ca="1">IFERROR(__xludf.DUMMYFUNCTION("GOOGLETRANSLATE($B493,""en"",X$3)"),"No se pudo establecer sim por defecto para los visitantes. Ver Panel de Regiones.")</f>
        <v>No se pudo establecer sim por defecto para los visitantes. Ver Panel de Regiones.</v>
      </c>
      <c r="Y493" s="21"/>
      <c r="Z493" s="21"/>
    </row>
    <row r="494" spans="1:26" ht="32.25" customHeight="1" x14ac:dyDescent="0.2">
      <c r="A494" s="17" t="s">
        <v>1096</v>
      </c>
      <c r="B494" s="17" t="s">
        <v>1097</v>
      </c>
      <c r="C494" s="21" t="str">
        <f ca="1">IFERROR(__xludf.DUMMYFUNCTION("GOOGLETRANSLATE($B494,""en"",C$3)"),"Kein Hypergrid Besucher werden in dieser Region erlaubt sein")</f>
        <v>Kein Hypergrid Besucher werden in dieser Region erlaubt sein</v>
      </c>
      <c r="D494" s="21" t="str">
        <f ca="1">IFERROR(__xludf.DUMMYFUNCTION("GOOGLETRANSLATE($B494,""en"",D$3)"),"Ingen Hypergrid besökare kommer att tillåtas i denna region")</f>
        <v>Ingen Hypergrid besökare kommer att tillåtas i denna region</v>
      </c>
      <c r="E494" s="21" t="str">
        <f ca="1">IFERROR(__xludf.DUMMYFUNCTION("GOOGLETRANSLATE($B494,""en"",E$3)"),"visitantes não Hypergrid será permitido nesta região")</f>
        <v>visitantes não Hypergrid será permitido nesta região</v>
      </c>
      <c r="F494" s="21" t="str">
        <f ca="1">IFERROR(__xludf.DUMMYFUNCTION("GOOGLETRANSLATE($B494,""en"",F$3)"),"visitantes não Hypergrid será permitido nesta região")</f>
        <v>visitantes não Hypergrid será permitido nesta região</v>
      </c>
      <c r="G494" s="21" t="str">
        <f ca="1">IFERROR(__xludf.DUMMYFUNCTION("GOOGLETRANSLATE($B494,""en"",G$3)"),"Aucun visiteur Hypergrid seront autorisés dans cette région")</f>
        <v>Aucun visiteur Hypergrid seront autorisés dans cette région</v>
      </c>
      <c r="H494" s="21" t="str">
        <f ca="1">IFERROR(__xludf.DUMMYFUNCTION("GOOGLETRANSLATE($B494,""en"",H$3)"),"Ez Hypergrid bisitari egon eskualde honetan onartzen egingo")</f>
        <v>Ez Hypergrid bisitari egon eskualde honetan onartzen egingo</v>
      </c>
      <c r="I494" s="21" t="str">
        <f ca="1">IFERROR(__xludf.DUMMYFUNCTION("GOOGLETRANSLATE($B494,""en"",I$3)"),"Sense HyperGrid visitants seran permesos en aquesta regió")</f>
        <v>Sense HyperGrid visitants seran permesos en aquesta regió</v>
      </c>
      <c r="J494" s="21" t="str">
        <f ca="1">IFERROR(__xludf.DUMMYFUNCTION("GOOGLETRANSLATE($B494,""en"",J$3)"),"No Hypergrid návštěvníci budou moci v tomto regionu")</f>
        <v>No Hypergrid návštěvníci budou moci v tomto regionu</v>
      </c>
      <c r="K494" s="21" t="str">
        <f ca="1">IFERROR(__xludf.DUMMYFUNCTION("GOOGLETRANSLATE($B494,""en"",K$3)"),"没有Hypergrid游客将在这一地区被允许")</f>
        <v>没有Hypergrid游客将在这一地区被允许</v>
      </c>
      <c r="L494" s="21" t="str">
        <f ca="1">IFERROR(__xludf.DUMMYFUNCTION("GOOGLETRANSLATE($B494,""en"",L$3)"),"沒有Hypergrid遊客將在這一地區被允許")</f>
        <v>沒有Hypergrid遊客將在這一地區被允許</v>
      </c>
      <c r="M494" s="21" t="str">
        <f ca="1">IFERROR(__xludf.DUMMYFUNCTION("GOOGLETRANSLATE($B494,""en"",M$3)"),"Geen HyperGrid bezoekers worden toegelaten in deze regio")</f>
        <v>Geen HyperGrid bezoekers worden toegelaten in deze regio</v>
      </c>
      <c r="N494" s="21" t="str">
        <f ca="1">IFERROR(__xludf.DUMMYFUNCTION("GOOGLETRANSLATE($B494,""en"",N$3)"),"οι επισκέπτες δεν Hypergrid θα επιτρέπεται σε αυτήν την περιοχή")</f>
        <v>οι επισκέπτες δεν Hypergrid θα επιτρέπεται σε αυτήν την περιοχή</v>
      </c>
      <c r="O494" s="21" t="str">
        <f ca="1">IFERROR(__xludf.DUMMYFUNCTION("GOOGLETRANSLATE($B494,""en"",O$3)"),"Ei Hypergrid vierailijat saavat tällä alueella")</f>
        <v>Ei Hypergrid vierailijat saavat tällä alueella</v>
      </c>
      <c r="P494" s="21" t="str">
        <f ca="1">IFERROR(__xludf.DUMMYFUNCTION("GOOGLETRANSLATE($B494,""en"",P$3)"),"Beidh cuairteoirí Ní Hypergrid mbeadh cead sa réigiún seo")</f>
        <v>Beidh cuairteoirí Ní Hypergrid mbeadh cead sa réigiún seo</v>
      </c>
      <c r="Q494" s="21" t="str">
        <f ca="1">IFERROR(__xludf.DUMMYFUNCTION("GOOGLETRANSLATE($B494,""en"",Q$3)"),"بازدید کنندگان بدون Hypergrid خواهد شد در این منطقه اجازه")</f>
        <v>بازدید کنندگان بدون Hypergrid خواهد شد در این منطقه اجازه</v>
      </c>
      <c r="R494" s="21" t="str">
        <f ca="1">IFERROR(__xludf.DUMMYFUNCTION("GOOGLETRANSLATE($B494,""en"",R$3)"),"מבקרים לא Hypergrid יוותרו באזור זה")</f>
        <v>מבקרים לא Hypergrid יוותרו באזור זה</v>
      </c>
      <c r="S494" s="21" t="str">
        <f ca="1">IFERROR(__xludf.DUMMYFUNCTION("GOOGLETRANSLATE($B494,""en"",S$3)"),"Engin Hypergrid gestir verða leyfðar á þessu svæði")</f>
        <v>Engin Hypergrid gestir verða leyfðar á þessu svæði</v>
      </c>
      <c r="T494" s="21" t="str">
        <f ca="1">IFERROR(__xludf.DUMMYFUNCTION("GOOGLETRANSLATE($B494,""en"",T$3)"),"Ingen Hypergrid besøkende vil bli tillatt i denne regionen")</f>
        <v>Ingen Hypergrid besøkende vil bli tillatt i denne regionen</v>
      </c>
      <c r="U494" s="21" t="str">
        <f ca="1">IFERROR(__xludf.DUMMYFUNCTION("GOOGLETRANSLATE($B494,""en"",U$3)"),"سيتم يسمح للزوار لا Hypergrid في هذه المنطقة")</f>
        <v>سيتم يسمح للزوار لا Hypergrid في هذه المنطقة</v>
      </c>
      <c r="V494" s="21" t="str">
        <f ca="1">IFERROR(__xludf.DUMMYFUNCTION("GOOGLETRANSLATE($B494,""en"",V$3)"),"Nie Hypergrid odwiedzający będą mogli w tym regionie")</f>
        <v>Nie Hypergrid odwiedzający będą mogli w tym regionie</v>
      </c>
      <c r="W494" s="21" t="str">
        <f ca="1">IFERROR(__xludf.DUMMYFUNCTION("GOOGLETRANSLATE($B494,""en"",W$3)"),"посетители Нет Hypergrid будет разрешено в этом регионе")</f>
        <v>посетители Нет Hypergrid будет разрешено в этом регионе</v>
      </c>
      <c r="X494" s="21" t="str">
        <f ca="1">IFERROR(__xludf.DUMMYFUNCTION("GOOGLETRANSLATE($B494,""en"",X$3)"),"Sin HyperGrid visitantes serán permitidos en esta región")</f>
        <v>Sin HyperGrid visitantes serán permitidos en esta región</v>
      </c>
      <c r="Y494" s="21"/>
      <c r="Z494" s="21"/>
    </row>
    <row r="495" spans="1:26" ht="32.25" customHeight="1" x14ac:dyDescent="0.2">
      <c r="A495" s="10" t="s">
        <v>1098</v>
      </c>
      <c r="B495" s="10" t="s">
        <v>1099</v>
      </c>
      <c r="C495" s="11" t="str">
        <f ca="1">IFERROR(__xludf.DUMMYFUNCTION("GOOGLETRANSLATE($B495,""en"",C$3)"),"Kann nicht FSasset Ordner:")</f>
        <v>Kann nicht FSasset Ordner:</v>
      </c>
      <c r="D495" s="11" t="str">
        <f ca="1">IFERROR(__xludf.DUMMYFUNCTION("GOOGLETRANSLATE($B495,""en"",D$3)"),"Det går inte att hitta FSasset mapp:")</f>
        <v>Det går inte att hitta FSasset mapp:</v>
      </c>
      <c r="E495" s="11" t="str">
        <f ca="1">IFERROR(__xludf.DUMMYFUNCTION("GOOGLETRANSLATE($B495,""en"",E$3)"),"Não é possível localizar pasta FSasset:")</f>
        <v>Não é possível localizar pasta FSasset:</v>
      </c>
      <c r="F495" s="11" t="str">
        <f ca="1">IFERROR(__xludf.DUMMYFUNCTION("GOOGLETRANSLATE($B495,""en"",F$3)"),"Não é possível localizar pasta FSasset:")</f>
        <v>Não é possível localizar pasta FSasset:</v>
      </c>
      <c r="G495" s="11" t="str">
        <f ca="1">IFERROR(__xludf.DUMMYFUNCTION("GOOGLETRANSLATE($B495,""en"",G$3)"),"Impossible de localiser le dossier FSasset:")</f>
        <v>Impossible de localiser le dossier FSasset:</v>
      </c>
      <c r="H495" s="11" t="str">
        <f ca="1">IFERROR(__xludf.DUMMYFUNCTION("GOOGLETRANSLATE($B495,""en"",H$3)"),"Ezin da kokatu FSasset karpeta:")</f>
        <v>Ezin da kokatu FSasset karpeta:</v>
      </c>
      <c r="I495" s="11" t="str">
        <f ca="1">IFERROR(__xludf.DUMMYFUNCTION("GOOGLETRANSLATE($B495,""en"",I$3)"),"No es pot trobar la carpeta FSasset:")</f>
        <v>No es pot trobar la carpeta FSasset:</v>
      </c>
      <c r="J495" s="11" t="str">
        <f ca="1">IFERROR(__xludf.DUMMYFUNCTION("GOOGLETRANSLATE($B495,""en"",J$3)"),"Nelze najít složku FSasset:")</f>
        <v>Nelze najít složku FSasset:</v>
      </c>
      <c r="K495" s="11" t="str">
        <f ca="1">IFERROR(__xludf.DUMMYFUNCTION("GOOGLETRANSLATE($B495,""en"",K$3)"),"无法找到FSasset文件夹：")</f>
        <v>无法找到FSasset文件夹：</v>
      </c>
      <c r="L495" s="11" t="str">
        <f ca="1">IFERROR(__xludf.DUMMYFUNCTION("GOOGLETRANSLATE($B495,""en"",L$3)"),"無法找到FSasset文件夾：")</f>
        <v>無法找到FSasset文件夾：</v>
      </c>
      <c r="M495" s="11" t="str">
        <f ca="1">IFERROR(__xludf.DUMMYFUNCTION("GOOGLETRANSLATE($B495,""en"",M$3)"),"Kan FSasset map niet vinden:")</f>
        <v>Kan FSasset map niet vinden:</v>
      </c>
      <c r="N495" s="11" t="str">
        <f ca="1">IFERROR(__xludf.DUMMYFUNCTION("GOOGLETRANSLATE($B495,""en"",N$3)"),"Δεν μπορείτε να εντοπίσετε το φάκελο FSasset:")</f>
        <v>Δεν μπορείτε να εντοπίσετε το φάκελο FSasset:</v>
      </c>
      <c r="O495" s="11" t="str">
        <f ca="1">IFERROR(__xludf.DUMMYFUNCTION("GOOGLETRANSLATE($B495,""en"",O$3)"),"Ei löydy FSasset kansiota:")</f>
        <v>Ei löydy FSasset kansiota:</v>
      </c>
      <c r="P495" s="11" t="str">
        <f ca="1">IFERROR(__xludf.DUMMYFUNCTION("GOOGLETRANSLATE($B495,""en"",P$3)"),"Ní féidir a aimsiú fillteán FSasset:")</f>
        <v>Ní féidir a aimsiú fillteán FSasset:</v>
      </c>
      <c r="Q495" s="11" t="str">
        <f ca="1">IFERROR(__xludf.DUMMYFUNCTION("GOOGLETRANSLATE($B495,""en"",Q$3)"),"می توانید پوشه FSasset یافت نشد:")</f>
        <v>می توانید پوشه FSasset یافت نشد:</v>
      </c>
      <c r="R495" s="11" t="str">
        <f ca="1">IFERROR(__xludf.DUMMYFUNCTION("GOOGLETRANSLATE($B495,""en"",R$3)"),"אין אפשרות לאתר תיקיית FSasset:")</f>
        <v>אין אפשרות לאתר תיקיית FSasset:</v>
      </c>
      <c r="S495" s="11" t="str">
        <f ca="1">IFERROR(__xludf.DUMMYFUNCTION("GOOGLETRANSLATE($B495,""en"",S$3)"),"Ekki er hægt að finna FSasset möppu:")</f>
        <v>Ekki er hægt að finna FSasset möppu:</v>
      </c>
      <c r="T495" s="11" t="str">
        <f ca="1">IFERROR(__xludf.DUMMYFUNCTION("GOOGLETRANSLATE($B495,""en"",T$3)"),"Finner ikke FSasset mappe:")</f>
        <v>Finner ikke FSasset mappe:</v>
      </c>
      <c r="U495" s="11" t="str">
        <f ca="1">IFERROR(__xludf.DUMMYFUNCTION("GOOGLETRANSLATE($B495,""en"",U$3)"),"لا يمكن تحديد موقع المجلد FSasset:")</f>
        <v>لا يمكن تحديد موقع المجلد FSasset:</v>
      </c>
      <c r="V495" s="11" t="str">
        <f ca="1">IFERROR(__xludf.DUMMYFUNCTION("GOOGLETRANSLATE($B495,""en"",V$3)"),"nie może zlokalizować folderu FSasset:")</f>
        <v>nie może zlokalizować folderu FSasset:</v>
      </c>
      <c r="W495" s="11" t="str">
        <f ca="1">IFERROR(__xludf.DUMMYFUNCTION("GOOGLETRANSLATE($B495,""en"",W$3)"),"Не удается найти папку FSasset:")</f>
        <v>Не удается найти папку FSasset:</v>
      </c>
      <c r="X495" s="11" t="str">
        <f ca="1">IFERROR(__xludf.DUMMYFUNCTION("GOOGLETRANSLATE($B495,""en"",X$3)"),"No se puede encontrar la carpeta FSasset:")</f>
        <v>No se puede encontrar la carpeta FSasset:</v>
      </c>
    </row>
    <row r="496" spans="1:26" ht="32.25" customHeight="1" x14ac:dyDescent="0.2">
      <c r="A496" s="17" t="s">
        <v>1100</v>
      </c>
      <c r="B496" s="17" t="s">
        <v>1101</v>
      </c>
      <c r="C496" s="21" t="str">
        <f ca="1">IFERROR(__xludf.DUMMYFUNCTION("GOOGLETRANSLATE($B496,""en"",C$3)"),"Nicht veröffentlichen diese Region")</f>
        <v>Nicht veröffentlichen diese Region</v>
      </c>
      <c r="D496" s="21" t="str">
        <f ca="1">IFERROR(__xludf.DUMMYFUNCTION("GOOGLETRANSLATE($B496,""en"",D$3)"),"Inte publicera denna region")</f>
        <v>Inte publicera denna region</v>
      </c>
      <c r="E496" s="21" t="str">
        <f ca="1">IFERROR(__xludf.DUMMYFUNCTION("GOOGLETRANSLATE($B496,""en"",E$3)"),"Não publicar esta região")</f>
        <v>Não publicar esta região</v>
      </c>
      <c r="F496" s="21" t="str">
        <f ca="1">IFERROR(__xludf.DUMMYFUNCTION("GOOGLETRANSLATE($B496,""en"",F$3)"),"Não publicar esta região")</f>
        <v>Não publicar esta região</v>
      </c>
      <c r="G496" s="21" t="str">
        <f ca="1">IFERROR(__xludf.DUMMYFUNCTION("GOOGLETRANSLATE($B496,""en"",G$3)"),"Ne pas publier cette région")</f>
        <v>Ne pas publier cette région</v>
      </c>
      <c r="H496" s="21" t="str">
        <f ca="1">IFERROR(__xludf.DUMMYFUNCTION("GOOGLETRANSLATE($B496,""en"",H$3)"),"Ez eskualde honetan argitaratzeko")</f>
        <v>Ez eskualde honetan argitaratzeko</v>
      </c>
      <c r="I496" s="21" t="str">
        <f ca="1">IFERROR(__xludf.DUMMYFUNCTION("GOOGLETRANSLATE($B496,""en"",I$3)"),"No publicar aquesta regió")</f>
        <v>No publicar aquesta regió</v>
      </c>
      <c r="J496" s="21" t="str">
        <f ca="1">IFERROR(__xludf.DUMMYFUNCTION("GOOGLETRANSLATE($B496,""en"",J$3)"),"Nepublikovat tento region")</f>
        <v>Nepublikovat tento region</v>
      </c>
      <c r="K496" s="21" t="str">
        <f ca="1">IFERROR(__xludf.DUMMYFUNCTION("GOOGLETRANSLATE($B496,""en"",K$3)"),"不要发布这个区域")</f>
        <v>不要发布这个区域</v>
      </c>
      <c r="L496" s="21" t="str">
        <f ca="1">IFERROR(__xludf.DUMMYFUNCTION("GOOGLETRANSLATE($B496,""en"",L$3)"),"不要發布這個區域")</f>
        <v>不要發布這個區域</v>
      </c>
      <c r="M496" s="21" t="str">
        <f ca="1">IFERROR(__xludf.DUMMYFUNCTION("GOOGLETRANSLATE($B496,""en"",M$3)"),"Mis deze regio niet publiceren")</f>
        <v>Mis deze regio niet publiceren</v>
      </c>
      <c r="N496" s="21" t="str">
        <f ca="1">IFERROR(__xludf.DUMMYFUNCTION("GOOGLETRANSLATE($B496,""en"",N$3)"),"Μην δημοσιεύει αυτή την περιοχή")</f>
        <v>Μην δημοσιεύει αυτή την περιοχή</v>
      </c>
      <c r="O496" s="21" t="str">
        <f ca="1">IFERROR(__xludf.DUMMYFUNCTION("GOOGLETRANSLATE($B496,""en"",O$3)"),"Älä julkaise tätä aluetta")</f>
        <v>Älä julkaise tätä aluetta</v>
      </c>
      <c r="P496" s="21" t="str">
        <f ca="1">IFERROR(__xludf.DUMMYFUNCTION("GOOGLETRANSLATE($B496,""en"",P$3)"),"Ná fhoilsiú réigiún seo")</f>
        <v>Ná fhoilsiú réigiún seo</v>
      </c>
      <c r="Q496" s="21" t="str">
        <f ca="1">IFERROR(__xludf.DUMMYFUNCTION("GOOGLETRANSLATE($B496,""en"",Q$3)"),"هنوز این منطقه منتشر نمی")</f>
        <v>هنوز این منطقه منتشر نمی</v>
      </c>
      <c r="R496" s="21" t="str">
        <f ca="1">IFERROR(__xludf.DUMMYFUNCTION("GOOGLETRANSLATE($B496,""en"",R$3)"),"אל תפרסם את האזור הזה")</f>
        <v>אל תפרסם את האזור הזה</v>
      </c>
      <c r="S496" s="21" t="str">
        <f ca="1">IFERROR(__xludf.DUMMYFUNCTION("GOOGLETRANSLATE($B496,""en"",S$3)"),"Ekki birta þetta svæði")</f>
        <v>Ekki birta þetta svæði</v>
      </c>
      <c r="T496" s="21" t="str">
        <f ca="1">IFERROR(__xludf.DUMMYFUNCTION("GOOGLETRANSLATE($B496,""en"",T$3)"),"Ikke publisere denne regionen")</f>
        <v>Ikke publisere denne regionen</v>
      </c>
      <c r="U496" s="21" t="str">
        <f ca="1">IFERROR(__xludf.DUMMYFUNCTION("GOOGLETRANSLATE($B496,""en"",U$3)"),"لا تنشر هذه المنطقة")</f>
        <v>لا تنشر هذه المنطقة</v>
      </c>
      <c r="V496" s="21" t="str">
        <f ca="1">IFERROR(__xludf.DUMMYFUNCTION("GOOGLETRANSLATE($B496,""en"",V$3)"),"Nie publikuj tego regionu")</f>
        <v>Nie publikuj tego regionu</v>
      </c>
      <c r="W496" s="21" t="str">
        <f ca="1">IFERROR(__xludf.DUMMYFUNCTION("GOOGLETRANSLATE($B496,""en"",W$3)"),"Не публикуйте этот регион")</f>
        <v>Не публикуйте этот регион</v>
      </c>
      <c r="X496" s="21" t="str">
        <f ca="1">IFERROR(__xludf.DUMMYFUNCTION("GOOGLETRANSLATE($B496,""en"",X$3)"),"No publicar esta región")</f>
        <v>No publicar esta región</v>
      </c>
      <c r="Y496" s="21"/>
      <c r="Z496" s="21"/>
    </row>
    <row r="497" spans="1:26" ht="32.25" customHeight="1" x14ac:dyDescent="0.2">
      <c r="A497" s="17" t="s">
        <v>1102</v>
      </c>
      <c r="B497" s="17" t="s">
        <v>1103</v>
      </c>
      <c r="C497" s="21" t="str">
        <f ca="1">IFERROR(__xludf.DUMMYFUNCTION("GOOGLETRANSLATE($B497,""en"",C$3)"),"Keine Regionen bereit sind, so können die IAR nicht geladen werden“")</f>
        <v>Keine Regionen bereit sind, so können die IAR nicht geladen werden“</v>
      </c>
      <c r="D497" s="21" t="str">
        <f ca="1">IFERROR(__xludf.DUMMYFUNCTION("GOOGLETRANSLATE($B497,""en"",D$3)"),"Inga regioner är redo, så kan inte ladda IAR""")</f>
        <v>Inga regioner är redo, så kan inte ladda IAR"</v>
      </c>
      <c r="E497" s="21" t="str">
        <f ca="1">IFERROR(__xludf.DUMMYFUNCTION("GOOGLETRANSLATE($B497,""en"",E$3)"),"Nenhuma região está pronto, por isso não pode carregar o IAR""")</f>
        <v>Nenhuma região está pronto, por isso não pode carregar o IAR"</v>
      </c>
      <c r="F497" s="21" t="str">
        <f ca="1">IFERROR(__xludf.DUMMYFUNCTION("GOOGLETRANSLATE($B497,""en"",F$3)"),"Nenhuma região está pronto, por isso não pode carregar o IAR""")</f>
        <v>Nenhuma região está pronto, por isso não pode carregar o IAR"</v>
      </c>
      <c r="G497" s="21" t="str">
        <f ca="1">IFERROR(__xludf.DUMMYFUNCTION("GOOGLETRANSLATE($B497,""en"",G$3)"),"Aucune région ne prête, donc ne peuvent pas charger le IAR »")</f>
        <v>Aucune région ne prête, donc ne peuvent pas charger le IAR »</v>
      </c>
      <c r="H497" s="21" t="str">
        <f ca="1">IFERROR(__xludf.DUMMYFUNCTION("GOOGLETRANSLATE($B497,""en"",H$3)"),"Ez dago eskualde prest daude, beraz, ezin iar du ""kargatu")</f>
        <v>Ez dago eskualde prest daude, beraz, ezin iar du "kargatu</v>
      </c>
      <c r="I497" s="21" t="str">
        <f ca="1">IFERROR(__xludf.DUMMYFUNCTION("GOOGLETRANSLATE($B497,""en"",I$3)"),"No hi ha regions estan llistes, de manera que no pot carregar el IAR """)</f>
        <v>No hi ha regions estan llistes, de manera que no pot carregar el IAR "</v>
      </c>
      <c r="J497" s="21" t="str">
        <f ca="1">IFERROR(__xludf.DUMMYFUNCTION("GOOGLETRANSLATE($B497,""en"",J$3)"),"Žádné regiony jsou připraveny, takže nemůže načíst IAR“")</f>
        <v>Žádné regiony jsou připraveny, takže nemůže načíst IAR“</v>
      </c>
      <c r="K497" s="21" t="str">
        <f ca="1">IFERROR(__xludf.DUMMYFUNCTION("GOOGLETRANSLATE($B497,""en"",K$3)"),"没有区域是准备好了，所以不能加载IAR”")</f>
        <v>没有区域是准备好了，所以不能加载IAR”</v>
      </c>
      <c r="L497" s="21" t="str">
        <f ca="1">IFERROR(__xludf.DUMMYFUNCTION("GOOGLETRANSLATE($B497,""en"",L$3)"),"沒有區域是準備好了，所以不能加載IAR“")</f>
        <v>沒有區域是準備好了，所以不能加載IAR“</v>
      </c>
      <c r="M497" s="21" t="str">
        <f ca="1">IFERROR(__xludf.DUMMYFUNCTION("GOOGLETRANSLATE($B497,""en"",M$3)"),"Geen streek klaar zijn, zodat de IAR"" niet laden")</f>
        <v>Geen streek klaar zijn, zodat de IAR" niet laden</v>
      </c>
      <c r="N497" s="21" t="str">
        <f ca="1">IFERROR(__xludf.DUMMYFUNCTION("GOOGLETRANSLATE($B497,""en"",N$3)"),"Δεν περιφέρειες είναι έτοιμες, οπότε δεν μπορεί να φορτώσει το IAR»")</f>
        <v>Δεν περιφέρειες είναι έτοιμες, οπότε δεν μπορεί να φορτώσει το IAR»</v>
      </c>
      <c r="O497" s="21" t="str">
        <f ca="1">IFERROR(__xludf.DUMMYFUNCTION("GOOGLETRANSLATE($B497,""en"",O$3)"),"Ei alueet ovat valmiina, joten ei voi ladata IAR""")</f>
        <v>Ei alueet ovat valmiina, joten ei voi ladata IAR"</v>
      </c>
      <c r="P497" s="21" t="str">
        <f ca="1">IFERROR(__xludf.DUMMYFUNCTION("GOOGLETRANSLATE($B497,""en"",P$3)"),"Níl aon réigiúin réidh, mar sin ní féidir luchtú an Iar """)</f>
        <v>Níl aon réigiúin réidh, mar sin ní féidir luchtú an Iar "</v>
      </c>
      <c r="Q497" s="21" t="str">
        <f ca="1">IFERROR(__xludf.DUMMYFUNCTION("GOOGLETRANSLATE($B497,""en"",Q$3)"),"بدون مناطق آماده هستند، بنابراین می توانید IAR ""را بارگیری کند")</f>
        <v>بدون مناطق آماده هستند، بنابراین می توانید IAR "را بارگیری کند</v>
      </c>
      <c r="R497" s="21" t="str">
        <f ca="1">IFERROR(__xludf.DUMMYFUNCTION("GOOGLETRANSLATE($B497,""en"",R$3)"),"אין אזורים מוכנים, כך שלא ניתן לטעון את IAR""")</f>
        <v>אין אזורים מוכנים, כך שלא ניתן לטעון את IAR"</v>
      </c>
      <c r="S497" s="21" t="str">
        <f ca="1">IFERROR(__xludf.DUMMYFUNCTION("GOOGLETRANSLATE($B497,""en"",S$3)"),"Engar svæði eru tilbúin, svo má ekki hlaða iar """)</f>
        <v>Engar svæði eru tilbúin, svo má ekki hlaða iar "</v>
      </c>
      <c r="T497" s="21" t="str">
        <f ca="1">IFERROR(__xludf.DUMMYFUNCTION("GOOGLETRANSLATE($B497,""en"",T$3)"),"Ingen regioner er klar, så kan ikke laste IAR""")</f>
        <v>Ingen regioner er klar, så kan ikke laste IAR"</v>
      </c>
      <c r="U497" s="21" t="str">
        <f ca="1">IFERROR(__xludf.DUMMYFUNCTION("GOOGLETRANSLATE($B497,""en"",U$3)"),"لا مناطق جاهزة، لذلك لا يمكن تحميل IAR """)</f>
        <v>لا مناطق جاهزة، لذلك لا يمكن تحميل IAR "</v>
      </c>
      <c r="V497" s="21" t="str">
        <f ca="1">IFERROR(__xludf.DUMMYFUNCTION("GOOGLETRANSLATE($B497,""en"",V$3)"),"Brak regiony są gotowe, więc nie może załadować IAR”")</f>
        <v>Brak regiony są gotowe, więc nie może załadować IAR”</v>
      </c>
      <c r="W497" s="21" t="str">
        <f ca="1">IFERROR(__xludf.DUMMYFUNCTION("GOOGLETRANSLATE($B497,""en"",W$3)"),"Нет регионы не готовы, поэтому не могут загрузить IAR»")</f>
        <v>Нет регионы не готовы, поэтому не могут загрузить IAR»</v>
      </c>
      <c r="X497" s="21" t="str">
        <f ca="1">IFERROR(__xludf.DUMMYFUNCTION("GOOGLETRANSLATE($B497,""en"",X$3)"),"No hay regiones están listas, por lo que no puede cargar el IAR""")</f>
        <v>No hay regiones están listas, por lo que no puede cargar el IAR"</v>
      </c>
      <c r="Y497" s="21"/>
      <c r="Z497" s="21"/>
    </row>
    <row r="498" spans="1:26" ht="32.25" customHeight="1" x14ac:dyDescent="0.2">
      <c r="A498" s="17" t="s">
        <v>1104</v>
      </c>
      <c r="B498" s="17" t="s">
        <v>1105</v>
      </c>
      <c r="C498" s="21" t="str">
        <f ca="1">IFERROR(__xludf.DUMMYFUNCTION("GOOGLETRANSLATE($B498,""en"",C$3)"),"Keine Person ist eine Online")</f>
        <v>Keine Person ist eine Online</v>
      </c>
      <c r="D498" s="21" t="str">
        <f ca="1">IFERROR(__xludf.DUMMYFUNCTION("GOOGLETRANSLATE($B498,""en"",D$3)"),"Ingen person är inte uppkopplad")</f>
        <v>Ingen person är inte uppkopplad</v>
      </c>
      <c r="E498" s="21" t="str">
        <f ca="1">IFERROR(__xludf.DUMMYFUNCTION("GOOGLETRANSLATE($B498,""en"",E$3)"),"Nenhuma pessoa está online")</f>
        <v>Nenhuma pessoa está online</v>
      </c>
      <c r="F498" s="21" t="str">
        <f ca="1">IFERROR(__xludf.DUMMYFUNCTION("GOOGLETRANSLATE($B498,""en"",F$3)"),"Nenhuma pessoa está online")</f>
        <v>Nenhuma pessoa está online</v>
      </c>
      <c r="G498" s="21" t="str">
        <f ca="1">IFERROR(__xludf.DUMMYFUNCTION("GOOGLETRANSLATE($B498,""en"",G$3)"),"Aucune personne est en ligne")</f>
        <v>Aucune personne est en ligne</v>
      </c>
      <c r="H498" s="21" t="str">
        <f ca="1">IFERROR(__xludf.DUMMYFUNCTION("GOOGLETRANSLATE($B498,""en"",H$3)"),"Pertsona ez da online")</f>
        <v>Pertsona ez da online</v>
      </c>
      <c r="I498" s="21" t="str">
        <f ca="1">IFERROR(__xludf.DUMMYFUNCTION("GOOGLETRANSLATE($B498,""en"",I$3)"),"Cap persona està en línia")</f>
        <v>Cap persona està en línia</v>
      </c>
      <c r="J498" s="21" t="str">
        <f ca="1">IFERROR(__xludf.DUMMYFUNCTION("GOOGLETRANSLATE($B498,""en"",J$3)"),"Žádná osoba je on-line")</f>
        <v>Žádná osoba je on-line</v>
      </c>
      <c r="K498" s="21" t="str">
        <f ca="1">IFERROR(__xludf.DUMMYFUNCTION("GOOGLETRANSLATE($B498,""en"",K$3)"),"任何人在线")</f>
        <v>任何人在线</v>
      </c>
      <c r="L498" s="21" t="str">
        <f ca="1">IFERROR(__xludf.DUMMYFUNCTION("GOOGLETRANSLATE($B498,""en"",L$3)"),"任何人在線")</f>
        <v>任何人在線</v>
      </c>
      <c r="M498" s="21" t="str">
        <f ca="1">IFERROR(__xludf.DUMMYFUNCTION("GOOGLETRANSLATE($B498,""en"",M$3)"),"Niemand is online")</f>
        <v>Niemand is online</v>
      </c>
      <c r="N498" s="21" t="str">
        <f ca="1">IFERROR(__xludf.DUMMYFUNCTION("GOOGLETRANSLATE($B498,""en"",N$3)"),"Κανένα πρόσωπο δεν είναι συνδεδεμένος")</f>
        <v>Κανένα πρόσωπο δεν είναι συνδεδεμένος</v>
      </c>
      <c r="O498" s="21" t="str">
        <f ca="1">IFERROR(__xludf.DUMMYFUNCTION("GOOGLETRANSLATE($B498,""en"",O$3)"),"Kukaan ei ole verkossa")</f>
        <v>Kukaan ei ole verkossa</v>
      </c>
      <c r="P498" s="21" t="str">
        <f ca="1">IFERROR(__xludf.DUMMYFUNCTION("GOOGLETRANSLATE($B498,""en"",P$3)"),"Níl aon duine ar líne")</f>
        <v>Níl aon duine ar líne</v>
      </c>
      <c r="Q498" s="21" t="str">
        <f ca="1">IFERROR(__xludf.DUMMYFUNCTION("GOOGLETRANSLATE($B498,""en"",Q$3)"),"هیچ شخص آنلاین است")</f>
        <v>هیچ شخص آنلاین است</v>
      </c>
      <c r="R498" s="21" t="str">
        <f ca="1">IFERROR(__xludf.DUMMYFUNCTION("GOOGLETRANSLATE($B498,""en"",R$3)"),"אין אדם מחובר")</f>
        <v>אין אדם מחובר</v>
      </c>
      <c r="S498" s="21" t="str">
        <f ca="1">IFERROR(__xludf.DUMMYFUNCTION("GOOGLETRANSLATE($B498,""en"",S$3)"),"Engin manneskja er á netinu")</f>
        <v>Engin manneskja er á netinu</v>
      </c>
      <c r="T498" s="21" t="str">
        <f ca="1">IFERROR(__xludf.DUMMYFUNCTION("GOOGLETRANSLATE($B498,""en"",T$3)"),"Ingen person er online")</f>
        <v>Ingen person er online</v>
      </c>
      <c r="U498" s="21" t="str">
        <f ca="1">IFERROR(__xludf.DUMMYFUNCTION("GOOGLETRANSLATE($B498,""en"",U$3)"),"لا يجوز لأي شخص غير متواجد")</f>
        <v>لا يجوز لأي شخص غير متواجد</v>
      </c>
      <c r="V498" s="21" t="str">
        <f ca="1">IFERROR(__xludf.DUMMYFUNCTION("GOOGLETRANSLATE($B498,""en"",V$3)"),"Żadna osoba jest online")</f>
        <v>Żadna osoba jest online</v>
      </c>
      <c r="W498" s="21" t="str">
        <f ca="1">IFERROR(__xludf.DUMMYFUNCTION("GOOGLETRANSLATE($B498,""en"",W$3)"),"Ни один человек не на сайте")</f>
        <v>Ни один человек не на сайте</v>
      </c>
      <c r="X498" s="21" t="str">
        <f ca="1">IFERROR(__xludf.DUMMYFUNCTION("GOOGLETRANSLATE($B498,""en"",X$3)"),"Ninguna persona está en línea")</f>
        <v>Ninguna persona está en línea</v>
      </c>
      <c r="Y498" s="21"/>
      <c r="Z498" s="21"/>
    </row>
    <row r="499" spans="1:26" ht="32.25" customHeight="1" x14ac:dyDescent="0.2">
      <c r="A499" s="17" t="s">
        <v>1106</v>
      </c>
      <c r="B499" s="17" t="s">
        <v>1106</v>
      </c>
      <c r="C499" s="21" t="str">
        <f ca="1">IFERROR(__xludf.DUMMYFUNCTION("GOOGLETRANSLATE($B499,""en"",C$3)"),"Keiner")</f>
        <v>Keiner</v>
      </c>
      <c r="D499" s="21" t="str">
        <f ca="1">IFERROR(__xludf.DUMMYFUNCTION("GOOGLETRANSLATE($B499,""en"",D$3)"),"Ingen")</f>
        <v>Ingen</v>
      </c>
      <c r="E499" s="21" t="str">
        <f ca="1">IFERROR(__xludf.DUMMYFUNCTION("GOOGLETRANSLATE($B499,""en"",E$3)"),"Nenhum")</f>
        <v>Nenhum</v>
      </c>
      <c r="F499" s="21" t="str">
        <f ca="1">IFERROR(__xludf.DUMMYFUNCTION("GOOGLETRANSLATE($B499,""en"",F$3)"),"Nenhum")</f>
        <v>Nenhum</v>
      </c>
      <c r="G499" s="21" t="str">
        <f ca="1">IFERROR(__xludf.DUMMYFUNCTION("GOOGLETRANSLATE($B499,""en"",G$3)"),"Aucun")</f>
        <v>Aucun</v>
      </c>
      <c r="H499" s="21" t="str">
        <f ca="1">IFERROR(__xludf.DUMMYFUNCTION("GOOGLETRANSLATE($B499,""en"",H$3)"),"Bat ere ez")</f>
        <v>Bat ere ez</v>
      </c>
      <c r="I499" s="21" t="str">
        <f ca="1">IFERROR(__xludf.DUMMYFUNCTION("GOOGLETRANSLATE($B499,""en"",I$3)"),"cap")</f>
        <v>cap</v>
      </c>
      <c r="J499" s="21" t="str">
        <f ca="1">IFERROR(__xludf.DUMMYFUNCTION("GOOGLETRANSLATE($B499,""en"",J$3)"),"Žádný")</f>
        <v>Žádný</v>
      </c>
      <c r="K499" s="21" t="str">
        <f ca="1">IFERROR(__xludf.DUMMYFUNCTION("GOOGLETRANSLATE($B499,""en"",K$3)"),"没有")</f>
        <v>没有</v>
      </c>
      <c r="L499" s="21" t="str">
        <f ca="1">IFERROR(__xludf.DUMMYFUNCTION("GOOGLETRANSLATE($B499,""en"",L$3)"),"沒有")</f>
        <v>沒有</v>
      </c>
      <c r="M499" s="21" t="str">
        <f ca="1">IFERROR(__xludf.DUMMYFUNCTION("GOOGLETRANSLATE($B499,""en"",M$3)"),"Geen")</f>
        <v>Geen</v>
      </c>
      <c r="N499" s="21" t="str">
        <f ca="1">IFERROR(__xludf.DUMMYFUNCTION("GOOGLETRANSLATE($B499,""en"",N$3)"),"Κανένας")</f>
        <v>Κανένας</v>
      </c>
      <c r="O499" s="21" t="str">
        <f ca="1">IFERROR(__xludf.DUMMYFUNCTION("GOOGLETRANSLATE($B499,""en"",O$3)"),"Ei mitään")</f>
        <v>Ei mitään</v>
      </c>
      <c r="P499" s="21" t="str">
        <f ca="1">IFERROR(__xludf.DUMMYFUNCTION("GOOGLETRANSLATE($B499,""en"",P$3)"),"Ar bith")</f>
        <v>Ar bith</v>
      </c>
      <c r="Q499" s="21" t="str">
        <f ca="1">IFERROR(__xludf.DUMMYFUNCTION("GOOGLETRANSLATE($B499,""en"",Q$3)"),"هیچ یک")</f>
        <v>هیچ یک</v>
      </c>
      <c r="R499" s="21" t="str">
        <f ca="1">IFERROR(__xludf.DUMMYFUNCTION("GOOGLETRANSLATE($B499,""en"",R$3)"),"אף אחד")</f>
        <v>אף אחד</v>
      </c>
      <c r="S499" s="21" t="str">
        <f ca="1">IFERROR(__xludf.DUMMYFUNCTION("GOOGLETRANSLATE($B499,""en"",S$3)"),"Enginn")</f>
        <v>Enginn</v>
      </c>
      <c r="T499" s="21" t="str">
        <f ca="1">IFERROR(__xludf.DUMMYFUNCTION("GOOGLETRANSLATE($B499,""en"",T$3)"),"Ingen")</f>
        <v>Ingen</v>
      </c>
      <c r="U499" s="21" t="str">
        <f ca="1">IFERROR(__xludf.DUMMYFUNCTION("GOOGLETRANSLATE($B499,""en"",U$3)"),"لا شيء")</f>
        <v>لا شيء</v>
      </c>
      <c r="V499" s="21" t="str">
        <f ca="1">IFERROR(__xludf.DUMMYFUNCTION("GOOGLETRANSLATE($B499,""en"",V$3)"),"Żaden")</f>
        <v>Żaden</v>
      </c>
      <c r="W499" s="21" t="str">
        <f ca="1">IFERROR(__xludf.DUMMYFUNCTION("GOOGLETRANSLATE($B499,""en"",W$3)"),"Никто")</f>
        <v>Никто</v>
      </c>
      <c r="X499" s="21" t="str">
        <f ca="1">IFERROR(__xludf.DUMMYFUNCTION("GOOGLETRANSLATE($B499,""en"",X$3)"),"Ninguna")</f>
        <v>Ninguna</v>
      </c>
      <c r="Y499" s="21"/>
      <c r="Z499" s="21"/>
    </row>
    <row r="500" spans="1:26" ht="32.25" customHeight="1" x14ac:dyDescent="0.2">
      <c r="A500" s="17" t="s">
        <v>1107</v>
      </c>
      <c r="B500" s="17" t="s">
        <v>1108</v>
      </c>
      <c r="C500" s="21" t="str">
        <f ca="1">IFERROR(__xludf.DUMMYFUNCTION("GOOGLETRANSLATE($B500,""en"",C$3)"),"Nonphysical Prim Größe")</f>
        <v>Nonphysical Prim Größe</v>
      </c>
      <c r="D500" s="21" t="str">
        <f ca="1">IFERROR(__xludf.DUMMYFUNCTION("GOOGLETRANSLATE($B500,""en"",D$3)"),"Nonphysical Prim Size")</f>
        <v>Nonphysical Prim Size</v>
      </c>
      <c r="E500" s="21" t="str">
        <f ca="1">IFERROR(__xludf.DUMMYFUNCTION("GOOGLETRANSLATE($B500,""en"",E$3)"),"Não físico Prim Tamanho")</f>
        <v>Não físico Prim Tamanho</v>
      </c>
      <c r="F500" s="21" t="str">
        <f ca="1">IFERROR(__xludf.DUMMYFUNCTION("GOOGLETRANSLATE($B500,""en"",F$3)"),"Não físico Prim Tamanho")</f>
        <v>Não físico Prim Tamanho</v>
      </c>
      <c r="G500" s="21" t="str">
        <f ca="1">IFERROR(__xludf.DUMMYFUNCTION("GOOGLETRANSLATE($B500,""en"",G$3)"),"Taille nonphysical Prim")</f>
        <v>Taille nonphysical Prim</v>
      </c>
      <c r="H500" s="21" t="str">
        <f ca="1">IFERROR(__xludf.DUMMYFUNCTION("GOOGLETRANSLATE($B500,""en"",H$3)"),"Nonphysical Prim neurria")</f>
        <v>Nonphysical Prim neurria</v>
      </c>
      <c r="I500" s="21" t="str">
        <f ca="1">IFERROR(__xludf.DUMMYFUNCTION("GOOGLETRANSLATE($B500,""en"",I$3)"),"No física Prim Mida")</f>
        <v>No física Prim Mida</v>
      </c>
      <c r="J500" s="21" t="str">
        <f ca="1">IFERROR(__xludf.DUMMYFUNCTION("GOOGLETRANSLATE($B500,""en"",J$3)"),"Nefyzický Prim Size")</f>
        <v>Nefyzický Prim Size</v>
      </c>
      <c r="K500" s="21" t="str">
        <f ca="1">IFERROR(__xludf.DUMMYFUNCTION("GOOGLETRANSLATE($B500,""en"",K$3)"),"非物质普里姆大小")</f>
        <v>非物质普里姆大小</v>
      </c>
      <c r="L500" s="21" t="str">
        <f ca="1">IFERROR(__xludf.DUMMYFUNCTION("GOOGLETRANSLATE($B500,""en"",L$3)"),"非物質普里姆大小")</f>
        <v>非物質普里姆大小</v>
      </c>
      <c r="M500" s="21" t="str">
        <f ca="1">IFERROR(__xludf.DUMMYFUNCTION("GOOGLETRANSLATE($B500,""en"",M$3)"),"Niet-fysieke Prim Size")</f>
        <v>Niet-fysieke Prim Size</v>
      </c>
      <c r="N500" s="21" t="str">
        <f ca="1">IFERROR(__xludf.DUMMYFUNCTION("GOOGLETRANSLATE($B500,""en"",N$3)"),"Μη φυσικές Prim Μέγεθος")</f>
        <v>Μη φυσικές Prim Μέγεθος</v>
      </c>
      <c r="O500" s="21" t="str">
        <f ca="1">IFERROR(__xludf.DUMMYFUNCTION("GOOGLETRANSLATE($B500,""en"",O$3)"),"Nonphysical Prim Koko")</f>
        <v>Nonphysical Prim Koko</v>
      </c>
      <c r="P500" s="21" t="str">
        <f ca="1">IFERROR(__xludf.DUMMYFUNCTION("GOOGLETRANSLATE($B500,""en"",P$3)"),"Nonphysical Méid Prim")</f>
        <v>Nonphysical Méid Prim</v>
      </c>
      <c r="Q500" s="21" t="str">
        <f ca="1">IFERROR(__xludf.DUMMYFUNCTION("GOOGLETRANSLATE($B500,""en"",Q$3)"),"غیر فیزیکی اندازه پریم")</f>
        <v>غیر فیزیکی اندازه پریم</v>
      </c>
      <c r="R500" s="21" t="str">
        <f ca="1">IFERROR(__xludf.DUMMYFUNCTION("GOOGLETRANSLATE($B500,""en"",R$3)"),"גודל פרים הלא-פיסיקלית")</f>
        <v>גודל פרים הלא-פיסיקלית</v>
      </c>
      <c r="S500" s="21" t="str">
        <f ca="1">IFERROR(__xludf.DUMMYFUNCTION("GOOGLETRANSLATE($B500,""en"",S$3)"),"Nonphysical Prim Stærð")</f>
        <v>Nonphysical Prim Stærð</v>
      </c>
      <c r="T500" s="21" t="str">
        <f ca="1">IFERROR(__xludf.DUMMYFUNCTION("GOOGLETRANSLATE($B500,""en"",T$3)"),"Ikke-fysisk Prim Size")</f>
        <v>Ikke-fysisk Prim Size</v>
      </c>
      <c r="U500" s="21" t="str">
        <f ca="1">IFERROR(__xludf.DUMMYFUNCTION("GOOGLETRANSLATE($B500,""en"",U$3)"),"غير المادية متزمت الحجم")</f>
        <v>غير المادية متزمت الحجم</v>
      </c>
      <c r="V500" s="21" t="str">
        <f ca="1">IFERROR(__xludf.DUMMYFUNCTION("GOOGLETRANSLATE($B500,""en"",V$3)"),"Niefizyczna Prim Rozmiar")</f>
        <v>Niefizyczna Prim Rozmiar</v>
      </c>
      <c r="W500" s="21" t="str">
        <f ca="1">IFERROR(__xludf.DUMMYFUNCTION("GOOGLETRANSLATE($B500,""en"",W$3)"),"Нефизический Prim Размер")</f>
        <v>Нефизический Prim Размер</v>
      </c>
      <c r="X500" s="21" t="str">
        <f ca="1">IFERROR(__xludf.DUMMYFUNCTION("GOOGLETRANSLATE($B500,""en"",X$3)"),"No física Prim Tamaño")</f>
        <v>No física Prim Tamaño</v>
      </c>
      <c r="Y500" s="21"/>
      <c r="Z500" s="21"/>
    </row>
    <row r="501" spans="1:26" ht="32.25" customHeight="1" x14ac:dyDescent="0.2">
      <c r="A501" s="17" t="s">
        <v>1109</v>
      </c>
      <c r="B501" s="17" t="s">
        <v>1110</v>
      </c>
      <c r="C501" s="21" t="str">
        <f ca="1">IFERROR(__xludf.DUMMYFUNCTION("GOOGLETRANSLATE($B501,""en"",C$3)"),"Sie können nicht regelmäßig prim größer als diese machen.")</f>
        <v>Sie können nicht regelmäßig prim größer als diese machen.</v>
      </c>
      <c r="D501" s="21" t="str">
        <f ca="1">IFERROR(__xludf.DUMMYFUNCTION("GOOGLETRANSLATE($B501,""en"",D$3)"),"Du kan inte göra en vanlig prim större än så.")</f>
        <v>Du kan inte göra en vanlig prim större än så.</v>
      </c>
      <c r="E501" s="21" t="str">
        <f ca="1">IFERROR(__xludf.DUMMYFUNCTION("GOOGLETRANSLATE($B501,""en"",E$3)"),"Você não pode fazer uma prim regulares maior do que isso.")</f>
        <v>Você não pode fazer uma prim regulares maior do que isso.</v>
      </c>
      <c r="F501" s="21" t="str">
        <f ca="1">IFERROR(__xludf.DUMMYFUNCTION("GOOGLETRANSLATE($B501,""en"",F$3)"),"Você não pode fazer uma prim regulares maior do que isso.")</f>
        <v>Você não pode fazer uma prim regulares maior do que isso.</v>
      </c>
      <c r="G501" s="21" t="str">
        <f ca="1">IFERROR(__xludf.DUMMYFUNCTION("GOOGLETRANSLATE($B501,""en"",G$3)"),"Vous ne pouvez pas faire une prim régulière plus que cela.")</f>
        <v>Vous ne pouvez pas faire une prim régulière plus que cela.</v>
      </c>
      <c r="H501" s="21" t="str">
        <f ca="1">IFERROR(__xludf.DUMMYFUNCTION("GOOGLETRANSLATE($B501,""en"",H$3)"),"Ezin duzu erregularra prim a hori baino handiagoa.")</f>
        <v>Ezin duzu erregularra prim a hori baino handiagoa.</v>
      </c>
      <c r="I501" s="21" t="str">
        <f ca="1">IFERROR(__xludf.DUMMYFUNCTION("GOOGLETRANSLATE($B501,""en"",I$3)"),"No es pot fer una prim regulars més gran que això.")</f>
        <v>No es pot fer una prim regulars més gran que això.</v>
      </c>
      <c r="J501" s="21" t="str">
        <f ca="1">IFERROR(__xludf.DUMMYFUNCTION("GOOGLETRANSLATE($B501,""en"",J$3)"),"Nemůžete dělat pravidelné prim větší, než je tato.")</f>
        <v>Nemůžete dělat pravidelné prim větší, než je tato.</v>
      </c>
      <c r="K501" s="21" t="str">
        <f ca="1">IFERROR(__xludf.DUMMYFUNCTION("GOOGLETRANSLATE($B501,""en"",K$3)"),"你不能让一个普通一本正经比这更大。")</f>
        <v>你不能让一个普通一本正经比这更大。</v>
      </c>
      <c r="L501" s="21" t="str">
        <f ca="1">IFERROR(__xludf.DUMMYFUNCTION("GOOGLETRANSLATE($B501,""en"",L$3)"),"你不能讓一個普通一本正經比這更大。")</f>
        <v>你不能讓一個普通一本正經比這更大。</v>
      </c>
      <c r="M501" s="21" t="str">
        <f ca="1">IFERROR(__xludf.DUMMYFUNCTION("GOOGLETRANSLATE($B501,""en"",M$3)"),"Je kunt niet een gewone prim groter dan dit te maken.")</f>
        <v>Je kunt niet een gewone prim groter dan dit te maken.</v>
      </c>
      <c r="N501" s="21" t="str">
        <f ca="1">IFERROR(__xludf.DUMMYFUNCTION("GOOGLETRANSLATE($B501,""en"",N$3)"),"Δεν μπορείτε να κάνετε μια κανονική prim μεγαλύτερο από αυτό.")</f>
        <v>Δεν μπορείτε να κάνετε μια κανονική prim μεγαλύτερο από αυτό.</v>
      </c>
      <c r="O501" s="21" t="str">
        <f ca="1">IFERROR(__xludf.DUMMYFUNCTION("GOOGLETRANSLATE($B501,""en"",O$3)"),"Et voi soittaa tavallisen Prim tätä suurempi.")</f>
        <v>Et voi soittaa tavallisen Prim tätä suurempi.</v>
      </c>
      <c r="P501" s="21" t="str">
        <f ca="1">IFERROR(__xludf.DUMMYFUNCTION("GOOGLETRANSLATE($B501,""en"",P$3)"),"Ní féidir leat a dhéanamh prim rialta níos mó ná sin.")</f>
        <v>Ní féidir leat a dhéanamh prim rialta níos mó ná sin.</v>
      </c>
      <c r="Q501" s="21" t="str">
        <f ca="1">IFERROR(__xludf.DUMMYFUNCTION("GOOGLETRANSLATE($B501,""en"",Q$3)"),"شما می توانید یک رسمی و خشک به طور منظم بزرگتر از این است.")</f>
        <v>شما می توانید یک رسمی و خشک به طور منظم بزرگتر از این است.</v>
      </c>
      <c r="R501" s="21" t="str">
        <f ca="1">IFERROR(__xludf.DUMMYFUNCTION("GOOGLETRANSLATE($B501,""en"",R$3)"),"אתה לא יכול לעשות פרים רגילים גדול מזה.")</f>
        <v>אתה לא יכול לעשות פרים רגילים גדול מזה.</v>
      </c>
      <c r="S501" s="21" t="str">
        <f ca="1">IFERROR(__xludf.DUMMYFUNCTION("GOOGLETRANSLATE($B501,""en"",S$3)"),"Þú getur ekki gert reglulega Prím stærri en þetta.")</f>
        <v>Þú getur ekki gert reglulega Prím stærri en þetta.</v>
      </c>
      <c r="T501" s="21" t="str">
        <f ca="1">IFERROR(__xludf.DUMMYFUNCTION("GOOGLETRANSLATE($B501,""en"",T$3)"),"Du kan ikke lage en vanlig prim større enn dette.")</f>
        <v>Du kan ikke lage en vanlig prim større enn dette.</v>
      </c>
      <c r="U501" s="21" t="str">
        <f ca="1">IFERROR(__xludf.DUMMYFUNCTION("GOOGLETRANSLATE($B501,""en"",U$3)"),"لا يمكنك جعل متزمت العادية أكبر من هذا.")</f>
        <v>لا يمكنك جعل متزمت العادية أكبر من هذا.</v>
      </c>
      <c r="V501" s="21" t="str">
        <f ca="1">IFERROR(__xludf.DUMMYFUNCTION("GOOGLETRANSLATE($B501,""en"",V$3)"),"Nie można zrobić zwykłym prim większy niż ten.")</f>
        <v>Nie można zrobić zwykłym prim większy niż ten.</v>
      </c>
      <c r="W501" s="21" t="str">
        <f ca="1">IFERROR(__xludf.DUMMYFUNCTION("GOOGLETRANSLATE($B501,""en"",W$3)"),"Вы не можете сделать обычный прима больше, чем это.")</f>
        <v>Вы не можете сделать обычный прима больше, чем это.</v>
      </c>
      <c r="X501" s="21" t="str">
        <f ca="1">IFERROR(__xludf.DUMMYFUNCTION("GOOGLETRANSLATE($B501,""en"",X$3)"),"No se puede hacer una prim regulares más grande que esto.")</f>
        <v>No se puede hacer una prim regulares más grande que esto.</v>
      </c>
      <c r="Y501" s="21"/>
      <c r="Z501" s="21"/>
    </row>
    <row r="502" spans="1:26" ht="32.25" customHeight="1" x14ac:dyDescent="0.2">
      <c r="A502" s="17" t="s">
        <v>1111</v>
      </c>
      <c r="B502" s="17" t="s">
        <v>1112</v>
      </c>
      <c r="C502" s="21" t="str">
        <f ca="1">IFERROR(__xludf.DUMMYFUNCTION("GOOGLETRANSLATE($B502,""en"",C$3)"),"Normalisieren Regionen")</f>
        <v>Normalisieren Regionen</v>
      </c>
      <c r="D502" s="21" t="str">
        <f ca="1">IFERROR(__xludf.DUMMYFUNCTION("GOOGLETRANSLATE($B502,""en"",D$3)"),"Normalisera Regioner")</f>
        <v>Normalisera Regioner</v>
      </c>
      <c r="E502" s="21" t="str">
        <f ca="1">IFERROR(__xludf.DUMMYFUNCTION("GOOGLETRANSLATE($B502,""en"",E$3)"),"Normalize Regiões")</f>
        <v>Normalize Regiões</v>
      </c>
      <c r="F502" s="21" t="str">
        <f ca="1">IFERROR(__xludf.DUMMYFUNCTION("GOOGLETRANSLATE($B502,""en"",F$3)"),"Normalize Regiões")</f>
        <v>Normalize Regiões</v>
      </c>
      <c r="G502" s="21" t="str">
        <f ca="1">IFERROR(__xludf.DUMMYFUNCTION("GOOGLETRANSLATE($B502,""en"",G$3)"),"régions Normalize")</f>
        <v>régions Normalize</v>
      </c>
      <c r="H502" s="21" t="str">
        <f ca="1">IFERROR(__xludf.DUMMYFUNCTION("GOOGLETRANSLATE($B502,""en"",H$3)"),"Normalkuntza Eskualde")</f>
        <v>Normalkuntza Eskualde</v>
      </c>
      <c r="I502" s="21" t="str">
        <f ca="1">IFERROR(__xludf.DUMMYFUNCTION("GOOGLETRANSLATE($B502,""en"",I$3)"),"normalitzar Regions")</f>
        <v>normalitzar Regions</v>
      </c>
      <c r="J502" s="21" t="str">
        <f ca="1">IFERROR(__xludf.DUMMYFUNCTION("GOOGLETRANSLATE($B502,""en"",J$3)"),"Regiony normalizovat")</f>
        <v>Regiony normalizovat</v>
      </c>
      <c r="K502" s="21" t="str">
        <f ca="1">IFERROR(__xludf.DUMMYFUNCTION("GOOGLETRANSLATE($B502,""en"",K$3)"),"正常化地区")</f>
        <v>正常化地区</v>
      </c>
      <c r="L502" s="21" t="str">
        <f ca="1">IFERROR(__xludf.DUMMYFUNCTION("GOOGLETRANSLATE($B502,""en"",L$3)"),"正常化地區")</f>
        <v>正常化地區</v>
      </c>
      <c r="M502" s="21" t="str">
        <f ca="1">IFERROR(__xludf.DUMMYFUNCTION("GOOGLETRANSLATE($B502,""en"",M$3)"),"normaliseren Regio")</f>
        <v>normaliseren Regio</v>
      </c>
      <c r="N502" s="21" t="str">
        <f ca="1">IFERROR(__xludf.DUMMYFUNCTION("GOOGLETRANSLATE($B502,""en"",N$3)"),"Κανονικοποίηση Περιφερειών")</f>
        <v>Κανονικοποίηση Περιφερειών</v>
      </c>
      <c r="O502" s="21" t="str">
        <f ca="1">IFERROR(__xludf.DUMMYFUNCTION("GOOGLETRANSLATE($B502,""en"",O$3)"),"normalisoitua Alueet")</f>
        <v>normalisoitua Alueet</v>
      </c>
      <c r="P502" s="21" t="str">
        <f ca="1">IFERROR(__xludf.DUMMYFUNCTION("GOOGLETRANSLATE($B502,""en"",P$3)"),"Réigiúin normalú")</f>
        <v>Réigiúin normalú</v>
      </c>
      <c r="Q502" s="21" t="str">
        <f ca="1">IFERROR(__xludf.DUMMYFUNCTION("GOOGLETRANSLATE($B502,""en"",Q$3)"),"عادی مناطق")</f>
        <v>عادی مناطق</v>
      </c>
      <c r="R502" s="21" t="str">
        <f ca="1">IFERROR(__xludf.DUMMYFUNCTION("GOOGLETRANSLATE($B502,""en"",R$3)"),"אזורים לנרמל")</f>
        <v>אזורים לנרמל</v>
      </c>
      <c r="S502" s="21" t="str">
        <f ca="1">IFERROR(__xludf.DUMMYFUNCTION("GOOGLETRANSLATE($B502,""en"",S$3)"),"Normalize Svæði")</f>
        <v>Normalize Svæði</v>
      </c>
      <c r="T502" s="21" t="str">
        <f ca="1">IFERROR(__xludf.DUMMYFUNCTION("GOOGLETRANSLATE($B502,""en"",T$3)"),"Normaliser Regioner")</f>
        <v>Normaliser Regioner</v>
      </c>
      <c r="U502" s="21" t="str">
        <f ca="1">IFERROR(__xludf.DUMMYFUNCTION("GOOGLETRANSLATE($B502,""en"",U$3)"),"المناطق تطبيع")</f>
        <v>المناطق تطبيع</v>
      </c>
      <c r="V502" s="21" t="str">
        <f ca="1">IFERROR(__xludf.DUMMYFUNCTION("GOOGLETRANSLATE($B502,""en"",V$3)"),"normalizować Regiony")</f>
        <v>normalizować Regiony</v>
      </c>
      <c r="W502" s="21" t="str">
        <f ca="1">IFERROR(__xludf.DUMMYFUNCTION("GOOGLETRANSLATE($B502,""en"",W$3)"),"Нормализация Регионы")</f>
        <v>Нормализация Регионы</v>
      </c>
      <c r="X502" s="21" t="str">
        <f ca="1">IFERROR(__xludf.DUMMYFUNCTION("GOOGLETRANSLATE($B502,""en"",X$3)"),"Normalizar Regiones")</f>
        <v>Normalizar Regiones</v>
      </c>
      <c r="Y502" s="21"/>
      <c r="Z502" s="21"/>
    </row>
    <row r="503" spans="1:26" ht="32.25" customHeight="1" x14ac:dyDescent="0.2">
      <c r="A503" s="17" t="s">
        <v>1113</v>
      </c>
      <c r="B503" s="17" t="s">
        <v>1114</v>
      </c>
      <c r="C503" s="21" t="str">
        <f ca="1">IFERROR(__xludf.DUMMYFUNCTION("GOOGLETRANSLATE($B503,""en"",C$3)"),"Normalerweise auf OutworldzFiles / Autobackup-Ordner mit ‚Autobackup‘. Klicken Sie auf den Ordner zu ändern.")</f>
        <v>Normalerweise auf OutworldzFiles / Autobackup-Ordner mit ‚Autobackup‘. Klicken Sie auf den Ordner zu ändern.</v>
      </c>
      <c r="D503" s="21" t="str">
        <f ca="1">IFERROR(__xludf.DUMMYFUNCTION("GOOGLETRANSLATE($B503,""en"",D$3)"),"Normalt inställd på OutworldzFiles / Autobackup mapp med 'Autobackup'. Klicka för att ändra mappen.")</f>
        <v>Normalt inställd på OutworldzFiles / Autobackup mapp med 'Autobackup'. Klicka för att ändra mappen.</v>
      </c>
      <c r="E503" s="21" t="str">
        <f ca="1">IFERROR(__xludf.DUMMYFUNCTION("GOOGLETRANSLATE($B503,""en"",E$3)"),"Normalmente definido para OutworldzFiles AutoBackup pasta / com 'AutoBackup'. Clique para alterar a pasta.")</f>
        <v>Normalmente definido para OutworldzFiles AutoBackup pasta / com 'AutoBackup'. Clique para alterar a pasta.</v>
      </c>
      <c r="F503" s="21" t="str">
        <f ca="1">IFERROR(__xludf.DUMMYFUNCTION("GOOGLETRANSLATE($B503,""en"",F$3)"),"Normalmente definido para OutworldzFiles AutoBackup pasta / com 'AutoBackup'. Clique para alterar a pasta.")</f>
        <v>Normalmente definido para OutworldzFiles AutoBackup pasta / com 'AutoBackup'. Clique para alterar a pasta.</v>
      </c>
      <c r="G503" s="21" t="str">
        <f ca="1">IFERROR(__xludf.DUMMYFUNCTION("GOOGLETRANSLATE($B503,""en"",G$3)"),"Normalement à OutworldzFiles / AutoBackup dossier avec « AutoBackup ». Cliquez pour modifier le dossier.")</f>
        <v>Normalement à OutworldzFiles / AutoBackup dossier avec « AutoBackup ». Cliquez pour modifier le dossier.</v>
      </c>
      <c r="H503" s="21" t="str">
        <f ca="1">IFERROR(__xludf.DUMMYFUNCTION("GOOGLETRANSLATE($B503,""en"",H$3)"),"Normalean OutworldzFiles / AutoBackup karpeta gisa ezarrita 'AutoBackup' batera. Klik karpeta aldatzeko.")</f>
        <v>Normalean OutworldzFiles / AutoBackup karpeta gisa ezarrita 'AutoBackup' batera. Klik karpeta aldatzeko.</v>
      </c>
      <c r="I503" s="21" t="str">
        <f ca="1">IFERROR(__xludf.DUMMYFUNCTION("GOOGLETRANSLATE($B503,""en"",I$3)"),"Normalment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J503" s="21" t="str">
        <f ca="1">IFERROR(__xludf.DUMMYFUNCTION("GOOGLETRANSLATE($B503,""en"",J$3)"),"Za normálních okolností nastavena na OutworldzFiles / AutoBackup složka s ‚automatické zálohování‘. Klikněte pro změnu složky.")</f>
        <v>Za normálních okolností nastavena na OutworldzFiles / AutoBackup složka s ‚automatické zálohování‘. Klikněte pro změnu složky.</v>
      </c>
      <c r="K503" s="21" t="str">
        <f ca="1">IFERROR(__xludf.DUMMYFUNCTION("GOOGLETRANSLATE($B503,""en"",K$3)"),"通常设置为OutworldzFiles /自动备份文件夹“自动备份”。单击更改文件夹。")</f>
        <v>通常设置为OutworldzFiles /自动备份文件夹“自动备份”。单击更改文件夹。</v>
      </c>
      <c r="L503" s="21" t="str">
        <f ca="1">IFERROR(__xludf.DUMMYFUNCTION("GOOGLETRANSLATE($B503,""en"",L$3)"),"通常設置為OutworldzFiles /自動備份文件夾“自動備份”。單擊更改文件夾。")</f>
        <v>通常設置為OutworldzFiles /自動備份文件夾“自動備份”。單擊更改文件夾。</v>
      </c>
      <c r="M503" s="21" t="str">
        <f ca="1">IFERROR(__xludf.DUMMYFUNCTION("GOOGLETRANSLATE($B503,""en"",M$3)"),"Normaal op OutworldzFiles / AutoBackup map met 'back-up''. Klik op de map te wijzigen.")</f>
        <v>Normaal op OutworldzFiles / AutoBackup map met 'back-up''. Klik op de map te wijzigen.</v>
      </c>
      <c r="N503" s="21" t="str">
        <f ca="1">IFERROR(__xludf.DUMMYFUNCTION("GOOGLETRANSLATE($B503,""en"",N$3)"),"Κανονικά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O503" s="21" t="str">
        <f ca="1">IFERROR(__xludf.DUMMYFUNCTION("GOOGLETRANSLATE($B503,""en"",O$3)"),"Normaalisti asetettu OutworldzFiles / AutoBackup kansion 'AutoBackup'. Klikkaa vaihtaa kansion.")</f>
        <v>Normaalisti asetettu OutworldzFiles / AutoBackup kansion 'AutoBackup'. Klikkaa vaihtaa kansion.</v>
      </c>
      <c r="P503" s="21" t="str">
        <f ca="1">IFERROR(__xludf.DUMMYFUNCTION("GOOGLETRANSLATE($B503,""en"",P$3)"),"De ghnáth a leagtar a OutworldzFiles / AutoBackup fillteán le 'AutoBackup'. Cliceáil chun athrú ar an fillteán.")</f>
        <v>De ghnáth a leagtar a OutworldzFiles / AutoBackup fillteán le 'AutoBackup'. Cliceáil chun athrú ar an fillteán.</v>
      </c>
      <c r="Q503" s="21" t="str">
        <f ca="1">IFERROR(__xludf.DUMMYFUNCTION("GOOGLETRANSLATE($B503,""en"",Q$3)"),"به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R503" s="21" t="str">
        <f ca="1">IFERROR(__xludf.DUMMYFUNCTION("GOOGLETRANSLATE($B503,""en"",R$3)"),"בדרך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S503" s="21" t="str">
        <f ca="1">IFERROR(__xludf.DUMMYFUNCTION("GOOGLETRANSLATE($B503,""en"",S$3)"),"Venjulega stillt á OutworldzFiles / sjálfvirkri afritun mappa með 'sjálfvirkri afritun "". Smelltu til að breyta möppu.")</f>
        <v>Venjulega stillt á OutworldzFiles / sjálfvirkri afritun mappa með 'sjálfvirkri afritun ". Smelltu til að breyta möppu.</v>
      </c>
      <c r="T503" s="21" t="str">
        <f ca="1">IFERROR(__xludf.DUMMYFUNCTION("GOOGLETRANSLATE($B503,""en"",T$3)"),"Normalt settes til OutworldzFiles / Auto mappe med 'Auto'. Klikk for å endre mappen.")</f>
        <v>Normalt settes til OutworldzFiles / Auto mappe med 'Auto'. Klikk for å endre mappen.</v>
      </c>
      <c r="U503" s="21" t="str">
        <f ca="1">IFERROR(__xludf.DUMMYFUNCTION("GOOGLETRANSLATE($B503,""en"",U$3)"),"وضع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V503" s="21" t="str">
        <f ca="1">IFERROR(__xludf.DUMMYFUNCTION("GOOGLETRANSLATE($B503,""en"",V$3)"),"Normalnie ustawiony na OutworldzFiles / AutoBackup folder z 'Automatyczna kopia zapasowa'. Kliknij, aby zmienić folder.")</f>
        <v>Normalnie ustawiony na OutworldzFiles / AutoBackup folder z 'Automatyczna kopia zapasowa'. Kliknij, aby zmienić folder.</v>
      </c>
      <c r="W503" s="21" t="str">
        <f ca="1">IFERROR(__xludf.DUMMYFUNCTION("GOOGLETRANSLATE($B503,""en"",W$3)"),"Обычно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X503" s="21" t="str">
        <f ca="1">IFERROR(__xludf.DUMMYFUNCTION("GOOGLETRANSLATE($B503,""en"",X$3)"),"Normalmente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c r="Y503" s="21"/>
      <c r="Z503" s="21"/>
    </row>
    <row r="504" spans="1:26" ht="32.25" customHeight="1" x14ac:dyDescent="0.2">
      <c r="A504" s="10" t="s">
        <v>18</v>
      </c>
      <c r="B504" s="10" t="s">
        <v>18</v>
      </c>
      <c r="C504" s="11" t="str">
        <f ca="1">IFERROR(__xludf.DUMMYFUNCTION("GOOGLETRANSLATE($B504,""en"",C$3)"),"norwegisch")</f>
        <v>norwegisch</v>
      </c>
      <c r="D504" s="11" t="str">
        <f ca="1">IFERROR(__xludf.DUMMYFUNCTION("GOOGLETRANSLATE($B504,""en"",D$3)"),"Norwegian")</f>
        <v>Norwegian</v>
      </c>
      <c r="E504" s="11" t="str">
        <f ca="1">IFERROR(__xludf.DUMMYFUNCTION("GOOGLETRANSLATE($B504,""en"",E$3)"),"norueguês")</f>
        <v>norueguês</v>
      </c>
      <c r="F504" s="11" t="str">
        <f ca="1">IFERROR(__xludf.DUMMYFUNCTION("GOOGLETRANSLATE($B504,""en"",F$3)"),"norueguês")</f>
        <v>norueguês</v>
      </c>
      <c r="G504" s="11" t="str">
        <f ca="1">IFERROR(__xludf.DUMMYFUNCTION("GOOGLETRANSLATE($B504,""en"",G$3)"),"norvégien")</f>
        <v>norvégien</v>
      </c>
      <c r="H504" s="11" t="str">
        <f ca="1">IFERROR(__xludf.DUMMYFUNCTION("GOOGLETRANSLATE($B504,""en"",H$3)"),"Norvegiako")</f>
        <v>Norvegiako</v>
      </c>
      <c r="I504" s="11" t="str">
        <f ca="1">IFERROR(__xludf.DUMMYFUNCTION("GOOGLETRANSLATE($B504,""en"",I$3)"),"noruec")</f>
        <v>noruec</v>
      </c>
      <c r="J504" s="11" t="str">
        <f ca="1">IFERROR(__xludf.DUMMYFUNCTION("GOOGLETRANSLATE($B504,""en"",J$3)"),"norský")</f>
        <v>norský</v>
      </c>
      <c r="K504" s="11" t="str">
        <f ca="1">IFERROR(__xludf.DUMMYFUNCTION("GOOGLETRANSLATE($B504,""en"",K$3)"),"挪威")</f>
        <v>挪威</v>
      </c>
      <c r="L504" s="11" t="str">
        <f ca="1">IFERROR(__xludf.DUMMYFUNCTION("GOOGLETRANSLATE($B504,""en"",L$3)"),"挪威")</f>
        <v>挪威</v>
      </c>
      <c r="M504" s="11" t="str">
        <f ca="1">IFERROR(__xludf.DUMMYFUNCTION("GOOGLETRANSLATE($B504,""en"",M$3)"),"Noors")</f>
        <v>Noors</v>
      </c>
      <c r="N504" s="11" t="str">
        <f ca="1">IFERROR(__xludf.DUMMYFUNCTION("GOOGLETRANSLATE($B504,""en"",N$3)"),"Νορβηγός")</f>
        <v>Νορβηγός</v>
      </c>
      <c r="O504" s="11" t="str">
        <f ca="1">IFERROR(__xludf.DUMMYFUNCTION("GOOGLETRANSLATE($B504,""en"",O$3)"),"Norjan kieli")</f>
        <v>Norjan kieli</v>
      </c>
      <c r="P504" s="11" t="str">
        <f ca="1">IFERROR(__xludf.DUMMYFUNCTION("GOOGLETRANSLATE($B504,""en"",P$3)"),"Gaeilge")</f>
        <v>Gaeilge</v>
      </c>
      <c r="Q504" s="11" t="str">
        <f ca="1">IFERROR(__xludf.DUMMYFUNCTION("GOOGLETRANSLATE($B504,""en"",Q$3)"),"نروژی")</f>
        <v>نروژی</v>
      </c>
      <c r="R504" s="11" t="str">
        <f ca="1">IFERROR(__xludf.DUMMYFUNCTION("GOOGLETRANSLATE($B504,""en"",R$3)"),"נורווגי")</f>
        <v>נורווגי</v>
      </c>
      <c r="S504" s="11" t="str">
        <f ca="1">IFERROR(__xludf.DUMMYFUNCTION("GOOGLETRANSLATE($B504,""en"",S$3)"),"norwegian")</f>
        <v>norwegian</v>
      </c>
      <c r="T504" s="11" t="str">
        <f ca="1">IFERROR(__xludf.DUMMYFUNCTION("GOOGLETRANSLATE($B504,""en"",T$3)"),"norsk")</f>
        <v>norsk</v>
      </c>
      <c r="U504" s="11" t="str">
        <f ca="1">IFERROR(__xludf.DUMMYFUNCTION("GOOGLETRANSLATE($B504,""en"",U$3)"),"النرويجية")</f>
        <v>النرويجية</v>
      </c>
      <c r="V504" s="11" t="str">
        <f ca="1">IFERROR(__xludf.DUMMYFUNCTION("GOOGLETRANSLATE($B504,""en"",V$3)"),"norweski")</f>
        <v>norweski</v>
      </c>
      <c r="W504" s="11" t="str">
        <f ca="1">IFERROR(__xludf.DUMMYFUNCTION("GOOGLETRANSLATE($B504,""en"",W$3)"),"Норвежский")</f>
        <v>Норвежский</v>
      </c>
      <c r="X504" s="11" t="str">
        <f ca="1">IFERROR(__xludf.DUMMYFUNCTION("GOOGLETRANSLATE($B504,""en"",X$3)"),"noruego")</f>
        <v>noruego</v>
      </c>
    </row>
    <row r="505" spans="1:26" ht="32.25" customHeight="1" x14ac:dyDescent="0.2">
      <c r="A505" s="17" t="s">
        <v>1115</v>
      </c>
      <c r="B505" s="17" t="s">
        <v>1116</v>
      </c>
      <c r="C505" s="18" t="s">
        <v>1117</v>
      </c>
      <c r="D505" s="12" t="str">
        <f ca="1">IFERROR(__xludf.DUMMYFUNCTION("GOOGLETRANSLATE($B503,""en"",D$3)"),"Normalt inställd på OutworldzFiles / Autobackup mapp med 'Autobackup'. Klicka för att ändra mappen.")</f>
        <v>Normalt inställd på OutworldzFiles / Autobackup mapp med 'Autobackup'. Klicka för att ändra mappen.</v>
      </c>
      <c r="E505" s="12" t="str">
        <f ca="1">IFERROR(__xludf.DUMMYFUNCTION("GOOGLETRANSLATE($B503,""en"",E$3)"),"Normalmente definido para OutworldzFiles AutoBackup pasta / com 'AutoBackup'. Clique para alterar a pasta.")</f>
        <v>Normalmente definido para OutworldzFiles AutoBackup pasta / com 'AutoBackup'. Clique para alterar a pasta.</v>
      </c>
      <c r="F505" s="12" t="str">
        <f ca="1">IFERROR(__xludf.DUMMYFUNCTION("GOOGLETRANSLATE($B503,""en"",F$3)"),"Normalmente definido para OutworldzFiles AutoBackup pasta / com 'AutoBackup'. Clique para alterar a pasta.")</f>
        <v>Normalmente definido para OutworldzFiles AutoBackup pasta / com 'AutoBackup'. Clique para alterar a pasta.</v>
      </c>
      <c r="G505" s="12" t="str">
        <f ca="1">IFERROR(__xludf.DUMMYFUNCTION("GOOGLETRANSLATE($B503,""en"",G$3)"),"Normalement à OutworldzFiles / AutoBackup dossier avec « AutoBackup ». Cliquez pour modifier le dossier.")</f>
        <v>Normalement à OutworldzFiles / AutoBackup dossier avec « AutoBackup ». Cliquez pour modifier le dossier.</v>
      </c>
      <c r="H505" s="12" t="str">
        <f ca="1">IFERROR(__xludf.DUMMYFUNCTION("GOOGLETRANSLATE($B503,""en"",H$3)"),"Normalean OutworldzFiles / AutoBackup karpeta gisa ezarrita 'AutoBackup' batera. Klik karpeta aldatzeko.")</f>
        <v>Normalean OutworldzFiles / AutoBackup karpeta gisa ezarrita 'AutoBackup' batera. Klik karpeta aldatzeko.</v>
      </c>
      <c r="I505" s="12" t="str">
        <f ca="1">IFERROR(__xludf.DUMMYFUNCTION("GOOGLETRANSLATE($B503,""en"",I$3)"),"Normalment a la carpeta OutworldzFiles / Còpia de seguretat automàtica amb 'Còpia de seguretat automàtica'. Feu clic per canviar la carpeta.")</f>
        <v>Normalment a la carpeta OutworldzFiles / Còpia de seguretat automàtica amb 'Còpia de seguretat automàtica'. Feu clic per canviar la carpeta.</v>
      </c>
      <c r="J505" s="12" t="str">
        <f ca="1">IFERROR(__xludf.DUMMYFUNCTION("GOOGLETRANSLATE($B503,""en"",J$3)"),"Za normálních okolností nastavena na OutworldzFiles / AutoBackup složka s ‚automatické zálohování‘. Klikněte pro změnu složky.")</f>
        <v>Za normálních okolností nastavena na OutworldzFiles / AutoBackup složka s ‚automatické zálohování‘. Klikněte pro změnu složky.</v>
      </c>
      <c r="K505" s="12" t="str">
        <f ca="1">IFERROR(__xludf.DUMMYFUNCTION("GOOGLETRANSLATE($B503,""en"",K$3)"),"通常设置为OutworldzFiles /自动备份文件夹“自动备份”。单击更改文件夹。")</f>
        <v>通常设置为OutworldzFiles /自动备份文件夹“自动备份”。单击更改文件夹。</v>
      </c>
      <c r="L505" s="12" t="str">
        <f ca="1">IFERROR(__xludf.DUMMYFUNCTION("GOOGLETRANSLATE($B503,""en"",L$3)"),"通常設置為OutworldzFiles /自動備份文件夾“自動備份”。單擊更改文件夾。")</f>
        <v>通常設置為OutworldzFiles /自動備份文件夾“自動備份”。單擊更改文件夾。</v>
      </c>
      <c r="M505" s="12" t="str">
        <f ca="1">IFERROR(__xludf.DUMMYFUNCTION("GOOGLETRANSLATE($B503,""en"",M$3)"),"Normaal op OutworldzFiles / AutoBackup map met 'back-up''. Klik op de map te wijzigen.")</f>
        <v>Normaal op OutworldzFiles / AutoBackup map met 'back-up''. Klik op de map te wijzigen.</v>
      </c>
      <c r="N505" s="12" t="str">
        <f ca="1">IFERROR(__xludf.DUMMYFUNCTION("GOOGLETRANSLATE($B503,""en"",N$3)"),"Κανονικά οριστεί σε OutworldzFiles / AutoBackup φάκελο με «AutoBackup». Κάντε κλικ για να αλλάξετε το φάκελο.")</f>
        <v>Κανονικά οριστεί σε OutworldzFiles / AutoBackup φάκελο με «AutoBackup». Κάντε κλικ για να αλλάξετε το φάκελο.</v>
      </c>
      <c r="O505" s="12" t="str">
        <f ca="1">IFERROR(__xludf.DUMMYFUNCTION("GOOGLETRANSLATE($B503,""en"",O$3)"),"Normaalisti asetettu OutworldzFiles / AutoBackup kansion 'AutoBackup'. Klikkaa vaihtaa kansion.")</f>
        <v>Normaalisti asetettu OutworldzFiles / AutoBackup kansion 'AutoBackup'. Klikkaa vaihtaa kansion.</v>
      </c>
      <c r="P505" s="12" t="str">
        <f ca="1">IFERROR(__xludf.DUMMYFUNCTION("GOOGLETRANSLATE($B503,""en"",P$3)"),"De ghnáth a leagtar a OutworldzFiles / AutoBackup fillteán le 'AutoBackup'. Cliceáil chun athrú ar an fillteán.")</f>
        <v>De ghnáth a leagtar a OutworldzFiles / AutoBackup fillteán le 'AutoBackup'. Cliceáil chun athrú ar an fillteán.</v>
      </c>
      <c r="Q505" s="12" t="str">
        <f ca="1">IFERROR(__xludf.DUMMYFUNCTION("GOOGLETRANSLATE($B503,""en"",Q$3)"),"به طور معمول به OutworldzFiles / AutoBackup می پوشه با 'AutoBackup می، تنظیم شده است. برای تغییر پوشه کلیک کنید.")</f>
        <v>به طور معمول به OutworldzFiles / AutoBackup می پوشه با 'AutoBackup می، تنظیم شده است. برای تغییر پوشه کلیک کنید.</v>
      </c>
      <c r="R505" s="12" t="str">
        <f ca="1">IFERROR(__xludf.DUMMYFUNCTION("GOOGLETRANSLATE($B503,""en"",R$3)"),"בדרך כלל מוגדר OutworldzFiles / גיבוי אוטומטי תיקייה עם ""גיבוי אוטומטי"". לחץ כדי לשנות את התיקייה.")</f>
        <v>בדרך כלל מוגדר OutworldzFiles / גיבוי אוטומטי תיקייה עם "גיבוי אוטומטי". לחץ כדי לשנות את התיקייה.</v>
      </c>
      <c r="S505" s="12" t="str">
        <f ca="1">IFERROR(__xludf.DUMMYFUNCTION("GOOGLETRANSLATE($B503,""en"",S$3)"),"Venjulega stillt á OutworldzFiles / sjálfvirkri afritun mappa með 'sjálfvirkri afritun "". Smelltu til að breyta möppu.")</f>
        <v>Venjulega stillt á OutworldzFiles / sjálfvirkri afritun mappa með 'sjálfvirkri afritun ". Smelltu til að breyta möppu.</v>
      </c>
      <c r="T505" s="12" t="str">
        <f ca="1">IFERROR(__xludf.DUMMYFUNCTION("GOOGLETRANSLATE($B503,""en"",T$3)"),"Normalt settes til OutworldzFiles / Auto mappe med 'Auto'. Klikk for å endre mappen.")</f>
        <v>Normalt settes til OutworldzFiles / Auto mappe med 'Auto'. Klikk for å endre mappen.</v>
      </c>
      <c r="U505" s="12" t="str">
        <f ca="1">IFERROR(__xludf.DUMMYFUNCTION("GOOGLETRANSLATE($B503,""en"",U$3)"),"وضع عادة OutworldzFiles / التحميل التلقائي مجلد ""التحميل التلقائي"". انقر لتغيير المجلد.")</f>
        <v>وضع عادة OutworldzFiles / التحميل التلقائي مجلد "التحميل التلقائي". انقر لتغيير المجلد.</v>
      </c>
      <c r="V505" s="12" t="str">
        <f ca="1">IFERROR(__xludf.DUMMYFUNCTION("GOOGLETRANSLATE($B503,""en"",V$3)"),"Normalnie ustawiony na OutworldzFiles / AutoBackup folder z 'Automatyczna kopia zapasowa'. Kliknij, aby zmienić folder.")</f>
        <v>Normalnie ustawiony na OutworldzFiles / AutoBackup folder z 'Automatyczna kopia zapasowa'. Kliknij, aby zmienić folder.</v>
      </c>
      <c r="W505" s="12" t="str">
        <f ca="1">IFERROR(__xludf.DUMMYFUNCTION("GOOGLETRANSLATE($B503,""en"",W$3)"),"Обычно устанавливается в OutworldzFiles / AutoBackup папку с «AutoBackup». Нажмите, чтобы изменить папку.")</f>
        <v>Обычно устанавливается в OutworldzFiles / AutoBackup папку с «AutoBackup». Нажмите, чтобы изменить папку.</v>
      </c>
      <c r="X505" s="12" t="str">
        <f ca="1">IFERROR(__xludf.DUMMYFUNCTION("GOOGLETRANSLATE($B503,""en"",X$3)"),"Normalmente en la carpeta OutworldzFiles / Copia de seguridad automática con 'Copia de seguridad automática'. Haga clic para cambiar la carpeta.")</f>
        <v>Normalmente en la carpeta OutworldzFiles / Copia de seguridad automática con 'Copia de seguridad automática'. Haga clic para cambiar la carpeta.</v>
      </c>
      <c r="Y505" s="12"/>
      <c r="Z505" s="12"/>
    </row>
    <row r="506" spans="1:26" ht="32.25" customHeight="1" x14ac:dyDescent="0.2">
      <c r="A506" s="17" t="s">
        <v>1118</v>
      </c>
      <c r="B506" s="17" t="s">
        <v>1119</v>
      </c>
      <c r="C506" s="18" t="s">
        <v>1120</v>
      </c>
      <c r="D506" s="12" t="str">
        <f ca="1">IFERROR(__xludf.DUMMYFUNCTION("GOOGLETRANSLATE($B505,""en"",D$3)"),"Detta verkar inte vidarebefordras till denna maskin i din router, så Hypergrid är inte tillgänglig. Detta kan möjligen fastställas genom 'Port Forwards' i din router. Se Hjälp-&gt; Port framåt.")</f>
        <v>Detta verkar inte vidarebefordras till denna maskin i din router, så Hypergrid är inte tillgänglig. Detta kan möjligen fastställas genom 'Port Forwards' i din router. Se Hjälp-&gt; Port framåt.</v>
      </c>
      <c r="E506" s="12" t="str">
        <f ca="1">IFERROR(__xludf.DUMMYFUNCTION("GOOGLETRANSLATE($B505,""en"",E$3)"),"Este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F506" s="12" t="str">
        <f ca="1">IFERROR(__xludf.DUMMYFUNCTION("GOOGLETRANSLATE($B505,""en"",F$3)"),"Este não parece ser encaminhados para esta máquina no seu roteador, então Hypergrid não está disponível. Isso pode, eventualmente, ser fixado por 'Porta Forwards' no seu roteador. Veja Ajuda-&gt; Porto envia.")</f>
        <v>Este não parece ser encaminhados para esta máquina no seu roteador, então Hypergrid não está disponível. Isso pode, eventualmente, ser fixado por 'Porta Forwards' no seu roteador. Veja Ajuda-&gt; Porto envia.</v>
      </c>
      <c r="G506" s="12" t="str">
        <f ca="1">IFERROR(__xludf.DUMMYFUNCTION("GOOGLETRANSLATE($B505,""en"",G$3)"),"Cela ne semble pas être transmis à cette machine dans votre routeur, donc Hypergrid n'est pas disponible. Cela peut éventuellement être fixé par « Avants Port » dans votre routeur. Voir Aide-&gt; Attaquants Port.")</f>
        <v>Cela ne semble pas être transmis à cette machine dans votre routeur, donc Hypergrid n'est pas disponible. Cela peut éventuellement être fixé par « Avants Port » dans votre routeur. Voir Aide-&gt; Attaquants Port.</v>
      </c>
      <c r="H506" s="12" t="str">
        <f ca="1">IFERROR(__xludf.DUMMYFUNCTION("GOOGLETRANSLATE($B505,""en"",H$3)"),"Ez dirudi makina hau birbidaltzea bideratzailea, beraz Hypergrid ez dago eskuragarri. Hau daitezkeen 'Port Aurrelariak' konpondu zure router batean. Ikusi Help-&gt; Port Aurrelariak.")</f>
        <v>Ez dirudi makina hau birbidaltzea bideratzailea, beraz Hypergrid ez dago eskuragarri. Hau daitezkeen 'Port Aurrelariak' konpondu zure router batean. Ikusi Help-&gt; Port Aurrelariak.</v>
      </c>
      <c r="I506" s="12" t="str">
        <f ca="1">IFERROR(__xludf.DUMMYFUNCTION("GOOGLETRANSLATE($B505,""en"",I$3)"),"Això no sembla que es remetrà a aquesta màquina en el seu router, per la qual Hypergrid no està disponible. Això possiblement pot ser fixat per 'port reenvia' en el seu router. Veure Ajuda-&gt; port reenvia.")</f>
        <v>Això no sembla que es remetrà a aquesta màquina en el seu router, per la qual Hypergrid no està disponible. Això possiblement pot ser fixat per 'port reenvia' en el seu router. Veure Ajuda-&gt; port reenvia.</v>
      </c>
      <c r="J506" s="12" t="str">
        <f ca="1">IFERROR(__xludf.DUMMYFUNCTION("GOOGLETRANSLATE($B505,""en"",J$3)"),"To se nezdá být předány k tomuto počítači ve svém směrovači, takže Hypergrid není k dispozici. Toto může být případně stanovena ‚Port Dopředu‘ v routeru. Viz Nápověda-&gt; port dopředu.")</f>
        <v>To se nezdá být předány k tomuto počítači ve svém směrovači, takže Hypergrid není k dispozici. Toto může být případně stanovena ‚Port Dopředu‘ v routeru. Viz Nápověda-&gt; port dopředu.</v>
      </c>
      <c r="K506" s="12" t="str">
        <f ca="1">IFERROR(__xludf.DUMMYFUNCTION("GOOGLETRANSLATE($B505,""en"",K$3)"),"这不会出现在你的路由器转发到本机，所以Hypergrid不可用。这可能可以通过“端口转发”在你的路由器固定。参见帮助 - &gt;端口转发。")</f>
        <v>这不会出现在你的路由器转发到本机，所以Hypergrid不可用。这可能可以通过“端口转发”在你的路由器固定。参见帮助 - &gt;端口转发。</v>
      </c>
      <c r="L506" s="12" t="str">
        <f ca="1">IFERROR(__xludf.DUMMYFUNCTION("GOOGLETRANSLATE($B505,""en"",L$3)"),"這不會出現在你的路由器轉發到本機，所以Hypergrid不可用。這可能可以通過“端口轉發”在你的路由器固定。參見幫助 - &gt;端口轉發。")</f>
        <v>這不會出現在你的路由器轉發到本機，所以Hypergrid不可用。這可能可以通過“端口轉發”在你的路由器固定。參見幫助 - &gt;端口轉發。</v>
      </c>
      <c r="M506" s="12" t="str">
        <f ca="1">IFERROR(__xludf.DUMMYFUNCTION("GOOGLETRANSLATE($B505,""en"",M$3)"),"Dit lijkt niet te worden gericht aan deze machine in uw router, dus HyperGrid is niet beschikbaar. Dit kan mogelijk worden opgelost door 'Port Forwards' in je router. Zie Help-&gt; Port Forwards.")</f>
        <v>Dit lijkt niet te worden gericht aan deze machine in uw router, dus HyperGrid is niet beschikbaar. Dit kan mogelijk worden opgelost door 'Port Forwards' in je router. Zie Help-&gt; Port Forwards.</v>
      </c>
      <c r="N506" s="12" t="str">
        <f ca="1">IFERROR(__xludf.DUMMYFUNCTION("GOOGLETRANSLATE($B505,""en"",N$3)"),"Αυτό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f>
        <v>Αυτό δεν φαίνεται να διαβιβαστεί σε αυτό το μηχάνημα στο δρομολογητή σας, έτσι ώστε Hypergrid δεν είναι διαθέσιμη. Αυτό μπορεί ενδεχομένως να καθοριστεί από το «Λιμάνι Εμπρός» στο router σας. Δείτε Βοήθεια-&gt; Port Εμπρός.</v>
      </c>
      <c r="O506" s="12" t="str">
        <f ca="1">IFERROR(__xludf.DUMMYFUNCTION("GOOGLETRANSLATE($B505,""en"",O$3)"),"Tämä ei näytä toimitetaan tämän koneen reititin, joten Hypergrid ei ole käytettävissä. Tämä voidaan mahdollisesti vahvistetaan 'Port Hyökkääjät' reitittimessä. Katso Ohje&gt; Port Hyökkääjät.")</f>
        <v>Tämä ei näytä toimitetaan tämän koneen reititin, joten Hypergrid ei ole käytettävissä. Tämä voidaan mahdollisesti vahvistetaan 'Port Hyökkääjät' reitittimessä. Katso Ohje&gt; Port Hyökkääjät.</v>
      </c>
      <c r="P506" s="12" t="str">
        <f ca="1">IFERROR(__xludf.DUMMYFUNCTION("GOOGLETRANSLATE($B505,""en"",P$3)"),"Ní bhaineann sé seo cosúil go bhfuil ar aghaidh chuig an meaisín i do ródaire, mar sin nach bhfuil Hypergrid fáil. Is féidir é seo a shocrú, b'fhéidir, ag 'Port Réamhchonarthaí' i do ródaire. Féach Cabhair-&gt; Tús Eolais Port Réamhchonarthaí.")</f>
        <v>Ní bhaineann sé seo cosúil go bhfuil ar aghaidh chuig an meaisín i do ródaire, mar sin nach bhfuil Hypergrid fáil. Is féidir é seo a shocrú, b'fhéidir, ag 'Port Réamhchonarthaí' i do ródaire. Féach Cabhair-&gt; Tús Eolais Port Réamhchonarthaí.</v>
      </c>
      <c r="Q506" s="12" t="str">
        <f ca="1">IFERROR(__xludf.DUMMYFUNCTION("GOOGLETRANSLATE($B505,""en"",Q$3)"),"این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f>
        <v>این به نظر نمی رسد در روتر خود را به این دستگاه فرستاده می شود، به طوری که Hypergrid در دسترس نیست. این احتمالا می تواند توسط "بندر مهاجمان در روتر خود را ثابت شود. راهنما&gt; بندر مهاجمان را مشاهده کنید.</v>
      </c>
      <c r="R506" s="12" t="str">
        <f ca="1">IFERROR(__xludf.DUMMYFUNCTION("GOOGLETRANSLATE($B505,""en"",R$3)"),"זה לא נראה יועבר אל המחשב הזה ב הנתב, כך Hypergrid אינו זמין. זה יכול אולי להיות קבוע על ידי ""פורט פורוורד"" ב הנתב. ראה Help-&gt; נמל חלוצים.")</f>
        <v>זה לא נראה יועבר אל המחשב הזה ב הנתב, כך Hypergrid אינו זמין. זה יכול אולי להיות קבוע על ידי "פורט פורוורד" ב הנתב. ראה Help-&gt; נמל חלוצים.</v>
      </c>
      <c r="S506" s="12" t="str">
        <f ca="1">IFERROR(__xludf.DUMMYFUNCTION("GOOGLETRANSLATE($B505,""en"",S$3)"),"Þetta virðist ekki vera fluttur á vél í beininum, svo Hypergrid er ekki í boði. Þetta getur hugsanlega verið fastur með ""Port Framherjar 'á leið. Sjá Hjálp-&gt; Port áfram.")</f>
        <v>Þetta virðist ekki vera fluttur á vél í beininum, svo Hypergrid er ekki í boði. Þetta getur hugsanlega verið fastur með "Port Framherjar 'á leið. Sjá Hjálp-&gt; Port áfram.</v>
      </c>
      <c r="T506" s="12" t="str">
        <f ca="1">IFERROR(__xludf.DUMMYFUNCTION("GOOGLETRANSLATE($B505,""en"",T$3)"),"Dette ser ikke ut til å bli videresendt til denne maskinen i ruteren, så Hypergrid er ikke tilgjengelig. Dette kan muligens bli løst ved 'Port Forwards' i ruteren. Se Hjelp-&gt; Port Forwards.")</f>
        <v>Dette ser ikke ut til å bli videresendt til denne maskinen i ruteren, så Hypergrid er ikke tilgjengelig. Dette kan muligens bli løst ved 'Port Forwards' i ruteren. Se Hjelp-&gt; Port Forwards.</v>
      </c>
      <c r="U506" s="12" t="str">
        <f ca="1">IFERROR(__xludf.DUMMYFUNCTION("GOOGLETRANSLATE($B505,""en"",U$3)"),"هذا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f>
        <v>هذا لا يبدو أن تحال إلى هذا الجهاز في جهاز التوجيه الخاص بك، لذلك Hypergrid غير متوفر. وهذا يمكن أن ربما تكون ثابتة عن طريق "ميناء مهاجمون" في جهاز التوجيه الخاص بك. انظر مساعدة-&gt; ميناء للهجوم.</v>
      </c>
      <c r="V506" s="12" t="str">
        <f ca="1">IFERROR(__xludf.DUMMYFUNCTION("GOOGLETRANSLATE($B505,""en"",V$3)"),"To nie wydaje się być przesyłane do urządzenia w routerze, tak Hypergrid nie jest dostępna. To może być ewentualnie ustalona przez „Port Forward” w routerze. Zobacz Pomoc-&gt; Port przodu.")</f>
        <v>To nie wydaje się być przesyłane do urządzenia w routerze, tak Hypergrid nie jest dostępna. To może być ewentualnie ustalona przez „Port Forward” w routerze. Zobacz Pomoc-&gt; Port przodu.</v>
      </c>
      <c r="W506" s="12" t="str">
        <f ca="1">IFERROR(__xludf.DUMMYFUNCTION("GOOGLETRANSLATE($B505,""en"",W$3)"),"Это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f>
        <v>Это не по всей видимости, направлены на эту машину в маршрутизаторе, так Hypergrid не доступен. Это может возможно быть исправлено «Port форвардов» в маршрутизаторе. См Справка-&gt; Порт форвардов.</v>
      </c>
      <c r="X506" s="12" t="str">
        <f ca="1">IFERROR(__xludf.DUMMYFUNCTION("GOOGLETRANSLATE($B505,""en"",X$3)"),"Esto no parece que se remitirá a esta máquina en su router, por lo Hypergrid no está disponible. Esto posiblemente puede ser fijado por 'puerto reenvía' en su router. Ver Ayuda-&gt; puerto reenvía.")</f>
        <v>Esto no parece que se remitirá a esta máquina en su router, por lo Hypergrid no está disponible. Esto posiblemente puede ser fijado por 'puerto reenvía' en su router. Ver Ayuda-&gt; puerto reenvía.</v>
      </c>
      <c r="Y506" s="12"/>
      <c r="Z506" s="12"/>
    </row>
    <row r="507" spans="1:26" ht="32.25" customHeight="1" x14ac:dyDescent="0.2">
      <c r="A507" s="17" t="s">
        <v>1121</v>
      </c>
      <c r="B507" s="17" t="s">
        <v>1122</v>
      </c>
      <c r="C507" s="21" t="str">
        <f ca="1">IFERROR(__xludf.DUMMYFUNCTION("GOOGLETRANSLATE($B507,""en"",C$3)"),"Opensim läuft nicht.")</f>
        <v>Opensim läuft nicht.</v>
      </c>
      <c r="D507" s="21" t="str">
        <f ca="1">IFERROR(__xludf.DUMMYFUNCTION("GOOGLETRANSLATE($B507,""en"",D$3)"),"Opensim körs inte.")</f>
        <v>Opensim körs inte.</v>
      </c>
      <c r="E507" s="21" t="str">
        <f ca="1">IFERROR(__xludf.DUMMYFUNCTION("GOOGLETRANSLATE($B507,""en"",E$3)"),"Opensim não está em execução.")</f>
        <v>Opensim não está em execução.</v>
      </c>
      <c r="F507" s="21" t="str">
        <f ca="1">IFERROR(__xludf.DUMMYFUNCTION("GOOGLETRANSLATE($B507,""en"",F$3)"),"Opensim não está em execução.")</f>
        <v>Opensim não está em execução.</v>
      </c>
      <c r="G507" s="21" t="str">
        <f ca="1">IFERROR(__xludf.DUMMYFUNCTION("GOOGLETRANSLATE($B507,""en"",G$3)"),"OpenSim ne fonctionne pas.")</f>
        <v>OpenSim ne fonctionne pas.</v>
      </c>
      <c r="H507" s="21" t="str">
        <f ca="1">IFERROR(__xludf.DUMMYFUNCTION("GOOGLETRANSLATE($B507,""en"",H$3)"),"Opensim ez dago martxan.")</f>
        <v>Opensim ez dago martxan.</v>
      </c>
      <c r="I507" s="21" t="str">
        <f ca="1">IFERROR(__xludf.DUMMYFUNCTION("GOOGLETRANSLATE($B507,""en"",I$3)"),"Opensim no s'està executant.")</f>
        <v>Opensim no s'està executant.</v>
      </c>
      <c r="J507" s="21" t="str">
        <f ca="1">IFERROR(__xludf.DUMMYFUNCTION("GOOGLETRANSLATE($B507,""en"",J$3)"),"Opensim neběží.")</f>
        <v>Opensim neběží.</v>
      </c>
      <c r="K507" s="21" t="str">
        <f ca="1">IFERROR(__xludf.DUMMYFUNCTION("GOOGLETRANSLATE($B507,""en"",K$3)"),"的OpenSim没有运行。")</f>
        <v>的OpenSim没有运行。</v>
      </c>
      <c r="L507" s="21" t="str">
        <f ca="1">IFERROR(__xludf.DUMMYFUNCTION("GOOGLETRANSLATE($B507,""en"",L$3)"),"的OpenSim沒有運行。")</f>
        <v>的OpenSim沒有運行。</v>
      </c>
      <c r="M507" s="21" t="str">
        <f ca="1">IFERROR(__xludf.DUMMYFUNCTION("GOOGLETRANSLATE($B507,""en"",M$3)"),"OpenSim is niet actief.")</f>
        <v>OpenSim is niet actief.</v>
      </c>
      <c r="N507" s="21" t="str">
        <f ca="1">IFERROR(__xludf.DUMMYFUNCTION("GOOGLETRANSLATE($B507,""en"",N$3)"),"Opensim δεν εκτελείται.")</f>
        <v>Opensim δεν εκτελείται.</v>
      </c>
      <c r="O507" s="21" t="str">
        <f ca="1">IFERROR(__xludf.DUMMYFUNCTION("GOOGLETRANSLATE($B507,""en"",O$3)"),"Opensim ei ole käynnissä.")</f>
        <v>Opensim ei ole käynnissä.</v>
      </c>
      <c r="P507" s="21" t="str">
        <f ca="1">IFERROR(__xludf.DUMMYFUNCTION("GOOGLETRANSLATE($B507,""en"",P$3)"),"Nach bhfuil Opensim ag rith.")</f>
        <v>Nach bhfuil Opensim ag rith.</v>
      </c>
      <c r="Q507" s="21" t="str">
        <f ca="1">IFERROR(__xludf.DUMMYFUNCTION("GOOGLETRANSLATE($B507,""en"",Q$3)"),"Opensim حال اجرا نیست.")</f>
        <v>Opensim حال اجرا نیست.</v>
      </c>
      <c r="R507" s="21" t="str">
        <f ca="1">IFERROR(__xludf.DUMMYFUNCTION("GOOGLETRANSLATE($B507,""en"",R$3)"),"Opensim אינו פועל.")</f>
        <v>Opensim אינו פועל.</v>
      </c>
      <c r="S507" s="21" t="str">
        <f ca="1">IFERROR(__xludf.DUMMYFUNCTION("GOOGLETRANSLATE($B507,""en"",S$3)"),"Opensim er ekki í gangi.")</f>
        <v>Opensim er ekki í gangi.</v>
      </c>
      <c r="T507" s="21" t="str">
        <f ca="1">IFERROR(__xludf.DUMMYFUNCTION("GOOGLETRANSLATE($B507,""en"",T$3)"),"OpenSim kjører ikke.")</f>
        <v>OpenSim kjører ikke.</v>
      </c>
      <c r="U507" s="21" t="str">
        <f ca="1">IFERROR(__xludf.DUMMYFUNCTION("GOOGLETRANSLATE($B507,""en"",U$3)"),"Opensim ليست قيد التشغيل.")</f>
        <v>Opensim ليست قيد التشغيل.</v>
      </c>
      <c r="V507" s="21" t="str">
        <f ca="1">IFERROR(__xludf.DUMMYFUNCTION("GOOGLETRANSLATE($B507,""en"",V$3)"),"Opensim nie jest uruchomiony.")</f>
        <v>Opensim nie jest uruchomiony.</v>
      </c>
      <c r="W507" s="21" t="str">
        <f ca="1">IFERROR(__xludf.DUMMYFUNCTION("GOOGLETRANSLATE($B507,""en"",W$3)"),"OpenSim не работает.")</f>
        <v>OpenSim не работает.</v>
      </c>
      <c r="X507" s="21" t="str">
        <f ca="1">IFERROR(__xludf.DUMMYFUNCTION("GOOGLETRANSLATE($B507,""en"",X$3)"),"Opensim no se está ejecutando.")</f>
        <v>Opensim no se está ejecutando.</v>
      </c>
      <c r="Y507" s="21"/>
      <c r="Z507" s="21"/>
    </row>
    <row r="508" spans="1:26" ht="32.25" customHeight="1" x14ac:dyDescent="0.2">
      <c r="A508" s="17" t="s">
        <v>1123</v>
      </c>
      <c r="B508" s="17" t="s">
        <v>1124</v>
      </c>
      <c r="C508" s="21" t="str">
        <f ca="1">IFERROR(__xludf.DUMMYFUNCTION("GOOGLETRANSLATE($B508,""en"",C$3)"),"Die Opensimulator-Konsole wird nicht angezeigt. Sie können immer noch mit ihm mit Hilfe-&gt; Opensim Konsole interagieren")</f>
        <v>Die Opensimulator-Konsole wird nicht angezeigt. Sie können immer noch mit ihm mit Hilfe-&gt; Opensim Konsole interagieren</v>
      </c>
      <c r="D508" s="21" t="str">
        <f ca="1">IFERROR(__xludf.DUMMYFUNCTION("GOOGLETRANSLATE($B508,""en"",D$3)"),"Den Opensimulator Console kommer inte att visas. Du kan fortfarande interagera med det med Hjälp-&gt; Opensim Console")</f>
        <v>Den Opensimulator Console kommer inte att visas. Du kan fortfarande interagera med det med Hjälp-&gt; Opensim Console</v>
      </c>
      <c r="E508" s="21" t="str">
        <f ca="1">IFERROR(__xludf.DUMMYFUNCTION("GOOGLETRANSLATE($B508,""en"",E$3)"),"O Console OpenSimulator não será exibido. Você ainda pode interagir com ele com Ajuda-&gt; Opensim Console")</f>
        <v>O Console OpenSimulator não será exibido. Você ainda pode interagir com ele com Ajuda-&gt; Opensim Console</v>
      </c>
      <c r="F508" s="21" t="str">
        <f ca="1">IFERROR(__xludf.DUMMYFUNCTION("GOOGLETRANSLATE($B508,""en"",F$3)"),"O Console OpenSimulator não será exibido. Você ainda pode interagir com ele com Ajuda-&gt; Opensim Console")</f>
        <v>O Console OpenSimulator não será exibido. Você ainda pode interagir com ele com Ajuda-&gt; Opensim Console</v>
      </c>
      <c r="G508" s="21" t="str">
        <f ca="1">IFERROR(__xludf.DUMMYFUNCTION("GOOGLETRANSLATE($B508,""en"",G$3)"),"La console OpenSim ne sera pas affiché. Vous pouvez interagir avec toujours avec Aide-&gt; Opensim Console")</f>
        <v>La console OpenSim ne sera pas affiché. Vous pouvez interagir avec toujours avec Aide-&gt; Opensim Console</v>
      </c>
      <c r="H508" s="21" t="str">
        <f ca="1">IFERROR(__xludf.DUMMYFUNCTION("GOOGLETRANSLATE($B508,""en"",H$3)"),"Opensimulator Kontsola ez dira erakutsiko. harekin Oraindik ere elkarreragin Help-&gt; Opensim kontsolarekin")</f>
        <v>Opensimulator Kontsola ez dira erakutsiko. harekin Oraindik ere elkarreragin Help-&gt; Opensim kontsolarekin</v>
      </c>
      <c r="I508" s="21" t="str">
        <f ca="1">IFERROR(__xludf.DUMMYFUNCTION("GOOGLETRANSLATE($B508,""en"",I$3)"),"No es mostrarà la consola de OpenSimulator. Encara es pot interactuar amb ell amb Ajuda-&gt; Opensim consola")</f>
        <v>No es mostrarà la consola de OpenSimulator. Encara es pot interactuar amb ell amb Ajuda-&gt; Opensim consola</v>
      </c>
      <c r="J508" s="21" t="str">
        <f ca="1">IFERROR(__xludf.DUMMYFUNCTION("GOOGLETRANSLATE($B508,""en"",J$3)"),"Opensimulator Console nebude zobrazen. Stále můžete komunikovat s ním se Nápověda-&gt; Opensim Console")</f>
        <v>Opensimulator Console nebude zobrazen. Stále můžete komunikovat s ním se Nápověda-&gt; Opensim Console</v>
      </c>
      <c r="K508" s="21" t="str">
        <f ca="1">IFERROR(__xludf.DUMMYFUNCTION("GOOGLETRANSLATE($B508,""en"",K$3)"),"该Opensimulator控制台将不显示。你仍然可以与它进行交互与帮助 - &gt;的OpenSim控制台")</f>
        <v>该Opensimulator控制台将不显示。你仍然可以与它进行交互与帮助 - &gt;的OpenSim控制台</v>
      </c>
      <c r="L508" s="21" t="str">
        <f ca="1">IFERROR(__xludf.DUMMYFUNCTION("GOOGLETRANSLATE($B508,""en"",L$3)"),"該Opensimulator控制台將不顯示。你仍然可以與它進行交互與幫助 - &gt;的OpenSim控制台")</f>
        <v>該Opensimulator控制台將不顯示。你仍然可以與它進行交互與幫助 - &gt;的OpenSim控制台</v>
      </c>
      <c r="M508" s="21" t="str">
        <f ca="1">IFERROR(__xludf.DUMMYFUNCTION("GOOGLETRANSLATE($B508,""en"",M$3)"),"De OpenSimulator console niet weergegeven. U kunt nog steeds met het communiceren met Help-&gt; OpenSim Console")</f>
        <v>De OpenSimulator console niet weergegeven. U kunt nog steeds met het communiceren met Help-&gt; OpenSim Console</v>
      </c>
      <c r="N508" s="21" t="str">
        <f ca="1">IFERROR(__xludf.DUMMYFUNCTION("GOOGLETRANSLATE($B508,""en"",N$3)"),"Η κονσόλα OpenSimulator δεν θα εμφανίζονται. Μπορείτε ακόμα να αλληλεπιδρούν με το με Βοήθεια-&gt; Opensim Κονσόλα")</f>
        <v>Η κονσόλα OpenSimulator δεν θα εμφανίζονται. Μπορείτε ακόμα να αλληλεπιδρούν με το με Βοήθεια-&gt; Opensim Κονσόλα</v>
      </c>
      <c r="O508" s="21" t="str">
        <f ca="1">IFERROR(__xludf.DUMMYFUNCTION("GOOGLETRANSLATE($B508,""en"",O$3)"),"Opensimulator Console ei näytetä. Voit silti vuorovaikutuksessa sen kanssa Ohje-&gt; Opensim Console")</f>
        <v>Opensimulator Console ei näytetä. Voit silti vuorovaikutuksessa sen kanssa Ohje-&gt; Opensim Console</v>
      </c>
      <c r="P508" s="21" t="str">
        <f ca="1">IFERROR(__xludf.DUMMYFUNCTION("GOOGLETRANSLATE($B508,""en"",P$3)"),"Ní bheidh an Console Opensimulator a thaispeáint. Is féidir leat idirghníomhú go fóill leis le Cabhair-&gt; Tús Eolais Opensim Console")</f>
        <v>Ní bheidh an Console Opensimulator a thaispeáint. Is féidir leat idirghníomhú go fóill leis le Cabhair-&gt; Tús Eolais Opensim Console</v>
      </c>
      <c r="Q508" s="21" t="str">
        <f ca="1">IFERROR(__xludf.DUMMYFUNCTION("GOOGLETRANSLATE($B508,""en"",Q$3)"),"Opensimulator کنسول نشان داده نمی شود. شما هنوز هم می توانید با آن ارتباط برقرار کردن با راهنما&gt; Opensim کنسول")</f>
        <v>Opensimulator کنسول نشان داده نمی شود. شما هنوز هم می توانید با آن ارتباط برقرار کردن با راهنما&gt; Opensim کنسول</v>
      </c>
      <c r="R508" s="21" t="str">
        <f ca="1">IFERROR(__xludf.DUMMYFUNCTION("GOOGLETRANSLATE($B508,""en"",R$3)"),"מסוף Opensimulator לא יוצג. אתה עדיין יכול לקיים אינטראקציה עם זה עם Help-&gt; מסוף Opensim")</f>
        <v>מסוף Opensimulator לא יוצג. אתה עדיין יכול לקיים אינטראקציה עם זה עם Help-&gt; מסוף Opensim</v>
      </c>
      <c r="S508" s="21" t="str">
        <f ca="1">IFERROR(__xludf.DUMMYFUNCTION("GOOGLETRANSLATE($B508,""en"",S$3)"),"The Opensimulator Console verður ekki sýnd. Þú getur samt hafa samskipti við hann með Hjálp-&gt; Opensim Console")</f>
        <v>The Opensimulator Console verður ekki sýnd. Þú getur samt hafa samskipti við hann með Hjálp-&gt; Opensim Console</v>
      </c>
      <c r="T508" s="21" t="str">
        <f ca="1">IFERROR(__xludf.DUMMYFUNCTION("GOOGLETRANSLATE($B508,""en"",T$3)"),"Den Opensimulator Console vil ikke bli vist. Du kan fortsatt samhandle med det med Hjelp-&gt; OpenSim Console")</f>
        <v>Den Opensimulator Console vil ikke bli vist. Du kan fortsatt samhandle med det med Hjelp-&gt; OpenSim Console</v>
      </c>
      <c r="U508" s="21" t="str">
        <f ca="1">IFERROR(__xludf.DUMMYFUNCTION("GOOGLETRANSLATE($B508,""en"",U$3)"),"ولن تظهر وحدة التحكم Opensimulator. لا يزال بإمكانك التفاعل معها مع مساعدة-&gt; Opensim وحدة التحكم")</f>
        <v>ولن تظهر وحدة التحكم Opensimulator. لا يزال بإمكانك التفاعل معها مع مساعدة-&gt; Opensim وحدة التحكم</v>
      </c>
      <c r="V508" s="21" t="str">
        <f ca="1">IFERROR(__xludf.DUMMYFUNCTION("GOOGLETRANSLATE($B508,""en"",V$3)"),"nie zostanie pokazany Opensimulator Console. Nadal można z nim kontaktować z Pomoc-&gt; Opensim Console")</f>
        <v>nie zostanie pokazany Opensimulator Console. Nadal można z nim kontaktować z Pomoc-&gt; Opensim Console</v>
      </c>
      <c r="W508" s="21" t="str">
        <f ca="1">IFERROR(__xludf.DUMMYFUNCTION("GOOGLETRANSLATE($B508,""en"",W$3)"),"OpenSimulator консоли не будет отображаться. Вы все еще можете взаимодействовать с ним с Помощь-&gt; OpenSim консоли")</f>
        <v>OpenSimulator консоли не будет отображаться. Вы все еще можете взаимодействовать с ним с Помощь-&gt; OpenSim консоли</v>
      </c>
      <c r="X508" s="21" t="str">
        <f ca="1">IFERROR(__xludf.DUMMYFUNCTION("GOOGLETRANSLATE($B508,""en"",X$3)"),"No se mostrará la consola de OpenSimulator. Todavía se puede interactuar con él con Ayuda-&gt; Opensim consola")</f>
        <v>No se mostrará la consola de OpenSimulator. Todavía se puede interactuar con él con Ayuda-&gt; Opensim consola</v>
      </c>
      <c r="Y508" s="21"/>
      <c r="Z508" s="21"/>
    </row>
    <row r="509" spans="1:26" ht="32.25" customHeight="1" x14ac:dyDescent="0.2">
      <c r="A509" s="17" t="s">
        <v>1125</v>
      </c>
      <c r="B509" s="17" t="s">
        <v>1126</v>
      </c>
      <c r="C509" s="21" t="str">
        <f ca="1">IFERROR(__xludf.DUMMYFUNCTION("GOOGLETRANSLATE($B509,""en"",C$3)"),"Benachrichtigen Sie per E-Mail")</f>
        <v>Benachrichtigen Sie per E-Mail</v>
      </c>
      <c r="D509" s="21" t="str">
        <f ca="1">IFERROR(__xludf.DUMMYFUNCTION("GOOGLETRANSLATE($B509,""en"",D$3)"),"Meddela Email")</f>
        <v>Meddela Email</v>
      </c>
      <c r="E509" s="21" t="str">
        <f ca="1">IFERROR(__xludf.DUMMYFUNCTION("GOOGLETRANSLATE($B509,""en"",E$3)"),"Notificar-mail")</f>
        <v>Notificar-mail</v>
      </c>
      <c r="F509" s="21" t="str">
        <f ca="1">IFERROR(__xludf.DUMMYFUNCTION("GOOGLETRANSLATE($B509,""en"",F$3)"),"Notificar-mail")</f>
        <v>Notificar-mail</v>
      </c>
      <c r="G509" s="21" t="str">
        <f ca="1">IFERROR(__xludf.DUMMYFUNCTION("GOOGLETRANSLATE($B509,""en"",G$3)"),"notifier Email")</f>
        <v>notifier Email</v>
      </c>
      <c r="H509" s="21" t="str">
        <f ca="1">IFERROR(__xludf.DUMMYFUNCTION("GOOGLETRANSLATE($B509,""en"",H$3)"),"Jakinarazi mezu elektroniko")</f>
        <v>Jakinarazi mezu elektroniko</v>
      </c>
      <c r="I509" s="21" t="str">
        <f ca="1">IFERROR(__xludf.DUMMYFUNCTION("GOOGLETRANSLATE($B509,""en"",I$3)"),"notificar per correu electrònic")</f>
        <v>notificar per correu electrònic</v>
      </c>
      <c r="J509" s="21" t="str">
        <f ca="1">IFERROR(__xludf.DUMMYFUNCTION("GOOGLETRANSLATE($B509,""en"",J$3)"),"Upozornit e-mail")</f>
        <v>Upozornit e-mail</v>
      </c>
      <c r="K509" s="21" t="str">
        <f ca="1">IFERROR(__xludf.DUMMYFUNCTION("GOOGLETRANSLATE($B509,""en"",K$3)"),"通知电子邮件")</f>
        <v>通知电子邮件</v>
      </c>
      <c r="L509" s="21" t="str">
        <f ca="1">IFERROR(__xludf.DUMMYFUNCTION("GOOGLETRANSLATE($B509,""en"",L$3)"),"通知電子郵件")</f>
        <v>通知電子郵件</v>
      </c>
      <c r="M509" s="21" t="str">
        <f ca="1">IFERROR(__xludf.DUMMYFUNCTION("GOOGLETRANSLATE($B509,""en"",M$3)"),"Houd E-mail")</f>
        <v>Houd E-mail</v>
      </c>
      <c r="N509" s="21" t="str">
        <f ca="1">IFERROR(__xludf.DUMMYFUNCTION("GOOGLETRANSLATE($B509,""en"",N$3)"),"Ειδοποίηση E-mail")</f>
        <v>Ειδοποίηση E-mail</v>
      </c>
      <c r="O509" s="21" t="str">
        <f ca="1">IFERROR(__xludf.DUMMYFUNCTION("GOOGLETRANSLATE($B509,""en"",O$3)"),"Ilmoita Sähköposti")</f>
        <v>Ilmoita Sähköposti</v>
      </c>
      <c r="P509" s="21" t="str">
        <f ca="1">IFERROR(__xludf.DUMMYFUNCTION("GOOGLETRANSLATE($B509,""en"",P$3)"),"Fógra Ríomhphost")</f>
        <v>Fógra Ríomhphost</v>
      </c>
      <c r="Q509" s="21" t="str">
        <f ca="1">IFERROR(__xludf.DUMMYFUNCTION("GOOGLETRANSLATE($B509,""en"",Q$3)"),"آگاه کن ایمیل")</f>
        <v>آگاه کن ایمیل</v>
      </c>
      <c r="R509" s="21" t="str">
        <f ca="1">IFERROR(__xludf.DUMMYFUNCTION("GOOGLETRANSLATE($B509,""en"",R$3)"),"הודע דוא""ל")</f>
        <v>הודע דוא"ל</v>
      </c>
      <c r="S509" s="21" t="str">
        <f ca="1">IFERROR(__xludf.DUMMYFUNCTION("GOOGLETRANSLATE($B509,""en"",S$3)"),"tilkynna tölvupóst")</f>
        <v>tilkynna tölvupóst</v>
      </c>
      <c r="T509" s="21" t="str">
        <f ca="1">IFERROR(__xludf.DUMMYFUNCTION("GOOGLETRANSLATE($B509,""en"",T$3)"),"Varsle E-post")</f>
        <v>Varsle E-post</v>
      </c>
      <c r="U509" s="21" t="str">
        <f ca="1">IFERROR(__xludf.DUMMYFUNCTION("GOOGLETRANSLATE($B509,""en"",U$3)"),"إعلام البريد الإلكتروني")</f>
        <v>إعلام البريد الإلكتروني</v>
      </c>
      <c r="V509" s="21" t="str">
        <f ca="1">IFERROR(__xludf.DUMMYFUNCTION("GOOGLETRANSLATE($B509,""en"",V$3)"),"Informuj e-mail")</f>
        <v>Informuj e-mail</v>
      </c>
      <c r="W509" s="21" t="str">
        <f ca="1">IFERROR(__xludf.DUMMYFUNCTION("GOOGLETRANSLATE($B509,""en"",W$3)"),"Уведомлять e-mail")</f>
        <v>Уведомлять e-mail</v>
      </c>
      <c r="X509" s="21" t="str">
        <f ca="1">IFERROR(__xludf.DUMMYFUNCTION("GOOGLETRANSLATE($B509,""en"",X$3)"),"notificar por correo electrónico")</f>
        <v>notificar por correo electrónico</v>
      </c>
      <c r="Y509" s="21"/>
      <c r="Z509" s="21"/>
    </row>
    <row r="510" spans="1:26" ht="32.25" customHeight="1" x14ac:dyDescent="0.2">
      <c r="A510" s="17" t="s">
        <v>1127</v>
      </c>
      <c r="B510" s="17" t="s">
        <v>1128</v>
      </c>
      <c r="C510" s="21" t="str">
        <f ca="1">IFERROR(__xludf.DUMMYFUNCTION("GOOGLETRANSLATE($B510,""en"",C$3)"),"Keine gültige UUID. Wollen Sie eine neue, zufällige UUID?")</f>
        <v>Keine gültige UUID. Wollen Sie eine neue, zufällige UUID?</v>
      </c>
      <c r="D510" s="21" t="str">
        <f ca="1">IFERROR(__xludf.DUMMYFUNCTION("GOOGLETRANSLATE($B510,""en"",D$3)"),"Inte ett giltigt UUID. Vill du ha en ny, Random UUID?")</f>
        <v>Inte ett giltigt UUID. Vill du ha en ny, Random UUID?</v>
      </c>
      <c r="E510" s="21" t="str">
        <f ca="1">IFERROR(__xludf.DUMMYFUNCTION("GOOGLETRANSLATE($B510,""en"",E$3)"),"Não é um UUID válido. Você quer um novo, Random UUID?")</f>
        <v>Não é um UUID válido. Você quer um novo, Random UUID?</v>
      </c>
      <c r="F510" s="21" t="str">
        <f ca="1">IFERROR(__xludf.DUMMYFUNCTION("GOOGLETRANSLATE($B510,""en"",F$3)"),"Não é um UUID válido. Você quer um novo, Random UUID?")</f>
        <v>Não é um UUID válido. Você quer um novo, Random UUID?</v>
      </c>
      <c r="G510" s="21" t="str">
        <f ca="1">IFERROR(__xludf.DUMMYFUNCTION("GOOGLETRANSLATE($B510,""en"",G$3)"),"Pas un UUID valide. Voulez-vous un nouveau hasard UUID?")</f>
        <v>Pas un UUID valide. Voulez-vous un nouveau hasard UUID?</v>
      </c>
      <c r="H510" s="21" t="str">
        <f ca="1">IFERROR(__xludf.DUMMYFUNCTION("GOOGLETRANSLATE($B510,""en"",H$3)"),"Ez da baliozko UUID bat. Ez berrian, Random UUID bat nahi duzu?")</f>
        <v>Ez da baliozko UUID bat. Ez berrian, Random UUID bat nahi duzu?</v>
      </c>
      <c r="I510" s="21" t="str">
        <f ca="1">IFERROR(__xludf.DUMMYFUNCTION("GOOGLETRANSLATE($B510,""en"",I$3)"),"No és un UUID vàlid. Vols una nova, aleatòria UUID?")</f>
        <v>No és un UUID vàlid. Vols una nova, aleatòria UUID?</v>
      </c>
      <c r="J510" s="21" t="str">
        <f ca="1">IFERROR(__xludf.DUMMYFUNCTION("GOOGLETRANSLATE($B510,""en"",J$3)"),"Není platný UUID. Chcete nový, náhodný UUID?")</f>
        <v>Není platný UUID. Chcete nový, náhodný UUID?</v>
      </c>
      <c r="K510" s="21" t="str">
        <f ca="1">IFERROR(__xludf.DUMMYFUNCTION("GOOGLETRANSLATE($B510,""en"",K$3)"),"不是有效的UUID。你想一个新的，随机UUID？")</f>
        <v>不是有效的UUID。你想一个新的，随机UUID？</v>
      </c>
      <c r="L510" s="21" t="str">
        <f ca="1">IFERROR(__xludf.DUMMYFUNCTION("GOOGLETRANSLATE($B510,""en"",L$3)"),"不是有效的UUID。你想一個新的，隨機UUID？")</f>
        <v>不是有效的UUID。你想一個新的，隨機UUID？</v>
      </c>
      <c r="M510" s="21" t="str">
        <f ca="1">IFERROR(__xludf.DUMMYFUNCTION("GOOGLETRANSLATE($B510,""en"",M$3)"),"Geen geldige UUID. Wilt u een nieuwe, willekeurige UUID?")</f>
        <v>Geen geldige UUID. Wilt u een nieuwe, willekeurige UUID?</v>
      </c>
      <c r="N510" s="21" t="str">
        <f ca="1">IFERROR(__xludf.DUMMYFUNCTION("GOOGLETRANSLATE($B510,""en"",N$3)"),"Δεν είναι ένα έγκυρο UUID. Θέλετε μια νέα, τυχαία UUID;")</f>
        <v>Δεν είναι ένα έγκυρο UUID. Θέλετε μια νέα, τυχαία UUID;</v>
      </c>
      <c r="O510" s="21" t="str">
        <f ca="1">IFERROR(__xludf.DUMMYFUNCTION("GOOGLETRANSLATE($B510,""en"",O$3)"),"Ei kelvollinen UUID. Haluatko uuden, Random UUID?")</f>
        <v>Ei kelvollinen UUID. Haluatko uuden, Random UUID?</v>
      </c>
      <c r="P510" s="21" t="str">
        <f ca="1">IFERROR(__xludf.DUMMYFUNCTION("GOOGLETRANSLATE($B510,""en"",P$3)"),"Ní UUID bailí. Ar mhaith leat a nua, Random UUID?")</f>
        <v>Ní UUID bailí. Ar mhaith leat a nua, Random UUID?</v>
      </c>
      <c r="Q510" s="21" t="str">
        <f ca="1">IFERROR(__xludf.DUMMYFUNCTION("GOOGLETRANSLATE($B510,""en"",Q$3)"),"نه یک UUID معتبر است. آیا می خواهید یک جدید، تصادفی UUID؟")</f>
        <v>نه یک UUID معتبر است. آیا می خواهید یک جدید، تصادفی UUID؟</v>
      </c>
      <c r="R510" s="21" t="str">
        <f ca="1">IFERROR(__xludf.DUMMYFUNCTION("GOOGLETRANSLATE($B510,""en"",R$3)"),"לא UUID תקף. האם אתה רוצה UUID חדש, אקראי?")</f>
        <v>לא UUID תקף. האם אתה רוצה UUID חדש, אקראי?</v>
      </c>
      <c r="S510" s="21" t="str">
        <f ca="1">IFERROR(__xludf.DUMMYFUNCTION("GOOGLETRANSLATE($B510,""en"",S$3)"),"Ekki gilt UUID. Viltu nýja, Random UUID?")</f>
        <v>Ekki gilt UUID. Viltu nýja, Random UUID?</v>
      </c>
      <c r="T510" s="21" t="str">
        <f ca="1">IFERROR(__xludf.DUMMYFUNCTION("GOOGLETRANSLATE($B510,""en"",T$3)"),"Ikke en gyldig UUID. Vil du ha en ny, tilfeldig UUID?")</f>
        <v>Ikke en gyldig UUID. Vil du ha en ny, tilfeldig UUID?</v>
      </c>
      <c r="U510" s="21" t="str">
        <f ca="1">IFERROR(__xludf.DUMMYFUNCTION("GOOGLETRANSLATE($B510,""en"",U$3)"),"ليس UUID صالح. هل تريد جديد، UUID عشوائية؟")</f>
        <v>ليس UUID صالح. هل تريد جديد، UUID عشوائية؟</v>
      </c>
      <c r="V510" s="21" t="str">
        <f ca="1">IFERROR(__xludf.DUMMYFUNCTION("GOOGLETRANSLATE($B510,""en"",V$3)"),"Nieprawidłowy UUID. Chcesz nowy losowy UUID?")</f>
        <v>Nieprawidłowy UUID. Chcesz nowy losowy UUID?</v>
      </c>
      <c r="W510" s="21" t="str">
        <f ca="1">IFERROR(__xludf.DUMMYFUNCTION("GOOGLETRANSLATE($B510,""en"",W$3)"),"Не действительный UUID. Вы хотите, чтобы новый, случайный UUID?")</f>
        <v>Не действительный UUID. Вы хотите, чтобы новый, случайный UUID?</v>
      </c>
      <c r="X510" s="21" t="str">
        <f ca="1">IFERROR(__xludf.DUMMYFUNCTION("GOOGLETRANSLATE($B510,""en"",X$3)"),"No es un UUID válido. ¿Quieres una nueva, aleatoria UUID?")</f>
        <v>No es un UUID válido. ¿Quieres una nueva, aleatoria UUID?</v>
      </c>
      <c r="Y510" s="21"/>
      <c r="Z510" s="21"/>
    </row>
    <row r="511" spans="1:26" ht="32.25" customHeight="1" x14ac:dyDescent="0.2">
      <c r="A511" s="17" t="s">
        <v>1129</v>
      </c>
      <c r="B511" s="17" t="s">
        <v>1130</v>
      </c>
      <c r="C511" s="21" t="str">
        <f ca="1">IFERROR(__xludf.DUMMYFUNCTION("GOOGLETRANSLATE($B511,""en"",C$3)"),"Fehler: Konnte nicht starten NtSuspendProcess64.exe.")</f>
        <v>Fehler: Konnte nicht starten NtSuspendProcess64.exe.</v>
      </c>
      <c r="D511" s="21" t="str">
        <f ca="1">IFERROR(__xludf.DUMMYFUNCTION("GOOGLETRANSLATE($B511,""en"",D$3)"),"Fel: Det gick inte att starta NtSuspendProcess64.exe.")</f>
        <v>Fel: Det gick inte att starta NtSuspendProcess64.exe.</v>
      </c>
      <c r="E511" s="21" t="str">
        <f ca="1">IFERROR(__xludf.DUMMYFUNCTION("GOOGLETRANSLATE($B511,""en"",E$3)"),"Erro: Não foi possível lançar NtSuspendProcess64.exe.")</f>
        <v>Erro: Não foi possível lançar NtSuspendProcess64.exe.</v>
      </c>
      <c r="F511" s="21" t="str">
        <f ca="1">IFERROR(__xludf.DUMMYFUNCTION("GOOGLETRANSLATE($B511,""en"",F$3)"),"Erro: Não foi possível lançar NtSuspendProcess64.exe.")</f>
        <v>Erro: Não foi possível lançar NtSuspendProcess64.exe.</v>
      </c>
      <c r="G511" s="21" t="str">
        <f ca="1">IFERROR(__xludf.DUMMYFUNCTION("GOOGLETRANSLATE($B511,""en"",G$3)"),"Erreur: Impossible de lancer NtSuspendProcess64.exe.")</f>
        <v>Erreur: Impossible de lancer NtSuspendProcess64.exe.</v>
      </c>
      <c r="H511" s="21" t="str">
        <f ca="1">IFERROR(__xludf.DUMMYFUNCTION("GOOGLETRANSLATE($B511,""en"",H$3)"),"Akatsa: ezin izan da abiarazi NtSuspendProcess64.exe.")</f>
        <v>Akatsa: ezin izan da abiarazi NtSuspendProcess64.exe.</v>
      </c>
      <c r="I511" s="21" t="str">
        <f ca="1">IFERROR(__xludf.DUMMYFUNCTION("GOOGLETRANSLATE($B511,""en"",I$3)"),"Error: No podria llançar NtSuspendProcess64.exe.")</f>
        <v>Error: No podria llançar NtSuspendProcess64.exe.</v>
      </c>
      <c r="J511" s="21" t="str">
        <f ca="1">IFERROR(__xludf.DUMMYFUNCTION("GOOGLETRANSLATE($B511,""en"",J$3)"),"Chyba: Nelze spustit NtSuspendProcess64.exe.")</f>
        <v>Chyba: Nelze spustit NtSuspendProcess64.exe.</v>
      </c>
      <c r="K511" s="21" t="str">
        <f ca="1">IFERROR(__xludf.DUMMYFUNCTION("GOOGLETRANSLATE($B511,""en"",K$3)"),"错误：无法启动NtSuspendProcess64.exe。")</f>
        <v>错误：无法启动NtSuspendProcess64.exe。</v>
      </c>
      <c r="L511" s="21" t="str">
        <f ca="1">IFERROR(__xludf.DUMMYFUNCTION("GOOGLETRANSLATE($B511,""en"",L$3)"),"錯誤：無法啟動NtSuspendProcess64.exe。")</f>
        <v>錯誤：無法啟動NtSuspendProcess64.exe。</v>
      </c>
      <c r="M511" s="21" t="str">
        <f ca="1">IFERROR(__xludf.DUMMYFUNCTION("GOOGLETRANSLATE($B511,""en"",M$3)"),"Fout: kan niet starten NtSuspendProcess64.exe.")</f>
        <v>Fout: kan niet starten NtSuspendProcess64.exe.</v>
      </c>
      <c r="N511" s="21" t="str">
        <f ca="1">IFERROR(__xludf.DUMMYFUNCTION("GOOGLETRANSLATE($B511,""en"",N$3)"),"Σφάλμα: Δεν ήταν δυνατή η εκκίνηση NtSuspendProcess64.exe.")</f>
        <v>Σφάλμα: Δεν ήταν δυνατή η εκκίνηση NtSuspendProcess64.exe.</v>
      </c>
      <c r="O511" s="21" t="str">
        <f ca="1">IFERROR(__xludf.DUMMYFUNCTION("GOOGLETRANSLATE($B511,""en"",O$3)"),"Virhe: ei voitu käynnistää NtSuspendProcess64.exe.")</f>
        <v>Virhe: ei voitu käynnistää NtSuspendProcess64.exe.</v>
      </c>
      <c r="P511" s="21" t="str">
        <f ca="1">IFERROR(__xludf.DUMMYFUNCTION("GOOGLETRANSLATE($B511,""en"",P$3)"),"Earráid: Níorbh fhéidir seoladh NtSuspendProcess64.exe.")</f>
        <v>Earráid: Níorbh fhéidir seoladh NtSuspendProcess64.exe.</v>
      </c>
      <c r="Q511" s="21" t="str">
        <f ca="1">IFERROR(__xludf.DUMMYFUNCTION("GOOGLETRANSLATE($B511,""en"",Q$3)"),"خطا: یافت نشد راه اندازی NtSuspendProcess64.exe.")</f>
        <v>خطا: یافت نشد راه اندازی NtSuspendProcess64.exe.</v>
      </c>
      <c r="R511" s="21" t="str">
        <f ca="1">IFERROR(__xludf.DUMMYFUNCTION("GOOGLETRANSLATE($B511,""en"",R$3)"),"שגיאה: אין אפשרות להפעיל NtSuspendProcess64.exe.")</f>
        <v>שגיאה: אין אפשרות להפעיל NtSuspendProcess64.exe.</v>
      </c>
      <c r="S511" s="21" t="str">
        <f ca="1">IFERROR(__xludf.DUMMYFUNCTION("GOOGLETRANSLATE($B511,""en"",S$3)"),"Villa: Gat ekki ræst NtSuspendProcess64.exe.")</f>
        <v>Villa: Gat ekki ræst NtSuspendProcess64.exe.</v>
      </c>
      <c r="T511" s="21" t="str">
        <f ca="1">IFERROR(__xludf.DUMMYFUNCTION("GOOGLETRANSLATE($B511,""en"",T$3)"),"Feil: Klarte ikke å starte NtSuspendProcess64.exe.")</f>
        <v>Feil: Klarte ikke å starte NtSuspendProcess64.exe.</v>
      </c>
      <c r="U511" s="21" t="str">
        <f ca="1">IFERROR(__xludf.DUMMYFUNCTION("GOOGLETRANSLATE($B511,""en"",U$3)"),"خطأ: لا يمكن إطلاق NtSuspendProcess64.exe.")</f>
        <v>خطأ: لا يمكن إطلاق NtSuspendProcess64.exe.</v>
      </c>
      <c r="V511" s="21" t="str">
        <f ca="1">IFERROR(__xludf.DUMMYFUNCTION("GOOGLETRANSLATE($B511,""en"",V$3)"),"Błąd: Nie można uruchomić NtSuspendProcess64.exe.")</f>
        <v>Błąd: Nie można uruchomić NtSuspendProcess64.exe.</v>
      </c>
      <c r="W511" s="21" t="str">
        <f ca="1">IFERROR(__xludf.DUMMYFUNCTION("GOOGLETRANSLATE($B511,""en"",W$3)"),"Ошибка: Не удалось запустить NtSuspendProcess64.exe.")</f>
        <v>Ошибка: Не удалось запустить NtSuspendProcess64.exe.</v>
      </c>
      <c r="X511" s="21" t="str">
        <f ca="1">IFERROR(__xludf.DUMMYFUNCTION("GOOGLETRANSLATE($B511,""en"",X$3)"),"Error: No podría lanzar NtSuspendProcess64.exe.")</f>
        <v>Error: No podría lanzar NtSuspendProcess64.exe.</v>
      </c>
      <c r="Y511" s="21"/>
      <c r="Z511" s="21"/>
    </row>
    <row r="512" spans="1:26" ht="32.25" customHeight="1" x14ac:dyDescent="0.2">
      <c r="A512" s="17" t="s">
        <v>1131</v>
      </c>
      <c r="B512" s="17" t="s">
        <v>1132</v>
      </c>
      <c r="C512" s="21" t="str">
        <f ca="1">IFERROR(__xludf.DUMMYFUNCTION("GOOGLETRANSLATE($B512,""en"",C$3)"),"Die Zahl der Vögel in Scharen")</f>
        <v>Die Zahl der Vögel in Scharen</v>
      </c>
      <c r="D512" s="21" t="str">
        <f ca="1">IFERROR(__xludf.DUMMYFUNCTION("GOOGLETRANSLATE($B512,""en"",D$3)"),"Antalet fåglar flock")</f>
        <v>Antalet fåglar flock</v>
      </c>
      <c r="E512" s="21" t="str">
        <f ca="1">IFERROR(__xludf.DUMMYFUNCTION("GOOGLETRANSLATE($B512,""en"",E$3)"),"O número de aves a afluir")</f>
        <v>O número de aves a afluir</v>
      </c>
      <c r="F512" s="21" t="str">
        <f ca="1">IFERROR(__xludf.DUMMYFUNCTION("GOOGLETRANSLATE($B512,""en"",F$3)"),"O número de aves a afluir")</f>
        <v>O número de aves a afluir</v>
      </c>
      <c r="G512" s="21" t="str">
        <f ca="1">IFERROR(__xludf.DUMMYFUNCTION("GOOGLETRANSLATE($B512,""en"",G$3)"),"Le nombre d'oiseaux troupeau")</f>
        <v>Le nombre d'oiseaux troupeau</v>
      </c>
      <c r="H512" s="21" t="str">
        <f ca="1">IFERROR(__xludf.DUMMYFUNCTION("GOOGLETRANSLATE($B512,""en"",H$3)"),"hegaztien kopuruak artaldea")</f>
        <v>hegaztien kopuruak artaldea</v>
      </c>
      <c r="I512" s="21" t="str">
        <f ca="1">IFERROR(__xludf.DUMMYFUNCTION("GOOGLETRANSLATE($B512,""en"",I$3)"),"El nombre d'aus que van")</f>
        <v>El nombre d'aus que van</v>
      </c>
      <c r="J512" s="21" t="str">
        <f ca="1">IFERROR(__xludf.DUMMYFUNCTION("GOOGLETRANSLATE($B512,""en"",J$3)"),"Počet ptáků se hrnou")</f>
        <v>Počet ptáků se hrnou</v>
      </c>
      <c r="K512" s="21" t="str">
        <f ca="1">IFERROR(__xludf.DUMMYFUNCTION("GOOGLETRANSLATE($B512,""en"",K$3)"),"鸟类的数量涌向")</f>
        <v>鸟类的数量涌向</v>
      </c>
      <c r="L512" s="21" t="str">
        <f ca="1">IFERROR(__xludf.DUMMYFUNCTION("GOOGLETRANSLATE($B512,""en"",L$3)"),"鳥類的數量湧向")</f>
        <v>鳥類的數量湧向</v>
      </c>
      <c r="M512" s="21" t="str">
        <f ca="1">IFERROR(__xludf.DUMMYFUNCTION("GOOGLETRANSLATE($B512,""en"",M$3)"),"Het aantal vogels massaal")</f>
        <v>Het aantal vogels massaal</v>
      </c>
      <c r="N512" s="21" t="str">
        <f ca="1">IFERROR(__xludf.DUMMYFUNCTION("GOOGLETRANSLATE($B512,""en"",N$3)"),"Ο αριθμός των πουλιών να συρρέουν")</f>
        <v>Ο αριθμός των πουλιών να συρρέουν</v>
      </c>
      <c r="O512" s="21" t="str">
        <f ca="1">IFERROR(__xludf.DUMMYFUNCTION("GOOGLETRANSLATE($B512,""en"",O$3)"),"Lintujen määrä parven")</f>
        <v>Lintujen määrä parven</v>
      </c>
      <c r="P512" s="21" t="str">
        <f ca="1">IFERROR(__xludf.DUMMYFUNCTION("GOOGLETRANSLATE($B512,""en"",P$3)"),"Líon na n-éan a flock")</f>
        <v>Líon na n-éan a flock</v>
      </c>
      <c r="Q512" s="21" t="str">
        <f ca="1">IFERROR(__xludf.DUMMYFUNCTION("GOOGLETRANSLATE($B512,""en"",Q$3)"),"تعدادی از پرندگان به گله")</f>
        <v>تعدادی از پرندگان به گله</v>
      </c>
      <c r="R512" s="21" t="str">
        <f ca="1">IFERROR(__xludf.DUMMYFUNCTION("GOOGLETRANSLATE($B512,""en"",R$3)"),"מספר הציפורים לנהור")</f>
        <v>מספר הציפורים לנהור</v>
      </c>
      <c r="S512" s="21" t="str">
        <f ca="1">IFERROR(__xludf.DUMMYFUNCTION("GOOGLETRANSLATE($B512,""en"",S$3)"),"Fjöldi fugla að flykkjast")</f>
        <v>Fjöldi fugla að flykkjast</v>
      </c>
      <c r="T512" s="21" t="str">
        <f ca="1">IFERROR(__xludf.DUMMYFUNCTION("GOOGLETRANSLATE($B512,""en"",T$3)"),"Antallet fugler til flokk")</f>
        <v>Antallet fugler til flokk</v>
      </c>
      <c r="U512" s="21" t="str">
        <f ca="1">IFERROR(__xludf.DUMMYFUNCTION("GOOGLETRANSLATE($B512,""en"",U$3)"),"عدد من الطيور إلى قطيع")</f>
        <v>عدد من الطيور إلى قطيع</v>
      </c>
      <c r="V512" s="21" t="str">
        <f ca="1">IFERROR(__xludf.DUMMYFUNCTION("GOOGLETRANSLATE($B512,""en"",V$3)"),"Liczba ptaków stada")</f>
        <v>Liczba ptaków stada</v>
      </c>
      <c r="W512" s="21" t="str">
        <f ca="1">IFERROR(__xludf.DUMMYFUNCTION("GOOGLETRANSLATE($B512,""en"",W$3)"),"Количество птиц стекаться")</f>
        <v>Количество птиц стекаться</v>
      </c>
      <c r="X512" s="21" t="str">
        <f ca="1">IFERROR(__xludf.DUMMYFUNCTION("GOOGLETRANSLATE($B512,""en"",X$3)"),"El número de aves que acuden")</f>
        <v>El número de aves que acuden</v>
      </c>
      <c r="Y512" s="21"/>
      <c r="Z512" s="21"/>
    </row>
    <row r="513" spans="1:26" ht="32.25" customHeight="1" x14ac:dyDescent="0.2">
      <c r="A513" s="17" t="s">
        <v>1133</v>
      </c>
      <c r="B513" s="17" t="s">
        <v>1134</v>
      </c>
      <c r="C513" s="21" t="str">
        <f ca="1">IFERROR(__xludf.DUMMYFUNCTION("GOOGLETRANSLATE($B513,""en"",C$3)"),"Keine gültige Maximujm Anzahl der Agenten-Wert. Muss größer als 0 sein.")</f>
        <v>Keine gültige Maximujm Anzahl der Agenten-Wert. Muss größer als 0 sein.</v>
      </c>
      <c r="D513" s="21" t="str">
        <f ca="1">IFERROR(__xludf.DUMMYFUNCTION("GOOGLETRANSLATE($B513,""en"",D$3)"),"Inte ett giltigt Maximujm antal agenter värde. Måste vara större än 0.")</f>
        <v>Inte ett giltigt Maximujm antal agenter värde. Måste vara större än 0.</v>
      </c>
      <c r="E513" s="21" t="str">
        <f ca="1">IFERROR(__xludf.DUMMYFUNCTION("GOOGLETRANSLATE($B513,""en"",E$3)"),"Não é um número Maximujm válida de Agentes de Valor. Deve ser maior que 0.")</f>
        <v>Não é um número Maximujm válida de Agentes de Valor. Deve ser maior que 0.</v>
      </c>
      <c r="F513" s="21" t="str">
        <f ca="1">IFERROR(__xludf.DUMMYFUNCTION("GOOGLETRANSLATE($B513,""en"",F$3)"),"Não é um número Maximujm válida de Agentes de Valor. Deve ser maior que 0.")</f>
        <v>Não é um número Maximujm válida de Agentes de Valor. Deve ser maior que 0.</v>
      </c>
      <c r="G513" s="21" t="str">
        <f ca="1">IFERROR(__xludf.DUMMYFUNCTION("GOOGLETRANSLATE($B513,""en"",G$3)"),"Pas un numéro de Maximujm valide des agents Valeur. Doit être supérieur à 0.")</f>
        <v>Pas un numéro de Maximujm valide des agents Valeur. Doit être supérieur à 0.</v>
      </c>
      <c r="H513" s="21" t="str">
        <f ca="1">IFERROR(__xludf.DUMMYFUNCTION("GOOGLETRANSLATE($B513,""en"",H$3)"),"Ez da baliozko Maximujm Agenteak Balio kopurua. 0 baino handiagoa izan behar du.")</f>
        <v>Ez da baliozko Maximujm Agenteak Balio kopurua. 0 baino handiagoa izan behar du.</v>
      </c>
      <c r="I513" s="21" t="str">
        <f ca="1">IFERROR(__xludf.DUMMYFUNCTION("GOOGLETRANSLATE($B513,""en"",I$3)"),"No és un nombre vàlid de Maximujm Agents Valor. Ha de ser més gran que 0.")</f>
        <v>No és un nombre vàlid de Maximujm Agents Valor. Ha de ser més gran que 0.</v>
      </c>
      <c r="J513" s="21" t="str">
        <f ca="1">IFERROR(__xludf.DUMMYFUNCTION("GOOGLETRANSLATE($B513,""en"",J$3)"),"Není platné číslo Maximujm agentů hodnoty. Musí být větší než 0.")</f>
        <v>Není platné číslo Maximujm agentů hodnoty. Musí být větší než 0.</v>
      </c>
      <c r="K513" s="21" t="str">
        <f ca="1">IFERROR(__xludf.DUMMYFUNCTION("GOOGLETRANSLATE($B513,""en"",K$3)"),"没有代理值的有效Maximujm数。必须大于0。")</f>
        <v>没有代理值的有效Maximujm数。必须大于0。</v>
      </c>
      <c r="L513" s="21" t="str">
        <f ca="1">IFERROR(__xludf.DUMMYFUNCTION("GOOGLETRANSLATE($B513,""en"",L$3)"),"沒有代理值的有效Maximujm數。必須大於0。")</f>
        <v>沒有代理值的有效Maximujm數。必須大於0。</v>
      </c>
      <c r="M513" s="21" t="str">
        <f ca="1">IFERROR(__xludf.DUMMYFUNCTION("GOOGLETRANSLATE($B513,""en"",M$3)"),"Geen geldig Maximujm aantal agenten waarde. Moet groter zijn dan 0.")</f>
        <v>Geen geldig Maximujm aantal agenten waarde. Moet groter zijn dan 0.</v>
      </c>
      <c r="N513" s="21" t="str">
        <f ca="1">IFERROR(__xludf.DUMMYFUNCTION("GOOGLETRANSLATE($B513,""en"",N$3)"),"Δεν είναι ένα έγκυρο αριθμό Maximujm των Πράκτορες Αξίας. Πρέπει να είναι μεγαλύτερη από 0.")</f>
        <v>Δεν είναι ένα έγκυρο αριθμό Maximujm των Πράκτορες Αξίας. Πρέπει να είναι μεγαλύτερη από 0.</v>
      </c>
      <c r="O513" s="21" t="str">
        <f ca="1">IFERROR(__xludf.DUMMYFUNCTION("GOOGLETRANSLATE($B513,""en"",O$3)"),"Ei kelvollinen Maximujm useita Agents arvo. On oltava suurempi kuin 0.")</f>
        <v>Ei kelvollinen Maximujm useita Agents arvo. On oltava suurempi kuin 0.</v>
      </c>
      <c r="P513" s="21" t="str">
        <f ca="1">IFERROR(__xludf.DUMMYFUNCTION("GOOGLETRANSLATE($B513,""en"",P$3)"),"Gan uimhir Maximujm bailí Gníomhairí Luach. Caithfidh sé a bheith níos mó ná 0.")</f>
        <v>Gan uimhir Maximujm bailí Gníomhairí Luach. Caithfidh sé a bheith níos mó ná 0.</v>
      </c>
      <c r="Q513" s="21" t="str">
        <f ca="1">IFERROR(__xludf.DUMMYFUNCTION("GOOGLETRANSLATE($B513,""en"",Q$3)"),"یک عدد Maximujm معتبر از نمایندگی ارزش. باید بیشتر از 0 باشد.")</f>
        <v>یک عدد Maximujm معتبر از نمایندگی ارزش. باید بیشتر از 0 باشد.</v>
      </c>
      <c r="R513" s="21" t="str">
        <f ca="1">IFERROR(__xludf.DUMMYFUNCTION("GOOGLETRANSLATE($B513,""en"",R$3)"),"לא מספר Maximujm תקפה של סוכני ערך. חייב להיות גדול מ 0.")</f>
        <v>לא מספר Maximujm תקפה של סוכני ערך. חייב להיות גדול מ 0.</v>
      </c>
      <c r="S513" s="21" t="str">
        <f ca="1">IFERROR(__xludf.DUMMYFUNCTION("GOOGLETRANSLATE($B513,""en"",S$3)"),"Ekki gild Maximujm fjöldi umboðsmanna Gildi. Verður að vera hærri en 0.")</f>
        <v>Ekki gild Maximujm fjöldi umboðsmanna Gildi. Verður að vera hærri en 0.</v>
      </c>
      <c r="T513" s="21" t="str">
        <f ca="1">IFERROR(__xludf.DUMMYFUNCTION("GOOGLETRANSLATE($B513,""en"",T$3)"),"Ikke en gyldig Maximujm antall agenter verdi. Må være større enn 0.")</f>
        <v>Ikke en gyldig Maximujm antall agenter verdi. Må være større enn 0.</v>
      </c>
      <c r="U513" s="21" t="str">
        <f ca="1">IFERROR(__xludf.DUMMYFUNCTION("GOOGLETRANSLATE($B513,""en"",U$3)"),"ليس عددا Maximujm صالح وكلاء القيمة. يجب أن تكون أكبر من 0.")</f>
        <v>ليس عددا Maximujm صالح وكلاء القيمة. يجب أن تكون أكبر من 0.</v>
      </c>
      <c r="V513" s="21" t="str">
        <f ca="1">IFERROR(__xludf.DUMMYFUNCTION("GOOGLETRANSLATE($B513,""en"",V$3)"),"Nieprawidłowy numer Maximujm Środków Value. Musi być większa niż 0.")</f>
        <v>Nieprawidłowy numer Maximujm Środków Value. Musi być większa niż 0.</v>
      </c>
      <c r="W513" s="21" t="str">
        <f ca="1">IFERROR(__xludf.DUMMYFUNCTION("GOOGLETRANSLATE($B513,""en"",W$3)"),"Не действительный Maximujm количество агентов Value. Должно быть больше 0.")</f>
        <v>Не действительный Maximujm количество агентов Value. Должно быть больше 0.</v>
      </c>
      <c r="X513" s="21" t="str">
        <f ca="1">IFERROR(__xludf.DUMMYFUNCTION("GOOGLETRANSLATE($B513,""en"",X$3)"),"No es un número válido de Maximujm Agentes Valor. Debe ser mayor que 0.")</f>
        <v>No es un número válido de Maximujm Agentes Valor. Debe ser mayor que 0.</v>
      </c>
      <c r="Y513" s="21"/>
      <c r="Z513" s="21"/>
    </row>
    <row r="514" spans="1:26" ht="32.25" customHeight="1" x14ac:dyDescent="0.2">
      <c r="A514" s="17" t="s">
        <v>1135</v>
      </c>
      <c r="B514" s="17" t="s">
        <v>1136</v>
      </c>
      <c r="C514" s="21" t="str">
        <f ca="1">IFERROR(__xludf.DUMMYFUNCTION("GOOGLETRANSLATE($B514,""en"",C$3)"),"Kein gültiges Maximum Prim-Wert. Muss größer als 0 sein.")</f>
        <v>Kein gültiges Maximum Prim-Wert. Muss größer als 0 sein.</v>
      </c>
      <c r="D514" s="21" t="str">
        <f ca="1">IFERROR(__xludf.DUMMYFUNCTION("GOOGLETRANSLATE($B514,""en"",D$3)"),"Inte ett giltigt Maximum Prim värde. Måste vara större än 0.")</f>
        <v>Inte ett giltigt Maximum Prim värde. Måste vara större än 0.</v>
      </c>
      <c r="E514" s="21" t="str">
        <f ca="1">IFERROR(__xludf.DUMMYFUNCTION("GOOGLETRANSLATE($B514,""en"",E$3)"),"Não é um válido máxima Prim Value. Deve ser maior que 0.")</f>
        <v>Não é um válido máxima Prim Value. Deve ser maior que 0.</v>
      </c>
      <c r="F514" s="21" t="str">
        <f ca="1">IFERROR(__xludf.DUMMYFUNCTION("GOOGLETRANSLATE($B514,""en"",F$3)"),"Não é um válido máxima Prim Value. Deve ser maior que 0.")</f>
        <v>Não é um válido máxima Prim Value. Deve ser maior que 0.</v>
      </c>
      <c r="G514" s="21" t="str">
        <f ca="1">IFERROR(__xludf.DUMMYFUNCTION("GOOGLETRANSLATE($B514,""en"",G$3)"),"Pas Prim maximum valide Valeur. Doit être supérieur à 0.")</f>
        <v>Pas Prim maximum valide Valeur. Doit être supérieur à 0.</v>
      </c>
      <c r="H514" s="21" t="str">
        <f ca="1">IFERROR(__xludf.DUMMYFUNCTION("GOOGLETRANSLATE($B514,""en"",H$3)"),"Ez da baliozko Gehienezko Prim balio bat. 0 baino handiagoa izan behar du.")</f>
        <v>Ez da baliozko Gehienezko Prim balio bat. 0 baino handiagoa izan behar du.</v>
      </c>
      <c r="I514" s="21" t="str">
        <f ca="1">IFERROR(__xludf.DUMMYFUNCTION("GOOGLETRANSLATE($B514,""en"",I$3)"),"No és un vàlid Màxim Valor Prim. Ha de ser més gran que 0.")</f>
        <v>No és un vàlid Màxim Valor Prim. Ha de ser més gran que 0.</v>
      </c>
      <c r="J514" s="21" t="str">
        <f ca="1">IFERROR(__xludf.DUMMYFUNCTION("GOOGLETRANSLATE($B514,""en"",J$3)"),"Není platný maximální Prim Value. Musí být větší než 0.")</f>
        <v>Není platný maximální Prim Value. Musí být větší než 0.</v>
      </c>
      <c r="K514" s="21" t="str">
        <f ca="1">IFERROR(__xludf.DUMMYFUNCTION("GOOGLETRANSLATE($B514,""en"",K$3)"),"不是有效的最大的Prim价值。必须大于0。")</f>
        <v>不是有效的最大的Prim价值。必须大于0。</v>
      </c>
      <c r="L514" s="21" t="str">
        <f ca="1">IFERROR(__xludf.DUMMYFUNCTION("GOOGLETRANSLATE($B514,""en"",L$3)"),"不是有效的最大的Prim價值。必須大於0。")</f>
        <v>不是有效的最大的Prim價值。必須大於0。</v>
      </c>
      <c r="M514" s="21" t="str">
        <f ca="1">IFERROR(__xludf.DUMMYFUNCTION("GOOGLETRANSLATE($B514,""en"",M$3)"),"Geen geldige Maximum Prim waarde. Moet groter zijn dan 0.")</f>
        <v>Geen geldige Maximum Prim waarde. Moet groter zijn dan 0.</v>
      </c>
      <c r="N514" s="21" t="str">
        <f ca="1">IFERROR(__xludf.DUMMYFUNCTION("GOOGLETRANSLATE($B514,""en"",N$3)"),"Δεν είναι μια έγκυρη μέγιστη Prim αξία. Πρέπει να είναι μεγαλύτερη από 0.")</f>
        <v>Δεν είναι μια έγκυρη μέγιστη Prim αξία. Πρέπει να είναι μεγαλύτερη από 0.</v>
      </c>
      <c r="O514" s="21" t="str">
        <f ca="1">IFERROR(__xludf.DUMMYFUNCTION("GOOGLETRANSLATE($B514,""en"",O$3)"),"Ei kelvollinen korkein Prim arvo. On oltava suurempi kuin 0.")</f>
        <v>Ei kelvollinen korkein Prim arvo. On oltava suurempi kuin 0.</v>
      </c>
      <c r="P514" s="21" t="str">
        <f ca="1">IFERROR(__xludf.DUMMYFUNCTION("GOOGLETRANSLATE($B514,""en"",P$3)"),"Ní Uasta Prim Luach bailí. Caithfidh sé a bheith níos mó ná 0.")</f>
        <v>Ní Uasta Prim Luach bailí. Caithfidh sé a bheith níos mó ná 0.</v>
      </c>
      <c r="Q514" s="21" t="str">
        <f ca="1">IFERROR(__xludf.DUMMYFUNCTION("GOOGLETRANSLATE($B514,""en"",Q$3)"),"معتبر حداکثر پریم ارزش. باید بیشتر از 0 باشد.")</f>
        <v>معتبر حداکثر پریم ارزش. باید بیشتر از 0 باشد.</v>
      </c>
      <c r="R514" s="21" t="str">
        <f ca="1">IFERROR(__xludf.DUMMYFUNCTION("GOOGLETRANSLATE($B514,""en"",R$3)"),"איננו ערך מקסימאלי פרים תקף. חייב להיות גדול מ 0.")</f>
        <v>איננו ערך מקסימאלי פרים תקף. חייב להיות גדול מ 0.</v>
      </c>
      <c r="S514" s="21" t="str">
        <f ca="1">IFERROR(__xludf.DUMMYFUNCTION("GOOGLETRANSLATE($B514,""en"",S$3)"),"Ekki gilt Hámark Prim Gildi. Verður að vera hærri en 0.")</f>
        <v>Ekki gilt Hámark Prim Gildi. Verður að vera hærri en 0.</v>
      </c>
      <c r="T514" s="21" t="str">
        <f ca="1">IFERROR(__xludf.DUMMYFUNCTION("GOOGLETRANSLATE($B514,""en"",T$3)"),"Ikke en gyldig Maksimal Prim verdi. Må være større enn 0.")</f>
        <v>Ikke en gyldig Maksimal Prim verdi. Må være større enn 0.</v>
      </c>
      <c r="U514" s="21" t="str">
        <f ca="1">IFERROR(__xludf.DUMMYFUNCTION("GOOGLETRANSLATE($B514,""en"",U$3)"),"ليس صالحة الحد الأقصى زم القيمة. يجب أن تكون أكبر من 0.")</f>
        <v>ليس صالحة الحد الأقصى زم القيمة. يجب أن تكون أكبر من 0.</v>
      </c>
      <c r="V514" s="21" t="str">
        <f ca="1">IFERROR(__xludf.DUMMYFUNCTION("GOOGLETRANSLATE($B514,""en"",V$3)"),"Nieprawidłowy Maksymalna wartość Prim. Musi być większa niż 0.")</f>
        <v>Nieprawidłowy Maksymalna wartość Prim. Musi być większa niż 0.</v>
      </c>
      <c r="W514" s="21" t="str">
        <f ca="1">IFERROR(__xludf.DUMMYFUNCTION("GOOGLETRANSLATE($B514,""en"",W$3)"),"Не действует Максимальная Прима Значение. Должно быть больше 0.")</f>
        <v>Не действует Максимальная Прима Значение. Должно быть больше 0.</v>
      </c>
      <c r="X514" s="21" t="str">
        <f ca="1">IFERROR(__xludf.DUMMYFUNCTION("GOOGLETRANSLATE($B514,""en"",X$3)"),"No es un válido Máximo Valor Prim. Debe ser mayor que 0.")</f>
        <v>No es un válido Máximo Valor Prim. Debe ser mayor que 0.</v>
      </c>
      <c r="Y514" s="21"/>
      <c r="Z514" s="21"/>
    </row>
    <row r="515" spans="1:26" ht="32.25" customHeight="1" x14ac:dyDescent="0.2">
      <c r="A515" s="17" t="s">
        <v>1137</v>
      </c>
      <c r="B515" s="17" t="s">
        <v>1138</v>
      </c>
      <c r="C515" s="21" t="str">
        <f ca="1">IFERROR(__xludf.DUMMYFUNCTION("GOOGLETRANSLATE($B515,""en"",C$3)"),"Keine gültige Nicht Physical Prim Max-Wert. Muss größer als 0")</f>
        <v>Keine gültige Nicht Physical Prim Max-Wert. Muss größer als 0</v>
      </c>
      <c r="D515" s="21" t="str">
        <f ca="1">IFERROR(__xludf.DUMMYFUNCTION("GOOGLETRANSLATE($B515,""en"",D$3)"),"Inte ett giltigt Non-Physical Prim Max värde. Måste vara större än 0")</f>
        <v>Inte ett giltigt Non-Physical Prim Max värde. Måste vara större än 0</v>
      </c>
      <c r="E515" s="21" t="str">
        <f ca="1">IFERROR(__xludf.DUMMYFUNCTION("GOOGLETRANSLATE($B515,""en"",E$3)"),"Não é um válido não-físico Prim Max Value. Deve ser maior que 0")</f>
        <v>Não é um válido não-físico Prim Max Value. Deve ser maior que 0</v>
      </c>
      <c r="F515" s="21" t="str">
        <f ca="1">IFERROR(__xludf.DUMMYFUNCTION("GOOGLETRANSLATE($B515,""en"",F$3)"),"Não é um válido não-físico Prim Max Value. Deve ser maior que 0")</f>
        <v>Não é um válido não-físico Prim Max Value. Deve ser maior que 0</v>
      </c>
      <c r="G515" s="21" t="str">
        <f ca="1">IFERROR(__xludf.DUMMYFUNCTION("GOOGLETRANSLATE($B515,""en"",G$3)"),"Pas valide Prim non-physique Valeur max. Doit être supérieur à 0")</f>
        <v>Pas valide Prim non-physique Valeur max. Doit être supérieur à 0</v>
      </c>
      <c r="H515" s="21" t="str">
        <f ca="1">IFERROR(__xludf.DUMMYFUNCTION("GOOGLETRANSLATE($B515,""en"",H$3)"),"Ez da baliozko Ez-fisikoa Prim Max balio bat. 0 baino handiagoa izan behar du")</f>
        <v>Ez da baliozko Ez-fisikoa Prim Max balio bat. 0 baino handiagoa izan behar du</v>
      </c>
      <c r="I515" s="21" t="str">
        <f ca="1">IFERROR(__xludf.DUMMYFUNCTION("GOOGLETRANSLATE($B515,""en"",I$3)"),"No és un vàlida per no física Prim Valor màx. Ha de ser més gran que 0")</f>
        <v>No és un vàlida per no física Prim Valor màx. Ha de ser més gran que 0</v>
      </c>
      <c r="J515" s="21" t="str">
        <f ca="1">IFERROR(__xludf.DUMMYFUNCTION("GOOGLETRANSLATE($B515,""en"",J$3)"),"Není platné Non-fyzikální Prim Max Value. Musí být větší než 0")</f>
        <v>Není platné Non-fyzikální Prim Max Value. Musí být větší než 0</v>
      </c>
      <c r="K515" s="21" t="str">
        <f ca="1">IFERROR(__xludf.DUMMYFUNCTION("GOOGLETRANSLATE($B515,""en"",K$3)"),"不是有效的非物理的Prim最大值。必须大于0")</f>
        <v>不是有效的非物理的Prim最大值。必须大于0</v>
      </c>
      <c r="L515" s="21" t="str">
        <f ca="1">IFERROR(__xludf.DUMMYFUNCTION("GOOGLETRANSLATE($B515,""en"",L$3)"),"不是有效的非物理的Prim最大值。必須大於0")</f>
        <v>不是有效的非物理的Prim最大值。必須大於0</v>
      </c>
      <c r="M515" s="21" t="str">
        <f ca="1">IFERROR(__xludf.DUMMYFUNCTION("GOOGLETRANSLATE($B515,""en"",M$3)"),"Geen geldige niet-fysieke Prim Max waarde. Moet groter zijn dan 0")</f>
        <v>Geen geldige niet-fysieke Prim Max waarde. Moet groter zijn dan 0</v>
      </c>
      <c r="N515" s="21" t="str">
        <f ca="1">IFERROR(__xludf.DUMMYFUNCTION("GOOGLETRANSLATE($B515,""en"",N$3)"),"Δεν είναι ένα έγκυρο Μη Φυσική Prim Μέγιστη τιμή. Πρέπει να είναι μεγαλύτερη από 0")</f>
        <v>Δεν είναι ένα έγκυρο Μη Φυσική Prim Μέγιστη τιμή. Πρέπει να είναι μεγαλύτερη από 0</v>
      </c>
      <c r="O515" s="21" t="str">
        <f ca="1">IFERROR(__xludf.DUMMYFUNCTION("GOOGLETRANSLATE($B515,""en"",O$3)"),"Ei kelvollinen aineettomia Prim maksimiarvo. On oltava suurempi kuin 0")</f>
        <v>Ei kelvollinen aineettomia Prim maksimiarvo. On oltava suurempi kuin 0</v>
      </c>
      <c r="P515" s="21" t="str">
        <f ca="1">IFERROR(__xludf.DUMMYFUNCTION("GOOGLETRANSLATE($B515,""en"",P$3)"),"Ní bailí Neamh-Physical Prim Max Luach. Caithfidh sé a bheith níos mó ná 0")</f>
        <v>Ní bailí Neamh-Physical Prim Max Luach. Caithfidh sé a bheith níos mó ná 0</v>
      </c>
      <c r="Q515" s="21" t="str">
        <f ca="1">IFERROR(__xludf.DUMMYFUNCTION("GOOGLETRANSLATE($B515,""en"",Q$3)"),"معتبر غیر فیزیکی پریم حداکثر ارزش. باید بیشتر از 0 باشد")</f>
        <v>معتبر غیر فیزیکی پریم حداکثر ارزش. باید بیشتر از 0 باشد</v>
      </c>
      <c r="R515" s="21" t="str">
        <f ca="1">IFERROR(__xludf.DUMMYFUNCTION("GOOGLETRANSLATE($B515,""en"",R$3)"),"אינו ערך שאינו פיסי פרי מקס תקף. חייב להיות גדול מ 0")</f>
        <v>אינו ערך שאינו פיסי פרי מקס תקף. חייב להיות גדול מ 0</v>
      </c>
      <c r="S515" s="21" t="str">
        <f ca="1">IFERROR(__xludf.DUMMYFUNCTION("GOOGLETRANSLATE($B515,""en"",S$3)"),"Ekki gilt Non-Líkamleg Prim Max Value. Verður að vera hærri en 0")</f>
        <v>Ekki gilt Non-Líkamleg Prim Max Value. Verður að vera hærri en 0</v>
      </c>
      <c r="T515" s="21" t="str">
        <f ca="1">IFERROR(__xludf.DUMMYFUNCTION("GOOGLETRANSLATE($B515,""en"",T$3)"),"Ikke en gyldig ikke-fysisk Prim Max verdi. Må være større enn 0")</f>
        <v>Ikke en gyldig ikke-fysisk Prim Max verdi. Må være større enn 0</v>
      </c>
      <c r="U515" s="21" t="str">
        <f ca="1">IFERROR(__xludf.DUMMYFUNCTION("GOOGLETRANSLATE($B515,""en"",U$3)"),"ليس صحيح غير المادية زم ماكس القيمة. يجب أن تكون أكبر من 0")</f>
        <v>ليس صحيح غير المادية زم ماكس القيمة. يجب أن تكون أكبر من 0</v>
      </c>
      <c r="V515" s="21" t="str">
        <f ca="1">IFERROR(__xludf.DUMMYFUNCTION("GOOGLETRANSLATE($B515,""en"",V$3)"),"Nieprawidłowy niefizyczne Prim Maksymalna wartość. Musi być większa niż 0")</f>
        <v>Nieprawidłowy niefizyczne Prim Maksymalna wartość. Musi być większa niż 0</v>
      </c>
      <c r="W515" s="21" t="str">
        <f ca="1">IFERROR(__xludf.DUMMYFUNCTION("GOOGLETRANSLATE($B515,""en"",W$3)"),"Не действительный нефизических Prim Max Value. Должно быть больше, чем 0")</f>
        <v>Не действительный нефизических Prim Max Value. Должно быть больше, чем 0</v>
      </c>
      <c r="X515" s="21" t="str">
        <f ca="1">IFERROR(__xludf.DUMMYFUNCTION("GOOGLETRANSLATE($B515,""en"",X$3)"),"No es un válida para no física Prim Valor máx. Debe ser mayor que 0")</f>
        <v>No es un válida para no física Prim Valor máx. Debe ser mayor que 0</v>
      </c>
      <c r="Y515" s="21"/>
      <c r="Z515" s="21"/>
    </row>
    <row r="516" spans="1:26" ht="32.25" customHeight="1" x14ac:dyDescent="0.2">
      <c r="A516" s="17" t="s">
        <v>1139</v>
      </c>
      <c r="B516" s="17" t="s">
        <v>1140</v>
      </c>
      <c r="C516" s="21" t="str">
        <f ca="1">IFERROR(__xludf.DUMMYFUNCTION("GOOGLETRANSLATE($B516,""en"",C$3)"),"Keine gültige physikalische Prim Max-Wert. Muss größer als 0 sein.")</f>
        <v>Keine gültige physikalische Prim Max-Wert. Muss größer als 0 sein.</v>
      </c>
      <c r="D516" s="21" t="str">
        <f ca="1">IFERROR(__xludf.DUMMYFUNCTION("GOOGLETRANSLATE($B516,""en"",D$3)"),"Inte ett giltigt Physical Prim Max värde. Måste vara större än 0.")</f>
        <v>Inte ett giltigt Physical Prim Max värde. Måste vara större än 0.</v>
      </c>
      <c r="E516" s="21" t="str">
        <f ca="1">IFERROR(__xludf.DUMMYFUNCTION("GOOGLETRANSLATE($B516,""en"",E$3)"),"Não é um válido Prim Física Max Value. Deve ser maior que 0.")</f>
        <v>Não é um válido Prim Física Max Value. Deve ser maior que 0.</v>
      </c>
      <c r="F516" s="21" t="str">
        <f ca="1">IFERROR(__xludf.DUMMYFUNCTION("GOOGLETRANSLATE($B516,""en"",F$3)"),"Não é um válido Prim Física Max Value. Deve ser maior que 0.")</f>
        <v>Não é um válido Prim Física Max Value. Deve ser maior que 0.</v>
      </c>
      <c r="G516" s="21" t="str">
        <f ca="1">IFERROR(__xludf.DUMMYFUNCTION("GOOGLETRANSLATE($B516,""en"",G$3)"),"Pas valide Prim physique Valeur max. Doit être supérieur à 0.")</f>
        <v>Pas valide Prim physique Valeur max. Doit être supérieur à 0.</v>
      </c>
      <c r="H516" s="21" t="str">
        <f ca="1">IFERROR(__xludf.DUMMYFUNCTION("GOOGLETRANSLATE($B516,""en"",H$3)"),"Ez da baliozko Prim fisikoa Max balio bat. 0 baino handiagoa izan behar du.")</f>
        <v>Ez da baliozko Prim fisikoa Max balio bat. 0 baino handiagoa izan behar du.</v>
      </c>
      <c r="I516" s="21" t="str">
        <f ca="1">IFERROR(__xludf.DUMMYFUNCTION("GOOGLETRANSLATE($B516,""en"",I$3)"),"No és un vàlid Prim física Valor màx. Ha de ser més gran que 0.")</f>
        <v>No és un vàlid Prim física Valor màx. Ha de ser més gran que 0.</v>
      </c>
      <c r="J516" s="21" t="str">
        <f ca="1">IFERROR(__xludf.DUMMYFUNCTION("GOOGLETRANSLATE($B516,""en"",J$3)"),"Není platný Physical Prim Max Value. Musí být větší než 0.")</f>
        <v>Není platný Physical Prim Max Value. Musí být větší než 0.</v>
      </c>
      <c r="K516" s="21" t="str">
        <f ca="1">IFERROR(__xludf.DUMMYFUNCTION("GOOGLETRANSLATE($B516,""en"",K$3)"),"不是有效的物理的Prim最大值。必须大于0。")</f>
        <v>不是有效的物理的Prim最大值。必须大于0。</v>
      </c>
      <c r="L516" s="21" t="str">
        <f ca="1">IFERROR(__xludf.DUMMYFUNCTION("GOOGLETRANSLATE($B516,""en"",L$3)"),"不是有效的物理的Prim最大值。必須大於0。")</f>
        <v>不是有效的物理的Prim最大值。必須大於0。</v>
      </c>
      <c r="M516" s="21" t="str">
        <f ca="1">IFERROR(__xludf.DUMMYFUNCTION("GOOGLETRANSLATE($B516,""en"",M$3)"),"Geen geldige Physical Prim Max waarde. Moet groter zijn dan 0.")</f>
        <v>Geen geldige Physical Prim Max waarde. Moet groter zijn dan 0.</v>
      </c>
      <c r="N516" s="21" t="str">
        <f ca="1">IFERROR(__xludf.DUMMYFUNCTION("GOOGLETRANSLATE($B516,""en"",N$3)"),"Δεν είναι ένα έγκυρο Φυσική Prim Μέγιστη τιμή. Πρέπει να είναι μεγαλύτερη από 0.")</f>
        <v>Δεν είναι ένα έγκυρο Φυσική Prim Μέγιστη τιμή. Πρέπει να είναι μεγαλύτερη από 0.</v>
      </c>
      <c r="O516" s="21" t="str">
        <f ca="1">IFERROR(__xludf.DUMMYFUNCTION("GOOGLETRANSLATE($B516,""en"",O$3)"),"Ei kelvollinen Fyysinen Primin maksimiarvo. On oltava suurempi kuin 0.")</f>
        <v>Ei kelvollinen Fyysinen Primin maksimiarvo. On oltava suurempi kuin 0.</v>
      </c>
      <c r="P516" s="21" t="str">
        <f ca="1">IFERROR(__xludf.DUMMYFUNCTION("GOOGLETRANSLATE($B516,""en"",P$3)"),"Ní bailí Prim Fhisiciúil Max Luach. Caithfidh sé a bheith níos mó ná 0.")</f>
        <v>Ní bailí Prim Fhisiciúil Max Luach. Caithfidh sé a bheith níos mó ná 0.</v>
      </c>
      <c r="Q516" s="21" t="str">
        <f ca="1">IFERROR(__xludf.DUMMYFUNCTION("GOOGLETRANSLATE($B516,""en"",Q$3)"),"معتبر رسمی و خشک فیزیکی حداکثر ارزش. باید بیشتر از 0 باشد.")</f>
        <v>معتبر رسمی و خشک فیزیکی حداکثر ارزش. باید بیشتر از 0 باشد.</v>
      </c>
      <c r="R516" s="21" t="str">
        <f ca="1">IFERROR(__xludf.DUMMYFUNCTION("GOOGLETRANSLATE($B516,""en"",R$3)"),"איננו ערך הגופן פרי מקס תקף. חייב להיות גדול מ 0.")</f>
        <v>איננו ערך הגופן פרי מקס תקף. חייב להיות גדול מ 0.</v>
      </c>
      <c r="S516" s="21" t="str">
        <f ca="1">IFERROR(__xludf.DUMMYFUNCTION("GOOGLETRANSLATE($B516,""en"",S$3)"),"Ekki gilt Líkamleg Prim Max Value. Verður að vera hærri en 0.")</f>
        <v>Ekki gilt Líkamleg Prim Max Value. Verður að vera hærri en 0.</v>
      </c>
      <c r="T516" s="21" t="str">
        <f ca="1">IFERROR(__xludf.DUMMYFUNCTION("GOOGLETRANSLATE($B516,""en"",T$3)"),"Ikke en gyldig Fysisk Prim Max verdi. Må være større enn 0.")</f>
        <v>Ikke en gyldig Fysisk Prim Max verdi. Må være større enn 0.</v>
      </c>
      <c r="U516" s="21" t="str">
        <f ca="1">IFERROR(__xludf.DUMMYFUNCTION("GOOGLETRANSLATE($B516,""en"",U$3)"),"ليس صالحة زم البدنية ماكس القيمة. يجب أن تكون أكبر من 0.")</f>
        <v>ليس صالحة زم البدنية ماكس القيمة. يجب أن تكون أكبر من 0.</v>
      </c>
      <c r="V516" s="21" t="str">
        <f ca="1">IFERROR(__xludf.DUMMYFUNCTION("GOOGLETRANSLATE($B516,""en"",V$3)"),"Nieprawidłowy fizyczny Prim Maksymalna wartość. Musi być większa niż 0.")</f>
        <v>Nieprawidłowy fizyczny Prim Maksymalna wartość. Musi być większa niż 0.</v>
      </c>
      <c r="W516" s="21" t="str">
        <f ca="1">IFERROR(__xludf.DUMMYFUNCTION("GOOGLETRANSLATE($B516,""en"",W$3)"),"Не действительный физический Prim Max Value. Должно быть больше 0.")</f>
        <v>Не действительный физический Prim Max Value. Должно быть больше 0.</v>
      </c>
      <c r="X516" s="21" t="str">
        <f ca="1">IFERROR(__xludf.DUMMYFUNCTION("GOOGLETRANSLATE($B516,""en"",X$3)"),"No es un válido Prim física Valor máx. Debe ser mayor que 0.")</f>
        <v>No es un válido Prim física Valor máx. Debe ser mayor que 0.</v>
      </c>
      <c r="Y516" s="21"/>
      <c r="Z516" s="21"/>
    </row>
    <row r="517" spans="1:26" ht="32.25" customHeight="1" x14ac:dyDescent="0.2">
      <c r="A517" s="17" t="s">
        <v>1141</v>
      </c>
      <c r="B517" s="17" t="s">
        <v>1142</v>
      </c>
      <c r="C517" s="21" t="str">
        <f ca="1">IFERROR(__xludf.DUMMYFUNCTION("GOOGLETRANSLATE($B517,""en"",C$3)"),"OAR-Dateien sind Sicherungen ganzer Inseln")</f>
        <v>OAR-Dateien sind Sicherungen ganzer Inseln</v>
      </c>
      <c r="D517" s="21" t="str">
        <f ca="1">IFERROR(__xludf.DUMMYFUNCTION("GOOGLETRANSLATE($B517,""en"",D$3)"),"OAR filer är säkerhetskopior av hela Islands")</f>
        <v>OAR filer är säkerhetskopior av hela Islands</v>
      </c>
      <c r="E517" s="21" t="str">
        <f ca="1">IFERROR(__xludf.DUMMYFUNCTION("GOOGLETRANSLATE($B517,""en"",E$3)"),"arquivos OAR são backups de todo Islands")</f>
        <v>arquivos OAR são backups de todo Islands</v>
      </c>
      <c r="F517" s="21" t="str">
        <f ca="1">IFERROR(__xludf.DUMMYFUNCTION("GOOGLETRANSLATE($B517,""en"",F$3)"),"arquivos OAR são backups de todo Islands")</f>
        <v>arquivos OAR são backups de todo Islands</v>
      </c>
      <c r="G517" s="21" t="str">
        <f ca="1">IFERROR(__xludf.DUMMYFUNCTION("GOOGLETRANSLATE($B517,""en"",G$3)"),"fichiers OAR sont des sauvegardes des îles entières")</f>
        <v>fichiers OAR sont des sauvegardes des îles entières</v>
      </c>
      <c r="H517" s="21" t="str">
        <f ca="1">IFERROR(__xludf.DUMMYFUNCTION("GOOGLETRANSLATE($B517,""en"",H$3)"),"OAR fitxategiak Uharteak osoa babeskopiak dira")</f>
        <v>OAR fitxategiak Uharteak osoa babeskopiak dira</v>
      </c>
      <c r="I517" s="21" t="str">
        <f ca="1">IFERROR(__xludf.DUMMYFUNCTION("GOOGLETRANSLATE($B517,""en"",I$3)"),"OAR arxius són còpies de seguretat de tot Illes")</f>
        <v>OAR arxius són còpies de seguretat de tot Illes</v>
      </c>
      <c r="J517" s="21" t="str">
        <f ca="1">IFERROR(__xludf.DUMMYFUNCTION("GOOGLETRANSLATE($B517,""en"",J$3)"),"Veslo soubory jsou zálohy celých ostrovů")</f>
        <v>Veslo soubory jsou zálohy celých ostrovů</v>
      </c>
      <c r="K517" s="21" t="str">
        <f ca="1">IFERROR(__xludf.DUMMYFUNCTION("GOOGLETRANSLATE($B517,""en"",K$3)"),"OAR文件是整个群岛的备份")</f>
        <v>OAR文件是整个群岛的备份</v>
      </c>
      <c r="L517" s="21" t="str">
        <f ca="1">IFERROR(__xludf.DUMMYFUNCTION("GOOGLETRANSLATE($B517,""en"",L$3)"),"OAR文件是整個群島的備份")</f>
        <v>OAR文件是整個群島的備份</v>
      </c>
      <c r="M517" s="21" t="str">
        <f ca="1">IFERROR(__xludf.DUMMYFUNCTION("GOOGLETRANSLATE($B517,""en"",M$3)"),"OAR bestanden zijn backups van het gehele Islands")</f>
        <v>OAR bestanden zijn backups van het gehele Islands</v>
      </c>
      <c r="N517" s="21" t="str">
        <f ca="1">IFERROR(__xludf.DUMMYFUNCTION("GOOGLETRANSLATE($B517,""en"",N$3)"),"αρχεία OAR είναι αντίγραφα ασφαλείας ολόκληρου Νησιά")</f>
        <v>αρχεία OAR είναι αντίγραφα ασφαλείας ολόκληρου Νησιά</v>
      </c>
      <c r="O517" s="21" t="str">
        <f ca="1">IFERROR(__xludf.DUMMYFUNCTION("GOOGLETRANSLATE($B517,""en"",O$3)"),"OAR tiedostot ovat varmuuskopioita koko Islands")</f>
        <v>OAR tiedostot ovat varmuuskopioita koko Islands</v>
      </c>
      <c r="P517" s="21" t="str">
        <f ca="1">IFERROR(__xludf.DUMMYFUNCTION("GOOGLETRANSLATE($B517,""en"",P$3)"),"Tá comhaid OAR backups de Islands fad")</f>
        <v>Tá comhaid OAR backups de Islands fad</v>
      </c>
      <c r="Q517" s="21" t="str">
        <f ca="1">IFERROR(__xludf.DUMMYFUNCTION("GOOGLETRANSLATE($B517,""en"",Q$3)"),"فایل های پشتیبان گیری از پارو کل جزایر هستند")</f>
        <v>فایل های پشتیبان گیری از پارو کل جزایر هستند</v>
      </c>
      <c r="R517" s="21" t="str">
        <f ca="1">IFERROR(__xludf.DUMMYFUNCTION("GOOGLETRANSLATE($B517,""en"",R$3)"),"קבצי משוט הם גיבויים של אי השלם")</f>
        <v>קבצי משוט הם גיבויים של אי השלם</v>
      </c>
      <c r="S517" s="21" t="str">
        <f ca="1">IFERROR(__xludf.DUMMYFUNCTION("GOOGLETRANSLATE($B517,""en"",S$3)"),"OAR skrár eru afrit af öllu Islands")</f>
        <v>OAR skrár eru afrit af öllu Islands</v>
      </c>
      <c r="T517" s="21" t="str">
        <f ca="1">IFERROR(__xludf.DUMMYFUNCTION("GOOGLETRANSLATE($B517,""en"",T$3)"),"Åre filene er sikkerhetskopier av hele Islands")</f>
        <v>Åre filene er sikkerhetskopier av hele Islands</v>
      </c>
      <c r="U517" s="21" t="str">
        <f ca="1">IFERROR(__xludf.DUMMYFUNCTION("GOOGLETRANSLATE($B517,""en"",U$3)"),"ملفات OAR هي نسخ احتياطية من جزر بأكملها")</f>
        <v>ملفات OAR هي نسخ احتياطية من جزر بأكملها</v>
      </c>
      <c r="V517" s="21" t="str">
        <f ca="1">IFERROR(__xludf.DUMMYFUNCTION("GOOGLETRANSLATE($B517,""en"",V$3)"),"Pliki wiosło są kopie zapasowe całych Wyspach")</f>
        <v>Pliki wiosło są kopie zapasowe całych Wyspach</v>
      </c>
      <c r="W517" s="21" t="str">
        <f ca="1">IFERROR(__xludf.DUMMYFUNCTION("GOOGLETRANSLATE($B517,""en"",W$3)"),"OAR файлы резервных копий целых островов")</f>
        <v>OAR файлы резервных копий целых островов</v>
      </c>
      <c r="X517" s="21" t="str">
        <f ca="1">IFERROR(__xludf.DUMMYFUNCTION("GOOGLETRANSLATE($B517,""en"",X$3)"),"OAR archivos son copias de seguridad de todo Islas")</f>
        <v>OAR archivos son copias de seguridad de todo Islas</v>
      </c>
      <c r="Y517" s="21"/>
      <c r="Z517" s="21"/>
    </row>
    <row r="518" spans="1:26" ht="32.25" customHeight="1" x14ac:dyDescent="0.2">
      <c r="A518" s="17" t="s">
        <v>1143</v>
      </c>
      <c r="B518" s="17" t="s">
        <v>1144</v>
      </c>
      <c r="C518" s="21" t="str">
        <f ca="1">IFERROR(__xludf.DUMMYFUNCTION("GOOGLETRANSLATE($B518,""en"",C$3)"),"OAR Laden und Speichern")</f>
        <v>OAR Laden und Speichern</v>
      </c>
      <c r="D518" s="21" t="str">
        <f ca="1">IFERROR(__xludf.DUMMYFUNCTION("GOOGLETRANSLATE($B518,""en"",D$3)"),"OAR Load och spara")</f>
        <v>OAR Load och spara</v>
      </c>
      <c r="E518" s="21" t="str">
        <f ca="1">IFERROR(__xludf.DUMMYFUNCTION("GOOGLETRANSLATE($B518,""en"",E$3)"),"OAR carregar e salvar")</f>
        <v>OAR carregar e salvar</v>
      </c>
      <c r="F518" s="21" t="str">
        <f ca="1">IFERROR(__xludf.DUMMYFUNCTION("GOOGLETRANSLATE($B518,""en"",F$3)"),"OAR carregar e salvar")</f>
        <v>OAR carregar e salvar</v>
      </c>
      <c r="G518" s="21" t="str">
        <f ca="1">IFERROR(__xludf.DUMMYFUNCTION("GOOGLETRANSLATE($B518,""en"",G$3)"),"OAR Charger et Enregistrer")</f>
        <v>OAR Charger et Enregistrer</v>
      </c>
      <c r="H518" s="21" t="str">
        <f ca="1">IFERROR(__xludf.DUMMYFUNCTION("GOOGLETRANSLATE($B518,""en"",H$3)"),"OAR kargatu eta gorde")</f>
        <v>OAR kargatu eta gorde</v>
      </c>
      <c r="I518" s="21" t="str">
        <f ca="1">IFERROR(__xludf.DUMMYFUNCTION("GOOGLETRANSLATE($B518,""en"",I$3)"),"OAR Carregar i Desa")</f>
        <v>OAR Carregar i Desa</v>
      </c>
      <c r="J518" s="21" t="str">
        <f ca="1">IFERROR(__xludf.DUMMYFUNCTION("GOOGLETRANSLATE($B518,""en"",J$3)"),"OAR Load a uložit")</f>
        <v>OAR Load a uložit</v>
      </c>
      <c r="K518" s="21" t="str">
        <f ca="1">IFERROR(__xludf.DUMMYFUNCTION("GOOGLETRANSLATE($B518,""en"",K$3)"),"OAR加载和保存")</f>
        <v>OAR加载和保存</v>
      </c>
      <c r="L518" s="21" t="str">
        <f ca="1">IFERROR(__xludf.DUMMYFUNCTION("GOOGLETRANSLATE($B518,""en"",L$3)"),"OAR加載和保存")</f>
        <v>OAR加載和保存</v>
      </c>
      <c r="M518" s="21" t="str">
        <f ca="1">IFERROR(__xludf.DUMMYFUNCTION("GOOGLETRANSLATE($B518,""en"",M$3)"),"OAR Laden en opslaan")</f>
        <v>OAR Laden en opslaan</v>
      </c>
      <c r="N518" s="21" t="str">
        <f ca="1">IFERROR(__xludf.DUMMYFUNCTION("GOOGLETRANSLATE($B518,""en"",N$3)"),"OAR Φόρτωση και Αποθήκευση")</f>
        <v>OAR Φόρτωση και Αποθήκευση</v>
      </c>
      <c r="O518" s="21" t="str">
        <f ca="1">IFERROR(__xludf.DUMMYFUNCTION("GOOGLETRANSLATE($B518,""en"",O$3)"),"OAR Lataa ja tallenna")</f>
        <v>OAR Lataa ja tallenna</v>
      </c>
      <c r="P518" s="21" t="str">
        <f ca="1">IFERROR(__xludf.DUMMYFUNCTION("GOOGLETRANSLATE($B518,""en"",P$3)"),"OAR Luchtaigh agus Sábháil")</f>
        <v>OAR Luchtaigh agus Sábháil</v>
      </c>
      <c r="Q518" s="21" t="str">
        <f ca="1">IFERROR(__xludf.DUMMYFUNCTION("GOOGLETRANSLATE($B518,""en"",Q$3)"),"بار پارو و ذخیره")</f>
        <v>بار پارو و ذخیره</v>
      </c>
      <c r="R518" s="21" t="str">
        <f ca="1">IFERROR(__xludf.DUMMYFUNCTION("GOOGLETRANSLATE($B518,""en"",R$3)"),"טען משוט שמור")</f>
        <v>טען משוט שמור</v>
      </c>
      <c r="S518" s="21" t="str">
        <f ca="1">IFERROR(__xludf.DUMMYFUNCTION("GOOGLETRANSLATE($B518,""en"",S$3)"),"OAR hlaða og vista")</f>
        <v>OAR hlaða og vista</v>
      </c>
      <c r="T518" s="21" t="str">
        <f ca="1">IFERROR(__xludf.DUMMYFUNCTION("GOOGLETRANSLATE($B518,""en"",T$3)"),"OAR Last inn og lagre")</f>
        <v>OAR Last inn og lagre</v>
      </c>
      <c r="U518" s="21" t="str">
        <f ca="1">IFERROR(__xludf.DUMMYFUNCTION("GOOGLETRANSLATE($B518,""en"",U$3)"),"OAR تحميل وحفظ")</f>
        <v>OAR تحميل وحفظ</v>
      </c>
      <c r="V518" s="21" t="str">
        <f ca="1">IFERROR(__xludf.DUMMYFUNCTION("GOOGLETRANSLATE($B518,""en"",V$3)"),"OAR obciążenia i Zapisz")</f>
        <v>OAR obciążenia i Zapisz</v>
      </c>
      <c r="W518" s="21" t="str">
        <f ca="1">IFERROR(__xludf.DUMMYFUNCTION("GOOGLETRANSLATE($B518,""en"",W$3)"),"ОАР Загрузка и сохранение")</f>
        <v>ОАР Загрузка и сохранение</v>
      </c>
      <c r="X518" s="21" t="str">
        <f ca="1">IFERROR(__xludf.DUMMYFUNCTION("GOOGLETRANSLATE($B518,""en"",X$3)"),"OAR Cargar y Guardar")</f>
        <v>OAR Cargar y Guardar</v>
      </c>
      <c r="Y518" s="21"/>
      <c r="Z518" s="21"/>
    </row>
    <row r="519" spans="1:26" ht="32.25" customHeight="1" x14ac:dyDescent="0.2">
      <c r="A519" s="17" t="s">
        <v>1145</v>
      </c>
      <c r="B519" s="17" t="s">
        <v>1146</v>
      </c>
      <c r="C519" s="21" t="str">
        <f ca="1">IFERROR(__xludf.DUMMYFUNCTION("GOOGLETRANSLATE($B519,""en"",C$3)"),"OAR Laden, Speichern und Sichern")</f>
        <v>OAR Laden, Speichern und Sichern</v>
      </c>
      <c r="D519" s="21" t="str">
        <f ca="1">IFERROR(__xludf.DUMMYFUNCTION("GOOGLETRANSLATE($B519,""en"",D$3)"),"OAR Load, Spara och Backup")</f>
        <v>OAR Load, Spara och Backup</v>
      </c>
      <c r="E519" s="21" t="str">
        <f ca="1">IFERROR(__xludf.DUMMYFUNCTION("GOOGLETRANSLATE($B519,""en"",E$3)"),"OAR carregar, salvar e backup")</f>
        <v>OAR carregar, salvar e backup</v>
      </c>
      <c r="F519" s="21" t="str">
        <f ca="1">IFERROR(__xludf.DUMMYFUNCTION("GOOGLETRANSLATE($B519,""en"",F$3)"),"OAR carregar, salvar e backup")</f>
        <v>OAR carregar, salvar e backup</v>
      </c>
      <c r="G519" s="21" t="str">
        <f ca="1">IFERROR(__xludf.DUMMYFUNCTION("GOOGLETRANSLATE($B519,""en"",G$3)"),"OAR Charger, Enregistrer et sauvegarde")</f>
        <v>OAR Charger, Enregistrer et sauvegarde</v>
      </c>
      <c r="H519" s="21" t="str">
        <f ca="1">IFERROR(__xludf.DUMMYFUNCTION("GOOGLETRANSLATE($B519,""en"",H$3)"),"OAR kargatu, gorde eta Backup")</f>
        <v>OAR kargatu, gorde eta Backup</v>
      </c>
      <c r="I519" s="21" t="str">
        <f ca="1">IFERROR(__xludf.DUMMYFUNCTION("GOOGLETRANSLATE($B519,""en"",I$3)"),"OAR Carregar, Guardar i còpia de seguretat")</f>
        <v>OAR Carregar, Guardar i còpia de seguretat</v>
      </c>
      <c r="J519" s="21" t="str">
        <f ca="1">IFERROR(__xludf.DUMMYFUNCTION("GOOGLETRANSLATE($B519,""en"",J$3)"),"OAR Load, Save and Backup")</f>
        <v>OAR Load, Save and Backup</v>
      </c>
      <c r="K519" s="21" t="str">
        <f ca="1">IFERROR(__xludf.DUMMYFUNCTION("GOOGLETRANSLATE($B519,""en"",K$3)"),"OAR加载，保存和备份")</f>
        <v>OAR加载，保存和备份</v>
      </c>
      <c r="L519" s="21" t="str">
        <f ca="1">IFERROR(__xludf.DUMMYFUNCTION("GOOGLETRANSLATE($B519,""en"",L$3)"),"OAR加載，保存和備份")</f>
        <v>OAR加載，保存和備份</v>
      </c>
      <c r="M519" s="21" t="str">
        <f ca="1">IFERROR(__xludf.DUMMYFUNCTION("GOOGLETRANSLATE($B519,""en"",M$3)"),"OAR Laden, opslaan en back-up")</f>
        <v>OAR Laden, opslaan en back-up</v>
      </c>
      <c r="N519" s="21" t="str">
        <f ca="1">IFERROR(__xludf.DUMMYFUNCTION("GOOGLETRANSLATE($B519,""en"",N$3)"),"OAR φορτίου, Αποθήκευση και δημιουργία αντιγράφων ασφαλείας")</f>
        <v>OAR φορτίου, Αποθήκευση και δημιουργία αντιγράφων ασφαλείας</v>
      </c>
      <c r="O519" s="21" t="str">
        <f ca="1">IFERROR(__xludf.DUMMYFUNCTION("GOOGLETRANSLATE($B519,""en"",O$3)"),"OAR Load, Save ja varmuuskopiointi")</f>
        <v>OAR Load, Save ja varmuuskopiointi</v>
      </c>
      <c r="P519" s="21" t="str">
        <f ca="1">IFERROR(__xludf.DUMMYFUNCTION("GOOGLETRANSLATE($B519,""en"",P$3)"),"OAR Luchtaigh, Sábháil agus Cúltaca")</f>
        <v>OAR Luchtaigh, Sábháil agus Cúltaca</v>
      </c>
      <c r="Q519" s="21" t="str">
        <f ca="1">IFERROR(__xludf.DUMMYFUNCTION("GOOGLETRANSLATE($B519,""en"",Q$3)"),"پارو بارگذاری، ذخیره و پشتیبان گیری")</f>
        <v>پارو بارگذاری، ذخیره و پشتیبان گیری</v>
      </c>
      <c r="R519" s="21" t="str">
        <f ca="1">IFERROR(__xludf.DUMMYFUNCTION("GOOGLETRANSLATE($B519,""en"",R$3)"),"טען משוט, שמור גיבוי")</f>
        <v>טען משוט, שמור גיבוי</v>
      </c>
      <c r="S519" s="21" t="str">
        <f ca="1">IFERROR(__xludf.DUMMYFUNCTION("GOOGLETRANSLATE($B519,""en"",S$3)"),"OAR Hlaða, Vista og Backup")</f>
        <v>OAR Hlaða, Vista og Backup</v>
      </c>
      <c r="T519" s="21" t="str">
        <f ca="1">IFERROR(__xludf.DUMMYFUNCTION("GOOGLETRANSLATE($B519,""en"",T$3)"),"OAR Load, Save and Backup")</f>
        <v>OAR Load, Save and Backup</v>
      </c>
      <c r="U519" s="21" t="str">
        <f ca="1">IFERROR(__xludf.DUMMYFUNCTION("GOOGLETRANSLATE($B519,""en"",U$3)"),"OAR تحميل، حفظ والنسخ الاحتياطي")</f>
        <v>OAR تحميل، حفظ والنسخ الاحتياطي</v>
      </c>
      <c r="V519" s="21" t="str">
        <f ca="1">IFERROR(__xludf.DUMMYFUNCTION("GOOGLETRANSLATE($B519,""en"",V$3)"),"OAR obciążenia, zapisywać i backup")</f>
        <v>OAR obciążenia, zapisywać i backup</v>
      </c>
      <c r="W519" s="21" t="str">
        <f ca="1">IFERROR(__xludf.DUMMYFUNCTION("GOOGLETRANSLATE($B519,""en"",W$3)"),"ОАР Загрузка, сохранение и резервное копирование")</f>
        <v>ОАР Загрузка, сохранение и резервное копирование</v>
      </c>
      <c r="X519" s="21" t="str">
        <f ca="1">IFERROR(__xludf.DUMMYFUNCTION("GOOGLETRANSLATE($B519,""en"",X$3)"),"OAR Cargar, Guardar y copia de seguridad")</f>
        <v>OAR Cargar, Guardar y copia de seguridad</v>
      </c>
      <c r="Y519" s="21"/>
      <c r="Z519" s="21"/>
    </row>
    <row r="520" spans="1:26" ht="32.25" customHeight="1" x14ac:dyDescent="0.2">
      <c r="A520" s="17" t="s">
        <v>1147</v>
      </c>
      <c r="B520" s="17" t="s">
        <v>1148</v>
      </c>
      <c r="C520" s="21" t="str">
        <f ca="1">IFERROR(__xludf.DUMMYFUNCTION("GOOGLETRANSLATE($B520,""en"",C$3)"),"Objektpfad und den Namen")</f>
        <v>Objektpfad und den Namen</v>
      </c>
      <c r="D520" s="21" t="str">
        <f ca="1">IFERROR(__xludf.DUMMYFUNCTION("GOOGLETRANSLATE($B520,""en"",D$3)"),"Object sökväg och namn")</f>
        <v>Object sökväg och namn</v>
      </c>
      <c r="E520" s="21" t="str">
        <f ca="1">IFERROR(__xludf.DUMMYFUNCTION("GOOGLETRANSLATE($B520,""en"",E$3)"),"Path objeto e nome")</f>
        <v>Path objeto e nome</v>
      </c>
      <c r="F520" s="21" t="str">
        <f ca="1">IFERROR(__xludf.DUMMYFUNCTION("GOOGLETRANSLATE($B520,""en"",F$3)"),"Path objeto e nome")</f>
        <v>Path objeto e nome</v>
      </c>
      <c r="G520" s="21" t="str">
        <f ca="1">IFERROR(__xludf.DUMMYFUNCTION("GOOGLETRANSLATE($B520,""en"",G$3)"),"Chemin de l'objet et le nom")</f>
        <v>Chemin de l'objet et le nom</v>
      </c>
      <c r="H520" s="21" t="str">
        <f ca="1">IFERROR(__xludf.DUMMYFUNCTION("GOOGLETRANSLATE($B520,""en"",H$3)"),"Objektu Path eta izena")</f>
        <v>Objektu Path eta izena</v>
      </c>
      <c r="I520" s="21" t="str">
        <f ca="1">IFERROR(__xludf.DUMMYFUNCTION("GOOGLETRANSLATE($B520,""en"",I$3)"),"Ruta objecte i el nom")</f>
        <v>Ruta objecte i el nom</v>
      </c>
      <c r="J520" s="21" t="str">
        <f ca="1">IFERROR(__xludf.DUMMYFUNCTION("GOOGLETRANSLATE($B520,""en"",J$3)"),"Path objekt a název")</f>
        <v>Path objekt a název</v>
      </c>
      <c r="K520" s="21" t="str">
        <f ca="1">IFERROR(__xludf.DUMMYFUNCTION("GOOGLETRANSLATE($B520,""en"",K$3)"),"对象路径和名称")</f>
        <v>对象路径和名称</v>
      </c>
      <c r="L520" s="21" t="str">
        <f ca="1">IFERROR(__xludf.DUMMYFUNCTION("GOOGLETRANSLATE($B520,""en"",L$3)"),"對象路徑和名稱")</f>
        <v>對象路徑和名稱</v>
      </c>
      <c r="M520" s="21" t="str">
        <f ca="1">IFERROR(__xludf.DUMMYFUNCTION("GOOGLETRANSLATE($B520,""en"",M$3)"),"Object pad en de naam")</f>
        <v>Object pad en de naam</v>
      </c>
      <c r="N520" s="21" t="str">
        <f ca="1">IFERROR(__xludf.DUMMYFUNCTION("GOOGLETRANSLATE($B520,""en"",N$3)"),"Αντικείμενο Διαδρομή και όνομα")</f>
        <v>Αντικείμενο Διαδρομή και όνομα</v>
      </c>
      <c r="O520" s="21" t="str">
        <f ca="1">IFERROR(__xludf.DUMMYFUNCTION("GOOGLETRANSLATE($B520,""en"",O$3)"),"Objektin polku ja nimi")</f>
        <v>Objektin polku ja nimi</v>
      </c>
      <c r="P520" s="21" t="str">
        <f ca="1">IFERROR(__xludf.DUMMYFUNCTION("GOOGLETRANSLATE($B520,""en"",P$3)"),"Conair Cuspóir agus ainm")</f>
        <v>Conair Cuspóir agus ainm</v>
      </c>
      <c r="Q520" s="21" t="str">
        <f ca="1">IFERROR(__xludf.DUMMYFUNCTION("GOOGLETRANSLATE($B520,""en"",Q$3)"),"مسیر شی و نام")</f>
        <v>مسیر شی و نام</v>
      </c>
      <c r="R520" s="21" t="str">
        <f ca="1">IFERROR(__xludf.DUMMYFUNCTION("GOOGLETRANSLATE($B520,""en"",R$3)"),"נתיב ושם אובייקט")</f>
        <v>נתיב ושם אובייקט</v>
      </c>
      <c r="S520" s="21" t="str">
        <f ca="1">IFERROR(__xludf.DUMMYFUNCTION("GOOGLETRANSLATE($B520,""en"",S$3)"),"Object Path og nafn")</f>
        <v>Object Path og nafn</v>
      </c>
      <c r="T520" s="21" t="str">
        <f ca="1">IFERROR(__xludf.DUMMYFUNCTION("GOOGLETRANSLATE($B520,""en"",T$3)"),"Objekt Bane og navn")</f>
        <v>Objekt Bane og navn</v>
      </c>
      <c r="U520" s="21" t="str">
        <f ca="1">IFERROR(__xludf.DUMMYFUNCTION("GOOGLETRANSLATE($B520,""en"",U$3)"),"مسار الكائن واسم")</f>
        <v>مسار الكائن واسم</v>
      </c>
      <c r="V520" s="21" t="str">
        <f ca="1">IFERROR(__xludf.DUMMYFUNCTION("GOOGLETRANSLATE($B520,""en"",V$3)"),"Ścieżka i nazwa obiektu")</f>
        <v>Ścieżka i nazwa obiektu</v>
      </c>
      <c r="W520" s="21" t="str">
        <f ca="1">IFERROR(__xludf.DUMMYFUNCTION("GOOGLETRANSLATE($B520,""en"",W$3)"),"Путь объекта и имя")</f>
        <v>Путь объекта и имя</v>
      </c>
      <c r="X520" s="21" t="str">
        <f ca="1">IFERROR(__xludf.DUMMYFUNCTION("GOOGLETRANSLATE($B520,""en"",X$3)"),"Ruta objeto y el nombre")</f>
        <v>Ruta objeto y el nombre</v>
      </c>
      <c r="Y520" s="21"/>
      <c r="Z520" s="21"/>
    </row>
    <row r="521" spans="1:26" ht="32.25" customHeight="1" x14ac:dyDescent="0.2">
      <c r="A521" s="17" t="s">
        <v>1149</v>
      </c>
      <c r="B521" s="17" t="s">
        <v>1148</v>
      </c>
      <c r="C521" s="21" t="str">
        <f ca="1">IFERROR(__xludf.DUMMYFUNCTION("GOOGLETRANSLATE($B521,""en"",C$3)"),"Objektpfad und den Namen")</f>
        <v>Objektpfad und den Namen</v>
      </c>
      <c r="D521" s="21" t="str">
        <f ca="1">IFERROR(__xludf.DUMMYFUNCTION("GOOGLETRANSLATE($B521,""en"",D$3)"),"Object sökväg och namn")</f>
        <v>Object sökväg och namn</v>
      </c>
      <c r="E521" s="21" t="str">
        <f ca="1">IFERROR(__xludf.DUMMYFUNCTION("GOOGLETRANSLATE($B521,""en"",E$3)"),"Path objeto e nome")</f>
        <v>Path objeto e nome</v>
      </c>
      <c r="F521" s="21" t="str">
        <f ca="1">IFERROR(__xludf.DUMMYFUNCTION("GOOGLETRANSLATE($B521,""en"",F$3)"),"Path objeto e nome")</f>
        <v>Path objeto e nome</v>
      </c>
      <c r="G521" s="21" t="str">
        <f ca="1">IFERROR(__xludf.DUMMYFUNCTION("GOOGLETRANSLATE($B521,""en"",G$3)"),"Chemin de l'objet et le nom")</f>
        <v>Chemin de l'objet et le nom</v>
      </c>
      <c r="H521" s="21" t="str">
        <f ca="1">IFERROR(__xludf.DUMMYFUNCTION("GOOGLETRANSLATE($B521,""en"",H$3)"),"Objektu Path eta izena")</f>
        <v>Objektu Path eta izena</v>
      </c>
      <c r="I521" s="21" t="str">
        <f ca="1">IFERROR(__xludf.DUMMYFUNCTION("GOOGLETRANSLATE($B521,""en"",I$3)"),"Ruta objecte i el nom")</f>
        <v>Ruta objecte i el nom</v>
      </c>
      <c r="J521" s="21" t="str">
        <f ca="1">IFERROR(__xludf.DUMMYFUNCTION("GOOGLETRANSLATE($B521,""en"",J$3)"),"Path objekt a název")</f>
        <v>Path objekt a název</v>
      </c>
      <c r="K521" s="21" t="str">
        <f ca="1">IFERROR(__xludf.DUMMYFUNCTION("GOOGLETRANSLATE($B521,""en"",K$3)"),"对象路径和名称")</f>
        <v>对象路径和名称</v>
      </c>
      <c r="L521" s="21" t="str">
        <f ca="1">IFERROR(__xludf.DUMMYFUNCTION("GOOGLETRANSLATE($B521,""en"",L$3)"),"對象路徑和名稱")</f>
        <v>對象路徑和名稱</v>
      </c>
      <c r="M521" s="21" t="str">
        <f ca="1">IFERROR(__xludf.DUMMYFUNCTION("GOOGLETRANSLATE($B521,""en"",M$3)"),"Object pad en de naam")</f>
        <v>Object pad en de naam</v>
      </c>
      <c r="N521" s="21" t="str">
        <f ca="1">IFERROR(__xludf.DUMMYFUNCTION("GOOGLETRANSLATE($B521,""en"",N$3)"),"Αντικείμενο Διαδρομή και όνομα")</f>
        <v>Αντικείμενο Διαδρομή και όνομα</v>
      </c>
      <c r="O521" s="21" t="str">
        <f ca="1">IFERROR(__xludf.DUMMYFUNCTION("GOOGLETRANSLATE($B521,""en"",O$3)"),"Objektin polku ja nimi")</f>
        <v>Objektin polku ja nimi</v>
      </c>
      <c r="P521" s="21" t="str">
        <f ca="1">IFERROR(__xludf.DUMMYFUNCTION("GOOGLETRANSLATE($B521,""en"",P$3)"),"Conair Cuspóir agus ainm")</f>
        <v>Conair Cuspóir agus ainm</v>
      </c>
      <c r="Q521" s="21" t="str">
        <f ca="1">IFERROR(__xludf.DUMMYFUNCTION("GOOGLETRANSLATE($B521,""en"",Q$3)"),"مسیر شی و نام")</f>
        <v>مسیر شی و نام</v>
      </c>
      <c r="R521" s="21" t="str">
        <f ca="1">IFERROR(__xludf.DUMMYFUNCTION("GOOGLETRANSLATE($B521,""en"",R$3)"),"נתיב ושם אובייקט")</f>
        <v>נתיב ושם אובייקט</v>
      </c>
      <c r="S521" s="21" t="str">
        <f ca="1">IFERROR(__xludf.DUMMYFUNCTION("GOOGLETRANSLATE($B521,""en"",S$3)"),"Object Path og nafn")</f>
        <v>Object Path og nafn</v>
      </c>
      <c r="T521" s="21" t="str">
        <f ca="1">IFERROR(__xludf.DUMMYFUNCTION("GOOGLETRANSLATE($B521,""en"",T$3)"),"Objekt Bane og navn")</f>
        <v>Objekt Bane og navn</v>
      </c>
      <c r="U521" s="21" t="str">
        <f ca="1">IFERROR(__xludf.DUMMYFUNCTION("GOOGLETRANSLATE($B521,""en"",U$3)"),"مسار الكائن واسم")</f>
        <v>مسار الكائن واسم</v>
      </c>
      <c r="V521" s="21" t="str">
        <f ca="1">IFERROR(__xludf.DUMMYFUNCTION("GOOGLETRANSLATE($B521,""en"",V$3)"),"Ścieżka i nazwa obiektu")</f>
        <v>Ścieżka i nazwa obiektu</v>
      </c>
      <c r="W521" s="21" t="str">
        <f ca="1">IFERROR(__xludf.DUMMYFUNCTION("GOOGLETRANSLATE($B521,""en"",W$3)"),"Путь объекта и имя")</f>
        <v>Путь объекта и имя</v>
      </c>
      <c r="X521" s="21" t="str">
        <f ca="1">IFERROR(__xludf.DUMMYFUNCTION("GOOGLETRANSLATE($B521,""en"",X$3)"),"Ruta objeto y el nombre")</f>
        <v>Ruta objeto y el nombre</v>
      </c>
      <c r="Y521" s="21"/>
      <c r="Z521" s="21"/>
    </row>
    <row r="522" spans="1:26" ht="32.25" customHeight="1" x14ac:dyDescent="0.2">
      <c r="A522" s="17" t="s">
        <v>1150</v>
      </c>
      <c r="B522" s="17" t="s">
        <v>1151</v>
      </c>
      <c r="C522" s="21" t="str">
        <f ca="1">IFERROR(__xludf.DUMMYFUNCTION("GOOGLETRANSLATE($B522,""en"",C$3)"),"Open Dynamics Engine")</f>
        <v>Open Dynamics Engine</v>
      </c>
      <c r="D522" s="21" t="str">
        <f ca="1">IFERROR(__xludf.DUMMYFUNCTION("GOOGLETRANSLATE($B522,""en"",D$3)"),"Open Dynamic Engine")</f>
        <v>Open Dynamic Engine</v>
      </c>
      <c r="E522" s="21" t="str">
        <f ca="1">IFERROR(__xludf.DUMMYFUNCTION("GOOGLETRANSLATE($B522,""en"",E$3)"),"Abrir Motor Dinâmico")</f>
        <v>Abrir Motor Dinâmico</v>
      </c>
      <c r="F522" s="21" t="str">
        <f ca="1">IFERROR(__xludf.DUMMYFUNCTION("GOOGLETRANSLATE($B522,""en"",F$3)"),"Abrir Motor Dinâmico")</f>
        <v>Abrir Motor Dinâmico</v>
      </c>
      <c r="G522" s="21" t="str">
        <f ca="1">IFERROR(__xludf.DUMMYFUNCTION("GOOGLETRANSLATE($B522,""en"",G$3)"),"Ouvrir dynamique du moteur")</f>
        <v>Ouvrir dynamique du moteur</v>
      </c>
      <c r="H522" s="21" t="str">
        <f ca="1">IFERROR(__xludf.DUMMYFUNCTION("GOOGLETRANSLATE($B522,""en"",H$3)"),"Open dinamikoa Motorra")</f>
        <v>Open dinamikoa Motorra</v>
      </c>
      <c r="I522" s="21" t="str">
        <f ca="1">IFERROR(__xludf.DUMMYFUNCTION("GOOGLETRANSLATE($B522,""en"",I$3)"),"Obrir motor dinàmic")</f>
        <v>Obrir motor dinàmic</v>
      </c>
      <c r="J522" s="21" t="str">
        <f ca="1">IFERROR(__xludf.DUMMYFUNCTION("GOOGLETRANSLATE($B522,""en"",J$3)"),"Otevřená Dynamic Engine")</f>
        <v>Otevřená Dynamic Engine</v>
      </c>
      <c r="K522" s="21" t="str">
        <f ca="1">IFERROR(__xludf.DUMMYFUNCTION("GOOGLETRANSLATE($B522,""en"",K$3)"),"打开动态引擎")</f>
        <v>打开动态引擎</v>
      </c>
      <c r="L522" s="21" t="str">
        <f ca="1">IFERROR(__xludf.DUMMYFUNCTION("GOOGLETRANSLATE($B522,""en"",L$3)"),"打開動態引擎")</f>
        <v>打開動態引擎</v>
      </c>
      <c r="M522" s="21" t="str">
        <f ca="1">IFERROR(__xludf.DUMMYFUNCTION("GOOGLETRANSLATE($B522,""en"",M$3)"),"Open Dynamic Engine")</f>
        <v>Open Dynamic Engine</v>
      </c>
      <c r="N522" s="21" t="str">
        <f ca="1">IFERROR(__xludf.DUMMYFUNCTION("GOOGLETRANSLATE($B522,""en"",N$3)"),"Δυναμική Μηχανή Open")</f>
        <v>Δυναμική Μηχανή Open</v>
      </c>
      <c r="O522" s="21" t="str">
        <f ca="1">IFERROR(__xludf.DUMMYFUNCTION("GOOGLETRANSLATE($B522,""en"",O$3)"),"Open Dynamics Engine")</f>
        <v>Open Dynamics Engine</v>
      </c>
      <c r="P522" s="21" t="str">
        <f ca="1">IFERROR(__xludf.DUMMYFUNCTION("GOOGLETRANSLATE($B522,""en"",P$3)"),"Inneall Dinimiciúla Oscail")</f>
        <v>Inneall Dinimiciúla Oscail</v>
      </c>
      <c r="Q522" s="21" t="str">
        <f ca="1">IFERROR(__xludf.DUMMYFUNCTION("GOOGLETRANSLATE($B522,""en"",Q$3)"),"گسترش دینامیک")</f>
        <v>گسترش دینامیک</v>
      </c>
      <c r="R522" s="21" t="str">
        <f ca="1">IFERROR(__xludf.DUMMYFUNCTION("GOOGLETRANSLATE($B522,""en"",R$3)"),"מנוע פתוח דינמי")</f>
        <v>מנוע פתוח דינמי</v>
      </c>
      <c r="S522" s="21" t="str">
        <f ca="1">IFERROR(__xludf.DUMMYFUNCTION("GOOGLETRANSLATE($B522,""en"",S$3)"),"Opna Dynamic Engine")</f>
        <v>Opna Dynamic Engine</v>
      </c>
      <c r="T522" s="21" t="str">
        <f ca="1">IFERROR(__xludf.DUMMYFUNCTION("GOOGLETRANSLATE($B522,""en"",T$3)"),"Åpne Dynamic Engine")</f>
        <v>Åpne Dynamic Engine</v>
      </c>
      <c r="U522" s="21" t="str">
        <f ca="1">IFERROR(__xludf.DUMMYFUNCTION("GOOGLETRANSLATE($B522,""en"",U$3)"),"توسيع المحرك الديناميكي")</f>
        <v>توسيع المحرك الديناميكي</v>
      </c>
      <c r="V522" s="21" t="str">
        <f ca="1">IFERROR(__xludf.DUMMYFUNCTION("GOOGLETRANSLATE($B522,""en"",V$3)"),"Otwarte dynamiczne silnika")</f>
        <v>Otwarte dynamiczne silnika</v>
      </c>
      <c r="W522" s="21" t="str">
        <f ca="1">IFERROR(__xludf.DUMMYFUNCTION("GOOGLETRANSLATE($B522,""en"",W$3)"),"Open Dynamic Engine")</f>
        <v>Open Dynamic Engine</v>
      </c>
      <c r="X522" s="21" t="str">
        <f ca="1">IFERROR(__xludf.DUMMYFUNCTION("GOOGLETRANSLATE($B522,""en"",X$3)"),"Abrir motor dinámico")</f>
        <v>Abrir motor dinámico</v>
      </c>
      <c r="Y522" s="21"/>
      <c r="Z522" s="21"/>
    </row>
    <row r="523" spans="1:26" ht="32.25" customHeight="1" x14ac:dyDescent="0.2">
      <c r="A523" s="17" t="s">
        <v>1152</v>
      </c>
      <c r="B523" s="17" t="s">
        <v>1153</v>
      </c>
      <c r="C523" s="18" t="s">
        <v>1154</v>
      </c>
      <c r="D523" s="12" t="str">
        <f ca="1">IFERROR(__xludf.DUMMYFUNCTION("GOOGLETRANSLATE($B522,""en"",D$3)"),"Open Dynamic Engine")</f>
        <v>Open Dynamic Engine</v>
      </c>
      <c r="E523" s="12" t="str">
        <f ca="1">IFERROR(__xludf.DUMMYFUNCTION("GOOGLETRANSLATE($B522,""en"",E$3)"),"Abrir Motor Dinâmico")</f>
        <v>Abrir Motor Dinâmico</v>
      </c>
      <c r="F523" s="12" t="str">
        <f ca="1">IFERROR(__xludf.DUMMYFUNCTION("GOOGLETRANSLATE($B522,""en"",F$3)"),"Abrir Motor Dinâmico")</f>
        <v>Abrir Motor Dinâmico</v>
      </c>
      <c r="G523" s="12" t="str">
        <f ca="1">IFERROR(__xludf.DUMMYFUNCTION("GOOGLETRANSLATE($B522,""en"",G$3)"),"Ouvrir dynamique du moteur")</f>
        <v>Ouvrir dynamique du moteur</v>
      </c>
      <c r="H523" s="12" t="str">
        <f ca="1">IFERROR(__xludf.DUMMYFUNCTION("GOOGLETRANSLATE($B522,""en"",H$3)"),"Open dinamikoa Motorra")</f>
        <v>Open dinamikoa Motorra</v>
      </c>
      <c r="I523" s="12" t="str">
        <f ca="1">IFERROR(__xludf.DUMMYFUNCTION("GOOGLETRANSLATE($B522,""en"",I$3)"),"Obrir motor dinàmic")</f>
        <v>Obrir motor dinàmic</v>
      </c>
      <c r="J523" s="12" t="str">
        <f ca="1">IFERROR(__xludf.DUMMYFUNCTION("GOOGLETRANSLATE($B522,""en"",J$3)"),"Otevřená Dynamic Engine")</f>
        <v>Otevřená Dynamic Engine</v>
      </c>
      <c r="K523" s="12" t="str">
        <f ca="1">IFERROR(__xludf.DUMMYFUNCTION("GOOGLETRANSLATE($B522,""en"",K$3)"),"打开动态引擎")</f>
        <v>打开动态引擎</v>
      </c>
      <c r="L523" s="12" t="str">
        <f ca="1">IFERROR(__xludf.DUMMYFUNCTION("GOOGLETRANSLATE($B522,""en"",L$3)"),"打開動態引擎")</f>
        <v>打開動態引擎</v>
      </c>
      <c r="M523" s="12" t="str">
        <f ca="1">IFERROR(__xludf.DUMMYFUNCTION("GOOGLETRANSLATE($B522,""en"",M$3)"),"Open Dynamic Engine")</f>
        <v>Open Dynamic Engine</v>
      </c>
      <c r="N523" s="12" t="str">
        <f ca="1">IFERROR(__xludf.DUMMYFUNCTION("GOOGLETRANSLATE($B522,""en"",N$3)"),"Δυναμική Μηχανή Open")</f>
        <v>Δυναμική Μηχανή Open</v>
      </c>
      <c r="O523" s="12" t="str">
        <f ca="1">IFERROR(__xludf.DUMMYFUNCTION("GOOGLETRANSLATE($B522,""en"",O$3)"),"Open Dynamics Engine")</f>
        <v>Open Dynamics Engine</v>
      </c>
      <c r="P523" s="12" t="str">
        <f ca="1">IFERROR(__xludf.DUMMYFUNCTION("GOOGLETRANSLATE($B522,""en"",P$3)"),"Inneall Dinimiciúla Oscail")</f>
        <v>Inneall Dinimiciúla Oscail</v>
      </c>
      <c r="Q523" s="12" t="str">
        <f ca="1">IFERROR(__xludf.DUMMYFUNCTION("GOOGLETRANSLATE($B522,""en"",Q$3)"),"گسترش دینامیک")</f>
        <v>گسترش دینامیک</v>
      </c>
      <c r="R523" s="12" t="str">
        <f ca="1">IFERROR(__xludf.DUMMYFUNCTION("GOOGLETRANSLATE($B522,""en"",R$3)"),"מנוע פתוח דינמי")</f>
        <v>מנוע פתוח דינמי</v>
      </c>
      <c r="S523" s="12" t="str">
        <f ca="1">IFERROR(__xludf.DUMMYFUNCTION("GOOGLETRANSLATE($B522,""en"",S$3)"),"Opna Dynamic Engine")</f>
        <v>Opna Dynamic Engine</v>
      </c>
      <c r="T523" s="12" t="str">
        <f ca="1">IFERROR(__xludf.DUMMYFUNCTION("GOOGLETRANSLATE($B522,""en"",T$3)"),"Åpne Dynamic Engine")</f>
        <v>Åpne Dynamic Engine</v>
      </c>
      <c r="U523" s="12" t="str">
        <f ca="1">IFERROR(__xludf.DUMMYFUNCTION("GOOGLETRANSLATE($B522,""en"",U$3)"),"توسيع المحرك الديناميكي")</f>
        <v>توسيع المحرك الديناميكي</v>
      </c>
      <c r="V523" s="12" t="str">
        <f ca="1">IFERROR(__xludf.DUMMYFUNCTION("GOOGLETRANSLATE($B522,""en"",V$3)"),"Otwarte dynamiczne silnika")</f>
        <v>Otwarte dynamiczne silnika</v>
      </c>
      <c r="W523" s="12" t="str">
        <f ca="1">IFERROR(__xludf.DUMMYFUNCTION("GOOGLETRANSLATE($B522,""en"",W$3)"),"Open Dynamic Engine")</f>
        <v>Open Dynamic Engine</v>
      </c>
      <c r="X523" s="12" t="str">
        <f ca="1">IFERROR(__xludf.DUMMYFUNCTION("GOOGLETRANSLATE($B522,""en"",X$3)"),"Abrir motor dinámico")</f>
        <v>Abrir motor dinámico</v>
      </c>
      <c r="Y523" s="12"/>
      <c r="Z523" s="12"/>
    </row>
    <row r="524" spans="1:26" ht="32.25" customHeight="1" x14ac:dyDescent="0.2">
      <c r="A524" s="17" t="s">
        <v>1155</v>
      </c>
      <c r="B524" s="17" t="s">
        <v>1155</v>
      </c>
      <c r="C524" s="21" t="str">
        <f ca="1">IFERROR(__xludf.DUMMYFUNCTION("GOOGLETRANSLATE($B524,""en"",C$3)"),"aus")</f>
        <v>aus</v>
      </c>
      <c r="D524" s="21" t="str">
        <f ca="1">IFERROR(__xludf.DUMMYFUNCTION("GOOGLETRANSLATE($B524,""en"",D$3)"),"Av")</f>
        <v>Av</v>
      </c>
      <c r="E524" s="21" t="str">
        <f ca="1">IFERROR(__xludf.DUMMYFUNCTION("GOOGLETRANSLATE($B524,""en"",E$3)"),"Fora")</f>
        <v>Fora</v>
      </c>
      <c r="F524" s="21" t="str">
        <f ca="1">IFERROR(__xludf.DUMMYFUNCTION("GOOGLETRANSLATE($B524,""en"",F$3)"),"Fora")</f>
        <v>Fora</v>
      </c>
      <c r="G524" s="21" t="str">
        <f ca="1">IFERROR(__xludf.DUMMYFUNCTION("GOOGLETRANSLATE($B524,""en"",G$3)"),"De")</f>
        <v>De</v>
      </c>
      <c r="H524" s="21" t="str">
        <f ca="1">IFERROR(__xludf.DUMMYFUNCTION("GOOGLETRANSLATE($B524,""en"",H$3)"),"Off")</f>
        <v>Off</v>
      </c>
      <c r="I524" s="21" t="str">
        <f ca="1">IFERROR(__xludf.DUMMYFUNCTION("GOOGLETRANSLATE($B524,""en"",I$3)"),"apagat")</f>
        <v>apagat</v>
      </c>
      <c r="J524" s="21" t="str">
        <f ca="1">IFERROR(__xludf.DUMMYFUNCTION("GOOGLETRANSLATE($B524,""en"",J$3)"),"Vypnuto")</f>
        <v>Vypnuto</v>
      </c>
      <c r="K524" s="21" t="str">
        <f ca="1">IFERROR(__xludf.DUMMYFUNCTION("GOOGLETRANSLATE($B524,""en"",K$3)"),"离")</f>
        <v>离</v>
      </c>
      <c r="L524" s="21" t="str">
        <f ca="1">IFERROR(__xludf.DUMMYFUNCTION("GOOGLETRANSLATE($B524,""en"",L$3)"),"離")</f>
        <v>離</v>
      </c>
      <c r="M524" s="21" t="str">
        <f ca="1">IFERROR(__xludf.DUMMYFUNCTION("GOOGLETRANSLATE($B524,""en"",M$3)"),"Uit")</f>
        <v>Uit</v>
      </c>
      <c r="N524" s="21" t="str">
        <f ca="1">IFERROR(__xludf.DUMMYFUNCTION("GOOGLETRANSLATE($B524,""en"",N$3)"),"Μακριά από")</f>
        <v>Μακριά από</v>
      </c>
      <c r="O524" s="21" t="str">
        <f ca="1">IFERROR(__xludf.DUMMYFUNCTION("GOOGLETRANSLATE($B524,""en"",O$3)"),"Vinossa")</f>
        <v>Vinossa</v>
      </c>
      <c r="P524" s="21" t="str">
        <f ca="1">IFERROR(__xludf.DUMMYFUNCTION("GOOGLETRANSLATE($B524,""en"",P$3)"),"off")</f>
        <v>off</v>
      </c>
      <c r="Q524" s="21" t="str">
        <f ca="1">IFERROR(__xludf.DUMMYFUNCTION("GOOGLETRANSLATE($B524,""en"",Q$3)"),"خاموش")</f>
        <v>خاموش</v>
      </c>
      <c r="R524" s="21" t="str">
        <f ca="1">IFERROR(__xludf.DUMMYFUNCTION("GOOGLETRANSLATE($B524,""en"",R$3)"),"כבוי")</f>
        <v>כבוי</v>
      </c>
      <c r="S524" s="21" t="str">
        <f ca="1">IFERROR(__xludf.DUMMYFUNCTION("GOOGLETRANSLATE($B524,""en"",S$3)"),"Af")</f>
        <v>Af</v>
      </c>
      <c r="T524" s="21" t="str">
        <f ca="1">IFERROR(__xludf.DUMMYFUNCTION("GOOGLETRANSLATE($B524,""en"",T$3)"),"Av")</f>
        <v>Av</v>
      </c>
      <c r="U524" s="21" t="str">
        <f ca="1">IFERROR(__xludf.DUMMYFUNCTION("GOOGLETRANSLATE($B524,""en"",U$3)"),"إيقاف")</f>
        <v>إيقاف</v>
      </c>
      <c r="V524" s="21" t="str">
        <f ca="1">IFERROR(__xludf.DUMMYFUNCTION("GOOGLETRANSLATE($B524,""en"",V$3)"),"Poza")</f>
        <v>Poza</v>
      </c>
      <c r="W524" s="21" t="str">
        <f ca="1">IFERROR(__xludf.DUMMYFUNCTION("GOOGLETRANSLATE($B524,""en"",W$3)"),"от")</f>
        <v>от</v>
      </c>
      <c r="X524" s="21" t="str">
        <f ca="1">IFERROR(__xludf.DUMMYFUNCTION("GOOGLETRANSLATE($B524,""en"",X$3)"),"Apagado")</f>
        <v>Apagado</v>
      </c>
      <c r="Y524" s="21"/>
      <c r="Z524" s="21"/>
    </row>
    <row r="525" spans="1:26" ht="32.25" customHeight="1" x14ac:dyDescent="0.2">
      <c r="A525" s="17" t="s">
        <v>1156</v>
      </c>
      <c r="B525" s="17" t="s">
        <v>1156</v>
      </c>
      <c r="C525" s="21" t="str">
        <f ca="1">IFERROR(__xludf.DUMMYFUNCTION("GOOGLETRANSLATE($B525,""en"",C$3)"),"Offline")</f>
        <v>Offline</v>
      </c>
      <c r="D525" s="21" t="str">
        <f ca="1">IFERROR(__xludf.DUMMYFUNCTION("GOOGLETRANSLATE($B525,""en"",D$3)"),"Off-line")</f>
        <v>Off-line</v>
      </c>
      <c r="E525" s="21" t="str">
        <f ca="1">IFERROR(__xludf.DUMMYFUNCTION("GOOGLETRANSLATE($B525,""en"",E$3)"),"desligada")</f>
        <v>desligada</v>
      </c>
      <c r="F525" s="21" t="str">
        <f ca="1">IFERROR(__xludf.DUMMYFUNCTION("GOOGLETRANSLATE($B525,""en"",F$3)"),"desligada")</f>
        <v>desligada</v>
      </c>
      <c r="G525" s="21" t="str">
        <f ca="1">IFERROR(__xludf.DUMMYFUNCTION("GOOGLETRANSLATE($B525,""en"",G$3)"),"Hors ligne")</f>
        <v>Hors ligne</v>
      </c>
      <c r="H525" s="21" t="str">
        <f ca="1">IFERROR(__xludf.DUMMYFUNCTION("GOOGLETRANSLATE($B525,""en"",H$3)"),"Offline")</f>
        <v>Offline</v>
      </c>
      <c r="I525" s="21" t="str">
        <f ca="1">IFERROR(__xludf.DUMMYFUNCTION("GOOGLETRANSLATE($B525,""en"",I$3)"),"desconnectat")</f>
        <v>desconnectat</v>
      </c>
      <c r="J525" s="21" t="str">
        <f ca="1">IFERROR(__xludf.DUMMYFUNCTION("GOOGLETRANSLATE($B525,""en"",J$3)"),"Offline")</f>
        <v>Offline</v>
      </c>
      <c r="K525" s="21" t="str">
        <f ca="1">IFERROR(__xludf.DUMMYFUNCTION("GOOGLETRANSLATE($B525,""en"",K$3)"),"离线")</f>
        <v>离线</v>
      </c>
      <c r="L525" s="21" t="str">
        <f ca="1">IFERROR(__xludf.DUMMYFUNCTION("GOOGLETRANSLATE($B525,""en"",L$3)"),"離線")</f>
        <v>離線</v>
      </c>
      <c r="M525" s="21" t="str">
        <f ca="1">IFERROR(__xludf.DUMMYFUNCTION("GOOGLETRANSLATE($B525,""en"",M$3)"),"offline")</f>
        <v>offline</v>
      </c>
      <c r="N525" s="21" t="str">
        <f ca="1">IFERROR(__xludf.DUMMYFUNCTION("GOOGLETRANSLATE($B525,""en"",N$3)"),"Εκτός Σύνδεσης")</f>
        <v>Εκτός Σύνδεσης</v>
      </c>
      <c r="O525" s="21" t="str">
        <f ca="1">IFERROR(__xludf.DUMMYFUNCTION("GOOGLETRANSLATE($B525,""en"",O$3)"),"Poissa")</f>
        <v>Poissa</v>
      </c>
      <c r="P525" s="21" t="str">
        <f ca="1">IFERROR(__xludf.DUMMYFUNCTION("GOOGLETRANSLATE($B525,""en"",P$3)"),"as líne")</f>
        <v>as líne</v>
      </c>
      <c r="Q525" s="21" t="str">
        <f ca="1">IFERROR(__xludf.DUMMYFUNCTION("GOOGLETRANSLATE($B525,""en"",Q$3)"),"آفلاین")</f>
        <v>آفلاین</v>
      </c>
      <c r="R525" s="21" t="str">
        <f ca="1">IFERROR(__xludf.DUMMYFUNCTION("GOOGLETRANSLATE($B525,""en"",R$3)"),"מנותק")</f>
        <v>מנותק</v>
      </c>
      <c r="S525" s="21" t="str">
        <f ca="1">IFERROR(__xludf.DUMMYFUNCTION("GOOGLETRANSLATE($B525,""en"",S$3)"),"offline")</f>
        <v>offline</v>
      </c>
      <c r="T525" s="21" t="str">
        <f ca="1">IFERROR(__xludf.DUMMYFUNCTION("GOOGLETRANSLATE($B525,""en"",T$3)"),"offline")</f>
        <v>offline</v>
      </c>
      <c r="U525" s="21" t="str">
        <f ca="1">IFERROR(__xludf.DUMMYFUNCTION("GOOGLETRANSLATE($B525,""en"",U$3)"),"غير متصل على الانترنت")</f>
        <v>غير متصل على الانترنت</v>
      </c>
      <c r="V525" s="21" t="str">
        <f ca="1">IFERROR(__xludf.DUMMYFUNCTION("GOOGLETRANSLATE($B525,""en"",V$3)"),"nieaktywny")</f>
        <v>nieaktywny</v>
      </c>
      <c r="W525" s="21" t="str">
        <f ca="1">IFERROR(__xludf.DUMMYFUNCTION("GOOGLETRANSLATE($B525,""en"",W$3)"),"Не в сети")</f>
        <v>Не в сети</v>
      </c>
      <c r="X525" s="21" t="str">
        <f ca="1">IFERROR(__xludf.DUMMYFUNCTION("GOOGLETRANSLATE($B525,""en"",X$3)"),"Desconectado")</f>
        <v>Desconectado</v>
      </c>
      <c r="Y525" s="21"/>
      <c r="Z525" s="21"/>
    </row>
    <row r="526" spans="1:26" ht="32.25" customHeight="1" x14ac:dyDescent="0.2">
      <c r="A526" s="17" t="s">
        <v>1157</v>
      </c>
      <c r="B526" s="17" t="s">
        <v>1157</v>
      </c>
      <c r="C526" s="21" t="str">
        <f ca="1">IFERROR(__xludf.DUMMYFUNCTION("GOOGLETRANSLATE($B526,""en"",C$3)"),"OK")</f>
        <v>OK</v>
      </c>
      <c r="D526" s="21" t="str">
        <f ca="1">IFERROR(__xludf.DUMMYFUNCTION("GOOGLETRANSLATE($B526,""en"",D$3)"),"Ok")</f>
        <v>Ok</v>
      </c>
      <c r="E526" s="21" t="str">
        <f ca="1">IFERROR(__xludf.DUMMYFUNCTION("GOOGLETRANSLATE($B526,""en"",E$3)"),"Está bem")</f>
        <v>Está bem</v>
      </c>
      <c r="F526" s="21" t="str">
        <f ca="1">IFERROR(__xludf.DUMMYFUNCTION("GOOGLETRANSLATE($B526,""en"",F$3)"),"Está bem")</f>
        <v>Está bem</v>
      </c>
      <c r="G526" s="21" t="str">
        <f ca="1">IFERROR(__xludf.DUMMYFUNCTION("GOOGLETRANSLATE($B526,""en"",G$3)"),"D'accord")</f>
        <v>D'accord</v>
      </c>
      <c r="H526" s="21" t="str">
        <f ca="1">IFERROR(__xludf.DUMMYFUNCTION("GOOGLETRANSLATE($B526,""en"",H$3)"),"Ados")</f>
        <v>Ados</v>
      </c>
      <c r="I526" s="21" t="str">
        <f ca="1">IFERROR(__xludf.DUMMYFUNCTION("GOOGLETRANSLATE($B526,""en"",I$3)"),"D'acord")</f>
        <v>D'acord</v>
      </c>
      <c r="J526" s="21" t="str">
        <f ca="1">IFERROR(__xludf.DUMMYFUNCTION("GOOGLETRANSLATE($B526,""en"",J$3)"),"OK")</f>
        <v>OK</v>
      </c>
      <c r="K526" s="21" t="str">
        <f ca="1">IFERROR(__xludf.DUMMYFUNCTION("GOOGLETRANSLATE($B526,""en"",K$3)"),"好")</f>
        <v>好</v>
      </c>
      <c r="L526" s="21" t="str">
        <f ca="1">IFERROR(__xludf.DUMMYFUNCTION("GOOGLETRANSLATE($B526,""en"",L$3)"),"好")</f>
        <v>好</v>
      </c>
      <c r="M526" s="21" t="str">
        <f ca="1">IFERROR(__xludf.DUMMYFUNCTION("GOOGLETRANSLATE($B526,""en"",M$3)"),"OK")</f>
        <v>OK</v>
      </c>
      <c r="N526" s="21" t="str">
        <f ca="1">IFERROR(__xludf.DUMMYFUNCTION("GOOGLETRANSLATE($B526,""en"",N$3)"),"Εντάξει")</f>
        <v>Εντάξει</v>
      </c>
      <c r="O526" s="21" t="str">
        <f ca="1">IFERROR(__xludf.DUMMYFUNCTION("GOOGLETRANSLATE($B526,""en"",O$3)"),"kunnossa")</f>
        <v>kunnossa</v>
      </c>
      <c r="P526" s="21" t="str">
        <f ca="1">IFERROR(__xludf.DUMMYFUNCTION("GOOGLETRANSLATE($B526,""en"",P$3)"),"OK")</f>
        <v>OK</v>
      </c>
      <c r="Q526" s="21" t="str">
        <f ca="1">IFERROR(__xludf.DUMMYFUNCTION("GOOGLETRANSLATE($B526,""en"",Q$3)"),"خوب")</f>
        <v>خوب</v>
      </c>
      <c r="R526" s="21" t="str">
        <f ca="1">IFERROR(__xludf.DUMMYFUNCTION("GOOGLETRANSLATE($B526,""en"",R$3)"),"בסדר")</f>
        <v>בסדר</v>
      </c>
      <c r="S526" s="21" t="str">
        <f ca="1">IFERROR(__xludf.DUMMYFUNCTION("GOOGLETRANSLATE($B526,""en"",S$3)"),"Ok")</f>
        <v>Ok</v>
      </c>
      <c r="T526" s="21" t="str">
        <f ca="1">IFERROR(__xludf.DUMMYFUNCTION("GOOGLETRANSLATE($B526,""en"",T$3)"),"ok")</f>
        <v>ok</v>
      </c>
      <c r="U526" s="21" t="str">
        <f ca="1">IFERROR(__xludf.DUMMYFUNCTION("GOOGLETRANSLATE($B526,""en"",U$3)"),"حسنا")</f>
        <v>حسنا</v>
      </c>
      <c r="V526" s="21" t="str">
        <f ca="1">IFERROR(__xludf.DUMMYFUNCTION("GOOGLETRANSLATE($B526,""en"",V$3)"),"Dobrze")</f>
        <v>Dobrze</v>
      </c>
      <c r="W526" s="21" t="str">
        <f ca="1">IFERROR(__xludf.DUMMYFUNCTION("GOOGLETRANSLATE($B526,""en"",W$3)"),"Хорошо")</f>
        <v>Хорошо</v>
      </c>
      <c r="X526" s="21" t="str">
        <f ca="1">IFERROR(__xludf.DUMMYFUNCTION("GOOGLETRANSLATE($B526,""en"",X$3)"),"Okay")</f>
        <v>Okay</v>
      </c>
      <c r="Y526" s="21"/>
      <c r="Z526" s="21"/>
    </row>
    <row r="527" spans="1:26" ht="32.25" customHeight="1" x14ac:dyDescent="0.2">
      <c r="A527" s="17" t="s">
        <v>1158</v>
      </c>
      <c r="B527" s="17" t="s">
        <v>1159</v>
      </c>
      <c r="C527" s="18" t="s">
        <v>1160</v>
      </c>
      <c r="D527" s="12" t="str">
        <f ca="1">IFERROR(__xludf.DUMMYFUNCTION("GOOGLETRANSLATE($B526,""en"",D$3)"),"Ok")</f>
        <v>Ok</v>
      </c>
      <c r="E527" s="12" t="str">
        <f ca="1">IFERROR(__xludf.DUMMYFUNCTION("GOOGLETRANSLATE($B526,""en"",E$3)"),"Está bem")</f>
        <v>Está bem</v>
      </c>
      <c r="F527" s="12" t="str">
        <f ca="1">IFERROR(__xludf.DUMMYFUNCTION("GOOGLETRANSLATE($B526,""en"",F$3)"),"Está bem")</f>
        <v>Está bem</v>
      </c>
      <c r="G527" s="12" t="str">
        <f ca="1">IFERROR(__xludf.DUMMYFUNCTION("GOOGLETRANSLATE($B526,""en"",G$3)"),"D'accord")</f>
        <v>D'accord</v>
      </c>
      <c r="H527" s="12" t="str">
        <f ca="1">IFERROR(__xludf.DUMMYFUNCTION("GOOGLETRANSLATE($B526,""en"",H$3)"),"Ados")</f>
        <v>Ados</v>
      </c>
      <c r="I527" s="12" t="str">
        <f ca="1">IFERROR(__xludf.DUMMYFUNCTION("GOOGLETRANSLATE($B526,""en"",I$3)"),"D'acord")</f>
        <v>D'acord</v>
      </c>
      <c r="J527" s="12" t="str">
        <f ca="1">IFERROR(__xludf.DUMMYFUNCTION("GOOGLETRANSLATE($B526,""en"",J$3)"),"OK")</f>
        <v>OK</v>
      </c>
      <c r="K527" s="12" t="str">
        <f ca="1">IFERROR(__xludf.DUMMYFUNCTION("GOOGLETRANSLATE($B526,""en"",K$3)"),"好")</f>
        <v>好</v>
      </c>
      <c r="L527" s="12" t="str">
        <f ca="1">IFERROR(__xludf.DUMMYFUNCTION("GOOGLETRANSLATE($B526,""en"",L$3)"),"好")</f>
        <v>好</v>
      </c>
      <c r="M527" s="12" t="str">
        <f ca="1">IFERROR(__xludf.DUMMYFUNCTION("GOOGLETRANSLATE($B526,""en"",M$3)"),"OK")</f>
        <v>OK</v>
      </c>
      <c r="N527" s="12" t="str">
        <f ca="1">IFERROR(__xludf.DUMMYFUNCTION("GOOGLETRANSLATE($B526,""en"",N$3)"),"Εντάξει")</f>
        <v>Εντάξει</v>
      </c>
      <c r="O527" s="12" t="str">
        <f ca="1">IFERROR(__xludf.DUMMYFUNCTION("GOOGLETRANSLATE($B526,""en"",O$3)"),"kunnossa")</f>
        <v>kunnossa</v>
      </c>
      <c r="P527" s="12" t="str">
        <f ca="1">IFERROR(__xludf.DUMMYFUNCTION("GOOGLETRANSLATE($B526,""en"",P$3)"),"OK")</f>
        <v>OK</v>
      </c>
      <c r="Q527" s="12" t="str">
        <f ca="1">IFERROR(__xludf.DUMMYFUNCTION("GOOGLETRANSLATE($B526,""en"",Q$3)"),"خوب")</f>
        <v>خوب</v>
      </c>
      <c r="R527" s="12" t="str">
        <f ca="1">IFERROR(__xludf.DUMMYFUNCTION("GOOGLETRANSLATE($B526,""en"",R$3)"),"בסדר")</f>
        <v>בסדר</v>
      </c>
      <c r="S527" s="12" t="str">
        <f ca="1">IFERROR(__xludf.DUMMYFUNCTION("GOOGLETRANSLATE($B526,""en"",S$3)"),"Ok")</f>
        <v>Ok</v>
      </c>
      <c r="T527" s="12" t="str">
        <f ca="1">IFERROR(__xludf.DUMMYFUNCTION("GOOGLETRANSLATE($B526,""en"",T$3)"),"ok")</f>
        <v>ok</v>
      </c>
      <c r="U527" s="12" t="str">
        <f ca="1">IFERROR(__xludf.DUMMYFUNCTION("GOOGLETRANSLATE($B526,""en"",U$3)"),"حسنا")</f>
        <v>حسنا</v>
      </c>
      <c r="V527" s="12" t="str">
        <f ca="1">IFERROR(__xludf.DUMMYFUNCTION("GOOGLETRANSLATE($B526,""en"",V$3)"),"Dobrze")</f>
        <v>Dobrze</v>
      </c>
      <c r="W527" s="12" t="str">
        <f ca="1">IFERROR(__xludf.DUMMYFUNCTION("GOOGLETRANSLATE($B526,""en"",W$3)"),"Хорошо")</f>
        <v>Хорошо</v>
      </c>
      <c r="X527" s="12" t="str">
        <f ca="1">IFERROR(__xludf.DUMMYFUNCTION("GOOGLETRANSLATE($B526,""en"",X$3)"),"Okay")</f>
        <v>Okay</v>
      </c>
      <c r="Y527" s="12"/>
      <c r="Z527" s="12"/>
    </row>
    <row r="528" spans="1:26" ht="32.25" customHeight="1" x14ac:dyDescent="0.2">
      <c r="A528" s="17" t="s">
        <v>1161</v>
      </c>
      <c r="B528" s="17" t="s">
        <v>1162</v>
      </c>
      <c r="C528" s="21" t="str">
        <f ca="1">IFERROR(__xludf.DUMMYFUNCTION("GOOGLETRANSLATE($B528,""en"",C$3)"),"Es ist ein Avatar")</f>
        <v>Es ist ein Avatar</v>
      </c>
      <c r="D528" s="21" t="str">
        <f ca="1">IFERROR(__xludf.DUMMYFUNCTION("GOOGLETRANSLATE($B528,""en"",D$3)"),"Det finns en avatar")</f>
        <v>Det finns en avatar</v>
      </c>
      <c r="E528" s="21" t="str">
        <f ca="1">IFERROR(__xludf.DUMMYFUNCTION("GOOGLETRANSLATE($B528,""en"",E$3)"),"Há um avatar")</f>
        <v>Há um avatar</v>
      </c>
      <c r="F528" s="21" t="str">
        <f ca="1">IFERROR(__xludf.DUMMYFUNCTION("GOOGLETRANSLATE($B528,""en"",F$3)"),"Há um avatar")</f>
        <v>Há um avatar</v>
      </c>
      <c r="G528" s="21" t="str">
        <f ca="1">IFERROR(__xludf.DUMMYFUNCTION("GOOGLETRANSLATE($B528,""en"",G$3)"),"Il y a un avatar")</f>
        <v>Il y a un avatar</v>
      </c>
      <c r="H528" s="21" t="str">
        <f ca="1">IFERROR(__xludf.DUMMYFUNCTION("GOOGLETRANSLATE($B528,""en"",H$3)"),"Ez dago avatar bat da")</f>
        <v>Ez dago avatar bat da</v>
      </c>
      <c r="I528" s="21" t="str">
        <f ca="1">IFERROR(__xludf.DUMMYFUNCTION("GOOGLETRANSLATE($B528,""en"",I$3)"),"Hi ha un avatar")</f>
        <v>Hi ha un avatar</v>
      </c>
      <c r="J528" s="21" t="str">
        <f ca="1">IFERROR(__xludf.DUMMYFUNCTION("GOOGLETRANSLATE($B528,""en"",J$3)"),"Je tam jeden avatar")</f>
        <v>Je tam jeden avatar</v>
      </c>
      <c r="K528" s="21" t="str">
        <f ca="1">IFERROR(__xludf.DUMMYFUNCTION("GOOGLETRANSLATE($B528,""en"",K$3)"),"有一个头像")</f>
        <v>有一个头像</v>
      </c>
      <c r="L528" s="21" t="str">
        <f ca="1">IFERROR(__xludf.DUMMYFUNCTION("GOOGLETRANSLATE($B528,""en"",L$3)"),"有一個頭像")</f>
        <v>有一個頭像</v>
      </c>
      <c r="M528" s="21" t="str">
        <f ca="1">IFERROR(__xludf.DUMMYFUNCTION("GOOGLETRANSLATE($B528,""en"",M$3)"),"Er is een avatar")</f>
        <v>Er is een avatar</v>
      </c>
      <c r="N528" s="21" t="str">
        <f ca="1">IFERROR(__xludf.DUMMYFUNCTION("GOOGLETRANSLATE($B528,""en"",N$3)"),"Υπάρχει ένα avatar")</f>
        <v>Υπάρχει ένα avatar</v>
      </c>
      <c r="O528" s="21" t="str">
        <f ca="1">IFERROR(__xludf.DUMMYFUNCTION("GOOGLETRANSLATE($B528,""en"",O$3)"),"On yksi avatar")</f>
        <v>On yksi avatar</v>
      </c>
      <c r="P528" s="21" t="str">
        <f ca="1">IFERROR(__xludf.DUMMYFUNCTION("GOOGLETRANSLATE($B528,""en"",P$3)"),"Tá avatar amháin")</f>
        <v>Tá avatar amháin</v>
      </c>
      <c r="Q528" s="21" t="str">
        <f ca="1">IFERROR(__xludf.DUMMYFUNCTION("GOOGLETRANSLATE($B528,""en"",Q$3)"),"یکی نماد وجود دارد")</f>
        <v>یکی نماد وجود دارد</v>
      </c>
      <c r="R528" s="21" t="str">
        <f ca="1">IFERROR(__xludf.DUMMYFUNCTION("GOOGLETRANSLATE($B528,""en"",R$3)"),"יש avatar אחד")</f>
        <v>יש avatar אחד</v>
      </c>
      <c r="S528" s="21" t="str">
        <f ca="1">IFERROR(__xludf.DUMMYFUNCTION("GOOGLETRANSLATE($B528,""en"",S$3)"),"Það er eitt avatar")</f>
        <v>Það er eitt avatar</v>
      </c>
      <c r="T528" s="21" t="str">
        <f ca="1">IFERROR(__xludf.DUMMYFUNCTION("GOOGLETRANSLATE($B528,""en"",T$3)"),"Det er en avatar")</f>
        <v>Det er en avatar</v>
      </c>
      <c r="U528" s="21" t="str">
        <f ca="1">IFERROR(__xludf.DUMMYFUNCTION("GOOGLETRANSLATE($B528,""en"",U$3)"),"هناك الصورة الرمزية واحد")</f>
        <v>هناك الصورة الرمزية واحد</v>
      </c>
      <c r="V528" s="21" t="str">
        <f ca="1">IFERROR(__xludf.DUMMYFUNCTION("GOOGLETRANSLATE($B528,""en"",V$3)"),"Jest jeden awatar")</f>
        <v>Jest jeden awatar</v>
      </c>
      <c r="W528" s="21" t="str">
        <f ca="1">IFERROR(__xludf.DUMMYFUNCTION("GOOGLETRANSLATE($B528,""en"",W$3)"),"Существует одна аватара")</f>
        <v>Существует одна аватара</v>
      </c>
      <c r="X528" s="21" t="str">
        <f ca="1">IFERROR(__xludf.DUMMYFUNCTION("GOOGLETRANSLATE($B528,""en"",X$3)"),"Hay un avatar")</f>
        <v>Hay un avatar</v>
      </c>
      <c r="Y528" s="21"/>
      <c r="Z528" s="21"/>
    </row>
    <row r="529" spans="1:26" ht="32.25" customHeight="1" x14ac:dyDescent="0.2">
      <c r="A529" s="17" t="s">
        <v>1163</v>
      </c>
      <c r="B529" s="17" t="s">
        <v>1164</v>
      </c>
      <c r="C529" s="21" t="str">
        <f ca="1">IFERROR(__xludf.DUMMYFUNCTION("GOOGLETRANSLATE($B529,""en"",C$3)"),"Nur Eigentümer und Immobilienverwalter werden in dieser Region zugelassen werden")</f>
        <v>Nur Eigentümer und Immobilienverwalter werden in dieser Region zugelassen werden</v>
      </c>
      <c r="D529" s="21" t="str">
        <f ca="1">IFERROR(__xludf.DUMMYFUNCTION("GOOGLETRANSLATE($B529,""en"",D$3)"),"Endast Ägare och Estate chefer kommer att tillåtas i denna region")</f>
        <v>Endast Ägare och Estate chefer kommer att tillåtas i denna region</v>
      </c>
      <c r="E529" s="21" t="str">
        <f ca="1">IFERROR(__xludf.DUMMYFUNCTION("GOOGLETRANSLATE($B529,""en"",E$3)"),"Apenas os gestores proprietários e Estate será permitido nesta região")</f>
        <v>Apenas os gestores proprietários e Estate será permitido nesta região</v>
      </c>
      <c r="F529" s="21" t="str">
        <f ca="1">IFERROR(__xludf.DUMMYFUNCTION("GOOGLETRANSLATE($B529,""en"",F$3)"),"Apenas os gestores proprietários e Estate será permitido nesta região")</f>
        <v>Apenas os gestores proprietários e Estate será permitido nesta região</v>
      </c>
      <c r="G529" s="21" t="str">
        <f ca="1">IFERROR(__xludf.DUMMYFUNCTION("GOOGLETRANSLATE($B529,""en"",G$3)"),"Seuls les gestionnaires propriétaires et immobiliers seront autorisés dans cette région")</f>
        <v>Seuls les gestionnaires propriétaires et immobiliers seront autorisés dans cette région</v>
      </c>
      <c r="H529" s="21" t="str">
        <f ca="1">IFERROR(__xludf.DUMMYFUNCTION("GOOGLETRANSLATE($B529,""en"",H$3)"),"Bakarrik Jabeak eta Higiezinen Zuzendariak egon eskualde honetan onartzen egingo")</f>
        <v>Bakarrik Jabeak eta Higiezinen Zuzendariak egon eskualde honetan onartzen egingo</v>
      </c>
      <c r="I529" s="21" t="str">
        <f ca="1">IFERROR(__xludf.DUMMYFUNCTION("GOOGLETRANSLATE($B529,""en"",I$3)"),"Només els propietaris, administradors i arrels seran permesos en aquesta regió")</f>
        <v>Només els propietaris, administradors i arrels seran permesos en aquesta regió</v>
      </c>
      <c r="J529" s="21" t="str">
        <f ca="1">IFERROR(__xludf.DUMMYFUNCTION("GOOGLETRANSLATE($B529,""en"",J$3)"),"Pouze Manažeři Majitelé a majetek budou moci v tomto regionu")</f>
        <v>Pouze Manažeři Majitelé a majetek budou moci v tomto regionu</v>
      </c>
      <c r="K529" s="21" t="str">
        <f ca="1">IFERROR(__xludf.DUMMYFUNCTION("GOOGLETRANSLATE($B529,""en"",K$3)"),"只有业主和房地产经理人将在这一地区被允许")</f>
        <v>只有业主和房地产经理人将在这一地区被允许</v>
      </c>
      <c r="L529" s="21" t="str">
        <f ca="1">IFERROR(__xludf.DUMMYFUNCTION("GOOGLETRANSLATE($B529,""en"",L$3)"),"只有業主和房地產經理人將在這一地區被允許")</f>
        <v>只有業主和房地產經理人將在這一地區被允許</v>
      </c>
      <c r="M529" s="21" t="str">
        <f ca="1">IFERROR(__xludf.DUMMYFUNCTION("GOOGLETRANSLATE($B529,""en"",M$3)"),"Alleen eigenaren en Estate Managers zullen worden toegestaan ​​in deze regio")</f>
        <v>Alleen eigenaren en Estate Managers zullen worden toegestaan ​​in deze regio</v>
      </c>
      <c r="N529" s="21" t="str">
        <f ca="1">IFERROR(__xludf.DUMMYFUNCTION("GOOGLETRANSLATE($B529,""en"",N$3)"),"Μόνο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O529" s="21" t="str">
        <f ca="1">IFERROR(__xludf.DUMMYFUNCTION("GOOGLETRANSLATE($B529,""en"",O$3)"),"Vain omistajat ja isännöitsijät saavat tällä alueella")</f>
        <v>Vain omistajat ja isännöitsijät saavat tällä alueella</v>
      </c>
      <c r="P529" s="21" t="str">
        <f ca="1">IFERROR(__xludf.DUMMYFUNCTION("GOOGLETRANSLATE($B529,""en"",P$3)"),"Ní ghlacfar ach le Úinéirí agus Bhainisteoirí Estate mbeadh cead sa réigiún seo")</f>
        <v>Ní ghlacfar ach le Úinéirí agus Bhainisteoirí Estate mbeadh cead sa réigiún seo</v>
      </c>
      <c r="Q529" s="21" t="str">
        <f ca="1">IFERROR(__xludf.DUMMYFUNCTION("GOOGLETRANSLATE($B529,""en"",Q$3)"),"فقط مدیران صاحبان و املاک خواهد شد در این منطقه اجازه")</f>
        <v>فقط مدیران صاحبان و املاک خواهد شد در این منطقه اجازه</v>
      </c>
      <c r="R529" s="21" t="str">
        <f ca="1">IFERROR(__xludf.DUMMYFUNCTION("GOOGLETRANSLATE($B529,""en"",R$3)"),"רק מנהלי בעלי Estate יוותרו באזור זה")</f>
        <v>רק מנהלי בעלי Estate יוותרו באזור זה</v>
      </c>
      <c r="S529" s="21" t="str">
        <f ca="1">IFERROR(__xludf.DUMMYFUNCTION("GOOGLETRANSLATE($B529,""en"",S$3)"),"Aðeins eigendur og Estate Stjórnendur verður leyft á þessu svæði")</f>
        <v>Aðeins eigendur og Estate Stjórnendur verður leyft á þessu svæði</v>
      </c>
      <c r="T529" s="21" t="str">
        <f ca="1">IFERROR(__xludf.DUMMYFUNCTION("GOOGLETRANSLATE($B529,""en"",T$3)"),"Bare eiere og eiendomsforvaltere vil bli tillatt i denne regionen")</f>
        <v>Bare eiere og eiendomsforvaltere vil bli tillatt i denne regionen</v>
      </c>
      <c r="U529" s="21" t="str">
        <f ca="1">IFERROR(__xludf.DUMMYFUNCTION("GOOGLETRANSLATE($B529,""en"",U$3)"),"وسيسمح فقط لمالكي ومديري العقارات في هذه المنطقة")</f>
        <v>وسيسمح فقط لمالكي ومديري العقارات في هذه المنطقة</v>
      </c>
      <c r="V529" s="21" t="str">
        <f ca="1">IFERROR(__xludf.DUMMYFUNCTION("GOOGLETRANSLATE($B529,""en"",V$3)"),"Tylko menedżerowie i właściciele nieruchomości będą mogli w tym regionie")</f>
        <v>Tylko menedżerowie i właściciele nieruchomości będą mogli w tym regionie</v>
      </c>
      <c r="W529" s="21" t="str">
        <f ca="1">IFERROR(__xludf.DUMMYFUNCTION("GOOGLETRANSLATE($B529,""en"",W$3)"),"Только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X529" s="21" t="str">
        <f ca="1">IFERROR(__xludf.DUMMYFUNCTION("GOOGLETRANSLATE($B529,""en"",X$3)"),"Sólo los propietarios, administradores y raíces serán permitidos en esta región")</f>
        <v>Sólo los propietarios, administradores y raíces serán permitidos en esta región</v>
      </c>
      <c r="Y529" s="21"/>
      <c r="Z529" s="21"/>
    </row>
    <row r="530" spans="1:26" ht="32.25" customHeight="1" x14ac:dyDescent="0.2">
      <c r="A530" s="17" t="s">
        <v>1165</v>
      </c>
      <c r="B530" s="17" t="s">
        <v>1166</v>
      </c>
      <c r="C530" s="11" t="str">
        <f ca="1">IFERROR(__xludf.DUMMYFUNCTION("GOOGLETRANSLATE($B529,""en"",C$3)"),"Nur Eigentümer und Immobilienverwalter werden in dieser Region zugelassen werden")</f>
        <v>Nur Eigentümer und Immobilienverwalter werden in dieser Region zugelassen werden</v>
      </c>
      <c r="D530" s="12" t="str">
        <f ca="1">IFERROR(__xludf.DUMMYFUNCTION("GOOGLETRANSLATE($B529,""en"",D$3)"),"Endast Ägare och Estate chefer kommer att tillåtas i denna region")</f>
        <v>Endast Ägare och Estate chefer kommer att tillåtas i denna region</v>
      </c>
      <c r="E530" s="12" t="str">
        <f ca="1">IFERROR(__xludf.DUMMYFUNCTION("GOOGLETRANSLATE($B529,""en"",E$3)"),"Apenas os gestores proprietários e Estate será permitido nesta região")</f>
        <v>Apenas os gestores proprietários e Estate será permitido nesta região</v>
      </c>
      <c r="F530" s="12" t="str">
        <f ca="1">IFERROR(__xludf.DUMMYFUNCTION("GOOGLETRANSLATE($B529,""en"",F$3)"),"Apenas os gestores proprietários e Estate será permitido nesta região")</f>
        <v>Apenas os gestores proprietários e Estate será permitido nesta região</v>
      </c>
      <c r="G530" s="12" t="str">
        <f ca="1">IFERROR(__xludf.DUMMYFUNCTION("GOOGLETRANSLATE($B529,""en"",G$3)"),"Seuls les gestionnaires propriétaires et immobiliers seront autorisés dans cette région")</f>
        <v>Seuls les gestionnaires propriétaires et immobiliers seront autorisés dans cette région</v>
      </c>
      <c r="H530" s="12" t="str">
        <f ca="1">IFERROR(__xludf.DUMMYFUNCTION("GOOGLETRANSLATE($B529,""en"",H$3)"),"Bakarrik Jabeak eta Higiezinen Zuzendariak egon eskualde honetan onartzen egingo")</f>
        <v>Bakarrik Jabeak eta Higiezinen Zuzendariak egon eskualde honetan onartzen egingo</v>
      </c>
      <c r="I530" s="12" t="str">
        <f ca="1">IFERROR(__xludf.DUMMYFUNCTION("GOOGLETRANSLATE($B529,""en"",I$3)"),"Només els propietaris, administradors i arrels seran permesos en aquesta regió")</f>
        <v>Només els propietaris, administradors i arrels seran permesos en aquesta regió</v>
      </c>
      <c r="J530" s="12" t="str">
        <f ca="1">IFERROR(__xludf.DUMMYFUNCTION("GOOGLETRANSLATE($B529,""en"",J$3)"),"Pouze Manažeři Majitelé a majetek budou moci v tomto regionu")</f>
        <v>Pouze Manažeři Majitelé a majetek budou moci v tomto regionu</v>
      </c>
      <c r="K530" s="12" t="str">
        <f ca="1">IFERROR(__xludf.DUMMYFUNCTION("GOOGLETRANSLATE($B529,""en"",K$3)"),"只有业主和房地产经理人将在这一地区被允许")</f>
        <v>只有业主和房地产经理人将在这一地区被允许</v>
      </c>
      <c r="L530" s="12" t="str">
        <f ca="1">IFERROR(__xludf.DUMMYFUNCTION("GOOGLETRANSLATE($B529,""en"",L$3)"),"只有業主和房地產經理人將在這一地區被允許")</f>
        <v>只有業主和房地產經理人將在這一地區被允許</v>
      </c>
      <c r="M530" s="12" t="str">
        <f ca="1">IFERROR(__xludf.DUMMYFUNCTION("GOOGLETRANSLATE($B529,""en"",M$3)"),"Alleen eigenaren en Estate Managers zullen worden toegestaan ​​in deze regio")</f>
        <v>Alleen eigenaren en Estate Managers zullen worden toegestaan ​​in deze regio</v>
      </c>
      <c r="N530" s="12" t="str">
        <f ca="1">IFERROR(__xludf.DUMMYFUNCTION("GOOGLETRANSLATE($B529,""en"",N$3)"),"Μόνο Διευθυντές ιδιοκτήτες και περιουσία θα επιτρέπεται σε αυτήν την περιοχή")</f>
        <v>Μόνο Διευθυντές ιδιοκτήτες και περιουσία θα επιτρέπεται σε αυτήν την περιοχή</v>
      </c>
      <c r="O530" s="12" t="str">
        <f ca="1">IFERROR(__xludf.DUMMYFUNCTION("GOOGLETRANSLATE($B529,""en"",O$3)"),"Vain omistajat ja isännöitsijät saavat tällä alueella")</f>
        <v>Vain omistajat ja isännöitsijät saavat tällä alueella</v>
      </c>
      <c r="P530" s="12" t="str">
        <f ca="1">IFERROR(__xludf.DUMMYFUNCTION("GOOGLETRANSLATE($B529,""en"",P$3)"),"Ní ghlacfar ach le Úinéirí agus Bhainisteoirí Estate mbeadh cead sa réigiún seo")</f>
        <v>Ní ghlacfar ach le Úinéirí agus Bhainisteoirí Estate mbeadh cead sa réigiún seo</v>
      </c>
      <c r="Q530" s="12" t="str">
        <f ca="1">IFERROR(__xludf.DUMMYFUNCTION("GOOGLETRANSLATE($B529,""en"",Q$3)"),"فقط مدیران صاحبان و املاک خواهد شد در این منطقه اجازه")</f>
        <v>فقط مدیران صاحبان و املاک خواهد شد در این منطقه اجازه</v>
      </c>
      <c r="R530" s="12" t="str">
        <f ca="1">IFERROR(__xludf.DUMMYFUNCTION("GOOGLETRANSLATE($B529,""en"",R$3)"),"רק מנהלי בעלי Estate יוותרו באזור זה")</f>
        <v>רק מנהלי בעלי Estate יוותרו באזור זה</v>
      </c>
      <c r="S530" s="12" t="str">
        <f ca="1">IFERROR(__xludf.DUMMYFUNCTION("GOOGLETRANSLATE($B529,""en"",S$3)"),"Aðeins eigendur og Estate Stjórnendur verður leyft á þessu svæði")</f>
        <v>Aðeins eigendur og Estate Stjórnendur verður leyft á þessu svæði</v>
      </c>
      <c r="T530" s="12" t="str">
        <f ca="1">IFERROR(__xludf.DUMMYFUNCTION("GOOGLETRANSLATE($B529,""en"",T$3)"),"Bare eiere og eiendomsforvaltere vil bli tillatt i denne regionen")</f>
        <v>Bare eiere og eiendomsforvaltere vil bli tillatt i denne regionen</v>
      </c>
      <c r="U530" s="12" t="str">
        <f ca="1">IFERROR(__xludf.DUMMYFUNCTION("GOOGLETRANSLATE($B529,""en"",U$3)"),"وسيسمح فقط لمالكي ومديري العقارات في هذه المنطقة")</f>
        <v>وسيسمح فقط لمالكي ومديري العقارات في هذه المنطقة</v>
      </c>
      <c r="V530" s="12" t="str">
        <f ca="1">IFERROR(__xludf.DUMMYFUNCTION("GOOGLETRANSLATE($B529,""en"",V$3)"),"Tylko menedżerowie i właściciele nieruchomości będą mogli w tym regionie")</f>
        <v>Tylko menedżerowie i właściciele nieruchomości będą mogli w tym regionie</v>
      </c>
      <c r="W530" s="12" t="str">
        <f ca="1">IFERROR(__xludf.DUMMYFUNCTION("GOOGLETRANSLATE($B529,""en"",W$3)"),"Только Менеджеры Владельцы и недвижимости будет разрешено в этом регионе")</f>
        <v>Только Менеджеры Владельцы и недвижимости будет разрешено в этом регионе</v>
      </c>
      <c r="X530" s="12" t="str">
        <f ca="1">IFERROR(__xludf.DUMMYFUNCTION("GOOGLETRANSLATE($B529,""en"",X$3)"),"Sólo los propietarios, administradores y raíces serán permitidos en esta región")</f>
        <v>Sólo los propietarios, administradores y raíces serán permitidos en esta región</v>
      </c>
      <c r="Y530" s="12"/>
      <c r="Z530" s="12"/>
    </row>
    <row r="531" spans="1:26" ht="32.25" customHeight="1" x14ac:dyDescent="0.2">
      <c r="A531" s="17" t="s">
        <v>1167</v>
      </c>
      <c r="B531" s="17" t="s">
        <v>1168</v>
      </c>
      <c r="C531" s="11" t="str">
        <f ca="1">IFERROR(__xludf.DUMMYFUNCTION("GOOGLETRANSLATE($B530,""en"",C$3)"),"Öffnen Router Ports mit Universal Plug and Play")</f>
        <v>Öffnen Router Ports mit Universal Plug and Play</v>
      </c>
      <c r="D531" s="12" t="str">
        <f ca="1">IFERROR(__xludf.DUMMYFUNCTION("GOOGLETRANSLATE($B530,""en"",D$3)"),"Open Router portar med hjälp av Universal Plug and Play")</f>
        <v>Open Router portar med hjälp av Universal Plug and Play</v>
      </c>
      <c r="E531" s="12" t="str">
        <f ca="1">IFERROR(__xludf.DUMMYFUNCTION("GOOGLETRANSLATE($B530,""en"",E$3)"),"Abrir portas de roteador usando Universal Plug and Play")</f>
        <v>Abrir portas de roteador usando Universal Plug and Play</v>
      </c>
      <c r="F531" s="12" t="str">
        <f ca="1">IFERROR(__xludf.DUMMYFUNCTION("GOOGLETRANSLATE($B530,""en"",F$3)"),"Abrir portas de roteador usando Universal Plug and Play")</f>
        <v>Abrir portas de roteador usando Universal Plug and Play</v>
      </c>
      <c r="G531" s="12" t="str">
        <f ca="1">IFERROR(__xludf.DUMMYFUNCTION("GOOGLETRANSLATE($B530,""en"",G$3)"),"Ouvrir les ports du routeur à l'aide de Universal Plug-and-Play")</f>
        <v>Ouvrir les ports du routeur à l'aide de Universal Plug-and-Play</v>
      </c>
      <c r="H531" s="12" t="str">
        <f ca="1">IFERROR(__xludf.DUMMYFUNCTION("GOOGLETRANSLATE($B530,""en"",H$3)"),"Open Router Portuen Universal Plug and Play erabilita")</f>
        <v>Open Router Portuen Universal Plug and Play erabilita</v>
      </c>
      <c r="I531" s="12" t="str">
        <f ca="1">IFERROR(__xludf.DUMMYFUNCTION("GOOGLETRANSLATE($B530,""en"",I$3)"),"Obrir ports de l'router utilitzant Universal Plug and Play")</f>
        <v>Obrir ports de l'router utilitzant Universal Plug and Play</v>
      </c>
      <c r="J531" s="12" t="str">
        <f ca="1">IFERROR(__xludf.DUMMYFUNCTION("GOOGLETRANSLATE($B530,""en"",J$3)"),"Porty otevřené směrovači Universal Plug and Play")</f>
        <v>Porty otevřené směrovači Universal Plug and Play</v>
      </c>
      <c r="K531" s="12" t="str">
        <f ca="1">IFERROR(__xludf.DUMMYFUNCTION("GOOGLETRANSLATE($B530,""en"",K$3)"),"使用通用即插即用打开路由器的端口")</f>
        <v>使用通用即插即用打开路由器的端口</v>
      </c>
      <c r="L531" s="12" t="str">
        <f ca="1">IFERROR(__xludf.DUMMYFUNCTION("GOOGLETRANSLATE($B530,""en"",L$3)"),"使用通用即插即用打開路由器的端口")</f>
        <v>使用通用即插即用打開路由器的端口</v>
      </c>
      <c r="M531" s="12" t="str">
        <f ca="1">IFERROR(__xludf.DUMMYFUNCTION("GOOGLETRANSLATE($B530,""en"",M$3)"),"Open Router poorten met behulp van Universal Plug and Play")</f>
        <v>Open Router poorten met behulp van Universal Plug and Play</v>
      </c>
      <c r="N531" s="12" t="str">
        <f ca="1">IFERROR(__xludf.DUMMYFUNCTION("GOOGLETRANSLATE($B530,""en"",N$3)"),"Άνοιγμα θυρών δρομολογητή χρησιμοποιώντας Universal Plug and Play")</f>
        <v>Άνοιγμα θυρών δρομολογητή χρησιμοποιώντας Universal Plug and Play</v>
      </c>
      <c r="O531" s="12" t="str">
        <f ca="1">IFERROR(__xludf.DUMMYFUNCTION("GOOGLETRANSLATE($B530,""en"",O$3)"),"Avoin Router Ports käyttämällä Universal Plug and Play")</f>
        <v>Avoin Router Ports käyttämällä Universal Plug and Play</v>
      </c>
      <c r="P531" s="12" t="str">
        <f ca="1">IFERROR(__xludf.DUMMYFUNCTION("GOOGLETRANSLATE($B530,""en"",P$3)"),"Calafoirt Ródaire Oscailte ag baint úsáide Uilíoch Breiseán agus Spraoi")</f>
        <v>Calafoirt Ródaire Oscailte ag baint úsáide Uilíoch Breiseán agus Spraoi</v>
      </c>
      <c r="Q531" s="12" t="str">
        <f ca="1">IFERROR(__xludf.DUMMYFUNCTION("GOOGLETRANSLATE($B530,""en"",Q$3)"),"پورت های باز روتر با استفاده از یونیورسال پلاگین و بازی")</f>
        <v>پورت های باز روتر با استفاده از یونیورسال پلاگین و بازی</v>
      </c>
      <c r="R531" s="12" t="str">
        <f ca="1">IFERROR(__xludf.DUMMYFUNCTION("GOOGLETRANSLATE($B530,""en"",R$3)"),"יציאות נתב להרחיב באמצעות בהכנס-הפעל אוניברסלי")</f>
        <v>יציאות נתב להרחיב באמצעות בהכנס-הפעל אוניברסלי</v>
      </c>
      <c r="S531" s="12" t="str">
        <f ca="1">IFERROR(__xludf.DUMMYFUNCTION("GOOGLETRANSLATE($B530,""en"",S$3)"),"Open Leið Hafnir nota Universal Plug and Play")</f>
        <v>Open Leið Hafnir nota Universal Plug and Play</v>
      </c>
      <c r="T531" s="12" t="str">
        <f ca="1">IFERROR(__xludf.DUMMYFUNCTION("GOOGLETRANSLATE($B530,""en"",T$3)"),"Åpne Router Ports bruker Universal Plug and Play")</f>
        <v>Åpne Router Ports bruker Universal Plug and Play</v>
      </c>
      <c r="U531" s="12" t="str">
        <f ca="1">IFERROR(__xludf.DUMMYFUNCTION("GOOGLETRANSLATE($B530,""en"",U$3)"),"الموانئ راوتر المفتوحة باستخدام التوصيل والتشغيل العالمي")</f>
        <v>الموانئ راوتر المفتوحة باستخدام التوصيل والتشغيل العالمي</v>
      </c>
      <c r="V531" s="12" t="str">
        <f ca="1">IFERROR(__xludf.DUMMYFUNCTION("GOOGLETRANSLATE($B530,""en"",V$3)"),"Router otwarte porty wykorzystujące Universal Plug and Play")</f>
        <v>Router otwarte porty wykorzystujące Universal Plug and Play</v>
      </c>
      <c r="W531" s="12" t="str">
        <f ca="1">IFERROR(__xludf.DUMMYFUNCTION("GOOGLETRANSLATE($B530,""en"",W$3)"),"Порты Open маршрутизатора с помощью Universal Plug и Play")</f>
        <v>Порты Open маршрутизатора с помощью Universal Plug и Play</v>
      </c>
      <c r="X531" s="12" t="str">
        <f ca="1">IFERROR(__xludf.DUMMYFUNCTION("GOOGLETRANSLATE($B530,""en"",X$3)"),"Abrir puertos del router utilizando Universal Plug and Play")</f>
        <v>Abrir puertos del router utilizando Universal Plug and Play</v>
      </c>
      <c r="Y531" s="12"/>
      <c r="Z531" s="12"/>
    </row>
    <row r="532" spans="1:26" ht="32.25" customHeight="1" x14ac:dyDescent="0.2">
      <c r="A532" s="17" t="s">
        <v>1169</v>
      </c>
      <c r="B532" s="17" t="s">
        <v>1169</v>
      </c>
      <c r="C532" s="18" t="s">
        <v>1170</v>
      </c>
      <c r="D532" s="12" t="str">
        <f ca="1">IFERROR(__xludf.DUMMYFUNCTION("GOOGLETRANSLATE($B531,""en"",D$3)"),"Opensimulator är lastning")</f>
        <v>Opensimulator är lastning</v>
      </c>
      <c r="E532" s="12" t="str">
        <f ca="1">IFERROR(__xludf.DUMMYFUNCTION("GOOGLETRANSLATE($B531,""en"",E$3)"),"OpenSimulator é carregamento")</f>
        <v>OpenSimulator é carregamento</v>
      </c>
      <c r="F532" s="12" t="str">
        <f ca="1">IFERROR(__xludf.DUMMYFUNCTION("GOOGLETRANSLATE($B531,""en"",F$3)"),"OpenSimulator é carregamento")</f>
        <v>OpenSimulator é carregamento</v>
      </c>
      <c r="G532" s="12" t="str">
        <f ca="1">IFERROR(__xludf.DUMMYFUNCTION("GOOGLETRANSLATE($B531,""en"",G$3)"),"OpenSim est en cours de chargement")</f>
        <v>OpenSim est en cours de chargement</v>
      </c>
      <c r="H532" s="12" t="str">
        <f ca="1">IFERROR(__xludf.DUMMYFUNCTION("GOOGLETRANSLATE($B531,""en"",H$3)"),"Opensimulator kargatzen da")</f>
        <v>Opensimulator kargatzen da</v>
      </c>
      <c r="I532" s="12" t="str">
        <f ca="1">IFERROR(__xludf.DUMMYFUNCTION("GOOGLETRANSLATE($B531,""en"",I$3)"),"OpenSimulator és la càrrega")</f>
        <v>OpenSimulator és la càrrega</v>
      </c>
      <c r="J532" s="12" t="str">
        <f ca="1">IFERROR(__xludf.DUMMYFUNCTION("GOOGLETRANSLATE($B531,""en"",J$3)"),"Opensimulator se načítá")</f>
        <v>Opensimulator se načítá</v>
      </c>
      <c r="K532" s="12" t="str">
        <f ca="1">IFERROR(__xludf.DUMMYFUNCTION("GOOGLETRANSLATE($B531,""en"",K$3)"),"Opensimulator是装载")</f>
        <v>Opensimulator是装载</v>
      </c>
      <c r="L532" s="12" t="str">
        <f ca="1">IFERROR(__xludf.DUMMYFUNCTION("GOOGLETRANSLATE($B531,""en"",L$3)"),"Opensimulator是裝載")</f>
        <v>Opensimulator是裝載</v>
      </c>
      <c r="M532" s="12" t="str">
        <f ca="1">IFERROR(__xludf.DUMMYFUNCTION("GOOGLETRANSLATE($B531,""en"",M$3)"),"OpenSimulator wordt geladen")</f>
        <v>OpenSimulator wordt geladen</v>
      </c>
      <c r="N532" s="12" t="str">
        <f ca="1">IFERROR(__xludf.DUMMYFUNCTION("GOOGLETRANSLATE($B531,""en"",N$3)"),"OpenSimulator is loading")</f>
        <v>OpenSimulator is loading</v>
      </c>
      <c r="O532" s="12" t="str">
        <f ca="1">IFERROR(__xludf.DUMMYFUNCTION("GOOGLETRANSLATE($B531,""en"",O$3)"),"Opensimulator latautuu")</f>
        <v>Opensimulator latautuu</v>
      </c>
      <c r="P532" s="12" t="str">
        <f ca="1">IFERROR(__xludf.DUMMYFUNCTION("GOOGLETRANSLATE($B531,""en"",P$3)"),"Is Opensimulator luchtú")</f>
        <v>Is Opensimulator luchtú</v>
      </c>
      <c r="Q532" s="12" t="str">
        <f ca="1">IFERROR(__xludf.DUMMYFUNCTION("GOOGLETRANSLATE($B531,""en"",Q$3)"),"Opensimulator بارگذاری است")</f>
        <v>Opensimulator بارگذاری است</v>
      </c>
      <c r="R532" s="12" t="str">
        <f ca="1">IFERROR(__xludf.DUMMYFUNCTION("GOOGLETRANSLATE($B531,""en"",R$3)"),"Opensimulator הוא טוען")</f>
        <v>Opensimulator הוא טוען</v>
      </c>
      <c r="S532" s="12" t="str">
        <f ca="1">IFERROR(__xludf.DUMMYFUNCTION("GOOGLETRANSLATE($B531,""en"",S$3)"),"Opensimulator er hleðsla")</f>
        <v>Opensimulator er hleðsla</v>
      </c>
      <c r="T532" s="12" t="str">
        <f ca="1">IFERROR(__xludf.DUMMYFUNCTION("GOOGLETRANSLATE($B531,""en"",T$3)"),"Opensimulator er lasting")</f>
        <v>Opensimulator er lasting</v>
      </c>
      <c r="U532" s="12" t="str">
        <f ca="1">IFERROR(__xludf.DUMMYFUNCTION("GOOGLETRANSLATE($B531,""en"",U$3)"),"Opensimulator غير تحميل")</f>
        <v>Opensimulator غير تحميل</v>
      </c>
      <c r="V532" s="12" t="str">
        <f ca="1">IFERROR(__xludf.DUMMYFUNCTION("GOOGLETRANSLATE($B531,""en"",V$3)"),"Opensimulator is loading")</f>
        <v>Opensimulator is loading</v>
      </c>
      <c r="W532" s="12" t="str">
        <f ca="1">IFERROR(__xludf.DUMMYFUNCTION("GOOGLETRANSLATE($B531,""en"",W$3)"),"OpenSimulator загружается")</f>
        <v>OpenSimulator загружается</v>
      </c>
      <c r="X532" s="12" t="str">
        <f ca="1">IFERROR(__xludf.DUMMYFUNCTION("GOOGLETRANSLATE($B531,""en"",X$3)"),"OpenSimulator es la carga")</f>
        <v>OpenSimulator es la carga</v>
      </c>
      <c r="Y532" s="12"/>
      <c r="Z532" s="12"/>
    </row>
    <row r="533" spans="1:26" ht="32.25" customHeight="1" x14ac:dyDescent="0.2">
      <c r="A533" s="17" t="s">
        <v>1171</v>
      </c>
      <c r="B533" s="17" t="s">
        <v>1172</v>
      </c>
      <c r="C533" s="21" t="str">
        <f ca="1">IFERROR(__xludf.DUMMYFUNCTION("GOOGLETRANSLATE($B533,""en"",C$3)"),"Oder:")</f>
        <v>Oder:</v>
      </c>
      <c r="D533" s="21" t="str">
        <f ca="1">IFERROR(__xludf.DUMMYFUNCTION("GOOGLETRANSLATE($B533,""en"",D$3)"),"Eller:")</f>
        <v>Eller:</v>
      </c>
      <c r="E533" s="21" t="str">
        <f ca="1">IFERROR(__xludf.DUMMYFUNCTION("GOOGLETRANSLATE($B533,""en"",E$3)"),"Ou:")</f>
        <v>Ou:</v>
      </c>
      <c r="F533" s="21" t="str">
        <f ca="1">IFERROR(__xludf.DUMMYFUNCTION("GOOGLETRANSLATE($B533,""en"",F$3)"),"Ou:")</f>
        <v>Ou:</v>
      </c>
      <c r="G533" s="21" t="str">
        <f ca="1">IFERROR(__xludf.DUMMYFUNCTION("GOOGLETRANSLATE($B533,""en"",G$3)"),"Ou:")</f>
        <v>Ou:</v>
      </c>
      <c r="H533" s="21" t="str">
        <f ca="1">IFERROR(__xludf.DUMMYFUNCTION("GOOGLETRANSLATE($B533,""en"",H$3)"),"edo:")</f>
        <v>edo:</v>
      </c>
      <c r="I533" s="21" t="str">
        <f ca="1">IFERROR(__xludf.DUMMYFUNCTION("GOOGLETRANSLATE($B533,""en"",I$3)"),"o:")</f>
        <v>o:</v>
      </c>
      <c r="J533" s="21" t="str">
        <f ca="1">IFERROR(__xludf.DUMMYFUNCTION("GOOGLETRANSLATE($B533,""en"",J$3)"),"Nebo:")</f>
        <v>Nebo:</v>
      </c>
      <c r="K533" s="21" t="str">
        <f ca="1">IFERROR(__xludf.DUMMYFUNCTION("GOOGLETRANSLATE($B533,""en"",K$3)"),"要么：")</f>
        <v>要么：</v>
      </c>
      <c r="L533" s="21" t="str">
        <f ca="1">IFERROR(__xludf.DUMMYFUNCTION("GOOGLETRANSLATE($B533,""en"",L$3)"),"要么：")</f>
        <v>要么：</v>
      </c>
      <c r="M533" s="21" t="str">
        <f ca="1">IFERROR(__xludf.DUMMYFUNCTION("GOOGLETRANSLATE($B533,""en"",M$3)"),"Of:")</f>
        <v>Of:</v>
      </c>
      <c r="N533" s="21" t="str">
        <f ca="1">IFERROR(__xludf.DUMMYFUNCTION("GOOGLETRANSLATE($B533,""en"",N$3)"),"Ή:")</f>
        <v>Ή:</v>
      </c>
      <c r="O533" s="21" t="str">
        <f ca="1">IFERROR(__xludf.DUMMYFUNCTION("GOOGLETRANSLATE($B533,""en"",O$3)"),"Tai:")</f>
        <v>Tai:</v>
      </c>
      <c r="P533" s="21" t="str">
        <f ca="1">IFERROR(__xludf.DUMMYFUNCTION("GOOGLETRANSLATE($B533,""en"",P$3)"),"nó:")</f>
        <v>nó:</v>
      </c>
      <c r="Q533" s="21" t="str">
        <f ca="1">IFERROR(__xludf.DUMMYFUNCTION("GOOGLETRANSLATE($B533,""en"",Q$3)"),"یا:")</f>
        <v>یا:</v>
      </c>
      <c r="R533" s="21" t="str">
        <f ca="1">IFERROR(__xludf.DUMMYFUNCTION("GOOGLETRANSLATE($B533,""en"",R$3)"),"אוֹ:")</f>
        <v>אוֹ:</v>
      </c>
      <c r="S533" s="21" t="str">
        <f ca="1">IFERROR(__xludf.DUMMYFUNCTION("GOOGLETRANSLATE($B533,""en"",S$3)"),"eða:")</f>
        <v>eða:</v>
      </c>
      <c r="T533" s="21" t="str">
        <f ca="1">IFERROR(__xludf.DUMMYFUNCTION("GOOGLETRANSLATE($B533,""en"",T$3)"),"Eller:")</f>
        <v>Eller:</v>
      </c>
      <c r="U533" s="21" t="str">
        <f ca="1">IFERROR(__xludf.DUMMYFUNCTION("GOOGLETRANSLATE($B533,""en"",U$3)"),"أو:")</f>
        <v>أو:</v>
      </c>
      <c r="V533" s="21" t="str">
        <f ca="1">IFERROR(__xludf.DUMMYFUNCTION("GOOGLETRANSLATE($B533,""en"",V$3)"),"Lub:")</f>
        <v>Lub:</v>
      </c>
      <c r="W533" s="21" t="str">
        <f ca="1">IFERROR(__xludf.DUMMYFUNCTION("GOOGLETRANSLATE($B533,""en"",W$3)"),"Или:")</f>
        <v>Или:</v>
      </c>
      <c r="X533" s="21" t="str">
        <f ca="1">IFERROR(__xludf.DUMMYFUNCTION("GOOGLETRANSLATE($B533,""en"",X$3)"),"O:")</f>
        <v>O:</v>
      </c>
      <c r="Y533" s="21"/>
      <c r="Z533" s="21"/>
    </row>
    <row r="534" spans="1:26" ht="32.25" customHeight="1" x14ac:dyDescent="0.2">
      <c r="A534" s="17" t="s">
        <v>1173</v>
      </c>
      <c r="B534" s="17" t="s">
        <v>1174</v>
      </c>
      <c r="C534" s="21" t="str">
        <f ca="1">IFERROR(__xludf.DUMMYFUNCTION("GOOGLETRANSLATE($B534,""en"",C$3)"),"OSGrid Region Server")</f>
        <v>OSGrid Region Server</v>
      </c>
      <c r="D534" s="21" t="str">
        <f ca="1">IFERROR(__xludf.DUMMYFUNCTION("GOOGLETRANSLATE($B534,""en"",D$3)"),"OSGrid Region Server")</f>
        <v>OSGrid Region Server</v>
      </c>
      <c r="E534" s="21" t="str">
        <f ca="1">IFERROR(__xludf.DUMMYFUNCTION("GOOGLETRANSLATE($B534,""en"",E$3)"),"OSGrid Região Servidor")</f>
        <v>OSGrid Região Servidor</v>
      </c>
      <c r="F534" s="21" t="str">
        <f ca="1">IFERROR(__xludf.DUMMYFUNCTION("GOOGLETRANSLATE($B534,""en"",F$3)"),"OSGrid Região Servidor")</f>
        <v>OSGrid Região Servidor</v>
      </c>
      <c r="G534" s="21" t="str">
        <f ca="1">IFERROR(__xludf.DUMMYFUNCTION("GOOGLETRANSLATE($B534,""en"",G$3)"),"OSGrid Région serveur")</f>
        <v>OSGrid Région serveur</v>
      </c>
      <c r="H534" s="21" t="str">
        <f ca="1">IFERROR(__xludf.DUMMYFUNCTION("GOOGLETRANSLATE($B534,""en"",H$3)"),"OSGrid eskualdea zerbitzaria")</f>
        <v>OSGrid eskualdea zerbitzaria</v>
      </c>
      <c r="I534" s="21" t="str">
        <f ca="1">IFERROR(__xludf.DUMMYFUNCTION("GOOGLETRANSLATE($B534,""en"",I$3)"),"OSGrid regió de servidor")</f>
        <v>OSGrid regió de servidor</v>
      </c>
      <c r="J534" s="21" t="str">
        <f ca="1">IFERROR(__xludf.DUMMYFUNCTION("GOOGLETRANSLATE($B534,""en"",J$3)"),"OSGrid Region Server")</f>
        <v>OSGrid Region Server</v>
      </c>
      <c r="K534" s="21" t="str">
        <f ca="1">IFERROR(__xludf.DUMMYFUNCTION("GOOGLETRANSLATE($B534,""en"",K$3)"),"OSGrid地区服务器")</f>
        <v>OSGrid地区服务器</v>
      </c>
      <c r="L534" s="21" t="str">
        <f ca="1">IFERROR(__xludf.DUMMYFUNCTION("GOOGLETRANSLATE($B534,""en"",L$3)"),"OSGrid地區服務器")</f>
        <v>OSGrid地區服務器</v>
      </c>
      <c r="M534" s="21" t="str">
        <f ca="1">IFERROR(__xludf.DUMMYFUNCTION("GOOGLETRANSLATE($B534,""en"",M$3)"),"OSgrid Region Server")</f>
        <v>OSgrid Region Server</v>
      </c>
      <c r="N534" s="21" t="str">
        <f ca="1">IFERROR(__xludf.DUMMYFUNCTION("GOOGLETRANSLATE($B534,""en"",N$3)"),"OSGrid Περιφέρεια διακομιστή")</f>
        <v>OSGrid Περιφέρεια διακομιστή</v>
      </c>
      <c r="O534" s="21" t="str">
        <f ca="1">IFERROR(__xludf.DUMMYFUNCTION("GOOGLETRANSLATE($B534,""en"",O$3)"),"OSGrid Region Server")</f>
        <v>OSGrid Region Server</v>
      </c>
      <c r="P534" s="21" t="str">
        <f ca="1">IFERROR(__xludf.DUMMYFUNCTION("GOOGLETRANSLATE($B534,""en"",P$3)"),"OSGrid Réigiún Freastalaí")</f>
        <v>OSGrid Réigiún Freastalaí</v>
      </c>
      <c r="Q534" s="21" t="str">
        <f ca="1">IFERROR(__xludf.DUMMYFUNCTION("GOOGLETRANSLATE($B534,""en"",Q$3)"),"OSGrid منطقه سرور")</f>
        <v>OSGrid منطقه سرور</v>
      </c>
      <c r="R534" s="21" t="str">
        <f ca="1">IFERROR(__xludf.DUMMYFUNCTION("GOOGLETRANSLATE($B534,""en"",R$3)"),"OSGrid אזור שרת")</f>
        <v>OSGrid אזור שרת</v>
      </c>
      <c r="S534" s="21" t="str">
        <f ca="1">IFERROR(__xludf.DUMMYFUNCTION("GOOGLETRANSLATE($B534,""en"",S$3)"),"OSGrid Region Server")</f>
        <v>OSGrid Region Server</v>
      </c>
      <c r="T534" s="21" t="str">
        <f ca="1">IFERROR(__xludf.DUMMYFUNCTION("GOOGLETRANSLATE($B534,""en"",T$3)"),"OSGrid Region Server")</f>
        <v>OSGrid Region Server</v>
      </c>
      <c r="U534" s="21" t="str">
        <f ca="1">IFERROR(__xludf.DUMMYFUNCTION("GOOGLETRANSLATE($B534,""en"",U$3)"),"OSGrid منطقة الخادم")</f>
        <v>OSGrid منطقة الخادم</v>
      </c>
      <c r="V534" s="21" t="str">
        <f ca="1">IFERROR(__xludf.DUMMYFUNCTION("GOOGLETRANSLATE($B534,""en"",V$3)"),"OSGrid Region Server")</f>
        <v>OSGrid Region Server</v>
      </c>
      <c r="W534" s="21" t="str">
        <f ca="1">IFERROR(__xludf.DUMMYFUNCTION("GOOGLETRANSLATE($B534,""en"",W$3)"),"OSGrid область сервера")</f>
        <v>OSGrid область сервера</v>
      </c>
      <c r="X534" s="21" t="str">
        <f ca="1">IFERROR(__xludf.DUMMYFUNCTION("GOOGLETRANSLATE($B534,""en"",X$3)"),"OSGrid región del servidor")</f>
        <v>OSGrid región del servidor</v>
      </c>
      <c r="Y534" s="21"/>
      <c r="Z534" s="21"/>
    </row>
    <row r="535" spans="1:26" ht="32.25" customHeight="1" x14ac:dyDescent="0.2">
      <c r="A535" s="17" t="s">
        <v>1175</v>
      </c>
      <c r="B535" s="17" t="s">
        <v>1176</v>
      </c>
      <c r="C535" s="21" t="str">
        <f ca="1">IFERROR(__xludf.DUMMYFUNCTION("GOOGLETRANSLATE($B535,""en"",C$3)"),"Überschreibungen der globalen Karteneinstellungen für diese Region")</f>
        <v>Überschreibungen der globalen Karteneinstellungen für diese Region</v>
      </c>
      <c r="D535" s="21" t="str">
        <f ca="1">IFERROR(__xludf.DUMMYFUNCTION("GOOGLETRANSLATE($B535,""en"",D$3)"),"Åsidosätter den globala kartan Inställningar för en region")</f>
        <v>Åsidosätter den globala kartan Inställningar för en region</v>
      </c>
      <c r="E535" s="21" t="str">
        <f ca="1">IFERROR(__xludf.DUMMYFUNCTION("GOOGLETRANSLATE($B535,""en"",E$3)"),"Substitui as configurações globais de mapas para esta região")</f>
        <v>Substitui as configurações globais de mapas para esta região</v>
      </c>
      <c r="F535" s="21" t="str">
        <f ca="1">IFERROR(__xludf.DUMMYFUNCTION("GOOGLETRANSLATE($B535,""en"",F$3)"),"Substitui as configurações globais de mapas para esta região")</f>
        <v>Substitui as configurações globais de mapas para esta região</v>
      </c>
      <c r="G535" s="21" t="str">
        <f ca="1">IFERROR(__xludf.DUMMYFUNCTION("GOOGLETRANSLATE($B535,""en"",G$3)"),"Dérogations les paramètres globaux Carte pour cette une région")</f>
        <v>Dérogations les paramètres globaux Carte pour cette une région</v>
      </c>
      <c r="H535" s="21" t="str">
        <f ca="1">IFERROR(__xludf.DUMMYFUNCTION("GOOGLETRANSLATE($B535,""en"",H$3)"),"Baliogabetzea globala Map ezarpenak inork neurri hori duen")</f>
        <v>Baliogabetzea globala Map ezarpenak inork neurri hori duen</v>
      </c>
      <c r="I535" s="21" t="str">
        <f ca="1">IFERROR(__xludf.DUMMYFUNCTION("GOOGLETRANSLATE($B535,""en"",I$3)"),"Anul·la la configuració de mapa global d'aquesta una regió")</f>
        <v>Anul·la la configuració de mapa global d'aquesta una regió</v>
      </c>
      <c r="J535" s="21" t="str">
        <f ca="1">IFERROR(__xludf.DUMMYFUNCTION("GOOGLETRANSLATE($B535,""en"",J$3)"),"Přepíše globální nastavení mapy pro tento jeden region")</f>
        <v>Přepíše globální nastavení mapy pro tento jeden region</v>
      </c>
      <c r="K535" s="21" t="str">
        <f ca="1">IFERROR(__xludf.DUMMYFUNCTION("GOOGLETRANSLATE($B535,""en"",K$3)"),"覆盖全球的地图设置为一个地区的")</f>
        <v>覆盖全球的地图设置为一个地区的</v>
      </c>
      <c r="L535" s="21" t="str">
        <f ca="1">IFERROR(__xludf.DUMMYFUNCTION("GOOGLETRANSLATE($B535,""en"",L$3)"),"覆蓋全球的地圖設置為一個地區的")</f>
        <v>覆蓋全球的地圖設置為一個地區的</v>
      </c>
      <c r="M535" s="21" t="str">
        <f ca="1">IFERROR(__xludf.DUMMYFUNCTION("GOOGLETRANSLATE($B535,""en"",M$3)"),"Overrides de wereldwijde Kaartinstellingen voor deze ene regio")</f>
        <v>Overrides de wereldwijde Kaartinstellingen voor deze ene regio</v>
      </c>
      <c r="N535" s="21" t="str">
        <f ca="1">IFERROR(__xludf.DUMMYFUNCTION("GOOGLETRANSLATE($B535,""en"",N$3)"),"Παρακάμπτει τις παγκόσμιες Ρυθμίσεις χάρτη για αυτή τη μία περιοχή")</f>
        <v>Παρακάμπτει τις παγκόσμιες Ρυθμίσεις χάρτη για αυτή τη μία περιοχή</v>
      </c>
      <c r="O535" s="21" t="str">
        <f ca="1">IFERROR(__xludf.DUMMYFUNCTION("GOOGLETRANSLATE($B535,""en"",O$3)"),"Ohittaa maailmankartalle tämän aineiston aluetta")</f>
        <v>Ohittaa maailmankartalle tämän aineiston aluetta</v>
      </c>
      <c r="P535" s="21" t="str">
        <f ca="1">IFERROR(__xludf.DUMMYFUNCTION("GOOGLETRANSLATE($B535,""en"",P$3)"),"Bíonn ceannas ceann na Socruithe Léarscáil domhanda do réigiún amháin")</f>
        <v>Bíonn ceannas ceann na Socruithe Léarscáil domhanda do réigiún amháin</v>
      </c>
      <c r="Q535" s="21" t="str">
        <f ca="1">IFERROR(__xludf.DUMMYFUNCTION("GOOGLETRANSLATE($B535,""en"",Q$3)"),"باطل نقشه تنظیمات جهانی برای این منطقه")</f>
        <v>باطل نقشه تنظیمات جهانی برای این منطقه</v>
      </c>
      <c r="R535" s="21" t="str">
        <f ca="1">IFERROR(__xludf.DUMMYFUNCTION("GOOGLETRANSLATE($B535,""en"",R$3)"),"עקיפת הגדרות המפה הגלובליות באזור הזה")</f>
        <v>עקיפת הגדרות המפה הגלובליות באזור הזה</v>
      </c>
      <c r="S535" s="21" t="str">
        <f ca="1">IFERROR(__xludf.DUMMYFUNCTION("GOOGLETRANSLATE($B535,""en"",S$3)"),"Hnekkir heimsvísu kortinu fyrir þennan eina svæði")</f>
        <v>Hnekkir heimsvísu kortinu fyrir þennan eina svæði</v>
      </c>
      <c r="T535" s="21" t="str">
        <f ca="1">IFERROR(__xludf.DUMMYFUNCTION("GOOGLETRANSLATE($B535,""en"",T$3)"),"Overstyrer de globale kartinnstillingene for en region")</f>
        <v>Overstyrer de globale kartinnstillingene for en region</v>
      </c>
      <c r="U535" s="21" t="str">
        <f ca="1">IFERROR(__xludf.DUMMYFUNCTION("GOOGLETRANSLATE($B535,""en"",U$3)"),"تجاوز إعدادات الخريطة العالمية لهذه المنطقة واحدة")</f>
        <v>تجاوز إعدادات الخريطة العالمية لهذه المنطقة واحدة</v>
      </c>
      <c r="V535" s="21" t="str">
        <f ca="1">IFERROR(__xludf.DUMMYFUNCTION("GOOGLETRANSLATE($B535,""en"",V$3)"),"Zastępuje mapie globalnej ustawień dla tego jednego regionu")</f>
        <v>Zastępuje mapie globalnej ustawień dla tego jednego regionu</v>
      </c>
      <c r="W535" s="21" t="str">
        <f ca="1">IFERROR(__xludf.DUMMYFUNCTION("GOOGLETRANSLATE($B535,""en"",W$3)"),"Заменяет глобальные настройки карты для этого региона")</f>
        <v>Заменяет глобальные настройки карты для этого региона</v>
      </c>
      <c r="X535" s="21" t="str">
        <f ca="1">IFERROR(__xludf.DUMMYFUNCTION("GOOGLETRANSLATE($B535,""en"",X$3)"),"Anula la configuración de mapa global de esta una región")</f>
        <v>Anula la configuración de mapa global de esta una región</v>
      </c>
      <c r="Y535" s="21"/>
      <c r="Z535" s="21"/>
    </row>
    <row r="536" spans="1:26" ht="32.25" customHeight="1" x14ac:dyDescent="0.2">
      <c r="A536" s="17" t="s">
        <v>1177</v>
      </c>
      <c r="B536" s="17" t="s">
        <v>1178</v>
      </c>
      <c r="C536" s="21" t="str">
        <f ca="1">IFERROR(__xludf.DUMMYFUNCTION("GOOGLETRANSLATE($B536,""en"",C$3)"),"Besitzer Gott")</f>
        <v>Besitzer Gott</v>
      </c>
      <c r="D536" s="21" t="str">
        <f ca="1">IFERROR(__xludf.DUMMYFUNCTION("GOOGLETRANSLATE($B536,""en"",D$3)"),"ägare Gud")</f>
        <v>ägare Gud</v>
      </c>
      <c r="E536" s="21" t="str">
        <f ca="1">IFERROR(__xludf.DUMMYFUNCTION("GOOGLETRANSLATE($B536,""en"",E$3)"),"Deus proprietário")</f>
        <v>Deus proprietário</v>
      </c>
      <c r="F536" s="21" t="str">
        <f ca="1">IFERROR(__xludf.DUMMYFUNCTION("GOOGLETRANSLATE($B536,""en"",F$3)"),"Deus proprietário")</f>
        <v>Deus proprietário</v>
      </c>
      <c r="G536" s="21" t="str">
        <f ca="1">IFERROR(__xludf.DUMMYFUNCTION("GOOGLETRANSLATE($B536,""en"",G$3)"),"propriétaire Dieu")</f>
        <v>propriétaire Dieu</v>
      </c>
      <c r="H536" s="21" t="str">
        <f ca="1">IFERROR(__xludf.DUMMYFUNCTION("GOOGLETRANSLATE($B536,""en"",H$3)"),"Titularra God")</f>
        <v>Titularra God</v>
      </c>
      <c r="I536" s="21" t="str">
        <f ca="1">IFERROR(__xludf.DUMMYFUNCTION("GOOGLETRANSLATE($B536,""en"",I$3)"),"propietari Déu")</f>
        <v>propietari Déu</v>
      </c>
      <c r="J536" s="21" t="str">
        <f ca="1">IFERROR(__xludf.DUMMYFUNCTION("GOOGLETRANSLATE($B536,""en"",J$3)"),"majitel Bůh")</f>
        <v>majitel Bůh</v>
      </c>
      <c r="K536" s="21" t="str">
        <f ca="1">IFERROR(__xludf.DUMMYFUNCTION("GOOGLETRANSLATE($B536,""en"",K$3)"),"业主神")</f>
        <v>业主神</v>
      </c>
      <c r="L536" s="21" t="str">
        <f ca="1">IFERROR(__xludf.DUMMYFUNCTION("GOOGLETRANSLATE($B536,""en"",L$3)"),"業主神")</f>
        <v>業主神</v>
      </c>
      <c r="M536" s="21" t="str">
        <f ca="1">IFERROR(__xludf.DUMMYFUNCTION("GOOGLETRANSLATE($B536,""en"",M$3)"),"eigenaar God")</f>
        <v>eigenaar God</v>
      </c>
      <c r="N536" s="21" t="str">
        <f ca="1">IFERROR(__xludf.DUMMYFUNCTION("GOOGLETRANSLATE($B536,""en"",N$3)"),"ιδιοκτήτης του Θεού")</f>
        <v>ιδιοκτήτης του Θεού</v>
      </c>
      <c r="O536" s="21" t="str">
        <f ca="1">IFERROR(__xludf.DUMMYFUNCTION("GOOGLETRANSLATE($B536,""en"",O$3)"),"omistaja Jumalan")</f>
        <v>omistaja Jumalan</v>
      </c>
      <c r="P536" s="21" t="str">
        <f ca="1">IFERROR(__xludf.DUMMYFUNCTION("GOOGLETRANSLATE($B536,""en"",P$3)"),"úinéir Dia")</f>
        <v>úinéir Dia</v>
      </c>
      <c r="Q536" s="21" t="str">
        <f ca="1">IFERROR(__xludf.DUMMYFUNCTION("GOOGLETRANSLATE($B536,""en"",Q$3)"),"صاحب خدا")</f>
        <v>صاحب خدا</v>
      </c>
      <c r="R536" s="21" t="str">
        <f ca="1">IFERROR(__xludf.DUMMYFUNCTION("GOOGLETRANSLATE($B536,""en"",R$3)"),"אלוהים הבעלים")</f>
        <v>אלוהים הבעלים</v>
      </c>
      <c r="S536" s="21" t="str">
        <f ca="1">IFERROR(__xludf.DUMMYFUNCTION("GOOGLETRANSLATE($B536,""en"",S$3)"),"eigandi Guð")</f>
        <v>eigandi Guð</v>
      </c>
      <c r="T536" s="21" t="str">
        <f ca="1">IFERROR(__xludf.DUMMYFUNCTION("GOOGLETRANSLATE($B536,""en"",T$3)"),"eier Gud")</f>
        <v>eier Gud</v>
      </c>
      <c r="U536" s="21" t="str">
        <f ca="1">IFERROR(__xludf.DUMMYFUNCTION("GOOGLETRANSLATE($B536,""en"",U$3)"),"مالك الله")</f>
        <v>مالك الله</v>
      </c>
      <c r="V536" s="21" t="str">
        <f ca="1">IFERROR(__xludf.DUMMYFUNCTION("GOOGLETRANSLATE($B536,""en"",V$3)"),"Właściciel Bóg")</f>
        <v>Właściciel Bóg</v>
      </c>
      <c r="W536" s="21" t="str">
        <f ca="1">IFERROR(__xludf.DUMMYFUNCTION("GOOGLETRANSLATE($B536,""en"",W$3)"),"Владелец Бог")</f>
        <v>Владелец Бог</v>
      </c>
      <c r="X536" s="21" t="str">
        <f ca="1">IFERROR(__xludf.DUMMYFUNCTION("GOOGLETRANSLATE($B536,""en"",X$3)"),"propietario Dios")</f>
        <v>propietario Dios</v>
      </c>
      <c r="Y536" s="21"/>
      <c r="Z536" s="21"/>
    </row>
    <row r="537" spans="1:26" ht="32.25" customHeight="1" x14ac:dyDescent="0.2">
      <c r="A537" s="17" t="s">
        <v>1179</v>
      </c>
      <c r="B537" s="17" t="s">
        <v>1179</v>
      </c>
      <c r="C537" s="21" t="str">
        <f ca="1">IFERROR(__xludf.DUMMYFUNCTION("GOOGLETRANSLATE($B537,""en"",C$3)"),"Parcels")</f>
        <v>Parcels</v>
      </c>
      <c r="D537" s="21" t="str">
        <f ca="1">IFERROR(__xludf.DUMMYFUNCTION("GOOGLETRANSLATE($B537,""en"",D$3)"),"paket")</f>
        <v>paket</v>
      </c>
      <c r="E537" s="21" t="str">
        <f ca="1">IFERROR(__xludf.DUMMYFUNCTION("GOOGLETRANSLATE($B537,""en"",E$3)"),"encomendas")</f>
        <v>encomendas</v>
      </c>
      <c r="F537" s="21" t="str">
        <f ca="1">IFERROR(__xludf.DUMMYFUNCTION("GOOGLETRANSLATE($B537,""en"",F$3)"),"encomendas")</f>
        <v>encomendas</v>
      </c>
      <c r="G537" s="21" t="str">
        <f ca="1">IFERROR(__xludf.DUMMYFUNCTION("GOOGLETRANSLATE($B537,""en"",G$3)"),"Les colis")</f>
        <v>Les colis</v>
      </c>
      <c r="H537" s="21" t="str">
        <f ca="1">IFERROR(__xludf.DUMMYFUNCTION("GOOGLETRANSLATE($B537,""en"",H$3)"),"paketeak")</f>
        <v>paketeak</v>
      </c>
      <c r="I537" s="21" t="str">
        <f ca="1">IFERROR(__xludf.DUMMYFUNCTION("GOOGLETRANSLATE($B537,""en"",I$3)"),"parcel·les")</f>
        <v>parcel·les</v>
      </c>
      <c r="J537" s="21" t="str">
        <f ca="1">IFERROR(__xludf.DUMMYFUNCTION("GOOGLETRANSLATE($B537,""en"",J$3)"),"balíky")</f>
        <v>balíky</v>
      </c>
      <c r="K537" s="21" t="str">
        <f ca="1">IFERROR(__xludf.DUMMYFUNCTION("GOOGLETRANSLATE($B537,""en"",K$3)"),"包裹")</f>
        <v>包裹</v>
      </c>
      <c r="L537" s="21" t="str">
        <f ca="1">IFERROR(__xludf.DUMMYFUNCTION("GOOGLETRANSLATE($B537,""en"",L$3)"),"包裹")</f>
        <v>包裹</v>
      </c>
      <c r="M537" s="21" t="str">
        <f ca="1">IFERROR(__xludf.DUMMYFUNCTION("GOOGLETRANSLATE($B537,""en"",M$3)"),"Parcels")</f>
        <v>Parcels</v>
      </c>
      <c r="N537" s="21" t="str">
        <f ca="1">IFERROR(__xludf.DUMMYFUNCTION("GOOGLETRANSLATE($B537,""en"",N$3)"),"Αγροτεμάχιο")</f>
        <v>Αγροτεμάχιο</v>
      </c>
      <c r="O537" s="21" t="str">
        <f ca="1">IFERROR(__xludf.DUMMYFUNCTION("GOOGLETRANSLATE($B537,""en"",O$3)"),"pakettien")</f>
        <v>pakettien</v>
      </c>
      <c r="P537" s="21" t="str">
        <f ca="1">IFERROR(__xludf.DUMMYFUNCTION("GOOGLETRANSLATE($B537,""en"",P$3)"),"Parcels")</f>
        <v>Parcels</v>
      </c>
      <c r="Q537" s="21" t="str">
        <f ca="1">IFERROR(__xludf.DUMMYFUNCTION("GOOGLETRANSLATE($B537,""en"",Q$3)"),"بسته")</f>
        <v>بسته</v>
      </c>
      <c r="R537" s="21" t="str">
        <f ca="1">IFERROR(__xludf.DUMMYFUNCTION("GOOGLETRANSLATE($B537,""en"",R$3)"),"חבילות")</f>
        <v>חבילות</v>
      </c>
      <c r="S537" s="21" t="str">
        <f ca="1">IFERROR(__xludf.DUMMYFUNCTION("GOOGLETRANSLATE($B537,""en"",S$3)"),"bögglar")</f>
        <v>bögglar</v>
      </c>
      <c r="T537" s="21" t="str">
        <f ca="1">IFERROR(__xludf.DUMMYFUNCTION("GOOGLETRANSLATE($B537,""en"",T$3)"),"pakker")</f>
        <v>pakker</v>
      </c>
      <c r="U537" s="21" t="str">
        <f ca="1">IFERROR(__xludf.DUMMYFUNCTION("GOOGLETRANSLATE($B537,""en"",U$3)"),"الطرود")</f>
        <v>الطرود</v>
      </c>
      <c r="V537" s="21" t="str">
        <f ca="1">IFERROR(__xludf.DUMMYFUNCTION("GOOGLETRANSLATE($B537,""en"",V$3)"),"paczki")</f>
        <v>paczki</v>
      </c>
      <c r="W537" s="21" t="str">
        <f ca="1">IFERROR(__xludf.DUMMYFUNCTION("GOOGLETRANSLATE($B537,""en"",W$3)"),"Посылки")</f>
        <v>Посылки</v>
      </c>
      <c r="X537" s="21" t="str">
        <f ca="1">IFERROR(__xludf.DUMMYFUNCTION("GOOGLETRANSLATE($B537,""en"",X$3)"),"parcelas")</f>
        <v>parcelas</v>
      </c>
      <c r="Y537" s="21"/>
      <c r="Z537" s="21"/>
    </row>
    <row r="538" spans="1:26" ht="32.25" customHeight="1" x14ac:dyDescent="0.2">
      <c r="A538" s="17" t="s">
        <v>1180</v>
      </c>
      <c r="B538" s="17" t="s">
        <v>1181</v>
      </c>
      <c r="C538" s="18" t="s">
        <v>1182</v>
      </c>
      <c r="D538" s="12" t="str">
        <f ca="1">IFERROR(__xludf.DUMMYFUNCTION("GOOGLETRANSLATE($B537,""en"",D$3)"),"paket")</f>
        <v>paket</v>
      </c>
      <c r="E538" s="12" t="str">
        <f ca="1">IFERROR(__xludf.DUMMYFUNCTION("GOOGLETRANSLATE($B537,""en"",E$3)"),"encomendas")</f>
        <v>encomendas</v>
      </c>
      <c r="F538" s="12" t="str">
        <f ca="1">IFERROR(__xludf.DUMMYFUNCTION("GOOGLETRANSLATE($B537,""en"",F$3)"),"encomendas")</f>
        <v>encomendas</v>
      </c>
      <c r="G538" s="12" t="str">
        <f ca="1">IFERROR(__xludf.DUMMYFUNCTION("GOOGLETRANSLATE($B537,""en"",G$3)"),"Les colis")</f>
        <v>Les colis</v>
      </c>
      <c r="H538" s="12" t="str">
        <f ca="1">IFERROR(__xludf.DUMMYFUNCTION("GOOGLETRANSLATE($B537,""en"",H$3)"),"paketeak")</f>
        <v>paketeak</v>
      </c>
      <c r="I538" s="12" t="str">
        <f ca="1">IFERROR(__xludf.DUMMYFUNCTION("GOOGLETRANSLATE($B537,""en"",I$3)"),"parcel·les")</f>
        <v>parcel·les</v>
      </c>
      <c r="J538" s="12" t="str">
        <f ca="1">IFERROR(__xludf.DUMMYFUNCTION("GOOGLETRANSLATE($B537,""en"",J$3)"),"balíky")</f>
        <v>balíky</v>
      </c>
      <c r="K538" s="12" t="str">
        <f ca="1">IFERROR(__xludf.DUMMYFUNCTION("GOOGLETRANSLATE($B537,""en"",K$3)"),"包裹")</f>
        <v>包裹</v>
      </c>
      <c r="L538" s="12" t="str">
        <f ca="1">IFERROR(__xludf.DUMMYFUNCTION("GOOGLETRANSLATE($B537,""en"",L$3)"),"包裹")</f>
        <v>包裹</v>
      </c>
      <c r="M538" s="12" t="str">
        <f ca="1">IFERROR(__xludf.DUMMYFUNCTION("GOOGLETRANSLATE($B537,""en"",M$3)"),"Parcels")</f>
        <v>Parcels</v>
      </c>
      <c r="N538" s="12" t="str">
        <f ca="1">IFERROR(__xludf.DUMMYFUNCTION("GOOGLETRANSLATE($B537,""en"",N$3)"),"Αγροτεμάχιο")</f>
        <v>Αγροτεμάχιο</v>
      </c>
      <c r="O538" s="12" t="str">
        <f ca="1">IFERROR(__xludf.DUMMYFUNCTION("GOOGLETRANSLATE($B537,""en"",O$3)"),"pakettien")</f>
        <v>pakettien</v>
      </c>
      <c r="P538" s="12" t="str">
        <f ca="1">IFERROR(__xludf.DUMMYFUNCTION("GOOGLETRANSLATE($B537,""en"",P$3)"),"Parcels")</f>
        <v>Parcels</v>
      </c>
      <c r="Q538" s="12" t="str">
        <f ca="1">IFERROR(__xludf.DUMMYFUNCTION("GOOGLETRANSLATE($B537,""en"",Q$3)"),"بسته")</f>
        <v>بسته</v>
      </c>
      <c r="R538" s="12" t="str">
        <f ca="1">IFERROR(__xludf.DUMMYFUNCTION("GOOGLETRANSLATE($B537,""en"",R$3)"),"חבילות")</f>
        <v>חבילות</v>
      </c>
      <c r="S538" s="12" t="str">
        <f ca="1">IFERROR(__xludf.DUMMYFUNCTION("GOOGLETRANSLATE($B537,""en"",S$3)"),"bögglar")</f>
        <v>bögglar</v>
      </c>
      <c r="T538" s="12" t="str">
        <f ca="1">IFERROR(__xludf.DUMMYFUNCTION("GOOGLETRANSLATE($B537,""en"",T$3)"),"pakker")</f>
        <v>pakker</v>
      </c>
      <c r="U538" s="12" t="str">
        <f ca="1">IFERROR(__xludf.DUMMYFUNCTION("GOOGLETRANSLATE($B537,""en"",U$3)"),"الطرود")</f>
        <v>الطرود</v>
      </c>
      <c r="V538" s="12" t="str">
        <f ca="1">IFERROR(__xludf.DUMMYFUNCTION("GOOGLETRANSLATE($B537,""en"",V$3)"),"paczki")</f>
        <v>paczki</v>
      </c>
      <c r="W538" s="12" t="str">
        <f ca="1">IFERROR(__xludf.DUMMYFUNCTION("GOOGLETRANSLATE($B537,""en"",W$3)"),"Посылки")</f>
        <v>Посылки</v>
      </c>
      <c r="X538" s="12" t="str">
        <f ca="1">IFERROR(__xludf.DUMMYFUNCTION("GOOGLETRANSLATE($B537,""en"",X$3)"),"parcelas")</f>
        <v>parcelas</v>
      </c>
      <c r="Y538" s="12"/>
      <c r="Z538" s="12"/>
    </row>
    <row r="539" spans="1:26" ht="32.25" customHeight="1" x14ac:dyDescent="0.2">
      <c r="A539" s="17" t="s">
        <v>1183</v>
      </c>
      <c r="B539" s="17" t="s">
        <v>1184</v>
      </c>
      <c r="C539" s="21" t="str">
        <f ca="1">IFERROR(__xludf.DUMMYFUNCTION("GOOGLETRANSLATE($B539,""en"",C$3)"),"Sie können nur das Passwort ändern, wenn Opensim Laufen ist")</f>
        <v>Sie können nur das Passwort ändern, wenn Opensim Laufen ist</v>
      </c>
      <c r="D539" s="21" t="str">
        <f ca="1">IFERROR(__xludf.DUMMYFUNCTION("GOOGLETRANSLATE($B539,""en"",D$3)"),"Du kan endast ändra lösenordet när Opensim körs")</f>
        <v>Du kan endast ändra lösenordet när Opensim körs</v>
      </c>
      <c r="E539" s="21" t="str">
        <f ca="1">IFERROR(__xludf.DUMMYFUNCTION("GOOGLETRANSLATE($B539,""en"",E$3)"),"Só é possível alterar a senha quando Opensim é running")</f>
        <v>Só é possível alterar a senha quando Opensim é running</v>
      </c>
      <c r="F539" s="21" t="str">
        <f ca="1">IFERROR(__xludf.DUMMYFUNCTION("GOOGLETRANSLATE($B539,""en"",F$3)"),"Só é possível alterar a senha quando Opensim é running")</f>
        <v>Só é possível alterar a senha quando Opensim é running</v>
      </c>
      <c r="G539" s="21" t="str">
        <f ca="1">IFERROR(__xludf.DUMMYFUNCTION("GOOGLETRANSLATE($B539,""en"",G$3)"),"Vous ne pouvez changer le mot de passe lorsque Opensim est en marche")</f>
        <v>Vous ne pouvez changer le mot de passe lorsque Opensim est en marche</v>
      </c>
      <c r="H539" s="21" t="str">
        <f ca="1">IFERROR(__xludf.DUMMYFUNCTION("GOOGLETRANSLATE($B539,""en"",H$3)"),"pasahitza bakarrik alda daiteke Opensim martxan da")</f>
        <v>pasahitza bakarrik alda daiteke Opensim martxan da</v>
      </c>
      <c r="I539" s="21" t="str">
        <f ca="1">IFERROR(__xludf.DUMMYFUNCTION("GOOGLETRANSLATE($B539,""en"",I$3)"),"Només es pot canviar la contrasenya quan s'està executant Opensim")</f>
        <v>Només es pot canviar la contrasenya quan s'està executant Opensim</v>
      </c>
      <c r="J539" s="21" t="str">
        <f ca="1">IFERROR(__xludf.DUMMYFUNCTION("GOOGLETRANSLATE($B539,""en"",J$3)"),"Můžete změnit pouze heslo, když Opensim běží")</f>
        <v>Můžete změnit pouze heslo, když Opensim běží</v>
      </c>
      <c r="K539" s="21" t="str">
        <f ca="1">IFERROR(__xludf.DUMMYFUNCTION("GOOGLETRANSLATE($B539,""en"",K$3)"),"您只能更改密码时的OpenSim是运行")</f>
        <v>您只能更改密码时的OpenSim是运行</v>
      </c>
      <c r="L539" s="21" t="str">
        <f ca="1">IFERROR(__xludf.DUMMYFUNCTION("GOOGLETRANSLATE($B539,""en"",L$3)"),"您只能更改密碼時的OpenSim是運行")</f>
        <v>您只能更改密碼時的OpenSim是運行</v>
      </c>
      <c r="M539" s="21" t="str">
        <f ca="1">IFERROR(__xludf.DUMMYFUNCTION("GOOGLETRANSLATE($B539,""en"",M$3)"),"U kunt alleen het wachtwoord wijzigen wanneer OpenSim is running")</f>
        <v>U kunt alleen het wachtwoord wijzigen wanneer OpenSim is running</v>
      </c>
      <c r="N539" s="21" t="str">
        <f ca="1">IFERROR(__xludf.DUMMYFUNCTION("GOOGLETRANSLATE($B539,""en"",N$3)"),"Μπορείτε να αλλάξετε τον κωδικό πρόσβασης όταν Opensim είναι σε λειτουργία")</f>
        <v>Μπορείτε να αλλάξετε τον κωδικό πρόσβασης όταν Opensim είναι σε λειτουργία</v>
      </c>
      <c r="O539" s="21" t="str">
        <f ca="1">IFERROR(__xludf.DUMMYFUNCTION("GOOGLETRANSLATE($B539,""en"",O$3)"),"Voit vaihtaa salasanan, kun Opensim on käynnissä")</f>
        <v>Voit vaihtaa salasanan, kun Opensim on käynnissä</v>
      </c>
      <c r="P539" s="21" t="str">
        <f ca="1">IFERROR(__xludf.DUMMYFUNCTION("GOOGLETRANSLATE($B539,""en"",P$3)"),"Is féidir leat athrú ach amháin an focal faire nuair a bhíonn Opensim ag rith")</f>
        <v>Is féidir leat athrú ach amháin an focal faire nuair a bhíonn Opensim ag rith</v>
      </c>
      <c r="Q539" s="21" t="str">
        <f ca="1">IFERROR(__xludf.DUMMYFUNCTION("GOOGLETRANSLATE($B539,""en"",Q$3)"),"شما فقط می توانید رمز عبور را تغییر دهید زمانی Opensim در حال اجرا است")</f>
        <v>شما فقط می توانید رمز عبور را تغییر دهید زمانی Opensim در حال اجرا است</v>
      </c>
      <c r="R539" s="21" t="str">
        <f ca="1">IFERROR(__xludf.DUMMYFUNCTION("GOOGLETRANSLATE($B539,""en"",R$3)"),"באפשרותך לשנות את הסיסמה רק כאשר Opensim הוא פועל")</f>
        <v>באפשרותך לשנות את הסיסמה רק כאשר Opensim הוא פועל</v>
      </c>
      <c r="S539" s="21" t="str">
        <f ca="1">IFERROR(__xludf.DUMMYFUNCTION("GOOGLETRANSLATE($B539,""en"",S$3)"),"Þú getur aðeins breytt lykilorðinu ef Opensim er í gangi")</f>
        <v>Þú getur aðeins breytt lykilorðinu ef Opensim er í gangi</v>
      </c>
      <c r="T539" s="21" t="str">
        <f ca="1">IFERROR(__xludf.DUMMYFUNCTION("GOOGLETRANSLATE($B539,""en"",T$3)"),"Du kan bare endre passordet når OpenSim er løping")</f>
        <v>Du kan bare endre passordet når OpenSim er løping</v>
      </c>
      <c r="U539" s="21" t="str">
        <f ca="1">IFERROR(__xludf.DUMMYFUNCTION("GOOGLETRANSLATE($B539,""en"",U$3)"),"يمكنك فقط تغيير كلمة المرور عند Opensim هو تشغيل")</f>
        <v>يمكنك فقط تغيير كلمة المرور عند Opensim هو تشغيل</v>
      </c>
      <c r="V539" s="21" t="str">
        <f ca="1">IFERROR(__xludf.DUMMYFUNCTION("GOOGLETRANSLATE($B539,""en"",V$3)"),"Można jedynie zmienić hasło, gdy jest uruchomiony Opensim")</f>
        <v>Można jedynie zmienić hasło, gdy jest uruchomiony Opensim</v>
      </c>
      <c r="W539" s="21" t="str">
        <f ca="1">IFERROR(__xludf.DUMMYFUNCTION("GOOGLETRANSLATE($B539,""en"",W$3)"),"Вы можете изменить пароль при OpenSim это работает")</f>
        <v>Вы можете изменить пароль при OpenSim это работает</v>
      </c>
      <c r="X539" s="21" t="str">
        <f ca="1">IFERROR(__xludf.DUMMYFUNCTION("GOOGLETRANSLATE($B539,""en"",X$3)"),"Sólo se puede cambiar la contraseña cuando se está ejecutando Opensim")</f>
        <v>Sólo se puede cambiar la contraseña cuando se está ejecutando Opensim</v>
      </c>
      <c r="Y539" s="21"/>
      <c r="Z539" s="21"/>
    </row>
    <row r="540" spans="1:26" ht="32.25" customHeight="1" x14ac:dyDescent="0.2">
      <c r="A540" s="17" t="s">
        <v>1185</v>
      </c>
      <c r="B540" s="17" t="s">
        <v>1186</v>
      </c>
      <c r="C540" s="21" t="str">
        <f ca="1">IFERROR(__xludf.DUMMYFUNCTION("GOOGLETRANSLATE($B540,""en"",C$3)"),"Passwort")</f>
        <v>Passwort</v>
      </c>
      <c r="D540" s="21" t="str">
        <f ca="1">IFERROR(__xludf.DUMMYFUNCTION("GOOGLETRANSLATE($B540,""en"",D$3)"),"Lösenord")</f>
        <v>Lösenord</v>
      </c>
      <c r="E540" s="21" t="str">
        <f ca="1">IFERROR(__xludf.DUMMYFUNCTION("GOOGLETRANSLATE($B540,""en"",E$3)"),"Senha")</f>
        <v>Senha</v>
      </c>
      <c r="F540" s="21" t="str">
        <f ca="1">IFERROR(__xludf.DUMMYFUNCTION("GOOGLETRANSLATE($B540,""en"",F$3)"),"Senha")</f>
        <v>Senha</v>
      </c>
      <c r="G540" s="21" t="str">
        <f ca="1">IFERROR(__xludf.DUMMYFUNCTION("GOOGLETRANSLATE($B540,""en"",G$3)"),"Mot de passe")</f>
        <v>Mot de passe</v>
      </c>
      <c r="H540" s="21" t="str">
        <f ca="1">IFERROR(__xludf.DUMMYFUNCTION("GOOGLETRANSLATE($B540,""en"",H$3)"),"Pasahitza")</f>
        <v>Pasahitza</v>
      </c>
      <c r="I540" s="21" t="str">
        <f ca="1">IFERROR(__xludf.DUMMYFUNCTION("GOOGLETRANSLATE($B540,""en"",I$3)"),"contrasenya")</f>
        <v>contrasenya</v>
      </c>
      <c r="J540" s="21" t="str">
        <f ca="1">IFERROR(__xludf.DUMMYFUNCTION("GOOGLETRANSLATE($B540,""en"",J$3)"),"Heslo")</f>
        <v>Heslo</v>
      </c>
      <c r="K540" s="21" t="str">
        <f ca="1">IFERROR(__xludf.DUMMYFUNCTION("GOOGLETRANSLATE($B540,""en"",K$3)"),"密码")</f>
        <v>密码</v>
      </c>
      <c r="L540" s="21" t="str">
        <f ca="1">IFERROR(__xludf.DUMMYFUNCTION("GOOGLETRANSLATE($B540,""en"",L$3)"),"密碼")</f>
        <v>密碼</v>
      </c>
      <c r="M540" s="21" t="str">
        <f ca="1">IFERROR(__xludf.DUMMYFUNCTION("GOOGLETRANSLATE($B540,""en"",M$3)"),"Wachtwoord")</f>
        <v>Wachtwoord</v>
      </c>
      <c r="N540" s="21" t="str">
        <f ca="1">IFERROR(__xludf.DUMMYFUNCTION("GOOGLETRANSLATE($B540,""en"",N$3)"),"Κωδικός πρόσβασης")</f>
        <v>Κωδικός πρόσβασης</v>
      </c>
      <c r="O540" s="21" t="str">
        <f ca="1">IFERROR(__xludf.DUMMYFUNCTION("GOOGLETRANSLATE($B540,""en"",O$3)"),"Salasana")</f>
        <v>Salasana</v>
      </c>
      <c r="P540" s="21" t="str">
        <f ca="1">IFERROR(__xludf.DUMMYFUNCTION("GOOGLETRANSLATE($B540,""en"",P$3)"),"Focal Faire")</f>
        <v>Focal Faire</v>
      </c>
      <c r="Q540" s="21" t="str">
        <f ca="1">IFERROR(__xludf.DUMMYFUNCTION("GOOGLETRANSLATE($B540,""en"",Q$3)"),"کلمه عبور")</f>
        <v>کلمه عبور</v>
      </c>
      <c r="R540" s="21" t="str">
        <f ca="1">IFERROR(__xludf.DUMMYFUNCTION("GOOGLETRANSLATE($B540,""en"",R$3)"),"סיסמה")</f>
        <v>סיסמה</v>
      </c>
      <c r="S540" s="21" t="str">
        <f ca="1">IFERROR(__xludf.DUMMYFUNCTION("GOOGLETRANSLATE($B540,""en"",S$3)"),"Lykilorð")</f>
        <v>Lykilorð</v>
      </c>
      <c r="T540" s="21" t="str">
        <f ca="1">IFERROR(__xludf.DUMMYFUNCTION("GOOGLETRANSLATE($B540,""en"",T$3)"),"Passord")</f>
        <v>Passord</v>
      </c>
      <c r="U540" s="21" t="str">
        <f ca="1">IFERROR(__xludf.DUMMYFUNCTION("GOOGLETRANSLATE($B540,""en"",U$3)"),"كلمه السر")</f>
        <v>كلمه السر</v>
      </c>
      <c r="V540" s="21" t="str">
        <f ca="1">IFERROR(__xludf.DUMMYFUNCTION("GOOGLETRANSLATE($B540,""en"",V$3)"),"Hasło")</f>
        <v>Hasło</v>
      </c>
      <c r="W540" s="21" t="str">
        <f ca="1">IFERROR(__xludf.DUMMYFUNCTION("GOOGLETRANSLATE($B540,""en"",W$3)"),"пароль")</f>
        <v>пароль</v>
      </c>
      <c r="X540" s="21" t="str">
        <f ca="1">IFERROR(__xludf.DUMMYFUNCTION("GOOGLETRANSLATE($B540,""en"",X$3)"),"Contraseña")</f>
        <v>Contraseña</v>
      </c>
      <c r="Y540" s="21"/>
      <c r="Z540" s="21"/>
    </row>
    <row r="541" spans="1:26" ht="32.25" customHeight="1" x14ac:dyDescent="0.2">
      <c r="A541" s="17" t="s">
        <v>1187</v>
      </c>
      <c r="B541" s="17" t="s">
        <v>1188</v>
      </c>
      <c r="C541" s="21" t="str">
        <f ca="1">IFERROR(__xludf.DUMMYFUNCTION("GOOGLETRANSLATE($B541,""en"",C$3)"),"PDF-Handbuch")</f>
        <v>PDF-Handbuch</v>
      </c>
      <c r="D541" s="21" t="str">
        <f ca="1">IFERROR(__xludf.DUMMYFUNCTION("GOOGLETRANSLATE($B541,""en"",D$3)"),"PDF Manual")</f>
        <v>PDF Manual</v>
      </c>
      <c r="E541" s="21" t="str">
        <f ca="1">IFERROR(__xludf.DUMMYFUNCTION("GOOGLETRANSLATE($B541,""en"",E$3)"),"manual de PDF")</f>
        <v>manual de PDF</v>
      </c>
      <c r="F541" s="21" t="str">
        <f ca="1">IFERROR(__xludf.DUMMYFUNCTION("GOOGLETRANSLATE($B541,""en"",F$3)"),"manual de PDF")</f>
        <v>manual de PDF</v>
      </c>
      <c r="G541" s="21" t="str">
        <f ca="1">IFERROR(__xludf.DUMMYFUNCTION("GOOGLETRANSLATE($B541,""en"",G$3)"),"Manuel PDF")</f>
        <v>Manuel PDF</v>
      </c>
      <c r="H541" s="21" t="str">
        <f ca="1">IFERROR(__xludf.DUMMYFUNCTION("GOOGLETRANSLATE($B541,""en"",H$3)"),"PDF eskuliburua")</f>
        <v>PDF eskuliburua</v>
      </c>
      <c r="I541" s="21" t="str">
        <f ca="1">IFERROR(__xludf.DUMMYFUNCTION("GOOGLETRANSLATE($B541,""en"",I$3)"),"manual PDF")</f>
        <v>manual PDF</v>
      </c>
      <c r="J541" s="21" t="str">
        <f ca="1">IFERROR(__xludf.DUMMYFUNCTION("GOOGLETRANSLATE($B541,""en"",J$3)"),"PDF Manual")</f>
        <v>PDF Manual</v>
      </c>
      <c r="K541" s="21" t="str">
        <f ca="1">IFERROR(__xludf.DUMMYFUNCTION("GOOGLETRANSLATE($B541,""en"",K$3)"),"PDF手册")</f>
        <v>PDF手册</v>
      </c>
      <c r="L541" s="21" t="str">
        <f ca="1">IFERROR(__xludf.DUMMYFUNCTION("GOOGLETRANSLATE($B541,""en"",L$3)"),"PDF手冊")</f>
        <v>PDF手冊</v>
      </c>
      <c r="M541" s="21" t="str">
        <f ca="1">IFERROR(__xludf.DUMMYFUNCTION("GOOGLETRANSLATE($B541,""en"",M$3)"),"PDF Manual")</f>
        <v>PDF Manual</v>
      </c>
      <c r="N541" s="21" t="str">
        <f ca="1">IFERROR(__xludf.DUMMYFUNCTION("GOOGLETRANSLATE($B541,""en"",N$3)"),"Εγχειρίδιο PDF")</f>
        <v>Εγχειρίδιο PDF</v>
      </c>
      <c r="O541" s="21" t="str">
        <f ca="1">IFERROR(__xludf.DUMMYFUNCTION("GOOGLETRANSLATE($B541,""en"",O$3)"),"PDF Manual")</f>
        <v>PDF Manual</v>
      </c>
      <c r="P541" s="21" t="str">
        <f ca="1">IFERROR(__xludf.DUMMYFUNCTION("GOOGLETRANSLATE($B541,""en"",P$3)"),"Lámhleabhar PDF")</f>
        <v>Lámhleabhar PDF</v>
      </c>
      <c r="Q541" s="21" t="str">
        <f ca="1">IFERROR(__xludf.DUMMYFUNCTION("GOOGLETRANSLATE($B541,""en"",Q$3)"),"PDF دفترچه راهنما")</f>
        <v>PDF دفترچه راهنما</v>
      </c>
      <c r="R541" s="21" t="str">
        <f ca="1">IFERROR(__xludf.DUMMYFUNCTION("GOOGLETRANSLATE($B541,""en"",R$3)"),"ידני PDF")</f>
        <v>ידני PDF</v>
      </c>
      <c r="S541" s="21" t="str">
        <f ca="1">IFERROR(__xludf.DUMMYFUNCTION("GOOGLETRANSLATE($B541,""en"",S$3)"),"PDF Manual")</f>
        <v>PDF Manual</v>
      </c>
      <c r="T541" s="21" t="str">
        <f ca="1">IFERROR(__xludf.DUMMYFUNCTION("GOOGLETRANSLATE($B541,""en"",T$3)"),"PDF Manual")</f>
        <v>PDF Manual</v>
      </c>
      <c r="U541" s="21" t="str">
        <f ca="1">IFERROR(__xludf.DUMMYFUNCTION("GOOGLETRANSLATE($B541,""en"",U$3)"),"دليل PDF")</f>
        <v>دليل PDF</v>
      </c>
      <c r="V541" s="21" t="str">
        <f ca="1">IFERROR(__xludf.DUMMYFUNCTION("GOOGLETRANSLATE($B541,""en"",V$3)"),"Instrukcja PDF")</f>
        <v>Instrukcja PDF</v>
      </c>
      <c r="W541" s="21" t="str">
        <f ca="1">IFERROR(__xludf.DUMMYFUNCTION("GOOGLETRANSLATE($B541,""en"",W$3)"),"Руководство PDF")</f>
        <v>Руководство PDF</v>
      </c>
      <c r="X541" s="21" t="str">
        <f ca="1">IFERROR(__xludf.DUMMYFUNCTION("GOOGLETRANSLATE($B541,""en"",X$3)"),"Manual PDF")</f>
        <v>Manual PDF</v>
      </c>
      <c r="Y541" s="21"/>
      <c r="Z541" s="21"/>
    </row>
    <row r="542" spans="1:26" ht="32.25" customHeight="1" x14ac:dyDescent="0.2">
      <c r="A542" s="17" t="s">
        <v>1189</v>
      </c>
      <c r="B542" s="17" t="s">
        <v>1190</v>
      </c>
      <c r="C542" s="21" t="str">
        <f ca="1">IFERROR(__xludf.DUMMYFUNCTION("GOOGLETRANSLATE($B542,""en"",C$3)"),"Menschen sind in")</f>
        <v>Menschen sind in</v>
      </c>
      <c r="D542" s="21" t="str">
        <f ca="1">IFERROR(__xludf.DUMMYFUNCTION("GOOGLETRANSLATE($B542,""en"",D$3)"),"människor är i")</f>
        <v>människor är i</v>
      </c>
      <c r="E542" s="21" t="str">
        <f ca="1">IFERROR(__xludf.DUMMYFUNCTION("GOOGLETRANSLATE($B542,""en"",E$3)"),"as pessoas estão em")</f>
        <v>as pessoas estão em</v>
      </c>
      <c r="F542" s="21" t="str">
        <f ca="1">IFERROR(__xludf.DUMMYFUNCTION("GOOGLETRANSLATE($B542,""en"",F$3)"),"as pessoas estão em")</f>
        <v>as pessoas estão em</v>
      </c>
      <c r="G542" s="21" t="str">
        <f ca="1">IFERROR(__xludf.DUMMYFUNCTION("GOOGLETRANSLATE($B542,""en"",G$3)"),"les gens sont en")</f>
        <v>les gens sont en</v>
      </c>
      <c r="H542" s="21" t="str">
        <f ca="1">IFERROR(__xludf.DUMMYFUNCTION("GOOGLETRANSLATE($B542,""en"",H$3)"),"pertsonak dira ere")</f>
        <v>pertsonak dira ere</v>
      </c>
      <c r="I542" s="21" t="str">
        <f ca="1">IFERROR(__xludf.DUMMYFUNCTION("GOOGLETRANSLATE($B542,""en"",I$3)"),"la gent està en")</f>
        <v>la gent està en</v>
      </c>
      <c r="J542" s="21" t="str">
        <f ca="1">IFERROR(__xludf.DUMMYFUNCTION("GOOGLETRANSLATE($B542,""en"",J$3)"),"lidé jsou ve")</f>
        <v>lidé jsou ve</v>
      </c>
      <c r="K542" s="21" t="str">
        <f ca="1">IFERROR(__xludf.DUMMYFUNCTION("GOOGLETRANSLATE($B542,""en"",K$3)"),"人在")</f>
        <v>人在</v>
      </c>
      <c r="L542" s="21" t="str">
        <f ca="1">IFERROR(__xludf.DUMMYFUNCTION("GOOGLETRANSLATE($B542,""en"",L$3)"),"人在")</f>
        <v>人在</v>
      </c>
      <c r="M542" s="21" t="str">
        <f ca="1">IFERROR(__xludf.DUMMYFUNCTION("GOOGLETRANSLATE($B542,""en"",M$3)"),"mensen zijn in")</f>
        <v>mensen zijn in</v>
      </c>
      <c r="N542" s="21" t="str">
        <f ca="1">IFERROR(__xludf.DUMMYFUNCTION("GOOGLETRANSLATE($B542,""en"",N$3)"),"οι άνθρωποι είναι σε")</f>
        <v>οι άνθρωποι είναι σε</v>
      </c>
      <c r="O542" s="21" t="str">
        <f ca="1">IFERROR(__xludf.DUMMYFUNCTION("GOOGLETRANSLATE($B542,""en"",O$3)"),"ihmiset ovat")</f>
        <v>ihmiset ovat</v>
      </c>
      <c r="P542" s="21" t="str">
        <f ca="1">IFERROR(__xludf.DUMMYFUNCTION("GOOGLETRANSLATE($B542,""en"",P$3)"),"tá daoine i")</f>
        <v>tá daoine i</v>
      </c>
      <c r="Q542" s="21" t="str">
        <f ca="1">IFERROR(__xludf.DUMMYFUNCTION("GOOGLETRANSLATE($B542,""en"",Q$3)"),"مردم در")</f>
        <v>مردم در</v>
      </c>
      <c r="R542" s="21" t="str">
        <f ca="1">IFERROR(__xludf.DUMMYFUNCTION("GOOGLETRANSLATE($B542,""en"",R$3)"),"אנשים נמצאים")</f>
        <v>אנשים נמצאים</v>
      </c>
      <c r="S542" s="21" t="str">
        <f ca="1">IFERROR(__xludf.DUMMYFUNCTION("GOOGLETRANSLATE($B542,""en"",S$3)"),"fólk er í")</f>
        <v>fólk er í</v>
      </c>
      <c r="T542" s="21" t="str">
        <f ca="1">IFERROR(__xludf.DUMMYFUNCTION("GOOGLETRANSLATE($B542,""en"",T$3)"),"folk er i")</f>
        <v>folk er i</v>
      </c>
      <c r="U542" s="21" t="str">
        <f ca="1">IFERROR(__xludf.DUMMYFUNCTION("GOOGLETRANSLATE($B542,""en"",U$3)"),"الناس في")</f>
        <v>الناس في</v>
      </c>
      <c r="V542" s="21" t="str">
        <f ca="1">IFERROR(__xludf.DUMMYFUNCTION("GOOGLETRANSLATE($B542,""en"",V$3)"),"ludzie są w")</f>
        <v>ludzie są w</v>
      </c>
      <c r="W542" s="21" t="str">
        <f ca="1">IFERROR(__xludf.DUMMYFUNCTION("GOOGLETRANSLATE($B542,""en"",W$3)"),"люди в")</f>
        <v>люди в</v>
      </c>
      <c r="X542" s="21" t="str">
        <f ca="1">IFERROR(__xludf.DUMMYFUNCTION("GOOGLETRANSLATE($B542,""en"",X$3)"),"la gente está en")</f>
        <v>la gente está en</v>
      </c>
      <c r="Y542" s="21"/>
      <c r="Z542" s="21"/>
    </row>
    <row r="543" spans="1:26" ht="32.25" customHeight="1" x14ac:dyDescent="0.2">
      <c r="A543" s="17" t="s">
        <v>1191</v>
      </c>
      <c r="B543" s="17" t="s">
        <v>1192</v>
      </c>
      <c r="C543" s="21" t="str">
        <f ca="1">IFERROR(__xludf.DUMMYFUNCTION("GOOGLETRANSLATE($B543,""en"",C$3)"),"Berechtigungen")</f>
        <v>Berechtigungen</v>
      </c>
      <c r="D543" s="21" t="str">
        <f ca="1">IFERROR(__xludf.DUMMYFUNCTION("GOOGLETRANSLATE($B543,""en"",D$3)"),"Behörigheter")</f>
        <v>Behörigheter</v>
      </c>
      <c r="E543" s="21" t="str">
        <f ca="1">IFERROR(__xludf.DUMMYFUNCTION("GOOGLETRANSLATE($B543,""en"",E$3)"),"permissões")</f>
        <v>permissões</v>
      </c>
      <c r="F543" s="21" t="str">
        <f ca="1">IFERROR(__xludf.DUMMYFUNCTION("GOOGLETRANSLATE($B543,""en"",F$3)"),"permissões")</f>
        <v>permissões</v>
      </c>
      <c r="G543" s="21" t="str">
        <f ca="1">IFERROR(__xludf.DUMMYFUNCTION("GOOGLETRANSLATE($B543,""en"",G$3)"),"autorisations")</f>
        <v>autorisations</v>
      </c>
      <c r="H543" s="21" t="str">
        <f ca="1">IFERROR(__xludf.DUMMYFUNCTION("GOOGLETRANSLATE($B543,""en"",H$3)"),"Baimenak")</f>
        <v>Baimenak</v>
      </c>
      <c r="I543" s="21" t="str">
        <f ca="1">IFERROR(__xludf.DUMMYFUNCTION("GOOGLETRANSLATE($B543,""en"",I$3)"),"permisos")</f>
        <v>permisos</v>
      </c>
      <c r="J543" s="21" t="str">
        <f ca="1">IFERROR(__xludf.DUMMYFUNCTION("GOOGLETRANSLATE($B543,""en"",J$3)"),"oprávnění")</f>
        <v>oprávnění</v>
      </c>
      <c r="K543" s="21" t="str">
        <f ca="1">IFERROR(__xludf.DUMMYFUNCTION("GOOGLETRANSLATE($B543,""en"",K$3)"),"权限")</f>
        <v>权限</v>
      </c>
      <c r="L543" s="21" t="str">
        <f ca="1">IFERROR(__xludf.DUMMYFUNCTION("GOOGLETRANSLATE($B543,""en"",L$3)"),"權限")</f>
        <v>權限</v>
      </c>
      <c r="M543" s="21" t="str">
        <f ca="1">IFERROR(__xludf.DUMMYFUNCTION("GOOGLETRANSLATE($B543,""en"",M$3)"),"Rechten")</f>
        <v>Rechten</v>
      </c>
      <c r="N543" s="21" t="str">
        <f ca="1">IFERROR(__xludf.DUMMYFUNCTION("GOOGLETRANSLATE($B543,""en"",N$3)"),"δικαιώματα")</f>
        <v>δικαιώματα</v>
      </c>
      <c r="O543" s="21" t="str">
        <f ca="1">IFERROR(__xludf.DUMMYFUNCTION("GOOGLETRANSLATE($B543,""en"",O$3)"),"käyttöoikeudet")</f>
        <v>käyttöoikeudet</v>
      </c>
      <c r="P543" s="21" t="str">
        <f ca="1">IFERROR(__xludf.DUMMYFUNCTION("GOOGLETRANSLATE($B543,""en"",P$3)"),"ceadanna")</f>
        <v>ceadanna</v>
      </c>
      <c r="Q543" s="21" t="str">
        <f ca="1">IFERROR(__xludf.DUMMYFUNCTION("GOOGLETRANSLATE($B543,""en"",Q$3)"),"مجوز")</f>
        <v>مجوز</v>
      </c>
      <c r="R543" s="21" t="str">
        <f ca="1">IFERROR(__xludf.DUMMYFUNCTION("GOOGLETRANSLATE($B543,""en"",R$3)"),"הרשאות")</f>
        <v>הרשאות</v>
      </c>
      <c r="S543" s="21" t="str">
        <f ca="1">IFERROR(__xludf.DUMMYFUNCTION("GOOGLETRANSLATE($B543,""en"",S$3)"),"heimildir")</f>
        <v>heimildir</v>
      </c>
      <c r="T543" s="21" t="str">
        <f ca="1">IFERROR(__xludf.DUMMYFUNCTION("GOOGLETRANSLATE($B543,""en"",T$3)"),"tillatelser")</f>
        <v>tillatelser</v>
      </c>
      <c r="U543" s="21" t="str">
        <f ca="1">IFERROR(__xludf.DUMMYFUNCTION("GOOGLETRANSLATE($B543,""en"",U$3)"),"أذونات")</f>
        <v>أذونات</v>
      </c>
      <c r="V543" s="21" t="str">
        <f ca="1">IFERROR(__xludf.DUMMYFUNCTION("GOOGLETRANSLATE($B543,""en"",V$3)"),"Uprawnienia")</f>
        <v>Uprawnienia</v>
      </c>
      <c r="W543" s="21" t="str">
        <f ca="1">IFERROR(__xludf.DUMMYFUNCTION("GOOGLETRANSLATE($B543,""en"",W$3)"),"права доступа")</f>
        <v>права доступа</v>
      </c>
      <c r="X543" s="21" t="str">
        <f ca="1">IFERROR(__xludf.DUMMYFUNCTION("GOOGLETRANSLATE($B543,""en"",X$3)"),"permisos")</f>
        <v>permisos</v>
      </c>
      <c r="Y543" s="21"/>
      <c r="Z543" s="21"/>
    </row>
    <row r="544" spans="1:26" ht="32.25" customHeight="1" x14ac:dyDescent="0.2">
      <c r="A544" s="17" t="s">
        <v>1193</v>
      </c>
      <c r="B544" s="17" t="s">
        <v>1194</v>
      </c>
      <c r="C544" s="21" t="str">
        <f ca="1">IFERROR(__xludf.DUMMYFUNCTION("GOOGLETRANSLATE($B544,""en"",C$3)"),"Foto")</f>
        <v>Foto</v>
      </c>
      <c r="D544" s="21" t="str">
        <f ca="1">IFERROR(__xludf.DUMMYFUNCTION("GOOGLETRANSLATE($B544,""en"",D$3)"),"Foto")</f>
        <v>Foto</v>
      </c>
      <c r="E544" s="21" t="str">
        <f ca="1">IFERROR(__xludf.DUMMYFUNCTION("GOOGLETRANSLATE($B544,""en"",E$3)"),"foto")</f>
        <v>foto</v>
      </c>
      <c r="F544" s="21" t="str">
        <f ca="1">IFERROR(__xludf.DUMMYFUNCTION("GOOGLETRANSLATE($B544,""en"",F$3)"),"foto")</f>
        <v>foto</v>
      </c>
      <c r="G544" s="21" t="str">
        <f ca="1">IFERROR(__xludf.DUMMYFUNCTION("GOOGLETRANSLATE($B544,""en"",G$3)"),"Photo")</f>
        <v>Photo</v>
      </c>
      <c r="H544" s="21" t="str">
        <f ca="1">IFERROR(__xludf.DUMMYFUNCTION("GOOGLETRANSLATE($B544,""en"",H$3)"),"photo")</f>
        <v>photo</v>
      </c>
      <c r="I544" s="21" t="str">
        <f ca="1">IFERROR(__xludf.DUMMYFUNCTION("GOOGLETRANSLATE($B544,""en"",I$3)"),"foto")</f>
        <v>foto</v>
      </c>
      <c r="J544" s="21" t="str">
        <f ca="1">IFERROR(__xludf.DUMMYFUNCTION("GOOGLETRANSLATE($B544,""en"",J$3)"),"Fotografie")</f>
        <v>Fotografie</v>
      </c>
      <c r="K544" s="21" t="str">
        <f ca="1">IFERROR(__xludf.DUMMYFUNCTION("GOOGLETRANSLATE($B544,""en"",K$3)"),"照片")</f>
        <v>照片</v>
      </c>
      <c r="L544" s="21" t="str">
        <f ca="1">IFERROR(__xludf.DUMMYFUNCTION("GOOGLETRANSLATE($B544,""en"",L$3)"),"照片")</f>
        <v>照片</v>
      </c>
      <c r="M544" s="21" t="str">
        <f ca="1">IFERROR(__xludf.DUMMYFUNCTION("GOOGLETRANSLATE($B544,""en"",M$3)"),"Foto")</f>
        <v>Foto</v>
      </c>
      <c r="N544" s="21" t="str">
        <f ca="1">IFERROR(__xludf.DUMMYFUNCTION("GOOGLETRANSLATE($B544,""en"",N$3)"),"φωτογραφία")</f>
        <v>φωτογραφία</v>
      </c>
      <c r="O544" s="21" t="str">
        <f ca="1">IFERROR(__xludf.DUMMYFUNCTION("GOOGLETRANSLATE($B544,""en"",O$3)"),"Kuva")</f>
        <v>Kuva</v>
      </c>
      <c r="P544" s="21" t="str">
        <f ca="1">IFERROR(__xludf.DUMMYFUNCTION("GOOGLETRANSLATE($B544,""en"",P$3)"),"grianghraf")</f>
        <v>grianghraf</v>
      </c>
      <c r="Q544" s="21" t="str">
        <f ca="1">IFERROR(__xludf.DUMMYFUNCTION("GOOGLETRANSLATE($B544,""en"",Q$3)"),"عکس")</f>
        <v>عکس</v>
      </c>
      <c r="R544" s="21" t="str">
        <f ca="1">IFERROR(__xludf.DUMMYFUNCTION("GOOGLETRANSLATE($B544,""en"",R$3)"),"תמונה")</f>
        <v>תמונה</v>
      </c>
      <c r="S544" s="21" t="str">
        <f ca="1">IFERROR(__xludf.DUMMYFUNCTION("GOOGLETRANSLATE($B544,""en"",S$3)"),"mynd")</f>
        <v>mynd</v>
      </c>
      <c r="T544" s="21" t="str">
        <f ca="1">IFERROR(__xludf.DUMMYFUNCTION("GOOGLETRANSLATE($B544,""en"",T$3)"),"Bilde")</f>
        <v>Bilde</v>
      </c>
      <c r="U544" s="21" t="str">
        <f ca="1">IFERROR(__xludf.DUMMYFUNCTION("GOOGLETRANSLATE($B544,""en"",U$3)"),"صورة فوتوغرافية")</f>
        <v>صورة فوتوغرافية</v>
      </c>
      <c r="V544" s="21" t="str">
        <f ca="1">IFERROR(__xludf.DUMMYFUNCTION("GOOGLETRANSLATE($B544,""en"",V$3)"),"Zdjęcie")</f>
        <v>Zdjęcie</v>
      </c>
      <c r="W544" s="21" t="str">
        <f ca="1">IFERROR(__xludf.DUMMYFUNCTION("GOOGLETRANSLATE($B544,""en"",W$3)"),"Фото")</f>
        <v>Фото</v>
      </c>
      <c r="X544" s="21" t="str">
        <f ca="1">IFERROR(__xludf.DUMMYFUNCTION("GOOGLETRANSLATE($B544,""en"",X$3)"),"Foto")</f>
        <v>Foto</v>
      </c>
      <c r="Y544" s="21"/>
      <c r="Z544" s="21"/>
    </row>
    <row r="545" spans="1:26" ht="32.25" customHeight="1" x14ac:dyDescent="0.2">
      <c r="A545" s="17" t="s">
        <v>1195</v>
      </c>
      <c r="B545" s="17" t="s">
        <v>1196</v>
      </c>
      <c r="C545" s="21" t="str">
        <f ca="1">IFERROR(__xludf.DUMMYFUNCTION("GOOGLETRANSLATE($B545,""en"",C$3)"),"Physische Prim Max Größe")</f>
        <v>Physische Prim Max Größe</v>
      </c>
      <c r="D545" s="21" t="str">
        <f ca="1">IFERROR(__xludf.DUMMYFUNCTION("GOOGLETRANSLATE($B545,""en"",D$3)"),"Fysisk Prim Max Size")</f>
        <v>Fysisk Prim Max Size</v>
      </c>
      <c r="E545" s="21" t="str">
        <f ca="1">IFERROR(__xludf.DUMMYFUNCTION("GOOGLETRANSLATE($B545,""en"",E$3)"),"Física Prim Max Tamanho")</f>
        <v>Física Prim Max Tamanho</v>
      </c>
      <c r="F545" s="21" t="str">
        <f ca="1">IFERROR(__xludf.DUMMYFUNCTION("GOOGLETRANSLATE($B545,""en"",F$3)"),"Física Prim Max Tamanho")</f>
        <v>Física Prim Max Tamanho</v>
      </c>
      <c r="G545" s="21" t="str">
        <f ca="1">IFERROR(__xludf.DUMMYFUNCTION("GOOGLETRANSLATE($B545,""en"",G$3)"),"Prim physique Taille max")</f>
        <v>Prim physique Taille max</v>
      </c>
      <c r="H545" s="21" t="str">
        <f ca="1">IFERROR(__xludf.DUMMYFUNCTION("GOOGLETRANSLATE($B545,""en"",H$3)"),"Gorputz Prim Max neurria")</f>
        <v>Gorputz Prim Max neurria</v>
      </c>
      <c r="I545" s="21" t="str">
        <f ca="1">IFERROR(__xludf.DUMMYFUNCTION("GOOGLETRANSLATE($B545,""en"",I$3)"),"Prim física Mida màxima")</f>
        <v>Prim física Mida màxima</v>
      </c>
      <c r="J545" s="21" t="str">
        <f ca="1">IFERROR(__xludf.DUMMYFUNCTION("GOOGLETRANSLATE($B545,""en"",J$3)"),"Fyzická Prim Max Size")</f>
        <v>Fyzická Prim Max Size</v>
      </c>
      <c r="K545" s="21" t="str">
        <f ca="1">IFERROR(__xludf.DUMMYFUNCTION("GOOGLETRANSLATE($B545,""en"",K$3)"),"物理普里姆最大尺寸")</f>
        <v>物理普里姆最大尺寸</v>
      </c>
      <c r="L545" s="21" t="str">
        <f ca="1">IFERROR(__xludf.DUMMYFUNCTION("GOOGLETRANSLATE($B545,""en"",L$3)"),"物理普里姆最大尺寸")</f>
        <v>物理普里姆最大尺寸</v>
      </c>
      <c r="M545" s="21" t="str">
        <f ca="1">IFERROR(__xludf.DUMMYFUNCTION("GOOGLETRANSLATE($B545,""en"",M$3)"),"Fysieke Prim Max Size")</f>
        <v>Fysieke Prim Max Size</v>
      </c>
      <c r="N545" s="21" t="str">
        <f ca="1">IFERROR(__xludf.DUMMYFUNCTION("GOOGLETRANSLATE($B545,""en"",N$3)"),"Φυσική Prim Μέγιστο μέγεθος")</f>
        <v>Φυσική Prim Μέγιστο μέγεθος</v>
      </c>
      <c r="O545" s="21" t="str">
        <f ca="1">IFERROR(__xludf.DUMMYFUNCTION("GOOGLETRANSLATE($B545,""en"",O$3)"),"Fyysinen Prim Max Mitat")</f>
        <v>Fyysinen Prim Max Mitat</v>
      </c>
      <c r="P545" s="21" t="str">
        <f ca="1">IFERROR(__xludf.DUMMYFUNCTION("GOOGLETRANSLATE($B545,""en"",P$3)"),"Fhisiciúil Prim Max Méid")</f>
        <v>Fhisiciúil Prim Max Méid</v>
      </c>
      <c r="Q545" s="21" t="str">
        <f ca="1">IFERROR(__xludf.DUMMYFUNCTION("GOOGLETRANSLATE($B545,""en"",Q$3)"),"فیزیکی پریم حداکثر اندازه")</f>
        <v>فیزیکی پریم حداکثر اندازه</v>
      </c>
      <c r="R545" s="21" t="str">
        <f ca="1">IFERROR(__xludf.DUMMYFUNCTION("GOOGLETRANSLATE($B545,""en"",R$3)"),"גודל פיזי פרים מקס")</f>
        <v>גודל פיזי פרים מקס</v>
      </c>
      <c r="S545" s="21" t="str">
        <f ca="1">IFERROR(__xludf.DUMMYFUNCTION("GOOGLETRANSLATE($B545,""en"",S$3)"),"Líkamleg Prim Max Size")</f>
        <v>Líkamleg Prim Max Size</v>
      </c>
      <c r="T545" s="21" t="str">
        <f ca="1">IFERROR(__xludf.DUMMYFUNCTION("GOOGLETRANSLATE($B545,""en"",T$3)"),"Fysisk Prim Max Size")</f>
        <v>Fysisk Prim Max Size</v>
      </c>
      <c r="U545" s="21" t="str">
        <f ca="1">IFERROR(__xludf.DUMMYFUNCTION("GOOGLETRANSLATE($B545,""en"",U$3)"),"المادية زم ماكس الحجم")</f>
        <v>المادية زم ماكس الحجم</v>
      </c>
      <c r="V545" s="21" t="str">
        <f ca="1">IFERROR(__xludf.DUMMYFUNCTION("GOOGLETRANSLATE($B545,""en"",V$3)"),"Fizyczne Prim Max Size")</f>
        <v>Fizyczne Prim Max Size</v>
      </c>
      <c r="W545" s="21" t="str">
        <f ca="1">IFERROR(__xludf.DUMMYFUNCTION("GOOGLETRANSLATE($B545,""en"",W$3)"),"Физическая Prim Максимальный размер")</f>
        <v>Физическая Prim Максимальный размер</v>
      </c>
      <c r="X545" s="21" t="str">
        <f ca="1">IFERROR(__xludf.DUMMYFUNCTION("GOOGLETRANSLATE($B545,""en"",X$3)"),"Prim física Tamaño máximo")</f>
        <v>Prim física Tamaño máximo</v>
      </c>
      <c r="Y545" s="21"/>
      <c r="Z545" s="21"/>
    </row>
    <row r="546" spans="1:26" ht="32.25" customHeight="1" x14ac:dyDescent="0.2">
      <c r="A546" s="17" t="s">
        <v>1197</v>
      </c>
      <c r="B546" s="17" t="s">
        <v>1198</v>
      </c>
      <c r="C546" s="21" t="str">
        <f ca="1">IFERROR(__xludf.DUMMYFUNCTION("GOOGLETRANSLATE($B546,""en"",C$3)"),"Physik-Engine")</f>
        <v>Physik-Engine</v>
      </c>
      <c r="D546" s="21" t="str">
        <f ca="1">IFERROR(__xludf.DUMMYFUNCTION("GOOGLETRANSLATE($B546,""en"",D$3)"),"fysikmotor")</f>
        <v>fysikmotor</v>
      </c>
      <c r="E546" s="21" t="str">
        <f ca="1">IFERROR(__xludf.DUMMYFUNCTION("GOOGLETRANSLATE($B546,""en"",E$3)"),"Physics Engine")</f>
        <v>Physics Engine</v>
      </c>
      <c r="F546" s="21" t="str">
        <f ca="1">IFERROR(__xludf.DUMMYFUNCTION("GOOGLETRANSLATE($B546,""en"",F$3)"),"Physics Engine")</f>
        <v>Physics Engine</v>
      </c>
      <c r="G546" s="21" t="str">
        <f ca="1">IFERROR(__xludf.DUMMYFUNCTION("GOOGLETRANSLATE($B546,""en"",G$3)"),"moteur physique")</f>
        <v>moteur physique</v>
      </c>
      <c r="H546" s="21" t="str">
        <f ca="1">IFERROR(__xludf.DUMMYFUNCTION("GOOGLETRANSLATE($B546,""en"",H$3)"),"Fisika Engine")</f>
        <v>Fisika Engine</v>
      </c>
      <c r="I546" s="21" t="str">
        <f ca="1">IFERROR(__xludf.DUMMYFUNCTION("GOOGLETRANSLATE($B546,""en"",I$3)"),"la física de l'motor")</f>
        <v>la física de l'motor</v>
      </c>
      <c r="J546" s="21" t="str">
        <f ca="1">IFERROR(__xludf.DUMMYFUNCTION("GOOGLETRANSLATE($B546,""en"",J$3)"),"Physics Engine")</f>
        <v>Physics Engine</v>
      </c>
      <c r="K546" s="21" t="str">
        <f ca="1">IFERROR(__xludf.DUMMYFUNCTION("GOOGLETRANSLATE($B546,""en"",K$3)"),"物理引擎")</f>
        <v>物理引擎</v>
      </c>
      <c r="L546" s="21" t="str">
        <f ca="1">IFERROR(__xludf.DUMMYFUNCTION("GOOGLETRANSLATE($B546,""en"",L$3)"),"物理引擎")</f>
        <v>物理引擎</v>
      </c>
      <c r="M546" s="21" t="str">
        <f ca="1">IFERROR(__xludf.DUMMYFUNCTION("GOOGLETRANSLATE($B546,""en"",M$3)"),"Physics Engine")</f>
        <v>Physics Engine</v>
      </c>
      <c r="N546" s="21" t="str">
        <f ca="1">IFERROR(__xludf.DUMMYFUNCTION("GOOGLETRANSLATE($B546,""en"",N$3)"),"Φυσική κινητήρα")</f>
        <v>Φυσική κινητήρα</v>
      </c>
      <c r="O546" s="21" t="str">
        <f ca="1">IFERROR(__xludf.DUMMYFUNCTION("GOOGLETRANSLATE($B546,""en"",O$3)"),"fysiikkamoottori")</f>
        <v>fysiikkamoottori</v>
      </c>
      <c r="P546" s="21" t="str">
        <f ca="1">IFERROR(__xludf.DUMMYFUNCTION("GOOGLETRANSLATE($B546,""en"",P$3)"),"Fisic Inneall")</f>
        <v>Fisic Inneall</v>
      </c>
      <c r="Q546" s="21" t="str">
        <f ca="1">IFERROR(__xludf.DUMMYFUNCTION("GOOGLETRANSLATE($B546,""en"",Q$3)"),"موتور فیزیک")</f>
        <v>موتور فیزیک</v>
      </c>
      <c r="R546" s="21" t="str">
        <f ca="1">IFERROR(__xludf.DUMMYFUNCTION("GOOGLETRANSLATE($B546,""en"",R$3)"),"מנוע הפיזיקה")</f>
        <v>מנוע הפיזיקה</v>
      </c>
      <c r="S546" s="21" t="str">
        <f ca="1">IFERROR(__xludf.DUMMYFUNCTION("GOOGLETRANSLATE($B546,""en"",S$3)"),"eðlisfræði Engine")</f>
        <v>eðlisfræði Engine</v>
      </c>
      <c r="T546" s="21" t="str">
        <f ca="1">IFERROR(__xludf.DUMMYFUNCTION("GOOGLETRANSLATE($B546,""en"",T$3)"),"Physics Engine")</f>
        <v>Physics Engine</v>
      </c>
      <c r="U546" s="21" t="str">
        <f ca="1">IFERROR(__xludf.DUMMYFUNCTION("GOOGLETRANSLATE($B546,""en"",U$3)"),"الفيزياء المحرك")</f>
        <v>الفيزياء المحرك</v>
      </c>
      <c r="V546" s="21" t="str">
        <f ca="1">IFERROR(__xludf.DUMMYFUNCTION("GOOGLETRANSLATE($B546,""en"",V$3)"),"Silnik fizyki")</f>
        <v>Silnik fizyki</v>
      </c>
      <c r="W546" s="21" t="str">
        <f ca="1">IFERROR(__xludf.DUMMYFUNCTION("GOOGLETRANSLATE($B546,""en"",W$3)"),"Физика двигателя")</f>
        <v>Физика двигателя</v>
      </c>
      <c r="X546" s="21" t="str">
        <f ca="1">IFERROR(__xludf.DUMMYFUNCTION("GOOGLETRANSLATE($B546,""en"",X$3)"),"la física del motor")</f>
        <v>la física del motor</v>
      </c>
      <c r="Y546" s="21"/>
      <c r="Z546" s="21"/>
    </row>
    <row r="547" spans="1:26" ht="32.25" customHeight="1" x14ac:dyDescent="0.2">
      <c r="A547" s="17" t="s">
        <v>1199</v>
      </c>
      <c r="B547" s="17" t="s">
        <v>1200</v>
      </c>
      <c r="C547" s="21" t="str">
        <f ca="1">IFERROR(__xludf.DUMMYFUNCTION("GOOGLETRANSLATE($B547,""en"",C$3)"),"Physik")</f>
        <v>Physik</v>
      </c>
      <c r="D547" s="21" t="str">
        <f ca="1">IFERROR(__xludf.DUMMYFUNCTION("GOOGLETRANSLATE($B547,""en"",D$3)"),"Fysik")</f>
        <v>Fysik</v>
      </c>
      <c r="E547" s="21" t="str">
        <f ca="1">IFERROR(__xludf.DUMMYFUNCTION("GOOGLETRANSLATE($B547,""en"",E$3)"),"Física")</f>
        <v>Física</v>
      </c>
      <c r="F547" s="21" t="str">
        <f ca="1">IFERROR(__xludf.DUMMYFUNCTION("GOOGLETRANSLATE($B547,""en"",F$3)"),"Física")</f>
        <v>Física</v>
      </c>
      <c r="G547" s="21" t="str">
        <f ca="1">IFERROR(__xludf.DUMMYFUNCTION("GOOGLETRANSLATE($B547,""en"",G$3)"),"La physique")</f>
        <v>La physique</v>
      </c>
      <c r="H547" s="21" t="str">
        <f ca="1">IFERROR(__xludf.DUMMYFUNCTION("GOOGLETRANSLATE($B547,""en"",H$3)"),"Fisika")</f>
        <v>Fisika</v>
      </c>
      <c r="I547" s="21" t="str">
        <f ca="1">IFERROR(__xludf.DUMMYFUNCTION("GOOGLETRANSLATE($B547,""en"",I$3)"),"física")</f>
        <v>física</v>
      </c>
      <c r="J547" s="21" t="str">
        <f ca="1">IFERROR(__xludf.DUMMYFUNCTION("GOOGLETRANSLATE($B547,""en"",J$3)"),"Fyzika")</f>
        <v>Fyzika</v>
      </c>
      <c r="K547" s="21" t="str">
        <f ca="1">IFERROR(__xludf.DUMMYFUNCTION("GOOGLETRANSLATE($B547,""en"",K$3)"),"物理")</f>
        <v>物理</v>
      </c>
      <c r="L547" s="21" t="str">
        <f ca="1">IFERROR(__xludf.DUMMYFUNCTION("GOOGLETRANSLATE($B547,""en"",L$3)"),"物理")</f>
        <v>物理</v>
      </c>
      <c r="M547" s="21" t="str">
        <f ca="1">IFERROR(__xludf.DUMMYFUNCTION("GOOGLETRANSLATE($B547,""en"",M$3)"),"Fysica")</f>
        <v>Fysica</v>
      </c>
      <c r="N547" s="21" t="str">
        <f ca="1">IFERROR(__xludf.DUMMYFUNCTION("GOOGLETRANSLATE($B547,""en"",N$3)"),"Η φυσικη")</f>
        <v>Η φυσικη</v>
      </c>
      <c r="O547" s="21" t="str">
        <f ca="1">IFERROR(__xludf.DUMMYFUNCTION("GOOGLETRANSLATE($B547,""en"",O$3)"),"Fysiikka")</f>
        <v>Fysiikka</v>
      </c>
      <c r="P547" s="21" t="str">
        <f ca="1">IFERROR(__xludf.DUMMYFUNCTION("GOOGLETRANSLATE($B547,""en"",P$3)"),"Fisic")</f>
        <v>Fisic</v>
      </c>
      <c r="Q547" s="21" t="str">
        <f ca="1">IFERROR(__xludf.DUMMYFUNCTION("GOOGLETRANSLATE($B547,""en"",Q$3)"),"فیزیک")</f>
        <v>فیزیک</v>
      </c>
      <c r="R547" s="21" t="str">
        <f ca="1">IFERROR(__xludf.DUMMYFUNCTION("GOOGLETRANSLATE($B547,""en"",R$3)"),"פיזיקה")</f>
        <v>פיזיקה</v>
      </c>
      <c r="S547" s="21" t="str">
        <f ca="1">IFERROR(__xludf.DUMMYFUNCTION("GOOGLETRANSLATE($B547,""en"",S$3)"),"Eðlisfræði")</f>
        <v>Eðlisfræði</v>
      </c>
      <c r="T547" s="21" t="str">
        <f ca="1">IFERROR(__xludf.DUMMYFUNCTION("GOOGLETRANSLATE($B547,""en"",T$3)"),"fysikk")</f>
        <v>fysikk</v>
      </c>
      <c r="U547" s="21" t="str">
        <f ca="1">IFERROR(__xludf.DUMMYFUNCTION("GOOGLETRANSLATE($B547,""en"",U$3)"),"الفيزياء")</f>
        <v>الفيزياء</v>
      </c>
      <c r="V547" s="21" t="str">
        <f ca="1">IFERROR(__xludf.DUMMYFUNCTION("GOOGLETRANSLATE($B547,""en"",V$3)"),"Fizyka")</f>
        <v>Fizyka</v>
      </c>
      <c r="W547" s="21" t="str">
        <f ca="1">IFERROR(__xludf.DUMMYFUNCTION("GOOGLETRANSLATE($B547,""en"",W$3)"),"физика")</f>
        <v>физика</v>
      </c>
      <c r="X547" s="21" t="str">
        <f ca="1">IFERROR(__xludf.DUMMYFUNCTION("GOOGLETRANSLATE($B547,""en"",X$3)"),"Física")</f>
        <v>Física</v>
      </c>
      <c r="Y547" s="21"/>
      <c r="Z547" s="21"/>
    </row>
    <row r="548" spans="1:26" ht="32.25" customHeight="1" x14ac:dyDescent="0.2">
      <c r="A548" s="17" t="s">
        <v>1201</v>
      </c>
      <c r="B548" s="17" t="s">
        <v>1202</v>
      </c>
      <c r="C548" s="21" t="str">
        <f ca="1">IFERROR(__xludf.DUMMYFUNCTION("GOOGLETRANSLATE($B548,""en"",C$3)"),"PNG (* .png, * png.) | * .Png; | Alle Dateien (*. *) | * *.")</f>
        <v>PNG (* .png, * png.) | * .Png; | Alle Dateien (*. *) | * *.</v>
      </c>
      <c r="D548" s="21" t="str">
        <f ca="1">IFERROR(__xludf.DUMMYFUNCTION("GOOGLETRANSLATE($B548,""en"",D$3)"),"PNG (* .png, * png.) | * .Png; | Alla filer (*. *) | * *.")</f>
        <v>PNG (* .png, * png.) | * .Png; | Alla filer (*. *) | * *.</v>
      </c>
      <c r="E548" s="21" t="str">
        <f ca="1">IFERROR(__xludf.DUMMYFUNCTION("GOOGLETRANSLATE($B548,""en"",E$3)"),"PNG (* .png, * png.) | * .Png; | Todos os arquivos (*. *) | * *.")</f>
        <v>PNG (* .png, * png.) | * .Png; | Todos os arquivos (*. *) | * *.</v>
      </c>
      <c r="F548" s="21" t="str">
        <f ca="1">IFERROR(__xludf.DUMMYFUNCTION("GOOGLETRANSLATE($B548,""en"",F$3)"),"PNG (* .png, * png.) | * .Png; | Todos os arquivos (*. *) | * *.")</f>
        <v>PNG (* .png, * png.) | * .Png; | Todos os arquivos (*. *) | * *.</v>
      </c>
      <c r="G548" s="21" t="str">
        <f ca="1">IFERROR(__xludf.DUMMYFUNCTION("GOOGLETRANSLATE($B548,""en"",G$3)"),"PNG (* .png, * .png.) | * .Png; | Tous les fichiers (*. *) | *.")</f>
        <v>PNG (* .png, * .png.) | * .Png; | Tous les fichiers (*. *) | *.</v>
      </c>
      <c r="H548" s="21" t="str">
        <f ca="1">IFERROR(__xludf.DUMMYFUNCTION("GOOGLETRANSLATE($B548,""en"",H$3)"),"PNG (* .png, * png.) | * .Png; | Fitxategi guztiak (*.) | *.")</f>
        <v>PNG (* .png, * png.) | * .Png; | Fitxategi guztiak (*.) | *.</v>
      </c>
      <c r="I548" s="21" t="str">
        <f ca="1">IFERROR(__xludf.DUMMYFUNCTION("GOOGLETRANSLATE($B548,""en"",I$3)"),"PNG (* .png, * png.) | * .Png; | Tots els fitxers (*. *) | * *.")</f>
        <v>PNG (* .png, * png.) | * .Png; | Tots els fitxers (*. *) | * *.</v>
      </c>
      <c r="J548" s="21" t="str">
        <f ca="1">IFERROR(__xludf.DUMMYFUNCTION("GOOGLETRANSLATE($B548,""en"",J$3)"),"PNG (* PNG, * png.) | * .Png; | All Files (*. *) | *.")</f>
        <v>PNG (* PNG, * png.) | * .Png; | All Files (*. *) | *.</v>
      </c>
      <c r="K548" s="21" t="str">
        <f ca="1">IFERROR(__xludf.DUMMYFUNCTION("GOOGLETRANSLATE($B548,""en"",K$3)"),"PNG（*。PNG，* PNG）| *。PNG; |所有文件（*。*）| *。")</f>
        <v>PNG（*。PNG，* PNG）| *。PNG; |所有文件（*。*）| *。</v>
      </c>
      <c r="L548" s="21" t="str">
        <f ca="1">IFERROR(__xludf.DUMMYFUNCTION("GOOGLETRANSLATE($B548,""en"",L$3)"),"PNG（*。PNG，* PNG）| *。PNG; |所有文件（*。*）| *。")</f>
        <v>PNG（*。PNG，* PNG）| *。PNG; |所有文件（*。*）| *。</v>
      </c>
      <c r="M548" s="21" t="str">
        <f ca="1">IFERROR(__xludf.DUMMYFUNCTION("GOOGLETRANSLATE($B548,""en"",M$3)"),"PNG (* .png, * png.) | * .Png; | Alle bestanden (*. *) | *.")</f>
        <v>PNG (* .png, * png.) | * .Png; | Alle bestanden (*. *) | *.</v>
      </c>
      <c r="N548" s="21" t="str">
        <f ca="1">IFERROR(__xludf.DUMMYFUNCTION("GOOGLETRANSLATE($B548,""en"",N$3)"),"PNG (* .png, * png.) | * .Png? | Όλα τα αρχεία (*. *) | * *.")</f>
        <v>PNG (* .png, * png.) | * .Png? | Όλα τα αρχεία (*. *) | * *.</v>
      </c>
      <c r="O548" s="21" t="str">
        <f ca="1">IFERROR(__xludf.DUMMYFUNCTION("GOOGLETRANSLATE($B548,""en"",O$3)"),"PNG (* .PNG- *. Png) | * .png; | Kaikki tiedostot (*. *) | *. *")</f>
        <v>PNG (* .PNG- *. Png) | * .png; | Kaikki tiedostot (*. *) | *. *</v>
      </c>
      <c r="P548" s="21" t="str">
        <f ca="1">IFERROR(__xludf.DUMMYFUNCTION("GOOGLETRANSLATE($B548,""en"",P$3)"),"PNG (* PNG, * png.) | * Png; | Gach Comhad (* *.) | * *.")</f>
        <v>PNG (* PNG, * png.) | * Png; | Gach Comhad (* *.) | * *.</v>
      </c>
      <c r="Q548" s="21" t="str">
        <f ca="1">IFERROR(__xludf.DUMMYFUNCTION("GOOGLETRANSLATE($B548,""en"",Q$3)"),"PNG (* فعلی، * PNG.) | *. فعلی؛ | همه فایلها (*. *) | * * * *.")</f>
        <v>PNG (* فعلی، * PNG.) | *. فعلی؛ | همه فایلها (*. *) | * * * *.</v>
      </c>
      <c r="R548" s="21" t="str">
        <f ca="1">IFERROR(__xludf.DUMMYFUNCTION("GOOGLETRANSLATE($B548,""en"",R$3)"),"PNG (* .png, * png.) | * .Png; | קבצים כל (* *.) | * *.")</f>
        <v>PNG (* .png, * png.) | * .Png; | קבצים כל (* *.) | * *.</v>
      </c>
      <c r="S548" s="21" t="str">
        <f ca="1">IFERROR(__xludf.DUMMYFUNCTION("GOOGLETRANSLATE($B548,""en"",S$3)"),"PNG (* .png, * png.) | * .Png; | Allar skrár (*. *) | * *.")</f>
        <v>PNG (* .png, * png.) | * .Png; | Allar skrár (*. *) | * *.</v>
      </c>
      <c r="T548" s="21" t="str">
        <f ca="1">IFERROR(__xludf.DUMMYFUNCTION("GOOGLETRANSLATE($B548,""en"",T$3)"),"PNG (* .png, * png.) | * .Png; | Alle filer (*. *) | *.")</f>
        <v>PNG (* .png, * png.) | * .Png; | Alle filer (*. *) | *.</v>
      </c>
      <c r="U548" s="21" t="str">
        <f ca="1">IFERROR(__xludf.DUMMYFUNCTION("GOOGLETRANSLATE($B548,""en"",U$3)"),"PNG (* بابوا نيو غينيا، * بابوا نيو غينيا.) | * بابوا نيو غينيا؛ | جميع الملفات (*. *) | *. *")</f>
        <v>PNG (* بابوا نيو غينيا، * بابوا نيو غينيا.) | * بابوا نيو غينيا؛ | جميع الملفات (*. *) | *. *</v>
      </c>
      <c r="V548" s="21" t="str">
        <f ca="1">IFERROR(__xludf.DUMMYFUNCTION("GOOGLETRANSLATE($B548,""en"",V$3)"),"PNG (* .png, * png.) | * .Png; | Wszystkie pliki (*. *) | *. *")</f>
        <v>PNG (* .png, * png.) | * .Png; | Wszystkie pliki (*. *) | *. *</v>
      </c>
      <c r="W548" s="21" t="str">
        <f ca="1">IFERROR(__xludf.DUMMYFUNCTION("GOOGLETRANSLATE($B548,""en"",W$3)"),"PNG (* .png, * PNG.) | * .Png; | Все файлы (*. *) | *.")</f>
        <v>PNG (* .png, * PNG.) | * .Png; | Все файлы (*. *) | *.</v>
      </c>
      <c r="X548" s="21" t="str">
        <f ca="1">IFERROR(__xludf.DUMMYFUNCTION("GOOGLETRANSLATE($B548,""en"",X$3)"),"PNG (* .png, * png.) | * .Png; | Todos los archivos (*. *) | * *.")</f>
        <v>PNG (* .png, * png.) | * .Png; | Todos los archivos (*. *) | * *.</v>
      </c>
      <c r="Y548" s="21"/>
      <c r="Z548" s="21"/>
    </row>
    <row r="549" spans="1:26" ht="32.25" customHeight="1" x14ac:dyDescent="0.2">
      <c r="A549" s="17" t="s">
        <v>1203</v>
      </c>
      <c r="B549" s="17" t="s">
        <v>1204</v>
      </c>
      <c r="C549" s="21" t="str">
        <f ca="1">IFERROR(__xludf.DUMMYFUNCTION("GOOGLETRANSLATE($B549,""en"",C$3)"),"Bitte geben Sie einen gültigen DNS-Namen wie ‚name.outworldz.net‘ oder für ein Register bei http://www.noip.com")</f>
        <v>Bitte geben Sie einen gültigen DNS-Namen wie ‚name.outworldz.net‘ oder für ein Register bei http://www.noip.com</v>
      </c>
      <c r="D549" s="21" t="str">
        <f ca="1">IFERROR(__xludf.DUMMYFUNCTION("GOOGLETRANSLATE($B549,""en"",D$3)"),"Ange ett giltigt DNS-namn som 'name.outworldz.net' eller registrera ett på http://www.noip.com")</f>
        <v>Ange ett giltigt DNS-namn som 'name.outworldz.net' eller registrera ett på http://www.noip.com</v>
      </c>
      <c r="E549" s="21" t="str">
        <f ca="1">IFERROR(__xludf.DUMMYFUNCTION("GOOGLETRANSLATE($B549,""en"",E$3)"),"Por favor insira um nome de DNS válido, como 'name.outworldz.net', ou registar-se para um no http://www.noip.com")</f>
        <v>Por favor insira um nome de DNS válido, como 'name.outworldz.net', ou registar-se para um no http://www.noip.com</v>
      </c>
      <c r="F549" s="21" t="str">
        <f ca="1">IFERROR(__xludf.DUMMYFUNCTION("GOOGLETRANSLATE($B549,""en"",F$3)"),"Por favor insira um nome de DNS válido, como 'name.outworldz.net', ou registar-se para um no http://www.noip.com")</f>
        <v>Por favor insira um nome de DNS válido, como 'name.outworldz.net', ou registar-se para um no http://www.noip.com</v>
      </c>
      <c r="G549" s="21" t="str">
        <f ca="1">IFERROR(__xludf.DUMMYFUNCTION("GOOGLETRANSLATE($B549,""en"",G$3)"),"S'il vous plaît entrer un nom DNS valide comme « name.outworldz.net », ou inscrivez-vous pour un à http://www.noip.com")</f>
        <v>S'il vous plaît entrer un nom DNS valide comme « name.outworldz.net », ou inscrivez-vous pour un à http://www.noip.com</v>
      </c>
      <c r="H549" s="21" t="str">
        <f ca="1">IFERROR(__xludf.DUMMYFUNCTION("GOOGLETRANSLATE($B549,""en"",H$3)"),"Sartu baliozko DNS izen bat adibidez 'name.outworldz.net', edo bat erregistratu http://www.noip.com tan")</f>
        <v>Sartu baliozko DNS izen bat adibidez 'name.outworldz.net', edo bat erregistratu http://www.noip.com tan</v>
      </c>
      <c r="I549" s="21" t="str">
        <f ca="1">IFERROR(__xludf.DUMMYFUNCTION("GOOGLETRANSLATE($B549,""en"",I$3)"),"Si us plau, introdueixi un nom DNS vàlid, com 'name.outworldz.net', o registrar-se per un en http://www.noip.com")</f>
        <v>Si us plau, introdueixi un nom DNS vàlid, com 'name.outworldz.net', o registrar-se per un en http://www.noip.com</v>
      </c>
      <c r="J549" s="21" t="str">
        <f ca="1">IFERROR(__xludf.DUMMYFUNCTION("GOOGLETRANSLATE($B549,""en"",J$3)"),"Zadejte prosím platný název DNS, jako je ‚name.outworldz.net‘, nebo se zaregistrujte pro jeden na http://www.noip.com")</f>
        <v>Zadejte prosím platný název DNS, jako je ‚name.outworldz.net‘, nebo se zaregistrujte pro jeden na http://www.noip.com</v>
      </c>
      <c r="K549" s="21" t="str">
        <f ca="1">IFERROR(__xludf.DUMMYFUNCTION("GOOGLETRANSLATE($B549,""en"",K$3)"),"请输入有效的DNS名称，如“name.outworldz.net”，或在http://www.noip.com注册一个")</f>
        <v>请输入有效的DNS名称，如“name.outworldz.net”，或在http://www.noip.com注册一个</v>
      </c>
      <c r="L549" s="21" t="str">
        <f ca="1">IFERROR(__xludf.DUMMYFUNCTION("GOOGLETRANSLATE($B549,""en"",L$3)"),"請輸入有效的DNS名稱，如“name.outworldz.net”，或在http://www.noip.com註冊一個")</f>
        <v>請輸入有效的DNS名稱，如“name.outworldz.net”，或在http://www.noip.com註冊一個</v>
      </c>
      <c r="M549" s="21" t="str">
        <f ca="1">IFERROR(__xludf.DUMMYFUNCTION("GOOGLETRANSLATE($B549,""en"",M$3)"),"Voer een geldige DNS-naam, zoals 'name.outworldz.net', of registreren voor een op http://www.noip.com")</f>
        <v>Voer een geldige DNS-naam, zoals 'name.outworldz.net', of registreren voor een op http://www.noip.com</v>
      </c>
      <c r="N549" s="21" t="str">
        <f ca="1">IFERROR(__xludf.DUMMYFUNCTION("GOOGLETRANSLATE($B549,""en"",N$3)"),"Παρακαλώ εισάγετε ένα έγκυρο όνομα DNS όπως «name.outworldz.net», ή εγγραφείτε για μία σε http://www.noip.com")</f>
        <v>Παρακαλώ εισάγετε ένα έγκυρο όνομα DNS όπως «name.outworldz.net», ή εγγραφείτε για μία σε http://www.noip.com</v>
      </c>
      <c r="O549" s="21" t="str">
        <f ca="1">IFERROR(__xludf.DUMMYFUNCTION("GOOGLETRANSLATE($B549,""en"",O$3)"),"Anna kelvollinen DNS-nimi, kuten 'name.outworldz.net', tai rekisteröityä yksitellen http://www.noip.com")</f>
        <v>Anna kelvollinen DNS-nimi, kuten 'name.outworldz.net', tai rekisteröityä yksitellen http://www.noip.com</v>
      </c>
      <c r="P549" s="21" t="str">
        <f ca="1">IFERROR(__xludf.DUMMYFUNCTION("GOOGLETRANSLATE($B549,""en"",P$3)"),"Iontráil ainm DNS bailí amhail 'name.outworldz.net', nó cláraigh le haghaidh ceann amháin ar http://www.noip.com")</f>
        <v>Iontráil ainm DNS bailí amhail 'name.outworldz.net', nó cláraigh le haghaidh ceann amháin ar http://www.noip.com</v>
      </c>
      <c r="Q549" s="21" t="str">
        <f ca="1">IFERROR(__xludf.DUMMYFUNCTION("GOOGLETRANSLATE($B549,""en"",Q$3)"),"لطفا یک نام DNS معتبر مانند ""name.outworldz.net را وارد کنید، و یا برای ثبت نام اینجا در یکی از http://www.noip.com")</f>
        <v>لطفا یک نام DNS معتبر مانند "name.outworldz.net را وارد کنید، و یا برای ثبت نام اینجا در یکی از http://www.noip.com</v>
      </c>
      <c r="R549" s="21" t="str">
        <f ca="1">IFERROR(__xludf.DUMMYFUNCTION("GOOGLETRANSLATE($B549,""en"",R$3)"),"נא להזין שם DNS חוקי כגון ""name.outworldz.net"", או להירשם אחד בכל http://www.noip.com")</f>
        <v>נא להזין שם DNS חוקי כגון "name.outworldz.net", או להירשם אחד בכל http://www.noip.com</v>
      </c>
      <c r="S549" s="21" t="str">
        <f ca="1">IFERROR(__xludf.DUMMYFUNCTION("GOOGLETRANSLATE($B549,""en"",S$3)"),"Sláðu inn gilt DNS nafn eins og ""name.outworldz.net"", eða skrá sig fyrir eitt í http://www.noip.com")</f>
        <v>Sláðu inn gilt DNS nafn eins og "name.outworldz.net", eða skrá sig fyrir eitt í http://www.noip.com</v>
      </c>
      <c r="T549" s="21" t="str">
        <f ca="1">IFERROR(__xludf.DUMMYFUNCTION("GOOGLETRANSLATE($B549,""en"",T$3)"),"Skriv inn et gyldig DNS-navn som 'name.outworldz.net', eller registrer deg en på http://www.noip.com")</f>
        <v>Skriv inn et gyldig DNS-navn som 'name.outworldz.net', eller registrer deg en på http://www.noip.com</v>
      </c>
      <c r="U549" s="21" t="str">
        <f ca="1">IFERROR(__xludf.DUMMYFUNCTION("GOOGLETRANSLATE($B549,""en"",U$3)"),"الرجاء إدخال اسم DNS صالح مثل ""name.outworldz.net، أو تسجيل لأحد في http://www.noip.com")</f>
        <v>الرجاء إدخال اسم DNS صالح مثل "name.outworldz.net، أو تسجيل لأحد في http://www.noip.com</v>
      </c>
      <c r="V549" s="21" t="str">
        <f ca="1">IFERROR(__xludf.DUMMYFUNCTION("GOOGLETRANSLATE($B549,""en"",V$3)"),"Proszę podać poprawną nazwę DNS, takich jak „name.outworldz.net”, lub założyć jeden na http://www.noip.com")</f>
        <v>Proszę podać poprawną nazwę DNS, takich jak „name.outworldz.net”, lub założyć jeden na http://www.noip.com</v>
      </c>
      <c r="W549" s="21" t="str">
        <f ca="1">IFERROR(__xludf.DUMMYFUNCTION("GOOGLETRANSLATE($B549,""en"",W$3)"),"Пожалуйста, введите допустимое имя DNS, такие как «name.outworldz.net», или зарегистрировать один на http://www.noip.com")</f>
        <v>Пожалуйста, введите допустимое имя DNS, такие как «name.outworldz.net», или зарегистрировать один на http://www.noip.com</v>
      </c>
      <c r="X549" s="21" t="str">
        <f ca="1">IFERROR(__xludf.DUMMYFUNCTION("GOOGLETRANSLATE($B549,""en"",X$3)"),"Por favor, introduzca un nombre DNS válido, como 'name.outworldz.net', o registrarse para uno en http://www.noip.com")</f>
        <v>Por favor, introduzca un nombre DNS válido, como 'name.outworldz.net', o registrarse para uno en http://www.noip.com</v>
      </c>
      <c r="Y549" s="21"/>
      <c r="Z549" s="21"/>
    </row>
    <row r="550" spans="1:26" ht="32.25" customHeight="1" x14ac:dyDescent="0.2">
      <c r="A550" s="17" t="s">
        <v>1205</v>
      </c>
      <c r="B550" s="17" t="s">
        <v>1206</v>
      </c>
      <c r="C550" s="21" t="str">
        <f ca="1">IFERROR(__xludf.DUMMYFUNCTION("GOOGLETRANSLATE($B550,""en"",C$3)"),"Bitte wählen Sie nur eine Zeile")</f>
        <v>Bitte wählen Sie nur eine Zeile</v>
      </c>
      <c r="D550" s="21" t="str">
        <f ca="1">IFERROR(__xludf.DUMMYFUNCTION("GOOGLETRANSLATE($B550,""en"",D$3)"),"Välj bara en rad")</f>
        <v>Välj bara en rad</v>
      </c>
      <c r="E550" s="21" t="str">
        <f ca="1">IFERROR(__xludf.DUMMYFUNCTION("GOOGLETRANSLATE($B550,""en"",E$3)"),"Por favor, selecione apenas uma linha")</f>
        <v>Por favor, selecione apenas uma linha</v>
      </c>
      <c r="F550" s="21" t="str">
        <f ca="1">IFERROR(__xludf.DUMMYFUNCTION("GOOGLETRANSLATE($B550,""en"",F$3)"),"Por favor, selecione apenas uma linha")</f>
        <v>Por favor, selecione apenas uma linha</v>
      </c>
      <c r="G550" s="21" t="str">
        <f ca="1">IFERROR(__xludf.DUMMYFUNCTION("GOOGLETRANSLATE($B550,""en"",G$3)"),"S'il vous plaît choisir une seule ligne")</f>
        <v>S'il vous plaît choisir une seule ligne</v>
      </c>
      <c r="H550" s="21" t="str">
        <f ca="1">IFERROR(__xludf.DUMMYFUNCTION("GOOGLETRANSLATE($B550,""en"",H$3)"),"Mesedez hautatu lerro bat bakarrik")</f>
        <v>Mesedez hautatu lerro bat bakarrik</v>
      </c>
      <c r="I550" s="21" t="str">
        <f ca="1">IFERROR(__xludf.DUMMYFUNCTION("GOOGLETRANSLATE($B550,""en"",I$3)"),"Si us plau seleccioni només una fila")</f>
        <v>Si us plau seleccioni només una fila</v>
      </c>
      <c r="J550" s="21" t="str">
        <f ca="1">IFERROR(__xludf.DUMMYFUNCTION("GOOGLETRANSLATE($B550,""en"",J$3)"),"Vyberte prosím pouze jeden řádek")</f>
        <v>Vyberte prosím pouze jeden řádek</v>
      </c>
      <c r="K550" s="21" t="str">
        <f ca="1">IFERROR(__xludf.DUMMYFUNCTION("GOOGLETRANSLATE($B550,""en"",K$3)"),"请选择只有一行")</f>
        <v>请选择只有一行</v>
      </c>
      <c r="L550" s="21" t="str">
        <f ca="1">IFERROR(__xludf.DUMMYFUNCTION("GOOGLETRANSLATE($B550,""en"",L$3)"),"請選擇只有一行")</f>
        <v>請選擇只有一行</v>
      </c>
      <c r="M550" s="21" t="str">
        <f ca="1">IFERROR(__xludf.DUMMYFUNCTION("GOOGLETRANSLATE($B550,""en"",M$3)"),"Selecteer slechts één rij")</f>
        <v>Selecteer slechts één rij</v>
      </c>
      <c r="N550" s="21" t="str">
        <f ca="1">IFERROR(__xludf.DUMMYFUNCTION("GOOGLETRANSLATE($B550,""en"",N$3)"),"Παρακαλώ επιλέξτε μόνο μία γραμμή")</f>
        <v>Παρακαλώ επιλέξτε μόνο μία γραμμή</v>
      </c>
      <c r="O550" s="21" t="str">
        <f ca="1">IFERROR(__xludf.DUMMYFUNCTION("GOOGLETRANSLATE($B550,""en"",O$3)"),"Valitse vain yksi rivi")</f>
        <v>Valitse vain yksi rivi</v>
      </c>
      <c r="P550" s="21" t="str">
        <f ca="1">IFERROR(__xludf.DUMMYFUNCTION("GOOGLETRANSLATE($B550,""en"",P$3)"),"Roghnaigh ach sraith amháin")</f>
        <v>Roghnaigh ach sraith amháin</v>
      </c>
      <c r="Q550" s="21" t="str">
        <f ca="1">IFERROR(__xludf.DUMMYFUNCTION("GOOGLETRANSLATE($B550,""en"",Q$3)"),"لطفا تنها یک ردیف را انتخاب کنید")</f>
        <v>لطفا تنها یک ردیف را انتخاب کنید</v>
      </c>
      <c r="R550" s="21" t="str">
        <f ca="1">IFERROR(__xludf.DUMMYFUNCTION("GOOGLETRANSLATE($B550,""en"",R$3)"),"אנא בחר רק שורה אחת")</f>
        <v>אנא בחר רק שורה אחת</v>
      </c>
      <c r="S550" s="21" t="str">
        <f ca="1">IFERROR(__xludf.DUMMYFUNCTION("GOOGLETRANSLATE($B550,""en"",S$3)"),"Vinsamlegast veldu eina línu")</f>
        <v>Vinsamlegast veldu eina línu</v>
      </c>
      <c r="T550" s="21" t="str">
        <f ca="1">IFERROR(__xludf.DUMMYFUNCTION("GOOGLETRANSLATE($B550,""en"",T$3)"),"Velg bare én rad")</f>
        <v>Velg bare én rad</v>
      </c>
      <c r="U550" s="21" t="str">
        <f ca="1">IFERROR(__xludf.DUMMYFUNCTION("GOOGLETRANSLATE($B550,""en"",U$3)"),"يرجى تحديد صف واحد فقط")</f>
        <v>يرجى تحديد صف واحد فقط</v>
      </c>
      <c r="V550" s="21" t="str">
        <f ca="1">IFERROR(__xludf.DUMMYFUNCTION("GOOGLETRANSLATE($B550,""en"",V$3)"),"Proszę wybrać tylko jeden wiersz")</f>
        <v>Proszę wybrać tylko jeden wiersz</v>
      </c>
      <c r="W550" s="21" t="str">
        <f ca="1">IFERROR(__xludf.DUMMYFUNCTION("GOOGLETRANSLATE($B550,""en"",W$3)"),"Пожалуйста, выберите только одну строку")</f>
        <v>Пожалуйста, выберите только одну строку</v>
      </c>
      <c r="X550" s="21" t="str">
        <f ca="1">IFERROR(__xludf.DUMMYFUNCTION("GOOGLETRANSLATE($B550,""en"",X$3)"),"Por favor seleccione sólo una fila")</f>
        <v>Por favor seleccione sólo una fila</v>
      </c>
      <c r="Y550" s="21"/>
      <c r="Z550" s="21"/>
    </row>
    <row r="551" spans="1:26" ht="32.25" customHeight="1" x14ac:dyDescent="0.2">
      <c r="A551" s="17" t="s">
        <v>1207</v>
      </c>
      <c r="B551" s="17" t="s">
        <v>1208</v>
      </c>
      <c r="C551" s="21" t="str">
        <f ca="1">IFERROR(__xludf.DUMMYFUNCTION("GOOGLETRANSLATE($B551,""en"",C$3)"),"Bitte geben Sie den Avatar-Namen des Grid Besitzers in die Robust-Fenster. Drücken Sie &lt;Enter&gt; für UUID und Modellname. Drücken Sie dann diese Taste OK")</f>
        <v>Bitte geben Sie den Avatar-Namen des Grid Besitzers in die Robust-Fenster. Drücken Sie &lt;Enter&gt; für UUID und Modellname. Drücken Sie dann diese Taste OK</v>
      </c>
      <c r="D551" s="21" t="str">
        <f ca="1">IFERROR(__xludf.DUMMYFUNCTION("GOOGLETRANSLATE($B551,""en"",D$3)"),"Vänligen skriv in Grid Ägarens avatar namn i Robust fönstret. Tryck på &lt;enter&gt; för UUID och modellnamn. Tryck sedan detta OK")</f>
        <v>Vänligen skriv in Grid Ägarens avatar namn i Robust fönstret. Tryck på &lt;enter&gt; för UUID och modellnamn. Tryck sedan detta OK</v>
      </c>
      <c r="E551" s="21" t="str">
        <f ca="1">IFERROR(__xludf.DUMMYFUNCTION("GOOGLETRANSLATE($B551,""en"",E$3)"),"Favor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F551" s="21" t="str">
        <f ca="1">IFERROR(__xludf.DUMMYFUNCTION("GOOGLETRANSLATE($B551,""en"",F$3)"),"Favor digitar nome do avatar da grade do proprietário na janela robusta. Pressione &lt;enter&gt; para UUID e Modelo nome. Em seguida, pressione este botão OK")</f>
        <v>Favor digitar nome do avatar da grade do proprietário na janela robusta. Pressione &lt;enter&gt; para UUID e Modelo nome. Em seguida, pressione este botão OK</v>
      </c>
      <c r="G551" s="21" t="str">
        <f ca="1">IFERROR(__xludf.DUMMYFUNCTION("GOOGLETRANSLATE($B551,""en"",G$3)"),"S'il vous plaît entrez le nom d'avatar de la grille du propriétaire dans la fenêtre robuste. Appuyez sur &lt;Entrée&gt; pour le nom UUID et modèle. Ensuite, appuyez sur ce bouton OK")</f>
        <v>S'il vous plaît entrez le nom d'avatar de la grille du propriétaire dans la fenêtre robuste. Appuyez sur &lt;Entrée&gt; pour le nom UUID et modèle. Ensuite, appuyez sur ce bouton OK</v>
      </c>
      <c r="H551" s="21" t="str">
        <f ca="1">IFERROR(__xludf.DUMMYFUNCTION("GOOGLETRANSLATE($B551,""en"",H$3)"),"Mesedez, idatzi Grid jabearen avatar izenean Sendoa leiho batean. Sakatu &lt;sartu&gt; UUID eta Model izen da. Ondoren, sakatu Ados botoi honetan")</f>
        <v>Mesedez, idatzi Grid jabearen avatar izenean Sendoa leiho batean. Sakatu &lt;sartu&gt; UUID eta Model izen da. Ondoren, sakatu Ados botoi honetan</v>
      </c>
      <c r="I551" s="21" t="str">
        <f ca="1">IFERROR(__xludf.DUMMYFUNCTION("GOOGLETRANSLATE($B551,""en"",I$3)"),"Si us plau escriviu el nom de l'propietari avatar de la quadrícula a la finestra robusta. Premeu &lt;Intro&gt; per UUID i nom de el model. A continuació, premeu el botó OK")</f>
        <v>Si us plau escriviu el nom de l'propietari avatar de la quadrícula a la finestra robusta. Premeu &lt;Intro&gt; per UUID i nom de el model. A continuació, premeu el botó OK</v>
      </c>
      <c r="J551" s="21" t="str">
        <f ca="1">IFERROR(__xludf.DUMMYFUNCTION("GOOGLETRANSLATE($B551,""en"",J$3)"),"Prosím napište roštu majitele avatara název do robustní okna. Stiskněte &lt;enter&gt; pro UUID a název modelu. Pak stisknutí tohoto tlačítka OK")</f>
        <v>Prosím napište roštu majitele avatara název do robustní okna. Stiskněte &lt;enter&gt; pro UUID a název modelu. Pak stisknutí tohoto tlačítka OK</v>
      </c>
      <c r="K551" s="21" t="str">
        <f ca="1">IFERROR(__xludf.DUMMYFUNCTION("GOOGLETRANSLATE($B551,""en"",K$3)"),"请输入电网用户头像名字进入乐百氏窗口。按&lt;回车&gt;的UUID和型号名称。然后按这个OK按钮")</f>
        <v>请输入电网用户头像名字进入乐百氏窗口。按&lt;回车&gt;的UUID和型号名称。然后按这个OK按钮</v>
      </c>
      <c r="L551" s="21" t="str">
        <f ca="1">IFERROR(__xludf.DUMMYFUNCTION("GOOGLETRANSLATE($B551,""en"",L$3)"),"請輸入電網用戶頭像名字進入樂百氏窗口。按&lt;回車&gt;的UUID和型號名稱。然後按這個OK按鈕")</f>
        <v>請輸入電網用戶頭像名字進入樂百氏窗口。按&lt;回車&gt;的UUID和型號名稱。然後按這個OK按鈕</v>
      </c>
      <c r="M551" s="21" t="str">
        <f ca="1">IFERROR(__xludf.DUMMYFUNCTION("GOOGLETRANSLATE($B551,""en"",M$3)"),"Vul avatar naam van de Grid Owner's in de Robust venster. Druk op &lt;enter&gt; voor UUID en de modelnaam. Druk vervolgens op deze knop OK")</f>
        <v>Vul avatar naam van de Grid Owner's in de Robust venster. Druk op &lt;enter&gt; voor UUID en de modelnaam. Druk vervolgens op deze knop OK</v>
      </c>
      <c r="N551" s="21" t="str">
        <f ca="1">IFERROR(__xludf.DUMMYFUNCTION("GOOGLETRANSLATE($B551,""en"",N$3)"),"Παρακαλούμε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f>
        <v>Παρακαλούμε πληκτρολογήστε το όνομα avatar του Grid ιδιοκτήτη στο Στιβαρή παράθυρο. Πατήστε &lt;enter&gt; για UUID και το μοντέλο όνομα. Στη συνέχεια πατήστε το πλήκτρο OK</v>
      </c>
      <c r="O551" s="21" t="str">
        <f ca="1">IFERROR(__xludf.DUMMYFUNCTION("GOOGLETRANSLATE($B551,""en"",O$3)"),"Kirjoita Grid Omistajan Avatar nimen Robust ikkunaan. Paina &lt;enter&gt; ja UUID ja mallin nimi. Paina tätä OK")</f>
        <v>Kirjoita Grid Omistajan Avatar nimen Robust ikkunaan. Paina &lt;enter&gt; ja UUID ja mallin nimi. Paina tätä OK</v>
      </c>
      <c r="P551" s="21" t="str">
        <f ca="1">IFERROR(__xludf.DUMMYFUNCTION("GOOGLETRANSLATE($B551,""en"",P$3)"),"Iontráil ainm avatar an Úinéir Eangach isteach an fhuinneog Láidir. Brúigh &lt;iontráil&gt; do UUID agus Múnla ainm. Ansin, brúigh an cnaipe OK")</f>
        <v>Iontráil ainm avatar an Úinéir Eangach isteach an fhuinneog Láidir. Brúigh &lt;iontráil&gt; do UUID agus Múnla ainm. Ansin, brúigh an cnaipe OK</v>
      </c>
      <c r="Q551" s="21" t="str">
        <f ca="1">IFERROR(__xludf.DUMMYFUNCTION("GOOGLETRANSLATE($B551,""en"",Q$3)"),"لطفا نام نماد شبکه مالک را به پنجره مقاوم تایپ کنید. مطبوعات &lt;وارد کنید&gt; برای UUID و مدل نام. سپس این دکمه OK را فشار دهید")</f>
        <v>لطفا نام نماد شبکه مالک را به پنجره مقاوم تایپ کنید. مطبوعات &lt;وارد کنید&gt; برای UUID و مدل نام. سپس این دکمه OK را فشار دهید</v>
      </c>
      <c r="R551" s="21" t="str">
        <f ca="1">IFERROR(__xludf.DUMMYFUNCTION("GOOGLETRANSLATE($B551,""en"",R$3)"),"אנא הקלד את השם האישי של רשת הבעלים לתוך החלון החזק. הקש &lt;Enter&gt; עבור שם UUID ואת דגם. לאחר מכן לחצו על כפתור OK זה")</f>
        <v>אנא הקלד את השם האישי של רשת הבעלים לתוך החלון החזק. הקש &lt;Enter&gt; עבור שם UUID ואת דגם. לאחר מכן לחצו על כפתור OK זה</v>
      </c>
      <c r="S551" s="21" t="str">
        <f ca="1">IFERROR(__xludf.DUMMYFUNCTION("GOOGLETRANSLATE($B551,""en"",S$3)"),"Vinsamlegast sláðu avatar nafnið rist eigandans í öflugri gluggann. Stutt á &lt;Enter&gt; til UUID og Model nafn. ýttu síðan þetta OK hnappinn")</f>
        <v>Vinsamlegast sláðu avatar nafnið rist eigandans í öflugri gluggann. Stutt á &lt;Enter&gt; til UUID og Model nafn. ýttu síðan þetta OK hnappinn</v>
      </c>
      <c r="T551" s="21" t="str">
        <f ca="1">IFERROR(__xludf.DUMMYFUNCTION("GOOGLETRANSLATE($B551,""en"",T$3)"),"Vennligst skriv Netteier avatar navn i Robust vinduet. Trykk på &lt;Enter&gt; for UUID og modellnavn. deretter trykke på denne knappen OK")</f>
        <v>Vennligst skriv Netteier avatar navn i Robust vinduet. Trykk på &lt;Enter&gt; for UUID og modellnavn. deretter trykke på denne knappen OK</v>
      </c>
      <c r="U551" s="21" t="str">
        <f ca="1">IFERROR(__xludf.DUMMYFUNCTION("GOOGLETRANSLATE($B551,""en"",U$3)"),"يرجى كتابة اسم الرمزية مالك الشبكة في إطار قوي. اضغط على &lt;دخول&gt; لUUID واسم النموذج. ثم اضغط على هذا الزر موافق")</f>
        <v>يرجى كتابة اسم الرمزية مالك الشبكة في إطار قوي. اضغط على &lt;دخول&gt; لUUID واسم النموذج. ثم اضغط على هذا الزر موافق</v>
      </c>
      <c r="V551" s="21" t="str">
        <f ca="1">IFERROR(__xludf.DUMMYFUNCTION("GOOGLETRANSLATE($B551,""en"",V$3)"),"Proszę wpisać siatki Instrukcja nazwę awatara w Solidne okna. Naciśnij &lt;Enter&gt; na UUID i nazwy modelu. Następnie nacisnąć ten przycisk OK")</f>
        <v>Proszę wpisać siatki Instrukcja nazwę awatara w Solidne okna. Naciśnij &lt;Enter&gt; na UUID i nazwy modelu. Następnie nacisnąć ten przycisk OK</v>
      </c>
      <c r="W551" s="21" t="str">
        <f ca="1">IFERROR(__xludf.DUMMYFUNCTION("GOOGLETRANSLATE($B551,""en"",W$3)"),"Пожалуйста, введите имя аватара Сетка владельца в премиальное окно. Нажмите &lt;Enter&gt; для UUID и модели имени. Затем нажмите на эту кнопку OK")</f>
        <v>Пожалуйста, введите имя аватара Сетка владельца в премиальное окно. Нажмите &lt;Enter&gt; для UUID и модели имени. Затем нажмите на эту кнопку OK</v>
      </c>
      <c r="X551" s="21" t="str">
        <f ca="1">IFERROR(__xludf.DUMMYFUNCTION("GOOGLETRANSLATE($B551,""en"",X$3)"),"Por favor escriba el nombre del propietario avatar de la cuadrícula en la ventana robusta. Pulse &lt;Intro&gt; para UUID y nombre del modelo. A continuación, pulse el botón OK")</f>
        <v>Por favor escriba el nombre del propietario avatar de la cuadrícula en la ventana robusta. Pulse &lt;Intro&gt; para UUID y nombre del modelo. A continuación, pulse el botón OK</v>
      </c>
      <c r="Y551" s="21"/>
      <c r="Z551" s="21"/>
    </row>
    <row r="552" spans="1:26" ht="32.25" customHeight="1" x14ac:dyDescent="0.2">
      <c r="A552" s="10" t="s">
        <v>20</v>
      </c>
      <c r="B552" s="10" t="s">
        <v>20</v>
      </c>
      <c r="C552" s="11" t="str">
        <f ca="1">IFERROR(__xludf.DUMMYFUNCTION("GOOGLETRANSLATE($B552,""en"",C$3)"),"Polieren")</f>
        <v>Polieren</v>
      </c>
      <c r="D552" s="11" t="str">
        <f ca="1">IFERROR(__xludf.DUMMYFUNCTION("GOOGLETRANSLATE($B552,""en"",D$3)"),"putsa")</f>
        <v>putsa</v>
      </c>
      <c r="E552" s="11" t="str">
        <f ca="1">IFERROR(__xludf.DUMMYFUNCTION("GOOGLETRANSLATE($B552,""en"",E$3)"),"polonês")</f>
        <v>polonês</v>
      </c>
      <c r="F552" s="11" t="str">
        <f ca="1">IFERROR(__xludf.DUMMYFUNCTION("GOOGLETRANSLATE($B552,""en"",F$3)"),"polonês")</f>
        <v>polonês</v>
      </c>
      <c r="G552" s="11" t="str">
        <f ca="1">IFERROR(__xludf.DUMMYFUNCTION("GOOGLETRANSLATE($B552,""en"",G$3)"),"polonais")</f>
        <v>polonais</v>
      </c>
      <c r="H552" s="11" t="str">
        <f ca="1">IFERROR(__xludf.DUMMYFUNCTION("GOOGLETRANSLATE($B552,""en"",H$3)"),"Poloniako")</f>
        <v>Poloniako</v>
      </c>
      <c r="I552" s="11" t="str">
        <f ca="1">IFERROR(__xludf.DUMMYFUNCTION("GOOGLETRANSLATE($B552,""en"",I$3)"),"polonès")</f>
        <v>polonès</v>
      </c>
      <c r="J552" s="11" t="str">
        <f ca="1">IFERROR(__xludf.DUMMYFUNCTION("GOOGLETRANSLATE($B552,""en"",J$3)"),"polština")</f>
        <v>polština</v>
      </c>
      <c r="K552" s="11" t="str">
        <f ca="1">IFERROR(__xludf.DUMMYFUNCTION("GOOGLETRANSLATE($B552,""en"",K$3)"),"抛光")</f>
        <v>抛光</v>
      </c>
      <c r="L552" s="11" t="str">
        <f ca="1">IFERROR(__xludf.DUMMYFUNCTION("GOOGLETRANSLATE($B552,""en"",L$3)"),"拋光")</f>
        <v>拋光</v>
      </c>
      <c r="M552" s="11" t="str">
        <f ca="1">IFERROR(__xludf.DUMMYFUNCTION("GOOGLETRANSLATE($B552,""en"",M$3)"),"Pools")</f>
        <v>Pools</v>
      </c>
      <c r="N552" s="11" t="str">
        <f ca="1">IFERROR(__xludf.DUMMYFUNCTION("GOOGLETRANSLATE($B552,""en"",N$3)"),"Στίλβωση")</f>
        <v>Στίλβωση</v>
      </c>
      <c r="O552" s="11" t="str">
        <f ca="1">IFERROR(__xludf.DUMMYFUNCTION("GOOGLETRANSLATE($B552,""en"",O$3)"),"Kiillottaa")</f>
        <v>Kiillottaa</v>
      </c>
      <c r="P552" s="11" t="str">
        <f ca="1">IFERROR(__xludf.DUMMYFUNCTION("GOOGLETRANSLATE($B552,""en"",P$3)"),"Polainnis")</f>
        <v>Polainnis</v>
      </c>
      <c r="Q552" s="11" t="str">
        <f ca="1">IFERROR(__xludf.DUMMYFUNCTION("GOOGLETRANSLATE($B552,""en"",Q$3)"),"لهستانی")</f>
        <v>لهستانی</v>
      </c>
      <c r="R552" s="11" t="str">
        <f ca="1">IFERROR(__xludf.DUMMYFUNCTION("GOOGLETRANSLATE($B552,""en"",R$3)"),"פולני")</f>
        <v>פולני</v>
      </c>
      <c r="S552" s="11" t="str">
        <f ca="1">IFERROR(__xludf.DUMMYFUNCTION("GOOGLETRANSLATE($B552,""en"",S$3)"),"Pólska")</f>
        <v>Pólska</v>
      </c>
      <c r="T552" s="11" t="str">
        <f ca="1">IFERROR(__xludf.DUMMYFUNCTION("GOOGLETRANSLATE($B552,""en"",T$3)"),"Pusse")</f>
        <v>Pusse</v>
      </c>
      <c r="U552" s="11" t="str">
        <f ca="1">IFERROR(__xludf.DUMMYFUNCTION("GOOGLETRANSLATE($B552,""en"",U$3)"),"تلميع")</f>
        <v>تلميع</v>
      </c>
      <c r="V552" s="11" t="str">
        <f ca="1">IFERROR(__xludf.DUMMYFUNCTION("GOOGLETRANSLATE($B552,""en"",V$3)"),"Polskie")</f>
        <v>Polskie</v>
      </c>
      <c r="W552" s="11" t="str">
        <f ca="1">IFERROR(__xludf.DUMMYFUNCTION("GOOGLETRANSLATE($B552,""en"",W$3)"),"полировать")</f>
        <v>полировать</v>
      </c>
      <c r="X552" s="11" t="str">
        <f ca="1">IFERROR(__xludf.DUMMYFUNCTION("GOOGLETRANSLATE($B552,""en"",X$3)"),"polaco")</f>
        <v>polaco</v>
      </c>
    </row>
    <row r="553" spans="1:26" ht="32.25" customHeight="1" x14ac:dyDescent="0.2">
      <c r="A553" s="17" t="s">
        <v>1209</v>
      </c>
      <c r="B553" s="17" t="s">
        <v>1210</v>
      </c>
      <c r="C553" s="21" t="str">
        <f ca="1">IFERROR(__xludf.DUMMYFUNCTION("GOOGLETRANSLATE($B553,""en"",C$3)"),"Port-Konflikt erkannt wurde. Alle Ports wurden zurückgesetzt auf die Standardwerte")</f>
        <v>Port-Konflikt erkannt wurde. Alle Ports wurden zurückgesetzt auf die Standardwerte</v>
      </c>
      <c r="D553" s="21" t="str">
        <f ca="1">IFERROR(__xludf.DUMMYFUNCTION("GOOGLETRANSLATE($B553,""en"",D$3)"),"Port konflikt har upptäckts. Alla portar har återställts till standardinställningarna")</f>
        <v>Port konflikt har upptäckts. Alla portar har återställts till standardinställningarna</v>
      </c>
      <c r="E553" s="21" t="str">
        <f ca="1">IFERROR(__xludf.DUMMYFUNCTION("GOOGLETRANSLATE($B553,""en"",E$3)"),"Porto conflito foi detectado. Todas as portas foram redefinidas para os padrões")</f>
        <v>Porto conflito foi detectado. Todas as portas foram redefinidas para os padrões</v>
      </c>
      <c r="F553" s="21" t="str">
        <f ca="1">IFERROR(__xludf.DUMMYFUNCTION("GOOGLETRANSLATE($B553,""en"",F$3)"),"Porto conflito foi detectado. Todas as portas foram redefinidas para os padrões")</f>
        <v>Porto conflito foi detectado. Todas as portas foram redefinidas para os padrões</v>
      </c>
      <c r="G553" s="21" t="str">
        <f ca="1">IFERROR(__xludf.DUMMYFUNCTION("GOOGLETRANSLATE($B553,""en"",G$3)"),"Conflit de port a été détecté. Tous les ports ont été remis à zéro aux valeurs par défaut")</f>
        <v>Conflit de port a été détecté. Tous les ports ont été remis à zéro aux valeurs par défaut</v>
      </c>
      <c r="H553" s="21" t="str">
        <f ca="1">IFERROR(__xludf.DUMMYFUNCTION("GOOGLETRANSLATE($B553,""en"",H$3)"),"Port gatazka detektatu da. portuak guztiak berrezarri da lehenespenetara")</f>
        <v>Port gatazka detektatu da. portuak guztiak berrezarri da lehenespenetara</v>
      </c>
      <c r="I553" s="21" t="str">
        <f ca="1">IFERROR(__xludf.DUMMYFUNCTION("GOOGLETRANSLATE($B553,""en"",I$3)"),"Conflicte de ports s'ha detectat. Tots els ports s'han restablert als valors predeterminats")</f>
        <v>Conflicte de ports s'ha detectat. Tots els ports s'han restablert als valors predeterminats</v>
      </c>
      <c r="J553" s="21" t="str">
        <f ca="1">IFERROR(__xludf.DUMMYFUNCTION("GOOGLETRANSLATE($B553,""en"",J$3)"),"Konflikt Port byl zjištěn. Všechny kanály mají bylo obnoveno výchozí")</f>
        <v>Konflikt Port byl zjištěn. Všechny kanály mají bylo obnoveno výchozí</v>
      </c>
      <c r="K553" s="21" t="str">
        <f ca="1">IFERROR(__xludf.DUMMYFUNCTION("GOOGLETRANSLATE($B553,""en"",K$3)"),"端口冲突已检测。所有端口已被重置为默认值")</f>
        <v>端口冲突已检测。所有端口已被重置为默认值</v>
      </c>
      <c r="L553" s="21" t="str">
        <f ca="1">IFERROR(__xludf.DUMMYFUNCTION("GOOGLETRANSLATE($B553,""en"",L$3)"),"端口衝突已檢測。所有端口已被重置為默認值")</f>
        <v>端口衝突已檢測。所有端口已被重置為默認值</v>
      </c>
      <c r="M553" s="21" t="str">
        <f ca="1">IFERROR(__xludf.DUMMYFUNCTION("GOOGLETRANSLATE($B553,""en"",M$3)"),"Port conflict is gedetecteerd. Alle poorten zijn teruggezet op de standaardwaarden")</f>
        <v>Port conflict is gedetecteerd. Alle poorten zijn teruggezet op de standaardwaarden</v>
      </c>
      <c r="N553" s="21" t="str">
        <f ca="1">IFERROR(__xludf.DUMMYFUNCTION("GOOGLETRANSLATE($B553,""en"",N$3)"),"Port σύγκρουση έχει ανιχνευθεί. Όλες οι θύρες έχουν γίνει επαναφορά στις προεπιλογές")</f>
        <v>Port σύγκρουση έχει ανιχνευθεί. Όλες οι θύρες έχουν γίνει επαναφορά στις προεπιλογές</v>
      </c>
      <c r="O553" s="21" t="str">
        <f ca="1">IFERROR(__xludf.DUMMYFUNCTION("GOOGLETRANSLATE($B553,""en"",O$3)"),"Port ristiriita on havaittu. Kaikki portit on palauttaa oletuksiin")</f>
        <v>Port ristiriita on havaittu. Kaikki portit on palauttaa oletuksiin</v>
      </c>
      <c r="P553" s="21" t="str">
        <f ca="1">IFERROR(__xludf.DUMMYFUNCTION("GOOGLETRANSLATE($B553,""en"",P$3)"),"Tá Port coimhlint a bhrath. Gach calafort a bheith athshocrú go dtí na mainneachtainí")</f>
        <v>Tá Port coimhlint a bhrath. Gach calafort a bheith athshocrú go dtí na mainneachtainí</v>
      </c>
      <c r="Q553" s="21" t="str">
        <f ca="1">IFERROR(__xludf.DUMMYFUNCTION("GOOGLETRANSLATE($B553,""en"",Q$3)"),"درگیری بندر تشخیص داده شده است. تمام پورت ها به وضعیت پیش فرض شده است")</f>
        <v>درگیری بندر تشخیص داده شده است. تمام پورت ها به وضعیت پیش فرض شده است</v>
      </c>
      <c r="R553" s="21" t="str">
        <f ca="1">IFERROR(__xludf.DUMMYFUNCTION("GOOGLETRANSLATE($B553,""en"",R$3)"),"הסכסוך בנמל זוהה. כל היציאות אופסו המחדל של")</f>
        <v>הסכסוך בנמל זוהה. כל היציאות אופסו המחדל של</v>
      </c>
      <c r="S553" s="21" t="str">
        <f ca="1">IFERROR(__xludf.DUMMYFUNCTION("GOOGLETRANSLATE($B553,""en"",S$3)"),"Port Átökin hafa fundist. Allar hafnir hafa verið endurstillt til vanskila")</f>
        <v>Port Átökin hafa fundist. Allar hafnir hafa verið endurstillt til vanskila</v>
      </c>
      <c r="T553" s="21" t="str">
        <f ca="1">IFERROR(__xludf.DUMMYFUNCTION("GOOGLETRANSLATE($B553,""en"",T$3)"),"Port konflikten har blitt oppdaget. Alle porter har blitt tilbakestilt til standardinnstillingene")</f>
        <v>Port konflikten har blitt oppdaget. Alle porter har blitt tilbakestilt til standardinnstillingene</v>
      </c>
      <c r="U553" s="21" t="str">
        <f ca="1">IFERROR(__xludf.DUMMYFUNCTION("GOOGLETRANSLATE($B553,""en"",U$3)"),"تم الكشف عن ميناء الصراع. وكانت جميع الموانئ إعادة تعيين إلى الإعدادات الافتراضية")</f>
        <v>تم الكشف عن ميناء الصراع. وكانت جميع الموانئ إعادة تعيين إلى الإعدادات الافتراضية</v>
      </c>
      <c r="V553" s="21" t="str">
        <f ca="1">IFERROR(__xludf.DUMMYFUNCTION("GOOGLETRANSLATE($B553,""en"",V$3)"),"Port konflikt został wykryty. Wszystkie porty zostały zresetowane do wartości domyślnych")</f>
        <v>Port konflikt został wykryty. Wszystkie porty zostały zresetowane do wartości domyślnych</v>
      </c>
      <c r="W553" s="21" t="str">
        <f ca="1">IFERROR(__xludf.DUMMYFUNCTION("GOOGLETRANSLATE($B553,""en"",W$3)"),"Порт конфликт был обнаружен. Все порты были сброшены к значениям по умолчанию")</f>
        <v>Порт конфликт был обнаружен. Все порты были сброшены к значениям по умолчанию</v>
      </c>
      <c r="X553" s="21" t="str">
        <f ca="1">IFERROR(__xludf.DUMMYFUNCTION("GOOGLETRANSLATE($B553,""en"",X$3)"),"Conflicto de puertos se ha detectado. Todos los puertos se han restablecido a los valores predeterminados")</f>
        <v>Conflicto de puertos se ha detectado. Todos los puertos se han restablecido a los valores predeterminados</v>
      </c>
      <c r="Y553" s="21"/>
      <c r="Z553" s="21"/>
    </row>
    <row r="554" spans="1:26" ht="32.25" customHeight="1" x14ac:dyDescent="0.2">
      <c r="A554" s="17" t="s">
        <v>1211</v>
      </c>
      <c r="B554" s="17" t="s">
        <v>1212</v>
      </c>
      <c r="C554" s="21" t="str">
        <f ca="1">IFERROR(__xludf.DUMMYFUNCTION("GOOGLETRANSLATE($B554,""en"",C$3)"),"Port Forwarding Hilfe")</f>
        <v>Port Forwarding Hilfe</v>
      </c>
      <c r="D554" s="21" t="str">
        <f ca="1">IFERROR(__xludf.DUMMYFUNCTION("GOOGLETRANSLATE($B554,""en"",D$3)"),"Port Forwarding Hjälp")</f>
        <v>Port Forwarding Hjälp</v>
      </c>
      <c r="E554" s="21" t="str">
        <f ca="1">IFERROR(__xludf.DUMMYFUNCTION("GOOGLETRANSLATE($B554,""en"",E$3)"),"Port Forwarding Ajuda")</f>
        <v>Port Forwarding Ajuda</v>
      </c>
      <c r="F554" s="21" t="str">
        <f ca="1">IFERROR(__xludf.DUMMYFUNCTION("GOOGLETRANSLATE($B554,""en"",F$3)"),"Port Forwarding Ajuda")</f>
        <v>Port Forwarding Ajuda</v>
      </c>
      <c r="G554" s="21" t="str">
        <f ca="1">IFERROR(__xludf.DUMMYFUNCTION("GOOGLETRANSLATE($B554,""en"",G$3)"),"Port Forwarding Aide")</f>
        <v>Port Forwarding Aide</v>
      </c>
      <c r="H554" s="21" t="str">
        <f ca="1">IFERROR(__xludf.DUMMYFUNCTION("GOOGLETRANSLATE($B554,""en"",H$3)"),"Port Forwarding Laguntza")</f>
        <v>Port Forwarding Laguntza</v>
      </c>
      <c r="I554" s="21" t="str">
        <f ca="1">IFERROR(__xludf.DUMMYFUNCTION("GOOGLETRANSLATE($B554,""en"",I$3)"),"Port Forwarding Ajuda")</f>
        <v>Port Forwarding Ajuda</v>
      </c>
      <c r="J554" s="21" t="str">
        <f ca="1">IFERROR(__xludf.DUMMYFUNCTION("GOOGLETRANSLATE($B554,""en"",J$3)"),"Port Forwarding Help")</f>
        <v>Port Forwarding Help</v>
      </c>
      <c r="K554" s="21" t="str">
        <f ca="1">IFERROR(__xludf.DUMMYFUNCTION("GOOGLETRANSLATE($B554,""en"",K$3)"),"端口转发帮助")</f>
        <v>端口转发帮助</v>
      </c>
      <c r="L554" s="21" t="str">
        <f ca="1">IFERROR(__xludf.DUMMYFUNCTION("GOOGLETRANSLATE($B554,""en"",L$3)"),"端口轉發幫助")</f>
        <v>端口轉發幫助</v>
      </c>
      <c r="M554" s="21" t="str">
        <f ca="1">IFERROR(__xludf.DUMMYFUNCTION("GOOGLETRANSLATE($B554,""en"",M$3)"),"Port Forwarding Help")</f>
        <v>Port Forwarding Help</v>
      </c>
      <c r="N554" s="21" t="str">
        <f ca="1">IFERROR(__xludf.DUMMYFUNCTION("GOOGLETRANSLATE($B554,""en"",N$3)"),"Port Forwarding Βοήθεια")</f>
        <v>Port Forwarding Βοήθεια</v>
      </c>
      <c r="O554" s="21" t="str">
        <f ca="1">IFERROR(__xludf.DUMMYFUNCTION("GOOGLETRANSLATE($B554,""en"",O$3)"),"Porttien Ohje")</f>
        <v>Porttien Ohje</v>
      </c>
      <c r="P554" s="21" t="str">
        <f ca="1">IFERROR(__xludf.DUMMYFUNCTION("GOOGLETRANSLATE($B554,""en"",P$3)"),"Port Aghaidh Cabhair")</f>
        <v>Port Aghaidh Cabhair</v>
      </c>
      <c r="Q554" s="21" t="str">
        <f ca="1">IFERROR(__xludf.DUMMYFUNCTION("GOOGLETRANSLATE($B554,""en"",Q$3)"),"بندر حمل و نقل راهنما")</f>
        <v>بندر حمل و نقل راهنما</v>
      </c>
      <c r="R554" s="21" t="str">
        <f ca="1">IFERROR(__xludf.DUMMYFUNCTION("GOOGLETRANSLATE($B554,""en"",R$3)"),"עזרת העברת נמל")</f>
        <v>עזרת העברת נמל</v>
      </c>
      <c r="S554" s="21" t="str">
        <f ca="1">IFERROR(__xludf.DUMMYFUNCTION("GOOGLETRANSLATE($B554,""en"",S$3)"),"Port Áframsending Hjálp")</f>
        <v>Port Áframsending Hjálp</v>
      </c>
      <c r="T554" s="21" t="str">
        <f ca="1">IFERROR(__xludf.DUMMYFUNCTION("GOOGLETRANSLATE($B554,""en"",T$3)"),"Port Forwarding Hjelp")</f>
        <v>Port Forwarding Hjelp</v>
      </c>
      <c r="U554" s="21" t="str">
        <f ca="1">IFERROR(__xludf.DUMMYFUNCTION("GOOGLETRANSLATE($B554,""en"",U$3)"),"ميناء تعليمات الشحن")</f>
        <v>ميناء تعليمات الشحن</v>
      </c>
      <c r="V554" s="21" t="str">
        <f ca="1">IFERROR(__xludf.DUMMYFUNCTION("GOOGLETRANSLATE($B554,""en"",V$3)"),"Port Forwarding Pomoc")</f>
        <v>Port Forwarding Pomoc</v>
      </c>
      <c r="W554" s="21" t="str">
        <f ca="1">IFERROR(__xludf.DUMMYFUNCTION("GOOGLETRANSLATE($B554,""en"",W$3)"),"Port Forwarding Помощь")</f>
        <v>Port Forwarding Помощь</v>
      </c>
      <c r="X554" s="21" t="str">
        <f ca="1">IFERROR(__xludf.DUMMYFUNCTION("GOOGLETRANSLATE($B554,""en"",X$3)"),"Port Forwarding Ayuda")</f>
        <v>Port Forwarding Ayuda</v>
      </c>
      <c r="Y554" s="21"/>
      <c r="Z554" s="21"/>
    </row>
    <row r="555" spans="1:26" ht="32.25" customHeight="1" x14ac:dyDescent="0.2">
      <c r="A555" s="17" t="s">
        <v>1213</v>
      </c>
      <c r="B555" s="17" t="s">
        <v>1214</v>
      </c>
      <c r="C555" s="21" t="str">
        <f ca="1">IFERROR(__xludf.DUMMYFUNCTION("GOOGLETRANSLATE($B555,""en"",C$3)"),"Port 1")</f>
        <v>Port 1</v>
      </c>
      <c r="D555" s="21" t="str">
        <f ca="1">IFERROR(__xludf.DUMMYFUNCTION("GOOGLETRANSLATE($B555,""en"",D$3)"),"Port 1")</f>
        <v>Port 1</v>
      </c>
      <c r="E555" s="21" t="str">
        <f ca="1">IFERROR(__xludf.DUMMYFUNCTION("GOOGLETRANSLATE($B555,""en"",E$3)"),"porta 1")</f>
        <v>porta 1</v>
      </c>
      <c r="F555" s="21" t="str">
        <f ca="1">IFERROR(__xludf.DUMMYFUNCTION("GOOGLETRANSLATE($B555,""en"",F$3)"),"porta 1")</f>
        <v>porta 1</v>
      </c>
      <c r="G555" s="21" t="str">
        <f ca="1">IFERROR(__xludf.DUMMYFUNCTION("GOOGLETRANSLATE($B555,""en"",G$3)"),"Port 1")</f>
        <v>Port 1</v>
      </c>
      <c r="H555" s="21" t="str">
        <f ca="1">IFERROR(__xludf.DUMMYFUNCTION("GOOGLETRANSLATE($B555,""en"",H$3)"),"Port 1")</f>
        <v>Port 1</v>
      </c>
      <c r="I555" s="21" t="str">
        <f ca="1">IFERROR(__xludf.DUMMYFUNCTION("GOOGLETRANSLATE($B555,""en"",I$3)"),"port 1")</f>
        <v>port 1</v>
      </c>
      <c r="J555" s="21" t="str">
        <f ca="1">IFERROR(__xludf.DUMMYFUNCTION("GOOGLETRANSLATE($B555,""en"",J$3)"),"Port 1")</f>
        <v>Port 1</v>
      </c>
      <c r="K555" s="21" t="str">
        <f ca="1">IFERROR(__xludf.DUMMYFUNCTION("GOOGLETRANSLATE($B555,""en"",K$3)"),"端口1")</f>
        <v>端口1</v>
      </c>
      <c r="L555" s="21" t="str">
        <f ca="1">IFERROR(__xludf.DUMMYFUNCTION("GOOGLETRANSLATE($B555,""en"",L$3)"),"端口1")</f>
        <v>端口1</v>
      </c>
      <c r="M555" s="21" t="str">
        <f ca="1">IFERROR(__xludf.DUMMYFUNCTION("GOOGLETRANSLATE($B555,""en"",M$3)"),"poort 1")</f>
        <v>poort 1</v>
      </c>
      <c r="N555" s="21" t="str">
        <f ca="1">IFERROR(__xludf.DUMMYFUNCTION("GOOGLETRANSLATE($B555,""en"",N$3)"),"Θύρα 1")</f>
        <v>Θύρα 1</v>
      </c>
      <c r="O555" s="21" t="str">
        <f ca="1">IFERROR(__xludf.DUMMYFUNCTION("GOOGLETRANSLATE($B555,""en"",O$3)"),"portti 1")</f>
        <v>portti 1</v>
      </c>
      <c r="P555" s="21" t="str">
        <f ca="1">IFERROR(__xludf.DUMMYFUNCTION("GOOGLETRANSLATE($B555,""en"",P$3)"),"Port 1")</f>
        <v>Port 1</v>
      </c>
      <c r="Q555" s="21" t="str">
        <f ca="1">IFERROR(__xludf.DUMMYFUNCTION("GOOGLETRANSLATE($B555,""en"",Q$3)"),"بندر 1")</f>
        <v>بندر 1</v>
      </c>
      <c r="R555" s="21" t="str">
        <f ca="1">IFERROR(__xludf.DUMMYFUNCTION("GOOGLETRANSLATE($B555,""en"",R$3)"),"נמל 1")</f>
        <v>נמל 1</v>
      </c>
      <c r="S555" s="21" t="str">
        <f ca="1">IFERROR(__xludf.DUMMYFUNCTION("GOOGLETRANSLATE($B555,""en"",S$3)"),"Port 1")</f>
        <v>Port 1</v>
      </c>
      <c r="T555" s="21" t="str">
        <f ca="1">IFERROR(__xludf.DUMMYFUNCTION("GOOGLETRANSLATE($B555,""en"",T$3)"),"Port 1")</f>
        <v>Port 1</v>
      </c>
      <c r="U555" s="21" t="str">
        <f ca="1">IFERROR(__xludf.DUMMYFUNCTION("GOOGLETRANSLATE($B555,""en"",U$3)"),"ميناء 1")</f>
        <v>ميناء 1</v>
      </c>
      <c r="V555" s="21" t="str">
        <f ca="1">IFERROR(__xludf.DUMMYFUNCTION("GOOGLETRANSLATE($B555,""en"",V$3)"),"Port 1")</f>
        <v>Port 1</v>
      </c>
      <c r="W555" s="21" t="str">
        <f ca="1">IFERROR(__xludf.DUMMYFUNCTION("GOOGLETRANSLATE($B555,""en"",W$3)"),"Порт 1")</f>
        <v>Порт 1</v>
      </c>
      <c r="X555" s="21" t="str">
        <f ca="1">IFERROR(__xludf.DUMMYFUNCTION("GOOGLETRANSLATE($B555,""en"",X$3)"),"puerto 1")</f>
        <v>puerto 1</v>
      </c>
      <c r="Y555" s="21"/>
      <c r="Z555" s="21"/>
    </row>
    <row r="556" spans="1:26" ht="32.25" customHeight="1" x14ac:dyDescent="0.2">
      <c r="A556" s="17" t="s">
        <v>1215</v>
      </c>
      <c r="B556" s="17" t="s">
        <v>1216</v>
      </c>
      <c r="C556" s="21" t="str">
        <f ca="1">IFERROR(__xludf.DUMMYFUNCTION("GOOGLETRANSLATE($B556,""en"",C$3)"),"Port 2")</f>
        <v>Port 2</v>
      </c>
      <c r="D556" s="21" t="str">
        <f ca="1">IFERROR(__xludf.DUMMYFUNCTION("GOOGLETRANSLATE($B556,""en"",D$3)"),"Port 2")</f>
        <v>Port 2</v>
      </c>
      <c r="E556" s="21" t="str">
        <f ca="1">IFERROR(__xludf.DUMMYFUNCTION("GOOGLETRANSLATE($B556,""en"",E$3)"),"porta 2")</f>
        <v>porta 2</v>
      </c>
      <c r="F556" s="21" t="str">
        <f ca="1">IFERROR(__xludf.DUMMYFUNCTION("GOOGLETRANSLATE($B556,""en"",F$3)"),"porta 2")</f>
        <v>porta 2</v>
      </c>
      <c r="G556" s="21" t="str">
        <f ca="1">IFERROR(__xludf.DUMMYFUNCTION("GOOGLETRANSLATE($B556,""en"",G$3)"),"Port 2")</f>
        <v>Port 2</v>
      </c>
      <c r="H556" s="21" t="str">
        <f ca="1">IFERROR(__xludf.DUMMYFUNCTION("GOOGLETRANSLATE($B556,""en"",H$3)"),"Port 2")</f>
        <v>Port 2</v>
      </c>
      <c r="I556" s="21" t="str">
        <f ca="1">IFERROR(__xludf.DUMMYFUNCTION("GOOGLETRANSLATE($B556,""en"",I$3)"),"port 2")</f>
        <v>port 2</v>
      </c>
      <c r="J556" s="21" t="str">
        <f ca="1">IFERROR(__xludf.DUMMYFUNCTION("GOOGLETRANSLATE($B556,""en"",J$3)"),"Port 2")</f>
        <v>Port 2</v>
      </c>
      <c r="K556" s="21" t="str">
        <f ca="1">IFERROR(__xludf.DUMMYFUNCTION("GOOGLETRANSLATE($B556,""en"",K$3)"),"端口2")</f>
        <v>端口2</v>
      </c>
      <c r="L556" s="21" t="str">
        <f ca="1">IFERROR(__xludf.DUMMYFUNCTION("GOOGLETRANSLATE($B556,""en"",L$3)"),"端口2")</f>
        <v>端口2</v>
      </c>
      <c r="M556" s="21" t="str">
        <f ca="1">IFERROR(__xludf.DUMMYFUNCTION("GOOGLETRANSLATE($B556,""en"",M$3)"),"poort 2")</f>
        <v>poort 2</v>
      </c>
      <c r="N556" s="21" t="str">
        <f ca="1">IFERROR(__xludf.DUMMYFUNCTION("GOOGLETRANSLATE($B556,""en"",N$3)"),"Θύρα 2")</f>
        <v>Θύρα 2</v>
      </c>
      <c r="O556" s="21" t="str">
        <f ca="1">IFERROR(__xludf.DUMMYFUNCTION("GOOGLETRANSLATE($B556,""en"",O$3)"),"Port 2")</f>
        <v>Port 2</v>
      </c>
      <c r="P556" s="21" t="str">
        <f ca="1">IFERROR(__xludf.DUMMYFUNCTION("GOOGLETRANSLATE($B556,""en"",P$3)"),"Port 2")</f>
        <v>Port 2</v>
      </c>
      <c r="Q556" s="21" t="str">
        <f ca="1">IFERROR(__xludf.DUMMYFUNCTION("GOOGLETRANSLATE($B556,""en"",Q$3)"),"بندر 2")</f>
        <v>بندر 2</v>
      </c>
      <c r="R556" s="21" t="str">
        <f ca="1">IFERROR(__xludf.DUMMYFUNCTION("GOOGLETRANSLATE($B556,""en"",R$3)"),"נמל 2")</f>
        <v>נמל 2</v>
      </c>
      <c r="S556" s="21" t="str">
        <f ca="1">IFERROR(__xludf.DUMMYFUNCTION("GOOGLETRANSLATE($B556,""en"",S$3)"),"Port 2")</f>
        <v>Port 2</v>
      </c>
      <c r="T556" s="21" t="str">
        <f ca="1">IFERROR(__xludf.DUMMYFUNCTION("GOOGLETRANSLATE($B556,""en"",T$3)"),"Port 2")</f>
        <v>Port 2</v>
      </c>
      <c r="U556" s="21" t="str">
        <f ca="1">IFERROR(__xludf.DUMMYFUNCTION("GOOGLETRANSLATE($B556,""en"",U$3)"),"ميناء 2")</f>
        <v>ميناء 2</v>
      </c>
      <c r="V556" s="21" t="str">
        <f ca="1">IFERROR(__xludf.DUMMYFUNCTION("GOOGLETRANSLATE($B556,""en"",V$3)"),"Port 2")</f>
        <v>Port 2</v>
      </c>
      <c r="W556" s="21" t="str">
        <f ca="1">IFERROR(__xludf.DUMMYFUNCTION("GOOGLETRANSLATE($B556,""en"",W$3)"),"Порт 2")</f>
        <v>Порт 2</v>
      </c>
      <c r="X556" s="21" t="str">
        <f ca="1">IFERROR(__xludf.DUMMYFUNCTION("GOOGLETRANSLATE($B556,""en"",X$3)"),"puerto 2")</f>
        <v>puerto 2</v>
      </c>
      <c r="Y556" s="21"/>
      <c r="Z556" s="21"/>
    </row>
    <row r="557" spans="1:26" ht="32.25" customHeight="1" x14ac:dyDescent="0.2">
      <c r="A557" s="10" t="s">
        <v>1217</v>
      </c>
      <c r="B557" s="10" t="s">
        <v>1217</v>
      </c>
      <c r="C557" s="11" t="str">
        <f ca="1">IFERROR(__xludf.DUMMYFUNCTION("GOOGLETRANSLATE($B557,""en"",C$3)"),"Portguese")</f>
        <v>Portguese</v>
      </c>
      <c r="D557" s="11" t="str">
        <f ca="1">IFERROR(__xludf.DUMMYFUNCTION("GOOGLETRANSLATE($B557,""en"",D$3)"),"Portguese")</f>
        <v>Portguese</v>
      </c>
      <c r="E557" s="11" t="str">
        <f ca="1">IFERROR(__xludf.DUMMYFUNCTION("GOOGLETRANSLATE($B557,""en"",E$3)"),"Portguese")</f>
        <v>Portguese</v>
      </c>
      <c r="F557" s="11" t="str">
        <f ca="1">IFERROR(__xludf.DUMMYFUNCTION("GOOGLETRANSLATE($B557,""en"",F$3)"),"Portguese")</f>
        <v>Portguese</v>
      </c>
      <c r="G557" s="11" t="str">
        <f ca="1">IFERROR(__xludf.DUMMYFUNCTION("GOOGLETRANSLATE($B557,""en"",G$3)"),"Portguese")</f>
        <v>Portguese</v>
      </c>
      <c r="H557" s="11" t="str">
        <f ca="1">IFERROR(__xludf.DUMMYFUNCTION("GOOGLETRANSLATE($B557,""en"",H$3)"),"Portguese")</f>
        <v>Portguese</v>
      </c>
      <c r="I557" s="11" t="str">
        <f ca="1">IFERROR(__xludf.DUMMYFUNCTION("GOOGLETRANSLATE($B557,""en"",I$3)"),"Portguese")</f>
        <v>Portguese</v>
      </c>
      <c r="J557" s="11" t="str">
        <f ca="1">IFERROR(__xludf.DUMMYFUNCTION("GOOGLETRANSLATE($B557,""en"",J$3)"),"Portguese")</f>
        <v>Portguese</v>
      </c>
      <c r="K557" s="11" t="str">
        <f ca="1">IFERROR(__xludf.DUMMYFUNCTION("GOOGLETRANSLATE($B557,""en"",K$3)"),"Portguese")</f>
        <v>Portguese</v>
      </c>
      <c r="L557" s="11" t="str">
        <f ca="1">IFERROR(__xludf.DUMMYFUNCTION("GOOGLETRANSLATE($B557,""en"",L$3)"),"Portguese")</f>
        <v>Portguese</v>
      </c>
      <c r="M557" s="11" t="str">
        <f ca="1">IFERROR(__xludf.DUMMYFUNCTION("GOOGLETRANSLATE($B557,""en"",M$3)"),"Portguese")</f>
        <v>Portguese</v>
      </c>
      <c r="N557" s="11" t="str">
        <f ca="1">IFERROR(__xludf.DUMMYFUNCTION("GOOGLETRANSLATE($B557,""en"",N$3)"),"Portguese")</f>
        <v>Portguese</v>
      </c>
      <c r="O557" s="11" t="str">
        <f ca="1">IFERROR(__xludf.DUMMYFUNCTION("GOOGLETRANSLATE($B557,""en"",O$3)"),"Portguese")</f>
        <v>Portguese</v>
      </c>
      <c r="P557" s="11" t="str">
        <f ca="1">IFERROR(__xludf.DUMMYFUNCTION("GOOGLETRANSLATE($B557,""en"",P$3)"),"Portguese")</f>
        <v>Portguese</v>
      </c>
      <c r="Q557" s="11" t="str">
        <f ca="1">IFERROR(__xludf.DUMMYFUNCTION("GOOGLETRANSLATE($B557,""en"",Q$3)"),"Portguese")</f>
        <v>Portguese</v>
      </c>
      <c r="R557" s="11" t="str">
        <f ca="1">IFERROR(__xludf.DUMMYFUNCTION("GOOGLETRANSLATE($B557,""en"",R$3)"),"Portguese")</f>
        <v>Portguese</v>
      </c>
      <c r="S557" s="11" t="str">
        <f ca="1">IFERROR(__xludf.DUMMYFUNCTION("GOOGLETRANSLATE($B557,""en"",S$3)"),"Portguese")</f>
        <v>Portguese</v>
      </c>
      <c r="T557" s="11" t="str">
        <f ca="1">IFERROR(__xludf.DUMMYFUNCTION("GOOGLETRANSLATE($B557,""en"",T$3)"),"Portguese")</f>
        <v>Portguese</v>
      </c>
      <c r="U557" s="11" t="str">
        <f ca="1">IFERROR(__xludf.DUMMYFUNCTION("GOOGLETRANSLATE($B557,""en"",U$3)"),"Portguese")</f>
        <v>Portguese</v>
      </c>
      <c r="V557" s="11" t="str">
        <f ca="1">IFERROR(__xludf.DUMMYFUNCTION("GOOGLETRANSLATE($B557,""en"",V$3)"),"Portguese")</f>
        <v>Portguese</v>
      </c>
      <c r="W557" s="11" t="str">
        <f ca="1">IFERROR(__xludf.DUMMYFUNCTION("GOOGLETRANSLATE($B557,""en"",W$3)"),"Portguese")</f>
        <v>Portguese</v>
      </c>
      <c r="X557" s="11" t="str">
        <f ca="1">IFERROR(__xludf.DUMMYFUNCTION("GOOGLETRANSLATE($B557,""en"",X$3)"),"Portguese")</f>
        <v>Portguese</v>
      </c>
    </row>
    <row r="558" spans="1:26" ht="32.25" customHeight="1" x14ac:dyDescent="0.2">
      <c r="A558" s="17" t="s">
        <v>1218</v>
      </c>
      <c r="B558" s="17" t="s">
        <v>1218</v>
      </c>
      <c r="C558" s="21" t="str">
        <f ca="1">IFERROR(__xludf.DUMMYFUNCTION("GOOGLETRANSLATE($B558,""en"",C$3)"),"Häfen")</f>
        <v>Häfen</v>
      </c>
      <c r="D558" s="21" t="str">
        <f ca="1">IFERROR(__xludf.DUMMYFUNCTION("GOOGLETRANSLATE($B558,""en"",D$3)"),"Hamnar")</f>
        <v>Hamnar</v>
      </c>
      <c r="E558" s="21" t="str">
        <f ca="1">IFERROR(__xludf.DUMMYFUNCTION("GOOGLETRANSLATE($B558,""en"",E$3)"),"portas")</f>
        <v>portas</v>
      </c>
      <c r="F558" s="21" t="str">
        <f ca="1">IFERROR(__xludf.DUMMYFUNCTION("GOOGLETRANSLATE($B558,""en"",F$3)"),"portas")</f>
        <v>portas</v>
      </c>
      <c r="G558" s="21" t="str">
        <f ca="1">IFERROR(__xludf.DUMMYFUNCTION("GOOGLETRANSLATE($B558,""en"",G$3)"),"ports")</f>
        <v>ports</v>
      </c>
      <c r="H558" s="21" t="str">
        <f ca="1">IFERROR(__xludf.DUMMYFUNCTION("GOOGLETRANSLATE($B558,""en"",H$3)"),"Portuak")</f>
        <v>Portuak</v>
      </c>
      <c r="I558" s="21" t="str">
        <f ca="1">IFERROR(__xludf.DUMMYFUNCTION("GOOGLETRANSLATE($B558,""en"",I$3)"),"ports")</f>
        <v>ports</v>
      </c>
      <c r="J558" s="21" t="str">
        <f ca="1">IFERROR(__xludf.DUMMYFUNCTION("GOOGLETRANSLATE($B558,""en"",J$3)"),"porty")</f>
        <v>porty</v>
      </c>
      <c r="K558" s="21" t="str">
        <f ca="1">IFERROR(__xludf.DUMMYFUNCTION("GOOGLETRANSLATE($B558,""en"",K$3)"),"端口")</f>
        <v>端口</v>
      </c>
      <c r="L558" s="21" t="str">
        <f ca="1">IFERROR(__xludf.DUMMYFUNCTION("GOOGLETRANSLATE($B558,""en"",L$3)"),"端口")</f>
        <v>端口</v>
      </c>
      <c r="M558" s="21" t="str">
        <f ca="1">IFERROR(__xludf.DUMMYFUNCTION("GOOGLETRANSLATE($B558,""en"",M$3)"),"ports")</f>
        <v>ports</v>
      </c>
      <c r="N558" s="21" t="str">
        <f ca="1">IFERROR(__xludf.DUMMYFUNCTION("GOOGLETRANSLATE($B558,""en"",N$3)"),"λιμάνια")</f>
        <v>λιμάνια</v>
      </c>
      <c r="O558" s="21" t="str">
        <f ca="1">IFERROR(__xludf.DUMMYFUNCTION("GOOGLETRANSLATE($B558,""en"",O$3)"),"satamat")</f>
        <v>satamat</v>
      </c>
      <c r="P558" s="21" t="str">
        <f ca="1">IFERROR(__xludf.DUMMYFUNCTION("GOOGLETRANSLATE($B558,""en"",P$3)"),"Calafoirt")</f>
        <v>Calafoirt</v>
      </c>
      <c r="Q558" s="21" t="str">
        <f ca="1">IFERROR(__xludf.DUMMYFUNCTION("GOOGLETRANSLATE($B558,""en"",Q$3)"),"بنادر")</f>
        <v>بنادر</v>
      </c>
      <c r="R558" s="21" t="str">
        <f ca="1">IFERROR(__xludf.DUMMYFUNCTION("GOOGLETRANSLATE($B558,""en"",R$3)"),"יציאות")</f>
        <v>יציאות</v>
      </c>
      <c r="S558" s="21" t="str">
        <f ca="1">IFERROR(__xludf.DUMMYFUNCTION("GOOGLETRANSLATE($B558,""en"",S$3)"),"Hafnir")</f>
        <v>Hafnir</v>
      </c>
      <c r="T558" s="21" t="str">
        <f ca="1">IFERROR(__xludf.DUMMYFUNCTION("GOOGLETRANSLATE($B558,""en"",T$3)"),"porter")</f>
        <v>porter</v>
      </c>
      <c r="U558" s="21" t="str">
        <f ca="1">IFERROR(__xludf.DUMMYFUNCTION("GOOGLETRANSLATE($B558,""en"",U$3)"),"الموانئ")</f>
        <v>الموانئ</v>
      </c>
      <c r="V558" s="21" t="str">
        <f ca="1">IFERROR(__xludf.DUMMYFUNCTION("GOOGLETRANSLATE($B558,""en"",V$3)"),"porty")</f>
        <v>porty</v>
      </c>
      <c r="W558" s="21" t="str">
        <f ca="1">IFERROR(__xludf.DUMMYFUNCTION("GOOGLETRANSLATE($B558,""en"",W$3)"),"Порты")</f>
        <v>Порты</v>
      </c>
      <c r="X558" s="21" t="str">
        <f ca="1">IFERROR(__xludf.DUMMYFUNCTION("GOOGLETRANSLATE($B558,""en"",X$3)"),"puertos")</f>
        <v>puertos</v>
      </c>
      <c r="Y558" s="21"/>
      <c r="Z558" s="21"/>
    </row>
    <row r="559" spans="1:26" ht="32.25" customHeight="1" x14ac:dyDescent="0.2">
      <c r="A559" s="17" t="s">
        <v>1219</v>
      </c>
      <c r="B559" s="17" t="s">
        <v>1220</v>
      </c>
      <c r="C559" s="21" t="str">
        <f ca="1">IFERROR(__xludf.DUMMYFUNCTION("GOOGLETRANSLATE($B559,""en"",C$3)"),"Vorschau im Browser")</f>
        <v>Vorschau im Browser</v>
      </c>
      <c r="D559" s="21" t="str">
        <f ca="1">IFERROR(__xludf.DUMMYFUNCTION("GOOGLETRANSLATE($B559,""en"",D$3)"),"Förhandsgranska i webbläsare")</f>
        <v>Förhandsgranska i webbläsare</v>
      </c>
      <c r="E559" s="21" t="str">
        <f ca="1">IFERROR(__xludf.DUMMYFUNCTION("GOOGLETRANSLATE($B559,""en"",E$3)"),"Visualizar no navegador")</f>
        <v>Visualizar no navegador</v>
      </c>
      <c r="F559" s="21" t="str">
        <f ca="1">IFERROR(__xludf.DUMMYFUNCTION("GOOGLETRANSLATE($B559,""en"",F$3)"),"Visualizar no navegador")</f>
        <v>Visualizar no navegador</v>
      </c>
      <c r="G559" s="21" t="str">
        <f ca="1">IFERROR(__xludf.DUMMYFUNCTION("GOOGLETRANSLATE($B559,""en"",G$3)"),"Aperçu dans le navigateur")</f>
        <v>Aperçu dans le navigateur</v>
      </c>
      <c r="H559" s="21" t="str">
        <f ca="1">IFERROR(__xludf.DUMMYFUNCTION("GOOGLETRANSLATE($B559,""en"",H$3)"),"Nabigatzaile Preview")</f>
        <v>Nabigatzaile Preview</v>
      </c>
      <c r="I559" s="21" t="str">
        <f ca="1">IFERROR(__xludf.DUMMYFUNCTION("GOOGLETRANSLATE($B559,""en"",I$3)"),"Prèvia a l'explorador")</f>
        <v>Prèvia a l'explorador</v>
      </c>
      <c r="J559" s="21" t="str">
        <f ca="1">IFERROR(__xludf.DUMMYFUNCTION("GOOGLETRANSLATE($B559,""en"",J$3)"),"Náhled v prohlížeči")</f>
        <v>Náhled v prohlížeči</v>
      </c>
      <c r="K559" s="21" t="str">
        <f ca="1">IFERROR(__xludf.DUMMYFUNCTION("GOOGLETRANSLATE($B559,""en"",K$3)"),"浏览器预览")</f>
        <v>浏览器预览</v>
      </c>
      <c r="L559" s="21" t="str">
        <f ca="1">IFERROR(__xludf.DUMMYFUNCTION("GOOGLETRANSLATE($B559,""en"",L$3)"),"瀏覽器預覽")</f>
        <v>瀏覽器預覽</v>
      </c>
      <c r="M559" s="21" t="str">
        <f ca="1">IFERROR(__xludf.DUMMYFUNCTION("GOOGLETRANSLATE($B559,""en"",M$3)"),"Voorbeeld in browser")</f>
        <v>Voorbeeld in browser</v>
      </c>
      <c r="N559" s="21" t="str">
        <f ca="1">IFERROR(__xludf.DUMMYFUNCTION("GOOGLETRANSLATE($B559,""en"",N$3)"),"Preview in Browser")</f>
        <v>Preview in Browser</v>
      </c>
      <c r="O559" s="21" t="str">
        <f ca="1">IFERROR(__xludf.DUMMYFUNCTION("GOOGLETRANSLATE($B559,""en"",O$3)"),"Esikatselu selaimessa")</f>
        <v>Esikatselu selaimessa</v>
      </c>
      <c r="P559" s="21" t="str">
        <f ca="1">IFERROR(__xludf.DUMMYFUNCTION("GOOGLETRANSLATE($B559,""en"",P$3)"),"Réamhamharc i Brabhsálaí")</f>
        <v>Réamhamharc i Brabhsálaí</v>
      </c>
      <c r="Q559" s="21" t="str">
        <f ca="1">IFERROR(__xludf.DUMMYFUNCTION("GOOGLETRANSLATE($B559,""en"",Q$3)"),"پیش نمایش در مرورگر")</f>
        <v>پیش نمایش در مرورگر</v>
      </c>
      <c r="R559" s="21" t="str">
        <f ca="1">IFERROR(__xludf.DUMMYFUNCTION("GOOGLETRANSLATE($B559,""en"",R$3)"),"תצוגה מקדימה בדפדפן")</f>
        <v>תצוגה מקדימה בדפדפן</v>
      </c>
      <c r="S559" s="21" t="str">
        <f ca="1">IFERROR(__xludf.DUMMYFUNCTION("GOOGLETRANSLATE($B559,""en"",S$3)"),"Forskoðun í vafra")</f>
        <v>Forskoðun í vafra</v>
      </c>
      <c r="T559" s="21" t="str">
        <f ca="1">IFERROR(__xludf.DUMMYFUNCTION("GOOGLETRANSLATE($B559,""en"",T$3)"),"Forhåndsvisning i leser")</f>
        <v>Forhåndsvisning i leser</v>
      </c>
      <c r="U559" s="21" t="str">
        <f ca="1">IFERROR(__xludf.DUMMYFUNCTION("GOOGLETRANSLATE($B559,""en"",U$3)"),"معاينة في المستعرض")</f>
        <v>معاينة في المستعرض</v>
      </c>
      <c r="V559" s="21" t="str">
        <f ca="1">IFERROR(__xludf.DUMMYFUNCTION("GOOGLETRANSLATE($B559,""en"",V$3)"),"Podgląd w przeglądarce")</f>
        <v>Podgląd w przeglądarce</v>
      </c>
      <c r="W559" s="21" t="str">
        <f ca="1">IFERROR(__xludf.DUMMYFUNCTION("GOOGLETRANSLATE($B559,""en"",W$3)"),"Просмотр в браузере")</f>
        <v>Просмотр в браузере</v>
      </c>
      <c r="X559" s="21" t="str">
        <f ca="1">IFERROR(__xludf.DUMMYFUNCTION("GOOGLETRANSLATE($B559,""en"",X$3)"),"Previa en el explorador")</f>
        <v>Previa en el explorador</v>
      </c>
      <c r="Y559" s="21"/>
      <c r="Z559" s="21"/>
    </row>
    <row r="560" spans="1:26" ht="32.25" customHeight="1" x14ac:dyDescent="0.2">
      <c r="A560" s="17" t="s">
        <v>1221</v>
      </c>
      <c r="B560" s="17" t="s">
        <v>1222</v>
      </c>
      <c r="C560" s="21" t="str">
        <f ca="1">IFERROR(__xludf.DUMMYFUNCTION("GOOGLETRANSLATE($B560,""en"",C$3)"),"Prim Limits")</f>
        <v>Prim Limits</v>
      </c>
      <c r="D560" s="21" t="str">
        <f ca="1">IFERROR(__xludf.DUMMYFUNCTION("GOOGLETRANSLATE($B560,""en"",D$3)"),"Prim Gränser")</f>
        <v>Prim Gränser</v>
      </c>
      <c r="E560" s="21" t="str">
        <f ca="1">IFERROR(__xludf.DUMMYFUNCTION("GOOGLETRANSLATE($B560,""en"",E$3)"),"Limites prim")</f>
        <v>Limites prim</v>
      </c>
      <c r="F560" s="21" t="str">
        <f ca="1">IFERROR(__xludf.DUMMYFUNCTION("GOOGLETRANSLATE($B560,""en"",F$3)"),"Limites prim")</f>
        <v>Limites prim</v>
      </c>
      <c r="G560" s="21" t="str">
        <f ca="1">IFERROR(__xludf.DUMMYFUNCTION("GOOGLETRANSLATE($B560,""en"",G$3)"),"Limites Prim")</f>
        <v>Limites Prim</v>
      </c>
      <c r="H560" s="21" t="str">
        <f ca="1">IFERROR(__xludf.DUMMYFUNCTION("GOOGLETRANSLATE($B560,""en"",H$3)"),"Prim Mugak")</f>
        <v>Prim Mugak</v>
      </c>
      <c r="I560" s="21" t="str">
        <f ca="1">IFERROR(__xludf.DUMMYFUNCTION("GOOGLETRANSLATE($B560,""en"",I$3)"),"límits Prim")</f>
        <v>límits Prim</v>
      </c>
      <c r="J560" s="21" t="str">
        <f ca="1">IFERROR(__xludf.DUMMYFUNCTION("GOOGLETRANSLATE($B560,""en"",J$3)"),"Prim Limits")</f>
        <v>Prim Limits</v>
      </c>
      <c r="K560" s="21" t="str">
        <f ca="1">IFERROR(__xludf.DUMMYFUNCTION("GOOGLETRANSLATE($B560,""en"",K$3)"),"普里姆限制")</f>
        <v>普里姆限制</v>
      </c>
      <c r="L560" s="21" t="str">
        <f ca="1">IFERROR(__xludf.DUMMYFUNCTION("GOOGLETRANSLATE($B560,""en"",L$3)"),"普里姆限制")</f>
        <v>普里姆限制</v>
      </c>
      <c r="M560" s="21" t="str">
        <f ca="1">IFERROR(__xludf.DUMMYFUNCTION("GOOGLETRANSLATE($B560,""en"",M$3)"),"Prim Grenzen")</f>
        <v>Prim Grenzen</v>
      </c>
      <c r="N560" s="21" t="str">
        <f ca="1">IFERROR(__xludf.DUMMYFUNCTION("GOOGLETRANSLATE($B560,""en"",N$3)"),"Prim Όρια")</f>
        <v>Prim Όρια</v>
      </c>
      <c r="O560" s="21" t="str">
        <f ca="1">IFERROR(__xludf.DUMMYFUNCTION("GOOGLETRANSLATE($B560,""en"",O$3)"),"Prim Rajat")</f>
        <v>Prim Rajat</v>
      </c>
      <c r="P560" s="21" t="str">
        <f ca="1">IFERROR(__xludf.DUMMYFUNCTION("GOOGLETRANSLATE($B560,""en"",P$3)"),"Teorainneacha Prim")</f>
        <v>Teorainneacha Prim</v>
      </c>
      <c r="Q560" s="21" t="str">
        <f ca="1">IFERROR(__xludf.DUMMYFUNCTION("GOOGLETRANSLATE($B560,""en"",Q$3)"),"محدودیت ها Prim")</f>
        <v>محدودیت ها Prim</v>
      </c>
      <c r="R560" s="21" t="str">
        <f ca="1">IFERROR(__xludf.DUMMYFUNCTION("GOOGLETRANSLATE($B560,""en"",R$3)"),"גבולות פרים")</f>
        <v>גבולות פרים</v>
      </c>
      <c r="S560" s="21" t="str">
        <f ca="1">IFERROR(__xludf.DUMMYFUNCTION("GOOGLETRANSLATE($B560,""en"",S$3)"),"Prim Limits")</f>
        <v>Prim Limits</v>
      </c>
      <c r="T560" s="21" t="str">
        <f ca="1">IFERROR(__xludf.DUMMYFUNCTION("GOOGLETRANSLATE($B560,""en"",T$3)"),"Prim Grenser")</f>
        <v>Prim Grenser</v>
      </c>
      <c r="U560" s="21" t="str">
        <f ca="1">IFERROR(__xludf.DUMMYFUNCTION("GOOGLETRANSLATE($B560,""en"",U$3)"),"حدود زم")</f>
        <v>حدود زم</v>
      </c>
      <c r="V560" s="21" t="str">
        <f ca="1">IFERROR(__xludf.DUMMYFUNCTION("GOOGLETRANSLATE($B560,""en"",V$3)"),"Prim Granice")</f>
        <v>Prim Granice</v>
      </c>
      <c r="W560" s="21" t="str">
        <f ca="1">IFERROR(__xludf.DUMMYFUNCTION("GOOGLETRANSLATE($B560,""en"",W$3)"),"Prim Пределы")</f>
        <v>Prim Пределы</v>
      </c>
      <c r="X560" s="21" t="str">
        <f ca="1">IFERROR(__xludf.DUMMYFUNCTION("GOOGLETRANSLATE($B560,""en"",X$3)"),"Límites Prim")</f>
        <v>Límites Prim</v>
      </c>
      <c r="Y560" s="21"/>
      <c r="Z560" s="21"/>
    </row>
    <row r="561" spans="1:26" ht="32.25" customHeight="1" x14ac:dyDescent="0.2">
      <c r="A561" s="17" t="s">
        <v>1223</v>
      </c>
      <c r="B561" s="17" t="s">
        <v>1224</v>
      </c>
      <c r="C561" s="21" t="str">
        <f ca="1">IFERROR(__xludf.DUMMYFUNCTION("GOOGLETRANSLATE($B561,""en"",C$3)"),"Prim-Name (default = SeaGull1)")</f>
        <v>Prim-Name (default = SeaGull1)</v>
      </c>
      <c r="D561" s="21" t="str">
        <f ca="1">IFERROR(__xludf.DUMMYFUNCTION("GOOGLETRANSLATE($B561,""en"",D$3)"),"Prim Namn (default = SeaGull1)")</f>
        <v>Prim Namn (default = SeaGull1)</v>
      </c>
      <c r="E561" s="21" t="str">
        <f ca="1">IFERROR(__xludf.DUMMYFUNCTION("GOOGLETRANSLATE($B561,""en"",E$3)"),"Prim Nome (default = SeaGull1)")</f>
        <v>Prim Nome (default = SeaGull1)</v>
      </c>
      <c r="F561" s="21" t="str">
        <f ca="1">IFERROR(__xludf.DUMMYFUNCTION("GOOGLETRANSLATE($B561,""en"",F$3)"),"Prim Nome (default = SeaGull1)")</f>
        <v>Prim Nome (default = SeaGull1)</v>
      </c>
      <c r="G561" s="21" t="str">
        <f ca="1">IFERROR(__xludf.DUMMYFUNCTION("GOOGLETRANSLATE($B561,""en"",G$3)"),"Nom Prim (valeur par défaut = SeaGull1)")</f>
        <v>Nom Prim (valeur par défaut = SeaGull1)</v>
      </c>
      <c r="H561" s="21" t="str">
        <f ca="1">IFERROR(__xludf.DUMMYFUNCTION("GOOGLETRANSLATE($B561,""en"",H$3)"),"Prim izena (lehenetsia = SeaGull1)")</f>
        <v>Prim izena (lehenetsia = SeaGull1)</v>
      </c>
      <c r="I561" s="21" t="str">
        <f ca="1">IFERROR(__xludf.DUMMYFUNCTION("GOOGLETRANSLATE($B561,""en"",I$3)"),"Prim Nom (per defecte = SeaGull1)")</f>
        <v>Prim Nom (per defecte = SeaGull1)</v>
      </c>
      <c r="J561" s="21" t="str">
        <f ca="1">IFERROR(__xludf.DUMMYFUNCTION("GOOGLETRANSLATE($B561,""en"",J$3)"),"Prim Name (default = SeaGull1)")</f>
        <v>Prim Name (default = SeaGull1)</v>
      </c>
      <c r="K561" s="21" t="str">
        <f ca="1">IFERROR(__xludf.DUMMYFUNCTION("GOOGLETRANSLATE($B561,""en"",K$3)"),"普里姆名称（默认值= SeaGull1）")</f>
        <v>普里姆名称（默认值= SeaGull1）</v>
      </c>
      <c r="L561" s="21" t="str">
        <f ca="1">IFERROR(__xludf.DUMMYFUNCTION("GOOGLETRANSLATE($B561,""en"",L$3)"),"普里姆名稱（默認值= SeaGull1）")</f>
        <v>普里姆名稱（默認值= SeaGull1）</v>
      </c>
      <c r="M561" s="21" t="str">
        <f ca="1">IFERROR(__xludf.DUMMYFUNCTION("GOOGLETRANSLATE($B561,""en"",M$3)"),"Prim Name (default = SeaGull1)")</f>
        <v>Prim Name (default = SeaGull1)</v>
      </c>
      <c r="N561" s="21" t="str">
        <f ca="1">IFERROR(__xludf.DUMMYFUNCTION("GOOGLETRANSLATE($B561,""en"",N$3)"),"Prim Όνομα (προεπιλογή = SeaGull1)")</f>
        <v>Prim Όνομα (προεπιλογή = SeaGull1)</v>
      </c>
      <c r="O561" s="21" t="str">
        <f ca="1">IFERROR(__xludf.DUMMYFUNCTION("GOOGLETRANSLATE($B561,""en"",O$3)"),"Prim Name (oletus = SeaGull1)")</f>
        <v>Prim Name (oletus = SeaGull1)</v>
      </c>
      <c r="P561" s="21" t="str">
        <f ca="1">IFERROR(__xludf.DUMMYFUNCTION("GOOGLETRANSLATE($B561,""en"",P$3)"),"Prim Ainm (réamhshocrú = SeaGull1)")</f>
        <v>Prim Ainm (réamhshocrú = SeaGull1)</v>
      </c>
      <c r="Q561" s="21" t="str">
        <f ca="1">IFERROR(__xludf.DUMMYFUNCTION("GOOGLETRANSLATE($B561,""en"",Q$3)"),"پریم نام (به طور پیش فرض = SeaGull1)")</f>
        <v>پریم نام (به طور پیش فرض = SeaGull1)</v>
      </c>
      <c r="R561" s="21" t="str">
        <f ca="1">IFERROR(__xludf.DUMMYFUNCTION("GOOGLETRANSLATE($B561,""en"",R$3)"),"פרים שם (ברירת המחדל = SeaGull1)")</f>
        <v>פרים שם (ברירת המחדל = SeaGull1)</v>
      </c>
      <c r="S561" s="21" t="str">
        <f ca="1">IFERROR(__xludf.DUMMYFUNCTION("GOOGLETRANSLATE($B561,""en"",S$3)"),"Prim Name (sjálfgefið = SeaGull1)")</f>
        <v>Prim Name (sjálfgefið = SeaGull1)</v>
      </c>
      <c r="T561" s="21" t="str">
        <f ca="1">IFERROR(__xludf.DUMMYFUNCTION("GOOGLETRANSLATE($B561,""en"",T$3)"),"Prim Name (standard = SeaGull1)")</f>
        <v>Prim Name (standard = SeaGull1)</v>
      </c>
      <c r="U561" s="21" t="str">
        <f ca="1">IFERROR(__xludf.DUMMYFUNCTION("GOOGLETRANSLATE($B561,""en"",U$3)"),"متزمت اسم (الافتراضي = SeaGull1)")</f>
        <v>متزمت اسم (الافتراضي = SeaGull1)</v>
      </c>
      <c r="V561" s="21" t="str">
        <f ca="1">IFERROR(__xludf.DUMMYFUNCTION("GOOGLETRANSLATE($B561,""en"",V$3)"),"Prim Nazwa (default = SeaGull1)")</f>
        <v>Prim Nazwa (default = SeaGull1)</v>
      </c>
      <c r="W561" s="21" t="str">
        <f ca="1">IFERROR(__xludf.DUMMYFUNCTION("GOOGLETRANSLATE($B561,""en"",W$3)"),"Prim Имя (по умолчанию = SeaGull1)")</f>
        <v>Prim Имя (по умолчанию = SeaGull1)</v>
      </c>
      <c r="X561" s="21" t="str">
        <f ca="1">IFERROR(__xludf.DUMMYFUNCTION("GOOGLETRANSLATE($B561,""en"",X$3)"),"Prim Nombre (por defecto = SeaGull1)")</f>
        <v>Prim Nombre (por defecto = SeaGull1)</v>
      </c>
      <c r="Y561" s="21"/>
      <c r="Z561" s="21"/>
    </row>
    <row r="562" spans="1:26" ht="32.25" customHeight="1" x14ac:dyDescent="0.2">
      <c r="A562" s="17" t="s">
        <v>1225</v>
      </c>
      <c r="B562" s="17" t="s">
        <v>1225</v>
      </c>
      <c r="C562" s="21" t="str">
        <f ca="1">IFERROR(__xludf.DUMMYFUNCTION("GOOGLETRANSLATE($B562,""en"",C$3)"),"Drucken")</f>
        <v>Drucken</v>
      </c>
      <c r="D562" s="21" t="str">
        <f ca="1">IFERROR(__xludf.DUMMYFUNCTION("GOOGLETRANSLATE($B562,""en"",D$3)"),"Skriva ut")</f>
        <v>Skriva ut</v>
      </c>
      <c r="E562" s="21" t="str">
        <f ca="1">IFERROR(__xludf.DUMMYFUNCTION("GOOGLETRANSLATE($B562,""en"",E$3)"),"Impressão")</f>
        <v>Impressão</v>
      </c>
      <c r="F562" s="21" t="str">
        <f ca="1">IFERROR(__xludf.DUMMYFUNCTION("GOOGLETRANSLATE($B562,""en"",F$3)"),"Impressão")</f>
        <v>Impressão</v>
      </c>
      <c r="G562" s="21" t="str">
        <f ca="1">IFERROR(__xludf.DUMMYFUNCTION("GOOGLETRANSLATE($B562,""en"",G$3)"),"Impression")</f>
        <v>Impression</v>
      </c>
      <c r="H562" s="21" t="str">
        <f ca="1">IFERROR(__xludf.DUMMYFUNCTION("GOOGLETRANSLATE($B562,""en"",H$3)"),"Inprimatu")</f>
        <v>Inprimatu</v>
      </c>
      <c r="I562" s="21" t="str">
        <f ca="1">IFERROR(__xludf.DUMMYFUNCTION("GOOGLETRANSLATE($B562,""en"",I$3)"),"Imprimir")</f>
        <v>Imprimir</v>
      </c>
      <c r="J562" s="21" t="str">
        <f ca="1">IFERROR(__xludf.DUMMYFUNCTION("GOOGLETRANSLATE($B562,""en"",J$3)"),"Tisk")</f>
        <v>Tisk</v>
      </c>
      <c r="K562" s="21" t="str">
        <f ca="1">IFERROR(__xludf.DUMMYFUNCTION("GOOGLETRANSLATE($B562,""en"",K$3)"),"打印")</f>
        <v>打印</v>
      </c>
      <c r="L562" s="21" t="str">
        <f ca="1">IFERROR(__xludf.DUMMYFUNCTION("GOOGLETRANSLATE($B562,""en"",L$3)"),"打印")</f>
        <v>打印</v>
      </c>
      <c r="M562" s="21" t="str">
        <f ca="1">IFERROR(__xludf.DUMMYFUNCTION("GOOGLETRANSLATE($B562,""en"",M$3)"),"Afdrukken")</f>
        <v>Afdrukken</v>
      </c>
      <c r="N562" s="21" t="str">
        <f ca="1">IFERROR(__xludf.DUMMYFUNCTION("GOOGLETRANSLATE($B562,""en"",N$3)"),"Τυπώνω")</f>
        <v>Τυπώνω</v>
      </c>
      <c r="O562" s="21" t="str">
        <f ca="1">IFERROR(__xludf.DUMMYFUNCTION("GOOGLETRANSLATE($B562,""en"",O$3)"),"Tulosta")</f>
        <v>Tulosta</v>
      </c>
      <c r="P562" s="21" t="str">
        <f ca="1">IFERROR(__xludf.DUMMYFUNCTION("GOOGLETRANSLATE($B562,""en"",P$3)"),"Priontáil")</f>
        <v>Priontáil</v>
      </c>
      <c r="Q562" s="21" t="str">
        <f ca="1">IFERROR(__xludf.DUMMYFUNCTION("GOOGLETRANSLATE($B562,""en"",Q$3)"),"چاپ")</f>
        <v>چاپ</v>
      </c>
      <c r="R562" s="21" t="str">
        <f ca="1">IFERROR(__xludf.DUMMYFUNCTION("GOOGLETRANSLATE($B562,""en"",R$3)"),"הדפס")</f>
        <v>הדפס</v>
      </c>
      <c r="S562" s="21" t="str">
        <f ca="1">IFERROR(__xludf.DUMMYFUNCTION("GOOGLETRANSLATE($B562,""en"",S$3)"),"Print")</f>
        <v>Print</v>
      </c>
      <c r="T562" s="21" t="str">
        <f ca="1">IFERROR(__xludf.DUMMYFUNCTION("GOOGLETRANSLATE($B562,""en"",T$3)"),"Skrive ut")</f>
        <v>Skrive ut</v>
      </c>
      <c r="U562" s="21" t="str">
        <f ca="1">IFERROR(__xludf.DUMMYFUNCTION("GOOGLETRANSLATE($B562,""en"",U$3)"),"طباعة")</f>
        <v>طباعة</v>
      </c>
      <c r="V562" s="21" t="str">
        <f ca="1">IFERROR(__xludf.DUMMYFUNCTION("GOOGLETRANSLATE($B562,""en"",V$3)"),"Wydrukować")</f>
        <v>Wydrukować</v>
      </c>
      <c r="W562" s="21" t="str">
        <f ca="1">IFERROR(__xludf.DUMMYFUNCTION("GOOGLETRANSLATE($B562,""en"",W$3)"),"Распечатать")</f>
        <v>Распечатать</v>
      </c>
      <c r="X562" s="21" t="str">
        <f ca="1">IFERROR(__xludf.DUMMYFUNCTION("GOOGLETRANSLATE($B562,""en"",X$3)"),"Impresión")</f>
        <v>Impresión</v>
      </c>
      <c r="Y562" s="21"/>
      <c r="Z562" s="21"/>
    </row>
    <row r="563" spans="1:26" ht="32.25" customHeight="1" x14ac:dyDescent="0.2">
      <c r="A563" s="17" t="s">
        <v>1226</v>
      </c>
      <c r="B563" s="17" t="s">
        <v>1227</v>
      </c>
      <c r="C563" s="21" t="str">
        <f ca="1">IFERROR(__xludf.DUMMYFUNCTION("GOOGLETRANSLATE($B563,""en"",C$3)"),"Privat Port")</f>
        <v>Privat Port</v>
      </c>
      <c r="D563" s="21" t="str">
        <f ca="1">IFERROR(__xludf.DUMMYFUNCTION("GOOGLETRANSLATE($B563,""en"",D$3)"),"Private Port")</f>
        <v>Private Port</v>
      </c>
      <c r="E563" s="21" t="str">
        <f ca="1">IFERROR(__xludf.DUMMYFUNCTION("GOOGLETRANSLATE($B563,""en"",E$3)"),"Porto privado")</f>
        <v>Porto privado</v>
      </c>
      <c r="F563" s="21" t="str">
        <f ca="1">IFERROR(__xludf.DUMMYFUNCTION("GOOGLETRANSLATE($B563,""en"",F$3)"),"Porto privado")</f>
        <v>Porto privado</v>
      </c>
      <c r="G563" s="21" t="str">
        <f ca="1">IFERROR(__xludf.DUMMYFUNCTION("GOOGLETRANSLATE($B563,""en"",G$3)"),"Port privé")</f>
        <v>Port privé</v>
      </c>
      <c r="H563" s="21" t="str">
        <f ca="1">IFERROR(__xludf.DUMMYFUNCTION("GOOGLETRANSLATE($B563,""en"",H$3)"),"Port Pribatua")</f>
        <v>Port Pribatua</v>
      </c>
      <c r="I563" s="21" t="str">
        <f ca="1">IFERROR(__xludf.DUMMYFUNCTION("GOOGLETRANSLATE($B563,""en"",I$3)"),"port privat")</f>
        <v>port privat</v>
      </c>
      <c r="J563" s="21" t="str">
        <f ca="1">IFERROR(__xludf.DUMMYFUNCTION("GOOGLETRANSLATE($B563,""en"",J$3)"),"Private Port")</f>
        <v>Private Port</v>
      </c>
      <c r="K563" s="21" t="str">
        <f ca="1">IFERROR(__xludf.DUMMYFUNCTION("GOOGLETRANSLATE($B563,""en"",K$3)"),"私有端口")</f>
        <v>私有端口</v>
      </c>
      <c r="L563" s="21" t="str">
        <f ca="1">IFERROR(__xludf.DUMMYFUNCTION("GOOGLETRANSLATE($B563,""en"",L$3)"),"私有端口")</f>
        <v>私有端口</v>
      </c>
      <c r="M563" s="21" t="str">
        <f ca="1">IFERROR(__xludf.DUMMYFUNCTION("GOOGLETRANSLATE($B563,""en"",M$3)"),"Private Port")</f>
        <v>Private Port</v>
      </c>
      <c r="N563" s="21" t="str">
        <f ca="1">IFERROR(__xludf.DUMMYFUNCTION("GOOGLETRANSLATE($B563,""en"",N$3)"),"Ιδιωτική Λιμάνι")</f>
        <v>Ιδιωτική Λιμάνι</v>
      </c>
      <c r="O563" s="21" t="str">
        <f ca="1">IFERROR(__xludf.DUMMYFUNCTION("GOOGLETRANSLATE($B563,""en"",O$3)"),"yksityinen Port")</f>
        <v>yksityinen Port</v>
      </c>
      <c r="P563" s="21" t="str">
        <f ca="1">IFERROR(__xludf.DUMMYFUNCTION("GOOGLETRANSLATE($B563,""en"",P$3)"),"Private Port")</f>
        <v>Private Port</v>
      </c>
      <c r="Q563" s="21" t="str">
        <f ca="1">IFERROR(__xludf.DUMMYFUNCTION("GOOGLETRANSLATE($B563,""en"",Q$3)"),"بندر خصوصی")</f>
        <v>بندر خصوصی</v>
      </c>
      <c r="R563" s="21" t="str">
        <f ca="1">IFERROR(__xludf.DUMMYFUNCTION("GOOGLETRANSLATE($B563,""en"",R$3)"),"פרטי נמל")</f>
        <v>פרטי נמל</v>
      </c>
      <c r="S563" s="21" t="str">
        <f ca="1">IFERROR(__xludf.DUMMYFUNCTION("GOOGLETRANSLATE($B563,""en"",S$3)"),"Private Port")</f>
        <v>Private Port</v>
      </c>
      <c r="T563" s="21" t="str">
        <f ca="1">IFERROR(__xludf.DUMMYFUNCTION("GOOGLETRANSLATE($B563,""en"",T$3)"),"private Port")</f>
        <v>private Port</v>
      </c>
      <c r="U563" s="21" t="str">
        <f ca="1">IFERROR(__xludf.DUMMYFUNCTION("GOOGLETRANSLATE($B563,""en"",U$3)"),"ميناء الخاصة")</f>
        <v>ميناء الخاصة</v>
      </c>
      <c r="V563" s="21" t="str">
        <f ca="1">IFERROR(__xludf.DUMMYFUNCTION("GOOGLETRANSLATE($B563,""en"",V$3)"),"Private Port")</f>
        <v>Private Port</v>
      </c>
      <c r="W563" s="21" t="str">
        <f ca="1">IFERROR(__xludf.DUMMYFUNCTION("GOOGLETRANSLATE($B563,""en"",W$3)"),"Private Port")</f>
        <v>Private Port</v>
      </c>
      <c r="X563" s="21" t="str">
        <f ca="1">IFERROR(__xludf.DUMMYFUNCTION("GOOGLETRANSLATE($B563,""en"",X$3)"),"Puerto privado")</f>
        <v>Puerto privado</v>
      </c>
      <c r="Y563" s="21"/>
      <c r="Z563" s="21"/>
    </row>
    <row r="564" spans="1:26" ht="32.25" customHeight="1" x14ac:dyDescent="0.2">
      <c r="A564" s="17" t="s">
        <v>1228</v>
      </c>
      <c r="B564" s="17" t="s">
        <v>1229</v>
      </c>
      <c r="C564" s="21" t="str">
        <f ca="1">IFERROR(__xludf.DUMMYFUNCTION("GOOGLETRANSLATE($B564,""en"",C$3)"),"Produktionsmodus")</f>
        <v>Produktionsmodus</v>
      </c>
      <c r="D564" s="21" t="str">
        <f ca="1">IFERROR(__xludf.DUMMYFUNCTION("GOOGLETRANSLATE($B564,""en"",D$3)"),"Produktionsläge")</f>
        <v>Produktionsläge</v>
      </c>
      <c r="E564" s="21" t="str">
        <f ca="1">IFERROR(__xludf.DUMMYFUNCTION("GOOGLETRANSLATE($B564,""en"",E$3)"),"Modo de produção")</f>
        <v>Modo de produção</v>
      </c>
      <c r="F564" s="21" t="str">
        <f ca="1">IFERROR(__xludf.DUMMYFUNCTION("GOOGLETRANSLATE($B564,""en"",F$3)"),"Modo de produção")</f>
        <v>Modo de produção</v>
      </c>
      <c r="G564" s="21" t="str">
        <f ca="1">IFERROR(__xludf.DUMMYFUNCTION("GOOGLETRANSLATE($B564,""en"",G$3)"),"mode de production")</f>
        <v>mode de production</v>
      </c>
      <c r="H564" s="21" t="str">
        <f ca="1">IFERROR(__xludf.DUMMYFUNCTION("GOOGLETRANSLATE($B564,""en"",H$3)"),"Produkzioaren Mode")</f>
        <v>Produkzioaren Mode</v>
      </c>
      <c r="I564" s="21" t="str">
        <f ca="1">IFERROR(__xludf.DUMMYFUNCTION("GOOGLETRANSLATE($B564,""en"",I$3)"),"Mode de producció")</f>
        <v>Mode de producció</v>
      </c>
      <c r="J564" s="21" t="str">
        <f ca="1">IFERROR(__xludf.DUMMYFUNCTION("GOOGLETRANSLATE($B564,""en"",J$3)"),"Production Mode")</f>
        <v>Production Mode</v>
      </c>
      <c r="K564" s="21" t="str">
        <f ca="1">IFERROR(__xludf.DUMMYFUNCTION("GOOGLETRANSLATE($B564,""en"",K$3)"),"生产模式")</f>
        <v>生产模式</v>
      </c>
      <c r="L564" s="21" t="str">
        <f ca="1">IFERROR(__xludf.DUMMYFUNCTION("GOOGLETRANSLATE($B564,""en"",L$3)"),"生產模式")</f>
        <v>生產模式</v>
      </c>
      <c r="M564" s="21" t="str">
        <f ca="1">IFERROR(__xludf.DUMMYFUNCTION("GOOGLETRANSLATE($B564,""en"",M$3)"),"productie Mode")</f>
        <v>productie Mode</v>
      </c>
      <c r="N564" s="21" t="str">
        <f ca="1">IFERROR(__xludf.DUMMYFUNCTION("GOOGLETRANSLATE($B564,""en"",N$3)"),"Τρόπος παραγωγής")</f>
        <v>Τρόπος παραγωγής</v>
      </c>
      <c r="O564" s="21" t="str">
        <f ca="1">IFERROR(__xludf.DUMMYFUNCTION("GOOGLETRANSLATE($B564,""en"",O$3)"),"tuotanto tila")</f>
        <v>tuotanto tila</v>
      </c>
      <c r="P564" s="21" t="str">
        <f ca="1">IFERROR(__xludf.DUMMYFUNCTION("GOOGLETRANSLATE($B564,""en"",P$3)"),"Mód Táirgeadh")</f>
        <v>Mód Táirgeadh</v>
      </c>
      <c r="Q564" s="21" t="str">
        <f ca="1">IFERROR(__xludf.DUMMYFUNCTION("GOOGLETRANSLATE($B564,""en"",Q$3)"),"حالت تولید")</f>
        <v>حالت تولید</v>
      </c>
      <c r="R564" s="21" t="str">
        <f ca="1">IFERROR(__xludf.DUMMYFUNCTION("GOOGLETRANSLATE($B564,""en"",R$3)"),"מצב הפקה")</f>
        <v>מצב הפקה</v>
      </c>
      <c r="S564" s="21" t="str">
        <f ca="1">IFERROR(__xludf.DUMMYFUNCTION("GOOGLETRANSLATE($B564,""en"",S$3)"),"framleiðsla Mode")</f>
        <v>framleiðsla Mode</v>
      </c>
      <c r="T564" s="21" t="str">
        <f ca="1">IFERROR(__xludf.DUMMYFUNCTION("GOOGLETRANSLATE($B564,""en"",T$3)"),"produksjon Mode")</f>
        <v>produksjon Mode</v>
      </c>
      <c r="U564" s="21" t="str">
        <f ca="1">IFERROR(__xludf.DUMMYFUNCTION("GOOGLETRANSLATE($B564,""en"",U$3)"),"وضع الإنتاج")</f>
        <v>وضع الإنتاج</v>
      </c>
      <c r="V564" s="21" t="str">
        <f ca="1">IFERROR(__xludf.DUMMYFUNCTION("GOOGLETRANSLATE($B564,""en"",V$3)"),"Tryb produkcja")</f>
        <v>Tryb produkcja</v>
      </c>
      <c r="W564" s="21" t="str">
        <f ca="1">IFERROR(__xludf.DUMMYFUNCTION("GOOGLETRANSLATE($B564,""en"",W$3)"),"Режим производства")</f>
        <v>Режим производства</v>
      </c>
      <c r="X564" s="21" t="str">
        <f ca="1">IFERROR(__xludf.DUMMYFUNCTION("GOOGLETRANSLATE($B564,""en"",X$3)"),"Modo de producción")</f>
        <v>Modo de producción</v>
      </c>
      <c r="Y564" s="21"/>
      <c r="Z564" s="21"/>
    </row>
    <row r="565" spans="1:26" ht="32.25" customHeight="1" x14ac:dyDescent="0.2">
      <c r="A565" s="17" t="s">
        <v>1230</v>
      </c>
      <c r="B565" s="17" t="s">
        <v>1231</v>
      </c>
      <c r="C565" s="21" t="str">
        <f ca="1">IFERROR(__xludf.DUMMYFUNCTION("GOOGLETRANSLATE($B565,""en"",C$3)"),"Geben Sie Gezeiteninformationen auf der Konsole?")</f>
        <v>Geben Sie Gezeiteninformationen auf der Konsole?</v>
      </c>
      <c r="D565" s="21" t="str">
        <f ca="1">IFERROR(__xludf.DUMMYFUNCTION("GOOGLETRANSLATE($B565,""en"",D$3)"),"Ge tidvatteninformation på konsolen?")</f>
        <v>Ge tidvatteninformation på konsolen?</v>
      </c>
      <c r="E565" s="21" t="str">
        <f ca="1">IFERROR(__xludf.DUMMYFUNCTION("GOOGLETRANSLATE($B565,""en"",E$3)"),"Fornecer informações maré no console?")</f>
        <v>Fornecer informações maré no console?</v>
      </c>
      <c r="F565" s="21" t="str">
        <f ca="1">IFERROR(__xludf.DUMMYFUNCTION("GOOGLETRANSLATE($B565,""en"",F$3)"),"Fornecer informações maré no console?")</f>
        <v>Fornecer informações maré no console?</v>
      </c>
      <c r="G565" s="21" t="str">
        <f ca="1">IFERROR(__xludf.DUMMYFUNCTION("GOOGLETRANSLATE($B565,""en"",G$3)"),"Fournir des informations de marée sur la console?")</f>
        <v>Fournir des informations de marée sur la console?</v>
      </c>
      <c r="H565" s="21" t="str">
        <f ca="1">IFERROR(__xludf.DUMMYFUNCTION("GOOGLETRANSLATE($B565,""en"",H$3)"),"Marea kontsola buruzko informazioa ematea?")</f>
        <v>Marea kontsola buruzko informazioa ematea?</v>
      </c>
      <c r="I565" s="21" t="str">
        <f ca="1">IFERROR(__xludf.DUMMYFUNCTION("GOOGLETRANSLATE($B565,""en"",I$3)"),"Proporcionar informació de marees a la consola?")</f>
        <v>Proporcionar informació de marees a la consola?</v>
      </c>
      <c r="J565" s="21" t="str">
        <f ca="1">IFERROR(__xludf.DUMMYFUNCTION("GOOGLETRANSLATE($B565,""en"",J$3)"),"Poskytují příliv informací na konzole?")</f>
        <v>Poskytují příliv informací na konzole?</v>
      </c>
      <c r="K565" s="21" t="str">
        <f ca="1">IFERROR(__xludf.DUMMYFUNCTION("GOOGLETRANSLATE($B565,""en"",K$3)"),"提供在控制台上潮的信息？")</f>
        <v>提供在控制台上潮的信息？</v>
      </c>
      <c r="L565" s="21" t="str">
        <f ca="1">IFERROR(__xludf.DUMMYFUNCTION("GOOGLETRANSLATE($B565,""en"",L$3)"),"提供在控制台上潮的信息？")</f>
        <v>提供在控制台上潮的信息？</v>
      </c>
      <c r="M565" s="21" t="str">
        <f ca="1">IFERROR(__xludf.DUMMYFUNCTION("GOOGLETRANSLATE($B565,""en"",M$3)"),"Zorg voor getij informatie over de console?")</f>
        <v>Zorg voor getij informatie over de console?</v>
      </c>
      <c r="N565" s="21" t="str">
        <f ca="1">IFERROR(__xludf.DUMMYFUNCTION("GOOGLETRANSLATE($B565,""en"",N$3)"),"Παροχή πληροφοριών παλίρροια στην κονσόλα;")</f>
        <v>Παροχή πληροφοριών παλίρροια στην κονσόλα;</v>
      </c>
      <c r="O565" s="21" t="str">
        <f ca="1">IFERROR(__xludf.DUMMYFUNCTION("GOOGLETRANSLATE($B565,""en"",O$3)"),"Antavat vuorovesitietoja konsolin?")</f>
        <v>Antavat vuorovesitietoja konsolin?</v>
      </c>
      <c r="P565" s="21" t="str">
        <f ca="1">IFERROR(__xludf.DUMMYFUNCTION("GOOGLETRANSLATE($B565,""en"",P$3)"),"faisnéis taoide ar an consól a chur ar fáil?")</f>
        <v>faisnéis taoide ar an consól a chur ar fáil?</v>
      </c>
      <c r="Q565" s="21" t="str">
        <f ca="1">IFERROR(__xludf.DUMMYFUNCTION("GOOGLETRANSLATE($B565,""en"",Q$3)"),"فراهم می کند که اطلاعات جزر و مد بر روی کنسول؟")</f>
        <v>فراهم می کند که اطلاعات جزر و مد بر روی کنسول؟</v>
      </c>
      <c r="R565" s="21" t="str">
        <f ca="1">IFERROR(__xludf.DUMMYFUNCTION("GOOGLETRANSLATE($B565,""en"",R$3)"),"ספק מידע גאות על הקונסולה?")</f>
        <v>ספק מידע גאות על הקונסולה?</v>
      </c>
      <c r="S565" s="21" t="str">
        <f ca="1">IFERROR(__xludf.DUMMYFUNCTION("GOOGLETRANSLATE($B565,""en"",S$3)"),"Veita fjöru upplýsingar á vélinni?")</f>
        <v>Veita fjöru upplýsingar á vélinni?</v>
      </c>
      <c r="T565" s="21" t="str">
        <f ca="1">IFERROR(__xludf.DUMMYFUNCTION("GOOGLETRANSLATE($B565,""en"",T$3)"),"Gi tidevannsinformasjon på konsollen?")</f>
        <v>Gi tidevannsinformasjon på konsollen?</v>
      </c>
      <c r="U565" s="21" t="str">
        <f ca="1">IFERROR(__xludf.DUMMYFUNCTION("GOOGLETRANSLATE($B565,""en"",U$3)"),"توفير المعلومات المد على وحدة؟")</f>
        <v>توفير المعلومات المد على وحدة؟</v>
      </c>
      <c r="V565" s="21" t="str">
        <f ca="1">IFERROR(__xludf.DUMMYFUNCTION("GOOGLETRANSLATE($B565,""en"",V$3)"),"Dostarczają informacji fala na konsoli?")</f>
        <v>Dostarczają informacji fala na konsoli?</v>
      </c>
      <c r="W565" s="21" t="str">
        <f ca="1">IFERROR(__xludf.DUMMYFUNCTION("GOOGLETRANSLATE($B565,""en"",W$3)"),"Обеспечить прилив информации на консоли?")</f>
        <v>Обеспечить прилив информации на консоли?</v>
      </c>
      <c r="X565" s="21" t="str">
        <f ca="1">IFERROR(__xludf.DUMMYFUNCTION("GOOGLETRANSLATE($B565,""en"",X$3)"),"Proporcionar información de mareas en la consola?")</f>
        <v>Proporcionar información de mareas en la consola?</v>
      </c>
      <c r="Y565" s="21"/>
      <c r="Z565" s="21"/>
    </row>
    <row r="566" spans="1:26" ht="32.25" customHeight="1" x14ac:dyDescent="0.2">
      <c r="A566" s="17" t="s">
        <v>1232</v>
      </c>
      <c r="B566" s="17" t="s">
        <v>1233</v>
      </c>
      <c r="C566" s="21" t="str">
        <f ca="1">IFERROR(__xludf.DUMMYFUNCTION("GOOGLETRANSLATE($B566,""en"",C$3)"),"Öffentliche IP-Setup")</f>
        <v>Öffentliche IP-Setup</v>
      </c>
      <c r="D566" s="21" t="str">
        <f ca="1">IFERROR(__xludf.DUMMYFUNCTION("GOOGLETRANSLATE($B566,""en"",D$3)"),"Offentliga IP-konfiguration")</f>
        <v>Offentliga IP-konfiguration</v>
      </c>
      <c r="E566" s="21" t="str">
        <f ca="1">IFERROR(__xludf.DUMMYFUNCTION("GOOGLETRANSLATE($B566,""en"",E$3)"),"configuração IP público")</f>
        <v>configuração IP público</v>
      </c>
      <c r="F566" s="21" t="str">
        <f ca="1">IFERROR(__xludf.DUMMYFUNCTION("GOOGLETRANSLATE($B566,""en"",F$3)"),"configuração IP público")</f>
        <v>configuração IP público</v>
      </c>
      <c r="G566" s="21" t="str">
        <f ca="1">IFERROR(__xludf.DUMMYFUNCTION("GOOGLETRANSLATE($B566,""en"",G$3)"),"Configuration IP publique")</f>
        <v>Configuration IP publique</v>
      </c>
      <c r="H566" s="21" t="str">
        <f ca="1">IFERROR(__xludf.DUMMYFUNCTION("GOOGLETRANSLATE($B566,""en"",H$3)"),"IP Publikoa konfigurazioa")</f>
        <v>IP Publikoa konfigurazioa</v>
      </c>
      <c r="I566" s="21" t="str">
        <f ca="1">IFERROR(__xludf.DUMMYFUNCTION("GOOGLETRANSLATE($B566,""en"",I$3)"),"configuració IP pública")</f>
        <v>configuració IP pública</v>
      </c>
      <c r="J566" s="21" t="str">
        <f ca="1">IFERROR(__xludf.DUMMYFUNCTION("GOOGLETRANSLATE($B566,""en"",J$3)"),"Nastavení veřejné IP")</f>
        <v>Nastavení veřejné IP</v>
      </c>
      <c r="K566" s="21" t="str">
        <f ca="1">IFERROR(__xludf.DUMMYFUNCTION("GOOGLETRANSLATE($B566,""en"",K$3)"),"公共IP设置")</f>
        <v>公共IP设置</v>
      </c>
      <c r="L566" s="21" t="str">
        <f ca="1">IFERROR(__xludf.DUMMYFUNCTION("GOOGLETRANSLATE($B566,""en"",L$3)"),"公共IP設置")</f>
        <v>公共IP設置</v>
      </c>
      <c r="M566" s="21" t="str">
        <f ca="1">IFERROR(__xludf.DUMMYFUNCTION("GOOGLETRANSLATE($B566,""en"",M$3)"),"Openbaar IP-setup")</f>
        <v>Openbaar IP-setup</v>
      </c>
      <c r="N566" s="21" t="str">
        <f ca="1">IFERROR(__xludf.DUMMYFUNCTION("GOOGLETRANSLATE($B566,""en"",N$3)"),"Ρύθμιση Δημόσια IP")</f>
        <v>Ρύθμιση Δημόσια IP</v>
      </c>
      <c r="O566" s="21" t="str">
        <f ca="1">IFERROR(__xludf.DUMMYFUNCTION("GOOGLETRANSLATE($B566,""en"",O$3)"),"Julkinen IP asetukset")</f>
        <v>Julkinen IP asetukset</v>
      </c>
      <c r="P566" s="21" t="str">
        <f ca="1">IFERROR(__xludf.DUMMYFUNCTION("GOOGLETRANSLATE($B566,""en"",P$3)"),"thus IP Poiblí")</f>
        <v>thus IP Poiblí</v>
      </c>
      <c r="Q566" s="21" t="str">
        <f ca="1">IFERROR(__xludf.DUMMYFUNCTION("GOOGLETRANSLATE($B566,""en"",Q$3)"),"راه اندازی IP عمومی")</f>
        <v>راه اندازی IP عمومی</v>
      </c>
      <c r="R566" s="21" t="str">
        <f ca="1">IFERROR(__xludf.DUMMYFUNCTION("GOOGLETRANSLATE($B566,""en"",R$3)"),"התקנה הציבורית IP")</f>
        <v>התקנה הציבורית IP</v>
      </c>
      <c r="S566" s="21" t="str">
        <f ca="1">IFERROR(__xludf.DUMMYFUNCTION("GOOGLETRANSLATE($B566,""en"",S$3)"),"Public IP skipulag")</f>
        <v>Public IP skipulag</v>
      </c>
      <c r="T566" s="21" t="str">
        <f ca="1">IFERROR(__xludf.DUMMYFUNCTION("GOOGLETRANSLATE($B566,""en"",T$3)"),"Offentlig IP oppsett")</f>
        <v>Offentlig IP oppsett</v>
      </c>
      <c r="U566" s="21" t="str">
        <f ca="1">IFERROR(__xludf.DUMMYFUNCTION("GOOGLETRANSLATE($B566,""en"",U$3)"),"الإعداد IP الجمهور")</f>
        <v>الإعداد IP الجمهور</v>
      </c>
      <c r="V566" s="21" t="str">
        <f ca="1">IFERROR(__xludf.DUMMYFUNCTION("GOOGLETRANSLATE($B566,""en"",V$3)"),"Konfiguracja IP publicznego")</f>
        <v>Konfiguracja IP publicznego</v>
      </c>
      <c r="W566" s="21" t="str">
        <f ca="1">IFERROR(__xludf.DUMMYFUNCTION("GOOGLETRANSLATE($B566,""en"",W$3)"),"Настройка IP публики")</f>
        <v>Настройка IP публики</v>
      </c>
      <c r="X566" s="21" t="str">
        <f ca="1">IFERROR(__xludf.DUMMYFUNCTION("GOOGLETRANSLATE($B566,""en"",X$3)"),"configuración IP pública")</f>
        <v>configuración IP pública</v>
      </c>
      <c r="Y566" s="21"/>
      <c r="Z566" s="21"/>
    </row>
    <row r="567" spans="1:26" ht="32.25" customHeight="1" x14ac:dyDescent="0.2">
      <c r="A567" s="17" t="s">
        <v>1234</v>
      </c>
      <c r="B567" s="17" t="s">
        <v>1235</v>
      </c>
      <c r="C567" s="21" t="str">
        <f ca="1">IFERROR(__xludf.DUMMYFUNCTION("GOOGLETRANSLATE($B567,""en"",C$3)"),"Öffentliches Foto")</f>
        <v>Öffentliches Foto</v>
      </c>
      <c r="D567" s="21" t="str">
        <f ca="1">IFERROR(__xludf.DUMMYFUNCTION("GOOGLETRANSLATE($B567,""en"",D$3)"),"Public Foto")</f>
        <v>Public Foto</v>
      </c>
      <c r="E567" s="21" t="str">
        <f ca="1">IFERROR(__xludf.DUMMYFUNCTION("GOOGLETRANSLATE($B567,""en"",E$3)"),"Foto pública")</f>
        <v>Foto pública</v>
      </c>
      <c r="F567" s="21" t="str">
        <f ca="1">IFERROR(__xludf.DUMMYFUNCTION("GOOGLETRANSLATE($B567,""en"",F$3)"),"Foto pública")</f>
        <v>Foto pública</v>
      </c>
      <c r="G567" s="21" t="str">
        <f ca="1">IFERROR(__xludf.DUMMYFUNCTION("GOOGLETRANSLATE($B567,""en"",G$3)"),"photo publique")</f>
        <v>photo publique</v>
      </c>
      <c r="H567" s="21" t="str">
        <f ca="1">IFERROR(__xludf.DUMMYFUNCTION("GOOGLETRANSLATE($B567,""en"",H$3)"),"Photo Publikoa")</f>
        <v>Photo Publikoa</v>
      </c>
      <c r="I567" s="21" t="str">
        <f ca="1">IFERROR(__xludf.DUMMYFUNCTION("GOOGLETRANSLATE($B567,""en"",I$3)"),"foto pública")</f>
        <v>foto pública</v>
      </c>
      <c r="J567" s="21" t="str">
        <f ca="1">IFERROR(__xludf.DUMMYFUNCTION("GOOGLETRANSLATE($B567,""en"",J$3)"),"Public Photo")</f>
        <v>Public Photo</v>
      </c>
      <c r="K567" s="21" t="str">
        <f ca="1">IFERROR(__xludf.DUMMYFUNCTION("GOOGLETRANSLATE($B567,""en"",K$3)"),"公开照片")</f>
        <v>公开照片</v>
      </c>
      <c r="L567" s="21" t="str">
        <f ca="1">IFERROR(__xludf.DUMMYFUNCTION("GOOGLETRANSLATE($B567,""en"",L$3)"),"公開照片")</f>
        <v>公開照片</v>
      </c>
      <c r="M567" s="21" t="str">
        <f ca="1">IFERROR(__xludf.DUMMYFUNCTION("GOOGLETRANSLATE($B567,""en"",M$3)"),"Public Photo")</f>
        <v>Public Photo</v>
      </c>
      <c r="N567" s="21" t="str">
        <f ca="1">IFERROR(__xludf.DUMMYFUNCTION("GOOGLETRANSLATE($B567,""en"",N$3)"),"Δημόσια Φωτογραφία")</f>
        <v>Δημόσια Φωτογραφία</v>
      </c>
      <c r="O567" s="21" t="str">
        <f ca="1">IFERROR(__xludf.DUMMYFUNCTION("GOOGLETRANSLATE($B567,""en"",O$3)"),"julkinen Photo")</f>
        <v>julkinen Photo</v>
      </c>
      <c r="P567" s="21" t="str">
        <f ca="1">IFERROR(__xludf.DUMMYFUNCTION("GOOGLETRANSLATE($B567,""en"",P$3)"),"Photo Public")</f>
        <v>Photo Public</v>
      </c>
      <c r="Q567" s="21" t="str">
        <f ca="1">IFERROR(__xludf.DUMMYFUNCTION("GOOGLETRANSLATE($B567,""en"",Q$3)"),"عکس عمومی")</f>
        <v>عکس عمومی</v>
      </c>
      <c r="R567" s="21" t="str">
        <f ca="1">IFERROR(__xludf.DUMMYFUNCTION("GOOGLETRANSLATE($B567,""en"",R$3)"),"תמונות ציבוריות")</f>
        <v>תמונות ציבוריות</v>
      </c>
      <c r="S567" s="21" t="str">
        <f ca="1">IFERROR(__xludf.DUMMYFUNCTION("GOOGLETRANSLATE($B567,""en"",S$3)"),"opinber mynd")</f>
        <v>opinber mynd</v>
      </c>
      <c r="T567" s="21" t="str">
        <f ca="1">IFERROR(__xludf.DUMMYFUNCTION("GOOGLETRANSLATE($B567,""en"",T$3)"),"offentlig Photo")</f>
        <v>offentlig Photo</v>
      </c>
      <c r="U567" s="21" t="str">
        <f ca="1">IFERROR(__xludf.DUMMYFUNCTION("GOOGLETRANSLATE($B567,""en"",U$3)"),"صور الجمهور")</f>
        <v>صور الجمهور</v>
      </c>
      <c r="V567" s="21" t="str">
        <f ca="1">IFERROR(__xludf.DUMMYFUNCTION("GOOGLETRANSLATE($B567,""en"",V$3)"),"Ogólnodostępne Zdjęcie")</f>
        <v>Ogólnodostępne Zdjęcie</v>
      </c>
      <c r="W567" s="21" t="str">
        <f ca="1">IFERROR(__xludf.DUMMYFUNCTION("GOOGLETRANSLATE($B567,""en"",W$3)"),"Общественная фотография")</f>
        <v>Общественная фотография</v>
      </c>
      <c r="X567" s="21" t="str">
        <f ca="1">IFERROR(__xludf.DUMMYFUNCTION("GOOGLETRANSLATE($B567,""en"",X$3)"),"Foto pública")</f>
        <v>Foto pública</v>
      </c>
      <c r="Y567" s="21"/>
      <c r="Z567" s="21"/>
    </row>
    <row r="568" spans="1:26" ht="32.25" customHeight="1" x14ac:dyDescent="0.2">
      <c r="A568" s="17" t="s">
        <v>1236</v>
      </c>
      <c r="B568" s="17" t="s">
        <v>1237</v>
      </c>
      <c r="C568" s="21" t="str">
        <f ca="1">IFERROR(__xludf.DUMMYFUNCTION("GOOGLETRANSLATE($B568,""en"",C$3)"),"Werbung")</f>
        <v>Werbung</v>
      </c>
      <c r="D568" s="21" t="str">
        <f ca="1">IFERROR(__xludf.DUMMYFUNCTION("GOOGLETRANSLATE($B568,""en"",D$3)"),"Publicitet")</f>
        <v>Publicitet</v>
      </c>
      <c r="E568" s="21" t="str">
        <f ca="1">IFERROR(__xludf.DUMMYFUNCTION("GOOGLETRANSLATE($B568,""en"",E$3)"),"Publicidade")</f>
        <v>Publicidade</v>
      </c>
      <c r="F568" s="21" t="str">
        <f ca="1">IFERROR(__xludf.DUMMYFUNCTION("GOOGLETRANSLATE($B568,""en"",F$3)"),"Publicidade")</f>
        <v>Publicidade</v>
      </c>
      <c r="G568" s="21" t="str">
        <f ca="1">IFERROR(__xludf.DUMMYFUNCTION("GOOGLETRANSLATE($B568,""en"",G$3)"),"Publicité")</f>
        <v>Publicité</v>
      </c>
      <c r="H568" s="21" t="str">
        <f ca="1">IFERROR(__xludf.DUMMYFUNCTION("GOOGLETRANSLATE($B568,""en"",H$3)"),"publizitatea")</f>
        <v>publizitatea</v>
      </c>
      <c r="I568" s="21" t="str">
        <f ca="1">IFERROR(__xludf.DUMMYFUNCTION("GOOGLETRANSLATE($B568,""en"",I$3)"),"publicitat")</f>
        <v>publicitat</v>
      </c>
      <c r="J568" s="21" t="str">
        <f ca="1">IFERROR(__xludf.DUMMYFUNCTION("GOOGLETRANSLATE($B568,""en"",J$3)"),"Publicita")</f>
        <v>Publicita</v>
      </c>
      <c r="K568" s="21" t="str">
        <f ca="1">IFERROR(__xludf.DUMMYFUNCTION("GOOGLETRANSLATE($B568,""en"",K$3)"),"公开")</f>
        <v>公开</v>
      </c>
      <c r="L568" s="21" t="str">
        <f ca="1">IFERROR(__xludf.DUMMYFUNCTION("GOOGLETRANSLATE($B568,""en"",L$3)"),"公開")</f>
        <v>公開</v>
      </c>
      <c r="M568" s="21" t="str">
        <f ca="1">IFERROR(__xludf.DUMMYFUNCTION("GOOGLETRANSLATE($B568,""en"",M$3)"),"Publiciteit")</f>
        <v>Publiciteit</v>
      </c>
      <c r="N568" s="21" t="str">
        <f ca="1">IFERROR(__xludf.DUMMYFUNCTION("GOOGLETRANSLATE($B568,""en"",N$3)"),"Δημοσιότητα")</f>
        <v>Δημοσιότητα</v>
      </c>
      <c r="O568" s="21" t="str">
        <f ca="1">IFERROR(__xludf.DUMMYFUNCTION("GOOGLETRANSLATE($B568,""en"",O$3)"),"Julkisuus")</f>
        <v>Julkisuus</v>
      </c>
      <c r="P568" s="21" t="str">
        <f ca="1">IFERROR(__xludf.DUMMYFUNCTION("GOOGLETRANSLATE($B568,""en"",P$3)"),"poiblíocht")</f>
        <v>poiblíocht</v>
      </c>
      <c r="Q568" s="21" t="str">
        <f ca="1">IFERROR(__xludf.DUMMYFUNCTION("GOOGLETRANSLATE($B568,""en"",Q$3)"),"تبلیغات")</f>
        <v>تبلیغات</v>
      </c>
      <c r="R568" s="21" t="str">
        <f ca="1">IFERROR(__xludf.DUMMYFUNCTION("GOOGLETRANSLATE($B568,""en"",R$3)"),"פִּרסוּם")</f>
        <v>פִּרסוּם</v>
      </c>
      <c r="S568" s="21" t="str">
        <f ca="1">IFERROR(__xludf.DUMMYFUNCTION("GOOGLETRANSLATE($B568,""en"",S$3)"),"Kynning")</f>
        <v>Kynning</v>
      </c>
      <c r="T568" s="21" t="str">
        <f ca="1">IFERROR(__xludf.DUMMYFUNCTION("GOOGLETRANSLATE($B568,""en"",T$3)"),"Publisitet")</f>
        <v>Publisitet</v>
      </c>
      <c r="U568" s="21" t="str">
        <f ca="1">IFERROR(__xludf.DUMMYFUNCTION("GOOGLETRANSLATE($B568,""en"",U$3)"),"شهره اعلاميه")</f>
        <v>شهره اعلاميه</v>
      </c>
      <c r="V568" s="21" t="str">
        <f ca="1">IFERROR(__xludf.DUMMYFUNCTION("GOOGLETRANSLATE($B568,""en"",V$3)"),"Reklama")</f>
        <v>Reklama</v>
      </c>
      <c r="W568" s="21" t="str">
        <f ca="1">IFERROR(__xludf.DUMMYFUNCTION("GOOGLETRANSLATE($B568,""en"",W$3)"),"публичность")</f>
        <v>публичность</v>
      </c>
      <c r="X568" s="21" t="str">
        <f ca="1">IFERROR(__xludf.DUMMYFUNCTION("GOOGLETRANSLATE($B568,""en"",X$3)"),"Publicidad")</f>
        <v>Publicidad</v>
      </c>
      <c r="Y568" s="21"/>
      <c r="Z568" s="21"/>
    </row>
    <row r="569" spans="1:26" ht="32.25" customHeight="1" x14ac:dyDescent="0.2">
      <c r="A569" s="17" t="s">
        <v>1238</v>
      </c>
      <c r="B569" s="17" t="s">
        <v>1239</v>
      </c>
      <c r="C569" s="21" t="str">
        <f ca="1">IFERROR(__xludf.DUMMYFUNCTION("GOOGLETRANSLATE($B569,""en"",C$3)"),"Veröffentlichen Grid Hyperica.com")</f>
        <v>Veröffentlichen Grid Hyperica.com</v>
      </c>
      <c r="D569" s="21" t="str">
        <f ca="1">IFERROR(__xludf.DUMMYFUNCTION("GOOGLETRANSLATE($B569,""en"",D$3)"),"Publicera Grid till Hyperica.com")</f>
        <v>Publicera Grid till Hyperica.com</v>
      </c>
      <c r="E569" s="21" t="str">
        <f ca="1">IFERROR(__xludf.DUMMYFUNCTION("GOOGLETRANSLATE($B569,""en"",E$3)"),"Publicar Grid para Hyperica.com")</f>
        <v>Publicar Grid para Hyperica.com</v>
      </c>
      <c r="F569" s="21" t="str">
        <f ca="1">IFERROR(__xludf.DUMMYFUNCTION("GOOGLETRANSLATE($B569,""en"",F$3)"),"Publicar Grid para Hyperica.com")</f>
        <v>Publicar Grid para Hyperica.com</v>
      </c>
      <c r="G569" s="21" t="str">
        <f ca="1">IFERROR(__xludf.DUMMYFUNCTION("GOOGLETRANSLATE($B569,""en"",G$3)"),"Publier Grille à Hyperica.com")</f>
        <v>Publier Grille à Hyperica.com</v>
      </c>
      <c r="H569" s="21" t="str">
        <f ca="1">IFERROR(__xludf.DUMMYFUNCTION("GOOGLETRANSLATE($B569,""en"",H$3)"),"Argitaratu Grid Hyperica.com to")</f>
        <v>Argitaratu Grid Hyperica.com to</v>
      </c>
      <c r="I569" s="21" t="str">
        <f ca="1">IFERROR(__xludf.DUMMYFUNCTION("GOOGLETRANSLATE($B569,""en"",I$3)"),"Publicar Grid per Hyperica.com")</f>
        <v>Publicar Grid per Hyperica.com</v>
      </c>
      <c r="J569" s="21" t="str">
        <f ca="1">IFERROR(__xludf.DUMMYFUNCTION("GOOGLETRANSLATE($B569,""en"",J$3)"),"Publikování mřížku Hyperica.com")</f>
        <v>Publikování mřížku Hyperica.com</v>
      </c>
      <c r="K569" s="21" t="str">
        <f ca="1">IFERROR(__xludf.DUMMYFUNCTION("GOOGLETRANSLATE($B569,""en"",K$3)"),"发表格来Hyperica.com")</f>
        <v>发表格来Hyperica.com</v>
      </c>
      <c r="L569" s="21" t="str">
        <f ca="1">IFERROR(__xludf.DUMMYFUNCTION("GOOGLETRANSLATE($B569,""en"",L$3)"),"發表格來Hyperica.com")</f>
        <v>發表格來Hyperica.com</v>
      </c>
      <c r="M569" s="21" t="str">
        <f ca="1">IFERROR(__xludf.DUMMYFUNCTION("GOOGLETRANSLATE($B569,""en"",M$3)"),"Publiceren Raster om Hyperica.com")</f>
        <v>Publiceren Raster om Hyperica.com</v>
      </c>
      <c r="N569" s="21" t="str">
        <f ca="1">IFERROR(__xludf.DUMMYFUNCTION("GOOGLETRANSLATE($B569,""en"",N$3)"),"Δημοσίευση Grid για να Hyperica.com")</f>
        <v>Δημοσίευση Grid για να Hyperica.com</v>
      </c>
      <c r="O569" s="21" t="str">
        <f ca="1">IFERROR(__xludf.DUMMYFUNCTION("GOOGLETRANSLATE($B569,""en"",O$3)"),"Julkaise Grid Hyperica.com")</f>
        <v>Julkaise Grid Hyperica.com</v>
      </c>
      <c r="P569" s="21" t="str">
        <f ca="1">IFERROR(__xludf.DUMMYFUNCTION("GOOGLETRANSLATE($B569,""en"",P$3)"),"Greille fhoilsiú go Hyperica.com")</f>
        <v>Greille fhoilsiú go Hyperica.com</v>
      </c>
      <c r="Q569" s="21" t="str">
        <f ca="1">IFERROR(__xludf.DUMMYFUNCTION("GOOGLETRANSLATE($B569,""en"",Q$3)"),"انتشار شبکه به Hyperica.com")</f>
        <v>انتشار شبکه به Hyperica.com</v>
      </c>
      <c r="R569" s="21" t="str">
        <f ca="1">IFERROR(__xludf.DUMMYFUNCTION("GOOGLETRANSLATE($B569,""en"",R$3)"),"פרסם Grid כדי Hyperica.com")</f>
        <v>פרסם Grid כדי Hyperica.com</v>
      </c>
      <c r="S569" s="21" t="str">
        <f ca="1">IFERROR(__xludf.DUMMYFUNCTION("GOOGLETRANSLATE($B569,""en"",S$3)"),"Birta rist til Hyperica.com")</f>
        <v>Birta rist til Hyperica.com</v>
      </c>
      <c r="T569" s="21" t="str">
        <f ca="1">IFERROR(__xludf.DUMMYFUNCTION("GOOGLETRANSLATE($B569,""en"",T$3)"),"Publisere Grid til Hyperica.com")</f>
        <v>Publisere Grid til Hyperica.com</v>
      </c>
      <c r="U569" s="21" t="str">
        <f ca="1">IFERROR(__xludf.DUMMYFUNCTION("GOOGLETRANSLATE($B569,""en"",U$3)"),"نشر الشبكة لHyperica.com")</f>
        <v>نشر الشبكة لHyperica.com</v>
      </c>
      <c r="V569" s="21" t="str">
        <f ca="1">IFERROR(__xludf.DUMMYFUNCTION("GOOGLETRANSLATE($B569,""en"",V$3)"),"Publikowanie Siatka do Hyperica.com")</f>
        <v>Publikowanie Siatka do Hyperica.com</v>
      </c>
      <c r="W569" s="21" t="str">
        <f ca="1">IFERROR(__xludf.DUMMYFUNCTION("GOOGLETRANSLATE($B569,""en"",W$3)"),"Опубликовать Сетка для Hyperica.com")</f>
        <v>Опубликовать Сетка для Hyperica.com</v>
      </c>
      <c r="X569" s="21" t="str">
        <f ca="1">IFERROR(__xludf.DUMMYFUNCTION("GOOGLETRANSLATE($B569,""en"",X$3)"),"Publicar Grid para Hyperica.com")</f>
        <v>Publicar Grid para Hyperica.com</v>
      </c>
      <c r="Y569" s="21"/>
      <c r="Z569" s="21"/>
    </row>
    <row r="570" spans="1:26" ht="32.25" customHeight="1" x14ac:dyDescent="0.2">
      <c r="A570" s="17" t="s">
        <v>1240</v>
      </c>
      <c r="B570" s="17" t="s">
        <v>1241</v>
      </c>
      <c r="C570" s="21" t="str">
        <f ca="1">IFERROR(__xludf.DUMMYFUNCTION("GOOGLETRANSLATE($B570,""en"",C$3)"),"Veröffentlichen Sie Artikel für die Suche markiert")</f>
        <v>Veröffentlichen Sie Artikel für die Suche markiert</v>
      </c>
      <c r="D570" s="21" t="str">
        <f ca="1">IFERROR(__xludf.DUMMYFUNCTION("GOOGLETRANSLATE($B570,""en"",D$3)"),"Publicera Fält markerade för sök")</f>
        <v>Publicera Fält markerade för sök</v>
      </c>
      <c r="E570" s="21" t="str">
        <f ca="1">IFERROR(__xludf.DUMMYFUNCTION("GOOGLETRANSLATE($B570,""en"",E$3)"),"Publicar os itens marcados para pesquisa")</f>
        <v>Publicar os itens marcados para pesquisa</v>
      </c>
      <c r="F570" s="21" t="str">
        <f ca="1">IFERROR(__xludf.DUMMYFUNCTION("GOOGLETRANSLATE($B570,""en"",F$3)"),"Publicar os itens marcados para pesquisa")</f>
        <v>Publicar os itens marcados para pesquisa</v>
      </c>
      <c r="G570" s="21" t="str">
        <f ca="1">IFERROR(__xludf.DUMMYFUNCTION("GOOGLETRANSLATE($B570,""en"",G$3)"),"Publier des articles marqués pour la recherche")</f>
        <v>Publier des articles marqués pour la recherche</v>
      </c>
      <c r="H570" s="21" t="str">
        <f ca="1">IFERROR(__xludf.DUMMYFUNCTION("GOOGLETRANSLATE($B570,""en"",H$3)"),"Argitaratu bilaketarekin markatutako elementuak")</f>
        <v>Argitaratu bilaketarekin markatutako elementuak</v>
      </c>
      <c r="I570" s="21" t="str">
        <f ca="1">IFERROR(__xludf.DUMMYFUNCTION("GOOGLETRANSLATE($B570,""en"",I$3)"),"Publicar articles marcats per a la recerca")</f>
        <v>Publicar articles marcats per a la recerca</v>
      </c>
      <c r="J570" s="21" t="str">
        <f ca="1">IFERROR(__xludf.DUMMYFUNCTION("GOOGLETRANSLATE($B570,""en"",J$3)"),"Publikovat položky označené pro vyhledávání")</f>
        <v>Publikovat položky označené pro vyhledávání</v>
      </c>
      <c r="K570" s="21" t="str">
        <f ca="1">IFERROR(__xludf.DUMMYFUNCTION("GOOGLETRANSLATE($B570,""en"",K$3)"),"发布标志着搜索项目")</f>
        <v>发布标志着搜索项目</v>
      </c>
      <c r="L570" s="21" t="str">
        <f ca="1">IFERROR(__xludf.DUMMYFUNCTION("GOOGLETRANSLATE($B570,""en"",L$3)"),"發布標誌著搜索項目")</f>
        <v>發布標誌著搜索項目</v>
      </c>
      <c r="M570" s="21" t="str">
        <f ca="1">IFERROR(__xludf.DUMMYFUNCTION("GOOGLETRANSLATE($B570,""en"",M$3)"),"Publiceer Items gemarkeerd voor zoeken")</f>
        <v>Publiceer Items gemarkeerd voor zoeken</v>
      </c>
      <c r="N570" s="21" t="str">
        <f ca="1">IFERROR(__xludf.DUMMYFUNCTION("GOOGLETRANSLATE($B570,""en"",N$3)"),"Δημοσιεύστε Τα στοιχεία που επισημαίνονται για αναζήτηση")</f>
        <v>Δημοσιεύστε Τα στοιχεία που επισημαίνονται για αναζήτηση</v>
      </c>
      <c r="O570" s="21" t="str">
        <f ca="1">IFERROR(__xludf.DUMMYFUNCTION("GOOGLETRANSLATE($B570,""en"",O$3)"),"Julkaise Kentät hakuun")</f>
        <v>Julkaise Kentät hakuun</v>
      </c>
      <c r="P570" s="21" t="str">
        <f ca="1">IFERROR(__xludf.DUMMYFUNCTION("GOOGLETRANSLATE($B570,""en"",P$3)"),"Míreanna marcáilte ar chuardach a fhoilsiú")</f>
        <v>Míreanna marcáilte ar chuardach a fhoilsiú</v>
      </c>
      <c r="Q570" s="21" t="str">
        <f ca="1">IFERROR(__xludf.DUMMYFUNCTION("GOOGLETRANSLATE($B570,""en"",Q$3)"),"انتشار موارد مشخص شده برای جستجو")</f>
        <v>انتشار موارد مشخص شده برای جستجو</v>
      </c>
      <c r="R570" s="21" t="str">
        <f ca="1">IFERROR(__xludf.DUMMYFUNCTION("GOOGLETRANSLATE($B570,""en"",R$3)"),"פרסם פריטי מסומן לחיפוש")</f>
        <v>פרסם פריטי מסומן לחיפוש</v>
      </c>
      <c r="S570" s="21" t="str">
        <f ca="1">IFERROR(__xludf.DUMMYFUNCTION("GOOGLETRANSLATE($B570,""en"",S$3)"),"Birta Hlutir merkt leit")</f>
        <v>Birta Hlutir merkt leit</v>
      </c>
      <c r="T570" s="21" t="str">
        <f ca="1">IFERROR(__xludf.DUMMYFUNCTION("GOOGLETRANSLATE($B570,""en"",T$3)"),"Publisere Felter merket for søk")</f>
        <v>Publisere Felter merket for søk</v>
      </c>
      <c r="U570" s="21" t="str">
        <f ca="1">IFERROR(__xludf.DUMMYFUNCTION("GOOGLETRANSLATE($B570,""en"",U$3)"),"نشر عناصر ملحوظ للبحث")</f>
        <v>نشر عناصر ملحوظ للبحث</v>
      </c>
      <c r="V570" s="21" t="str">
        <f ca="1">IFERROR(__xludf.DUMMYFUNCTION("GOOGLETRANSLATE($B570,""en"",V$3)"),"Publikowanie elementów oznaczonych poszukiwaniu")</f>
        <v>Publikowanie elementów oznaczonych poszukiwaniu</v>
      </c>
      <c r="W570" s="21" t="str">
        <f ca="1">IFERROR(__xludf.DUMMYFUNCTION("GOOGLETRANSLATE($B570,""en"",W$3)"),"Опубликовать Поля отмеченные для поиска")</f>
        <v>Опубликовать Поля отмеченные для поиска</v>
      </c>
      <c r="X570" s="21" t="str">
        <f ca="1">IFERROR(__xludf.DUMMYFUNCTION("GOOGLETRANSLATE($B570,""en"",X$3)"),"Publicar artículos marcados para la búsqueda")</f>
        <v>Publicar artículos marcados para la búsqueda</v>
      </c>
      <c r="Y570" s="21"/>
      <c r="Z570" s="21"/>
    </row>
    <row r="571" spans="1:26" ht="32.25" customHeight="1" x14ac:dyDescent="0.2">
      <c r="A571" s="17" t="s">
        <v>1242</v>
      </c>
      <c r="B571" s="17" t="s">
        <v>1243</v>
      </c>
      <c r="C571" s="21" t="str">
        <f ca="1">IFERROR(__xludf.DUMMYFUNCTION("GOOGLETRANSLATE($B571,""en"",C$3)"),"Jetzt aufhören")</f>
        <v>Jetzt aufhören</v>
      </c>
      <c r="D571" s="21" t="str">
        <f ca="1">IFERROR(__xludf.DUMMYFUNCTION("GOOGLETRANSLATE($B571,""en"",D$3)"),"avsluta nu")</f>
        <v>avsluta nu</v>
      </c>
      <c r="E571" s="21" t="str">
        <f ca="1">IFERROR(__xludf.DUMMYFUNCTION("GOOGLETRANSLATE($B571,""en"",E$3)"),"Sair agora")</f>
        <v>Sair agora</v>
      </c>
      <c r="F571" s="21" t="str">
        <f ca="1">IFERROR(__xludf.DUMMYFUNCTION("GOOGLETRANSLATE($B571,""en"",F$3)"),"Sair agora")</f>
        <v>Sair agora</v>
      </c>
      <c r="G571" s="21" t="str">
        <f ca="1">IFERROR(__xludf.DUMMYFUNCTION("GOOGLETRANSLATE($B571,""en"",G$3)"),"quitter maintenant")</f>
        <v>quitter maintenant</v>
      </c>
      <c r="H571" s="21" t="str">
        <f ca="1">IFERROR(__xludf.DUMMYFUNCTION("GOOGLETRANSLATE($B571,""en"",H$3)"),"irten orain")</f>
        <v>irten orain</v>
      </c>
      <c r="I571" s="21" t="str">
        <f ca="1">IFERROR(__xludf.DUMMYFUNCTION("GOOGLETRANSLATE($B571,""en"",I$3)"),"Ara deixar de fumar")</f>
        <v>Ara deixar de fumar</v>
      </c>
      <c r="J571" s="21" t="str">
        <f ca="1">IFERROR(__xludf.DUMMYFUNCTION("GOOGLETRANSLATE($B571,""en"",J$3)"),"přestat teď")</f>
        <v>přestat teď</v>
      </c>
      <c r="K571" s="21" t="str">
        <f ca="1">IFERROR(__xludf.DUMMYFUNCTION("GOOGLETRANSLATE($B571,""en"",K$3)"),"现在退出")</f>
        <v>现在退出</v>
      </c>
      <c r="L571" s="21" t="str">
        <f ca="1">IFERROR(__xludf.DUMMYFUNCTION("GOOGLETRANSLATE($B571,""en"",L$3)"),"現在退出")</f>
        <v>現在退出</v>
      </c>
      <c r="M571" s="21" t="str">
        <f ca="1">IFERROR(__xludf.DUMMYFUNCTION("GOOGLETRANSLATE($B571,""en"",M$3)"),"Stop nu")</f>
        <v>Stop nu</v>
      </c>
      <c r="N571" s="21" t="str">
        <f ca="1">IFERROR(__xludf.DUMMYFUNCTION("GOOGLETRANSLATE($B571,""en"",N$3)"),"Κλείστε τώρα")</f>
        <v>Κλείστε τώρα</v>
      </c>
      <c r="O571" s="21" t="str">
        <f ca="1">IFERROR(__xludf.DUMMYFUNCTION("GOOGLETRANSLATE($B571,""en"",O$3)"),"Lopeta nyt")</f>
        <v>Lopeta nyt</v>
      </c>
      <c r="P571" s="21" t="str">
        <f ca="1">IFERROR(__xludf.DUMMYFUNCTION("GOOGLETRANSLATE($B571,""en"",P$3)"),"Scoir Anois")</f>
        <v>Scoir Anois</v>
      </c>
      <c r="Q571" s="21" t="str">
        <f ca="1">IFERROR(__xludf.DUMMYFUNCTION("GOOGLETRANSLATE($B571,""en"",Q$3)"),"اکنون ترک")</f>
        <v>اکنون ترک</v>
      </c>
      <c r="R571" s="21" t="str">
        <f ca="1">IFERROR(__xludf.DUMMYFUNCTION("GOOGLETRANSLATE($B571,""en"",R$3)"),"צא עכשיו")</f>
        <v>צא עכשיו</v>
      </c>
      <c r="S571" s="21" t="str">
        <f ca="1">IFERROR(__xludf.DUMMYFUNCTION("GOOGLETRANSLATE($B571,""en"",S$3)"),"hætta núna")</f>
        <v>hætta núna</v>
      </c>
      <c r="T571" s="21" t="str">
        <f ca="1">IFERROR(__xludf.DUMMYFUNCTION("GOOGLETRANSLATE($B571,""en"",T$3)"),"Avslutt nå")</f>
        <v>Avslutt nå</v>
      </c>
      <c r="U571" s="21" t="str">
        <f ca="1">IFERROR(__xludf.DUMMYFUNCTION("GOOGLETRANSLATE($B571,""en"",U$3)"),"الإقلاع عن التدخين الآن")</f>
        <v>الإقلاع عن التدخين الآن</v>
      </c>
      <c r="V571" s="21" t="str">
        <f ca="1">IFERROR(__xludf.DUMMYFUNCTION("GOOGLETRANSLATE($B571,""en"",V$3)"),"Zakończ teraz")</f>
        <v>Zakończ teraz</v>
      </c>
      <c r="W571" s="21" t="str">
        <f ca="1">IFERROR(__xludf.DUMMYFUNCTION("GOOGLETRANSLATE($B571,""en"",W$3)"),"Бросить сейчас")</f>
        <v>Бросить сейчас</v>
      </c>
      <c r="X571" s="21" t="str">
        <f ca="1">IFERROR(__xludf.DUMMYFUNCTION("GOOGLETRANSLATE($B571,""en"",X$3)"),"Renuncia ahora")</f>
        <v>Renuncia ahora</v>
      </c>
      <c r="Y571" s="21"/>
      <c r="Z571" s="21"/>
    </row>
    <row r="572" spans="1:26" ht="32.25" customHeight="1" x14ac:dyDescent="0.2">
      <c r="A572" s="17" t="s">
        <v>1244</v>
      </c>
      <c r="B572" s="17" t="s">
        <v>1245</v>
      </c>
      <c r="C572" s="21" t="str">
        <f ca="1">IFERROR(__xludf.DUMMYFUNCTION("GOOGLETRANSLATE($B572,""en"",C$3)"),"unerwartet beendet.")</f>
        <v>unerwartet beendet.</v>
      </c>
      <c r="D572" s="21" t="str">
        <f ca="1">IFERROR(__xludf.DUMMYFUNCTION("GOOGLETRANSLATE($B572,""en"",D$3)"),"avslutas oväntat.")</f>
        <v>avslutas oväntat.</v>
      </c>
      <c r="E572" s="21" t="str">
        <f ca="1">IFERROR(__xludf.DUMMYFUNCTION("GOOGLETRANSLATE($B572,""en"",E$3)"),"fechar inesperadamente.")</f>
        <v>fechar inesperadamente.</v>
      </c>
      <c r="F572" s="21" t="str">
        <f ca="1">IFERROR(__xludf.DUMMYFUNCTION("GOOGLETRANSLATE($B572,""en"",F$3)"),"fechar inesperadamente.")</f>
        <v>fechar inesperadamente.</v>
      </c>
      <c r="G572" s="21" t="str">
        <f ca="1">IFERROR(__xludf.DUMMYFUNCTION("GOOGLETRANSLATE($B572,""en"",G$3)"),"fermer de façon inattendue.")</f>
        <v>fermer de façon inattendue.</v>
      </c>
      <c r="H572" s="21" t="str">
        <f ca="1">IFERROR(__xludf.DUMMYFUNCTION("GOOGLETRANSLATE($B572,""en"",H$3)"),"irten ustekabean.")</f>
        <v>irten ustekabean.</v>
      </c>
      <c r="I572" s="21" t="str">
        <f ca="1">IFERROR(__xludf.DUMMYFUNCTION("GOOGLETRANSLATE($B572,""en"",I$3)"),"tancar-se de forma inesperada.")</f>
        <v>tancar-se de forma inesperada.</v>
      </c>
      <c r="J572" s="21" t="str">
        <f ca="1">IFERROR(__xludf.DUMMYFUNCTION("GOOGLETRANSLATE($B572,""en"",J$3)"),"neočekávaně.")</f>
        <v>neočekávaně.</v>
      </c>
      <c r="K572" s="21" t="str">
        <f ca="1">IFERROR(__xludf.DUMMYFUNCTION("GOOGLETRANSLATE($B572,""en"",K$3)"),"意外退出。")</f>
        <v>意外退出。</v>
      </c>
      <c r="L572" s="21" t="str">
        <f ca="1">IFERROR(__xludf.DUMMYFUNCTION("GOOGLETRANSLATE($B572,""en"",L$3)"),"意外退出。")</f>
        <v>意外退出。</v>
      </c>
      <c r="M572" s="21" t="str">
        <f ca="1">IFERROR(__xludf.DUMMYFUNCTION("GOOGLETRANSLATE($B572,""en"",M$3)"),"onverwacht afgesloten.")</f>
        <v>onverwacht afgesloten.</v>
      </c>
      <c r="N572" s="21" t="str">
        <f ca="1">IFERROR(__xludf.DUMMYFUNCTION("GOOGLETRANSLATE($B572,""en"",N$3)"),"να κλείσει απροσδόκητα.")</f>
        <v>να κλείσει απροσδόκητα.</v>
      </c>
      <c r="O572" s="21" t="str">
        <f ca="1">IFERROR(__xludf.DUMMYFUNCTION("GOOGLETRANSLATE($B572,""en"",O$3)"),"sulkeutua odottamatta.")</f>
        <v>sulkeutua odottamatta.</v>
      </c>
      <c r="P572" s="21" t="str">
        <f ca="1">IFERROR(__xludf.DUMMYFUNCTION("GOOGLETRANSLATE($B572,""en"",P$3)"),"éirí as an tobac gan choinne.")</f>
        <v>éirí as an tobac gan choinne.</v>
      </c>
      <c r="Q572" s="21" t="str">
        <f ca="1">IFERROR(__xludf.DUMMYFUNCTION("GOOGLETRANSLATE($B572,""en"",Q$3)"),"ترک غیر منتظره.")</f>
        <v>ترک غیر منتظره.</v>
      </c>
      <c r="R572" s="21" t="str">
        <f ca="1">IFERROR(__xludf.DUMMYFUNCTION("GOOGLETRANSLATE($B572,""en"",R$3)"),"להיסגר באופן בלתי צפוי.")</f>
        <v>להיסגר באופן בלתי צפוי.</v>
      </c>
      <c r="S572" s="21" t="str">
        <f ca="1">IFERROR(__xludf.DUMMYFUNCTION("GOOGLETRANSLATE($B572,""en"",S$3)"),"hætta óvænt.")</f>
        <v>hætta óvænt.</v>
      </c>
      <c r="T572" s="21" t="str">
        <f ca="1">IFERROR(__xludf.DUMMYFUNCTION("GOOGLETRANSLATE($B572,""en"",T$3)"),"avsluttes uventet.")</f>
        <v>avsluttes uventet.</v>
      </c>
      <c r="U572" s="21" t="str">
        <f ca="1">IFERROR(__xludf.DUMMYFUNCTION("GOOGLETRANSLATE($B572,""en"",U$3)"),"إنهاء بشكل غير متوقع.")</f>
        <v>إنهاء بشكل غير متوقع.</v>
      </c>
      <c r="V572" s="21" t="str">
        <f ca="1">IFERROR(__xludf.DUMMYFUNCTION("GOOGLETRANSLATE($B572,""en"",V$3)"),"nieoczekiwanie zamknięty.")</f>
        <v>nieoczekiwanie zamknięty.</v>
      </c>
      <c r="W572" s="21" t="str">
        <f ca="1">IFERROR(__xludf.DUMMYFUNCTION("GOOGLETRANSLATE($B572,""en"",W$3)"),"неожиданно завершает работу.")</f>
        <v>неожиданно завершает работу.</v>
      </c>
      <c r="X572" s="21" t="str">
        <f ca="1">IFERROR(__xludf.DUMMYFUNCTION("GOOGLETRANSLATE($B572,""en"",X$3)"),"cerrarse de forma inesperada.")</f>
        <v>cerrarse de forma inesperada.</v>
      </c>
      <c r="Y572" s="21"/>
      <c r="Z572" s="21"/>
    </row>
    <row r="573" spans="1:26" ht="32.25" customHeight="1" x14ac:dyDescent="0.2">
      <c r="A573" s="17" t="s">
        <v>1246</v>
      </c>
      <c r="B573" s="17" t="s">
        <v>1247</v>
      </c>
      <c r="C573" s="21" t="str">
        <f ca="1">IFERROR(__xludf.DUMMYFUNCTION("GOOGLETRANSLATE($B573,""en"",C$3)"),"RAM")</f>
        <v>RAM</v>
      </c>
      <c r="D573" s="21" t="str">
        <f ca="1">IFERROR(__xludf.DUMMYFUNCTION("GOOGLETRANSLATE($B573,""en"",D$3)"),"Bagge")</f>
        <v>Bagge</v>
      </c>
      <c r="E573" s="21" t="str">
        <f ca="1">IFERROR(__xludf.DUMMYFUNCTION("GOOGLETRANSLATE($B573,""en"",E$3)"),"RAM")</f>
        <v>RAM</v>
      </c>
      <c r="F573" s="21" t="str">
        <f ca="1">IFERROR(__xludf.DUMMYFUNCTION("GOOGLETRANSLATE($B573,""en"",F$3)"),"RAM")</f>
        <v>RAM</v>
      </c>
      <c r="G573" s="21" t="str">
        <f ca="1">IFERROR(__xludf.DUMMYFUNCTION("GOOGLETRANSLATE($B573,""en"",G$3)"),"RAM")</f>
        <v>RAM</v>
      </c>
      <c r="H573" s="21" t="str">
        <f ca="1">IFERROR(__xludf.DUMMYFUNCTION("GOOGLETRANSLATE($B573,""en"",H$3)"),"RAM")</f>
        <v>RAM</v>
      </c>
      <c r="I573" s="21" t="str">
        <f ca="1">IFERROR(__xludf.DUMMYFUNCTION("GOOGLETRANSLATE($B573,""en"",I$3)"),"RAM")</f>
        <v>RAM</v>
      </c>
      <c r="J573" s="21" t="str">
        <f ca="1">IFERROR(__xludf.DUMMYFUNCTION("GOOGLETRANSLATE($B573,""en"",J$3)"),"RAM")</f>
        <v>RAM</v>
      </c>
      <c r="K573" s="21" t="str">
        <f ca="1">IFERROR(__xludf.DUMMYFUNCTION("GOOGLETRANSLATE($B573,""en"",K$3)"),"内存")</f>
        <v>内存</v>
      </c>
      <c r="L573" s="21" t="str">
        <f ca="1">IFERROR(__xludf.DUMMYFUNCTION("GOOGLETRANSLATE($B573,""en"",L$3)"),"內存")</f>
        <v>內存</v>
      </c>
      <c r="M573" s="21" t="str">
        <f ca="1">IFERROR(__xludf.DUMMYFUNCTION("GOOGLETRANSLATE($B573,""en"",M$3)"),"RAM")</f>
        <v>RAM</v>
      </c>
      <c r="N573" s="21" t="str">
        <f ca="1">IFERROR(__xludf.DUMMYFUNCTION("GOOGLETRANSLATE($B573,""en"",N$3)"),"ΕΜΒΟΛΟ")</f>
        <v>ΕΜΒΟΛΟ</v>
      </c>
      <c r="O573" s="21" t="str">
        <f ca="1">IFERROR(__xludf.DUMMYFUNCTION("GOOGLETRANSLATE($B573,""en"",O$3)"),"RAM")</f>
        <v>RAM</v>
      </c>
      <c r="P573" s="21" t="str">
        <f ca="1">IFERROR(__xludf.DUMMYFUNCTION("GOOGLETRANSLATE($B573,""en"",P$3)"),"Ram")</f>
        <v>Ram</v>
      </c>
      <c r="Q573" s="21" t="str">
        <f ca="1">IFERROR(__xludf.DUMMYFUNCTION("GOOGLETRANSLATE($B573,""en"",Q$3)"),"رم")</f>
        <v>رم</v>
      </c>
      <c r="R573" s="21" t="str">
        <f ca="1">IFERROR(__xludf.DUMMYFUNCTION("GOOGLETRANSLATE($B573,""en"",R$3)"),"RAM")</f>
        <v>RAM</v>
      </c>
      <c r="S573" s="21" t="str">
        <f ca="1">IFERROR(__xludf.DUMMYFUNCTION("GOOGLETRANSLATE($B573,""en"",S$3)"),"Vinnsluminni")</f>
        <v>Vinnsluminni</v>
      </c>
      <c r="T573" s="21" t="str">
        <f ca="1">IFERROR(__xludf.DUMMYFUNCTION("GOOGLETRANSLATE($B573,""en"",T$3)"),"RAM")</f>
        <v>RAM</v>
      </c>
      <c r="U573" s="21" t="str">
        <f ca="1">IFERROR(__xludf.DUMMYFUNCTION("GOOGLETRANSLATE($B573,""en"",U$3)"),"الرامات ""الذاكرة العشوائية في الهواتف والحواسيب")</f>
        <v>الرامات "الذاكرة العشوائية في الهواتف والحواسيب</v>
      </c>
      <c r="V573" s="21" t="str">
        <f ca="1">IFERROR(__xludf.DUMMYFUNCTION("GOOGLETRANSLATE($B573,""en"",V$3)"),"Baran")</f>
        <v>Baran</v>
      </c>
      <c r="W573" s="21" t="str">
        <f ca="1">IFERROR(__xludf.DUMMYFUNCTION("GOOGLETRANSLATE($B573,""en"",W$3)"),"ОЗУ")</f>
        <v>ОЗУ</v>
      </c>
      <c r="X573" s="21" t="str">
        <f ca="1">IFERROR(__xludf.DUMMYFUNCTION("GOOGLETRANSLATE($B573,""en"",X$3)"),"RAM")</f>
        <v>RAM</v>
      </c>
      <c r="Y573" s="21"/>
      <c r="Z573" s="21"/>
    </row>
    <row r="574" spans="1:26" ht="32.25" customHeight="1" x14ac:dyDescent="0.2">
      <c r="A574" s="17" t="s">
        <v>1248</v>
      </c>
      <c r="B574" s="17" t="s">
        <v>1249</v>
      </c>
      <c r="C574" s="21" t="str">
        <f ca="1">IFERROR(__xludf.DUMMYFUNCTION("GOOGLETRANSLATE($B574,""en"",C$3)"),"Lesen Region Dateien")</f>
        <v>Lesen Region Dateien</v>
      </c>
      <c r="D574" s="21" t="str">
        <f ca="1">IFERROR(__xludf.DUMMYFUNCTION("GOOGLETRANSLATE($B574,""en"",D$3)"),"Läsa Region filer")</f>
        <v>Läsa Region filer</v>
      </c>
      <c r="E574" s="21" t="str">
        <f ca="1">IFERROR(__xludf.DUMMYFUNCTION("GOOGLETRANSLATE($B574,""en"",E$3)"),"arquivos de leitura Região")</f>
        <v>arquivos de leitura Região</v>
      </c>
      <c r="F574" s="21" t="str">
        <f ca="1">IFERROR(__xludf.DUMMYFUNCTION("GOOGLETRANSLATE($B574,""en"",F$3)"),"arquivos de leitura Região")</f>
        <v>arquivos de leitura Região</v>
      </c>
      <c r="G574" s="21" t="str">
        <f ca="1">IFERROR(__xludf.DUMMYFUNCTION("GOOGLETRANSLATE($B574,""en"",G$3)"),"Lecture des fichiers Région")</f>
        <v>Lecture des fichiers Région</v>
      </c>
      <c r="H574" s="21" t="str">
        <f ca="1">IFERROR(__xludf.DUMMYFUNCTION("GOOGLETRANSLATE($B574,""en"",H$3)"),"Reading eskualdea fitxategiak")</f>
        <v>Reading eskualdea fitxategiak</v>
      </c>
      <c r="I574" s="21" t="str">
        <f ca="1">IFERROR(__xludf.DUMMYFUNCTION("GOOGLETRANSLATE($B574,""en"",I$3)"),"arxius de zona de lectura")</f>
        <v>arxius de zona de lectura</v>
      </c>
      <c r="J574" s="21" t="str">
        <f ca="1">IFERROR(__xludf.DUMMYFUNCTION("GOOGLETRANSLATE($B574,""en"",J$3)"),"Soubory čtení Kraj")</f>
        <v>Soubory čtení Kraj</v>
      </c>
      <c r="K574" s="21" t="str">
        <f ca="1">IFERROR(__xludf.DUMMYFUNCTION("GOOGLETRANSLATE($B574,""en"",K$3)"),"读取区域文件")</f>
        <v>读取区域文件</v>
      </c>
      <c r="L574" s="21" t="str">
        <f ca="1">IFERROR(__xludf.DUMMYFUNCTION("GOOGLETRANSLATE($B574,""en"",L$3)"),"讀取區域文件")</f>
        <v>讀取區域文件</v>
      </c>
      <c r="M574" s="21" t="str">
        <f ca="1">IFERROR(__xludf.DUMMYFUNCTION("GOOGLETRANSLATE($B574,""en"",M$3)"),"Reading Region bestanden")</f>
        <v>Reading Region bestanden</v>
      </c>
      <c r="N574" s="21" t="str">
        <f ca="1">IFERROR(__xludf.DUMMYFUNCTION("GOOGLETRANSLATE($B574,""en"",N$3)"),"αρχεία Περιφέρεια Reading")</f>
        <v>αρχεία Περιφέρεια Reading</v>
      </c>
      <c r="O574" s="21" t="str">
        <f ca="1">IFERROR(__xludf.DUMMYFUNCTION("GOOGLETRANSLATE($B574,""en"",O$3)"),"Lukeminen alue tiedostoja")</f>
        <v>Lukeminen alue tiedostoja</v>
      </c>
      <c r="P574" s="21" t="str">
        <f ca="1">IFERROR(__xludf.DUMMYFUNCTION("GOOGLETRANSLATE($B574,""en"",P$3)"),"Comhaid Léitheoireachta Réigiún")</f>
        <v>Comhaid Léitheoireachta Réigiún</v>
      </c>
      <c r="Q574" s="21" t="str">
        <f ca="1">IFERROR(__xludf.DUMMYFUNCTION("GOOGLETRANSLATE($B574,""en"",Q$3)"),"خواندن فایل منطقه")</f>
        <v>خواندن فایل منطقه</v>
      </c>
      <c r="R574" s="21" t="str">
        <f ca="1">IFERROR(__xludf.DUMMYFUNCTION("GOOGLETRANSLATE($B574,""en"",R$3)"),"קבצי אזור רידינג")</f>
        <v>קבצי אזור רידינג</v>
      </c>
      <c r="S574" s="21" t="str">
        <f ca="1">IFERROR(__xludf.DUMMYFUNCTION("GOOGLETRANSLATE($B574,""en"",S$3)"),"Lestur Region skrár")</f>
        <v>Lestur Region skrár</v>
      </c>
      <c r="T574" s="21" t="str">
        <f ca="1">IFERROR(__xludf.DUMMYFUNCTION("GOOGLETRANSLATE($B574,""en"",T$3)"),"Reading Region filer")</f>
        <v>Reading Region filer</v>
      </c>
      <c r="U574" s="21" t="str">
        <f ca="1">IFERROR(__xludf.DUMMYFUNCTION("GOOGLETRANSLATE($B574,""en"",U$3)"),"ملفات القراءة منطقة")</f>
        <v>ملفات القراءة منطقة</v>
      </c>
      <c r="V574" s="21" t="str">
        <f ca="1">IFERROR(__xludf.DUMMYFUNCTION("GOOGLETRANSLATE($B574,""en"",V$3)"),"Pliki Reading Region")</f>
        <v>Pliki Reading Region</v>
      </c>
      <c r="W574" s="21" t="str">
        <f ca="1">IFERROR(__xludf.DUMMYFUNCTION("GOOGLETRANSLATE($B574,""en"",W$3)"),"Файлы для чтения Регион")</f>
        <v>Файлы для чтения Регион</v>
      </c>
      <c r="X574" s="21" t="str">
        <f ca="1">IFERROR(__xludf.DUMMYFUNCTION("GOOGLETRANSLATE($B574,""en"",X$3)"),"archivos de zona de lectura")</f>
        <v>archivos de zona de lectura</v>
      </c>
      <c r="Y574" s="21"/>
      <c r="Z574" s="21"/>
    </row>
    <row r="575" spans="1:26" ht="32.25" customHeight="1" x14ac:dyDescent="0.2">
      <c r="A575" s="17" t="s">
        <v>1250</v>
      </c>
      <c r="B575" s="17" t="s">
        <v>1250</v>
      </c>
      <c r="C575" s="21" t="str">
        <f ca="1">IFERROR(__xludf.DUMMYFUNCTION("GOOGLETRANSLATE($B575,""en"",C$3)"),"Bereit")</f>
        <v>Bereit</v>
      </c>
      <c r="D575" s="21" t="str">
        <f ca="1">IFERROR(__xludf.DUMMYFUNCTION("GOOGLETRANSLATE($B575,""en"",D$3)"),"Redo")</f>
        <v>Redo</v>
      </c>
      <c r="E575" s="21" t="str">
        <f ca="1">IFERROR(__xludf.DUMMYFUNCTION("GOOGLETRANSLATE($B575,""en"",E$3)"),"pronto")</f>
        <v>pronto</v>
      </c>
      <c r="F575" s="21" t="str">
        <f ca="1">IFERROR(__xludf.DUMMYFUNCTION("GOOGLETRANSLATE($B575,""en"",F$3)"),"pronto")</f>
        <v>pronto</v>
      </c>
      <c r="G575" s="21" t="str">
        <f ca="1">IFERROR(__xludf.DUMMYFUNCTION("GOOGLETRANSLATE($B575,""en"",G$3)"),"Prêt")</f>
        <v>Prêt</v>
      </c>
      <c r="H575" s="21" t="str">
        <f ca="1">IFERROR(__xludf.DUMMYFUNCTION("GOOGLETRANSLATE($B575,""en"",H$3)"),"prest")</f>
        <v>prest</v>
      </c>
      <c r="I575" s="21" t="str">
        <f ca="1">IFERROR(__xludf.DUMMYFUNCTION("GOOGLETRANSLATE($B575,""en"",I$3)"),"llest")</f>
        <v>llest</v>
      </c>
      <c r="J575" s="21" t="str">
        <f ca="1">IFERROR(__xludf.DUMMYFUNCTION("GOOGLETRANSLATE($B575,""en"",J$3)"),"připravený")</f>
        <v>připravený</v>
      </c>
      <c r="K575" s="21" t="str">
        <f ca="1">IFERROR(__xludf.DUMMYFUNCTION("GOOGLETRANSLATE($B575,""en"",K$3)"),"准备")</f>
        <v>准备</v>
      </c>
      <c r="L575" s="21" t="str">
        <f ca="1">IFERROR(__xludf.DUMMYFUNCTION("GOOGLETRANSLATE($B575,""en"",L$3)"),"準備")</f>
        <v>準備</v>
      </c>
      <c r="M575" s="21" t="str">
        <f ca="1">IFERROR(__xludf.DUMMYFUNCTION("GOOGLETRANSLATE($B575,""en"",M$3)"),"Klaar")</f>
        <v>Klaar</v>
      </c>
      <c r="N575" s="21" t="str">
        <f ca="1">IFERROR(__xludf.DUMMYFUNCTION("GOOGLETRANSLATE($B575,""en"",N$3)"),"Ετοιμος")</f>
        <v>Ετοιμος</v>
      </c>
      <c r="O575" s="21" t="str">
        <f ca="1">IFERROR(__xludf.DUMMYFUNCTION("GOOGLETRANSLATE($B575,""en"",O$3)"),"Valmis")</f>
        <v>Valmis</v>
      </c>
      <c r="P575" s="21" t="str">
        <f ca="1">IFERROR(__xludf.DUMMYFUNCTION("GOOGLETRANSLATE($B575,""en"",P$3)"),"réidh")</f>
        <v>réidh</v>
      </c>
      <c r="Q575" s="21" t="str">
        <f ca="1">IFERROR(__xludf.DUMMYFUNCTION("GOOGLETRANSLATE($B575,""en"",Q$3)"),"آماده")</f>
        <v>آماده</v>
      </c>
      <c r="R575" s="21" t="str">
        <f ca="1">IFERROR(__xludf.DUMMYFUNCTION("GOOGLETRANSLATE($B575,""en"",R$3)"),"מוּכָן")</f>
        <v>מוּכָן</v>
      </c>
      <c r="S575" s="21" t="str">
        <f ca="1">IFERROR(__xludf.DUMMYFUNCTION("GOOGLETRANSLATE($B575,""en"",S$3)"),"tilbúinn")</f>
        <v>tilbúinn</v>
      </c>
      <c r="T575" s="21" t="str">
        <f ca="1">IFERROR(__xludf.DUMMYFUNCTION("GOOGLETRANSLATE($B575,""en"",T$3)"),"Klar")</f>
        <v>Klar</v>
      </c>
      <c r="U575" s="21" t="str">
        <f ca="1">IFERROR(__xludf.DUMMYFUNCTION("GOOGLETRANSLATE($B575,""en"",U$3)"),"جاهز")</f>
        <v>جاهز</v>
      </c>
      <c r="V575" s="21" t="str">
        <f ca="1">IFERROR(__xludf.DUMMYFUNCTION("GOOGLETRANSLATE($B575,""en"",V$3)"),"Gotowy")</f>
        <v>Gotowy</v>
      </c>
      <c r="W575" s="21" t="str">
        <f ca="1">IFERROR(__xludf.DUMMYFUNCTION("GOOGLETRANSLATE($B575,""en"",W$3)"),"готов")</f>
        <v>готов</v>
      </c>
      <c r="X575" s="21" t="str">
        <f ca="1">IFERROR(__xludf.DUMMYFUNCTION("GOOGLETRANSLATE($B575,""en"",X$3)"),"Listo")</f>
        <v>Listo</v>
      </c>
      <c r="Y575" s="21"/>
      <c r="Z575" s="21"/>
    </row>
    <row r="576" spans="1:26" ht="32.25" customHeight="1" x14ac:dyDescent="0.2">
      <c r="A576" s="17" t="s">
        <v>1251</v>
      </c>
      <c r="B576" s="17" t="s">
        <v>1252</v>
      </c>
      <c r="C576" s="21" t="str">
        <f ca="1">IFERROR(__xludf.DUMMYFUNCTION("GOOGLETRANSLATE($B576,""en"",C$3)"),"Startbereit!")</f>
        <v>Startbereit!</v>
      </c>
      <c r="D576" s="21" t="str">
        <f ca="1">IFERROR(__xludf.DUMMYFUNCTION("GOOGLETRANSLATE($B576,""en"",D$3)"),"Redo att starta!")</f>
        <v>Redo att starta!</v>
      </c>
      <c r="E576" s="21" t="str">
        <f ca="1">IFERROR(__xludf.DUMMYFUNCTION("GOOGLETRANSLATE($B576,""en"",E$3)"),"Pronto para lançar!")</f>
        <v>Pronto para lançar!</v>
      </c>
      <c r="F576" s="21" t="str">
        <f ca="1">IFERROR(__xludf.DUMMYFUNCTION("GOOGLETRANSLATE($B576,""en"",F$3)"),"Pronto para lançar!")</f>
        <v>Pronto para lançar!</v>
      </c>
      <c r="G576" s="21" t="str">
        <f ca="1">IFERROR(__xludf.DUMMYFUNCTION("GOOGLETRANSLATE($B576,""en"",G$3)"),"Prêt à lancer!")</f>
        <v>Prêt à lancer!</v>
      </c>
      <c r="H576" s="21" t="str">
        <f ca="1">IFERROR(__xludf.DUMMYFUNCTION("GOOGLETRANSLATE($B576,""en"",H$3)"),"Prest abiarazteko!")</f>
        <v>Prest abiarazteko!</v>
      </c>
      <c r="I576" s="21" t="str">
        <f ca="1">IFERROR(__xludf.DUMMYFUNCTION("GOOGLETRANSLATE($B576,""en"",I$3)"),"A punt per al llançament!")</f>
        <v>A punt per al llançament!</v>
      </c>
      <c r="J576" s="21" t="str">
        <f ca="1">IFERROR(__xludf.DUMMYFUNCTION("GOOGLETRANSLATE($B576,""en"",J$3)"),"Připraven ke spuštění!")</f>
        <v>Připraven ke spuštění!</v>
      </c>
      <c r="K576" s="21" t="str">
        <f ca="1">IFERROR(__xludf.DUMMYFUNCTION("GOOGLETRANSLATE($B576,""en"",K$3)"),"准备发射！")</f>
        <v>准备发射！</v>
      </c>
      <c r="L576" s="21" t="str">
        <f ca="1">IFERROR(__xludf.DUMMYFUNCTION("GOOGLETRANSLATE($B576,""en"",L$3)"),"準備發射！")</f>
        <v>準備發射！</v>
      </c>
      <c r="M576" s="21" t="str">
        <f ca="1">IFERROR(__xludf.DUMMYFUNCTION("GOOGLETRANSLATE($B576,""en"",M$3)"),"Klaar om te lanceren!")</f>
        <v>Klaar om te lanceren!</v>
      </c>
      <c r="N576" s="21" t="str">
        <f ca="1">IFERROR(__xludf.DUMMYFUNCTION("GOOGLETRANSLATE($B576,""en"",N$3)"),"Έτοιμο να ξεκινήσει!")</f>
        <v>Έτοιμο να ξεκινήσει!</v>
      </c>
      <c r="O576" s="21" t="str">
        <f ca="1">IFERROR(__xludf.DUMMYFUNCTION("GOOGLETRANSLATE($B576,""en"",O$3)"),"Valmis käynnistämään!")</f>
        <v>Valmis käynnistämään!</v>
      </c>
      <c r="P576" s="21" t="str">
        <f ca="1">IFERROR(__xludf.DUMMYFUNCTION("GOOGLETRANSLATE($B576,""en"",P$3)"),"Ready to Launch!")</f>
        <v>Ready to Launch!</v>
      </c>
      <c r="Q576" s="21" t="str">
        <f ca="1">IFERROR(__xludf.DUMMYFUNCTION("GOOGLETRANSLATE($B576,""en"",Q$3)"),"آماده برای راه اندازی!")</f>
        <v>آماده برای راه اندازی!</v>
      </c>
      <c r="R576" s="21" t="str">
        <f ca="1">IFERROR(__xludf.DUMMYFUNCTION("GOOGLETRANSLATE($B576,""en"",R$3)"),"מוכן להשקה!")</f>
        <v>מוכן להשקה!</v>
      </c>
      <c r="S576" s="21" t="str">
        <f ca="1">IFERROR(__xludf.DUMMYFUNCTION("GOOGLETRANSLATE($B576,""en"",S$3)"),"Tilbúinn að ráðast!")</f>
        <v>Tilbúinn að ráðast!</v>
      </c>
      <c r="T576" s="21" t="str">
        <f ca="1">IFERROR(__xludf.DUMMYFUNCTION("GOOGLETRANSLATE($B576,""en"",T$3)"),"Klar til å starte!")</f>
        <v>Klar til å starte!</v>
      </c>
      <c r="U576" s="21" t="str">
        <f ca="1">IFERROR(__xludf.DUMMYFUNCTION("GOOGLETRANSLATE($B576,""en"",U$3)"),"استعداد لإطلاق!")</f>
        <v>استعداد لإطلاق!</v>
      </c>
      <c r="V576" s="21" t="str">
        <f ca="1">IFERROR(__xludf.DUMMYFUNCTION("GOOGLETRANSLATE($B576,""en"",V$3)"),"Gotowy do uruchomienia!")</f>
        <v>Gotowy do uruchomienia!</v>
      </c>
      <c r="W576" s="21" t="str">
        <f ca="1">IFERROR(__xludf.DUMMYFUNCTION("GOOGLETRANSLATE($B576,""en"",W$3)"),"Готов к запуску!")</f>
        <v>Готов к запуску!</v>
      </c>
      <c r="X576" s="21" t="str">
        <f ca="1">IFERROR(__xludf.DUMMYFUNCTION("GOOGLETRANSLATE($B576,""en"",X$3)"),"¡Listo para lanzar!")</f>
        <v>¡Listo para lanzar!</v>
      </c>
      <c r="Y576" s="21"/>
      <c r="Z576" s="21"/>
    </row>
    <row r="577" spans="1:26" ht="32.25" customHeight="1" x14ac:dyDescent="0.2">
      <c r="A577" s="17" t="s">
        <v>1253</v>
      </c>
      <c r="B577" s="17" t="s">
        <v>1254</v>
      </c>
      <c r="C577" s="21" t="str">
        <f ca="1">IFERROR(__xludf.DUMMYFUNCTION("GOOGLETRANSLATE($B577,""en"",C$3)"),"Recyceln")</f>
        <v>Recyceln</v>
      </c>
      <c r="D577" s="21" t="str">
        <f ca="1">IFERROR(__xludf.DUMMYFUNCTION("GOOGLETRANSLATE($B577,""en"",D$3)"),"Återvinna")</f>
        <v>Återvinna</v>
      </c>
      <c r="E577" s="21" t="str">
        <f ca="1">IFERROR(__xludf.DUMMYFUNCTION("GOOGLETRANSLATE($B577,""en"",E$3)"),"Reciclar")</f>
        <v>Reciclar</v>
      </c>
      <c r="F577" s="21" t="str">
        <f ca="1">IFERROR(__xludf.DUMMYFUNCTION("GOOGLETRANSLATE($B577,""en"",F$3)"),"Reciclar")</f>
        <v>Reciclar</v>
      </c>
      <c r="G577" s="21" t="str">
        <f ca="1">IFERROR(__xludf.DUMMYFUNCTION("GOOGLETRANSLATE($B577,""en"",G$3)"),"Recycler")</f>
        <v>Recycler</v>
      </c>
      <c r="H577" s="21" t="str">
        <f ca="1">IFERROR(__xludf.DUMMYFUNCTION("GOOGLETRANSLATE($B577,""en"",H$3)"),"birziklatu")</f>
        <v>birziklatu</v>
      </c>
      <c r="I577" s="21" t="str">
        <f ca="1">IFERROR(__xludf.DUMMYFUNCTION("GOOGLETRANSLATE($B577,""en"",I$3)"),"reciclar")</f>
        <v>reciclar</v>
      </c>
      <c r="J577" s="21" t="str">
        <f ca="1">IFERROR(__xludf.DUMMYFUNCTION("GOOGLETRANSLATE($B577,""en"",J$3)"),"Recyklovat")</f>
        <v>Recyklovat</v>
      </c>
      <c r="K577" s="21" t="str">
        <f ca="1">IFERROR(__xludf.DUMMYFUNCTION("GOOGLETRANSLATE($B577,""en"",K$3)"),"回收")</f>
        <v>回收</v>
      </c>
      <c r="L577" s="21" t="str">
        <f ca="1">IFERROR(__xludf.DUMMYFUNCTION("GOOGLETRANSLATE($B577,""en"",L$3)"),"回收")</f>
        <v>回收</v>
      </c>
      <c r="M577" s="21" t="str">
        <f ca="1">IFERROR(__xludf.DUMMYFUNCTION("GOOGLETRANSLATE($B577,""en"",M$3)"),"Recycle")</f>
        <v>Recycle</v>
      </c>
      <c r="N577" s="21" t="str">
        <f ca="1">IFERROR(__xludf.DUMMYFUNCTION("GOOGLETRANSLATE($B577,""en"",N$3)"),"Ανακυκλωνω")</f>
        <v>Ανακυκλωνω</v>
      </c>
      <c r="O577" s="21" t="str">
        <f ca="1">IFERROR(__xludf.DUMMYFUNCTION("GOOGLETRANSLATE($B577,""en"",O$3)"),"Kierrättää")</f>
        <v>Kierrättää</v>
      </c>
      <c r="P577" s="21" t="str">
        <f ca="1">IFERROR(__xludf.DUMMYFUNCTION("GOOGLETRANSLATE($B577,""en"",P$3)"),"Athchúrsáil")</f>
        <v>Athchúrsáil</v>
      </c>
      <c r="Q577" s="21" t="str">
        <f ca="1">IFERROR(__xludf.DUMMYFUNCTION("GOOGLETRANSLATE($B577,""en"",Q$3)"),"بازیافت")</f>
        <v>بازیافت</v>
      </c>
      <c r="R577" s="21" t="str">
        <f ca="1">IFERROR(__xludf.DUMMYFUNCTION("GOOGLETRANSLATE($B577,""en"",R$3)"),"לְמַחְזֵר")</f>
        <v>לְמַחְזֵר</v>
      </c>
      <c r="S577" s="21" t="str">
        <f ca="1">IFERROR(__xludf.DUMMYFUNCTION("GOOGLETRANSLATE($B577,""en"",S$3)"),"endurvinna")</f>
        <v>endurvinna</v>
      </c>
      <c r="T577" s="21" t="str">
        <f ca="1">IFERROR(__xludf.DUMMYFUNCTION("GOOGLETRANSLATE($B577,""en"",T$3)"),"Resirkulere")</f>
        <v>Resirkulere</v>
      </c>
      <c r="U577" s="21" t="str">
        <f ca="1">IFERROR(__xludf.DUMMYFUNCTION("GOOGLETRANSLATE($B577,""en"",U$3)"),"سلة")</f>
        <v>سلة</v>
      </c>
      <c r="V577" s="21" t="str">
        <f ca="1">IFERROR(__xludf.DUMMYFUNCTION("GOOGLETRANSLATE($B577,""en"",V$3)"),"Recykling")</f>
        <v>Recykling</v>
      </c>
      <c r="W577" s="21" t="str">
        <f ca="1">IFERROR(__xludf.DUMMYFUNCTION("GOOGLETRANSLATE($B577,""en"",W$3)"),"Рециркулировать")</f>
        <v>Рециркулировать</v>
      </c>
      <c r="X577" s="21" t="str">
        <f ca="1">IFERROR(__xludf.DUMMYFUNCTION("GOOGLETRANSLATE($B577,""en"",X$3)"),"Reciclar")</f>
        <v>Reciclar</v>
      </c>
      <c r="Y577" s="21"/>
      <c r="Z577" s="21"/>
    </row>
    <row r="578" spans="1:26" ht="32.25" customHeight="1" x14ac:dyDescent="0.2">
      <c r="A578" s="17" t="s">
        <v>1255</v>
      </c>
      <c r="B578" s="17" t="s">
        <v>1256</v>
      </c>
      <c r="C578" s="21" t="str">
        <f ca="1">IFERROR(__xludf.DUMMYFUNCTION("GOOGLETRANSLATE($B578,""en"",C$3)"),"Aktualisierung")</f>
        <v>Aktualisierung</v>
      </c>
      <c r="D578" s="21" t="str">
        <f ca="1">IFERROR(__xludf.DUMMYFUNCTION("GOOGLETRANSLATE($B578,""en"",D$3)"),"Uppdatera")</f>
        <v>Uppdatera</v>
      </c>
      <c r="E578" s="21" t="str">
        <f ca="1">IFERROR(__xludf.DUMMYFUNCTION("GOOGLETRANSLATE($B578,""en"",E$3)"),"refrescar")</f>
        <v>refrescar</v>
      </c>
      <c r="F578" s="21" t="str">
        <f ca="1">IFERROR(__xludf.DUMMYFUNCTION("GOOGLETRANSLATE($B578,""en"",F$3)"),"refrescar")</f>
        <v>refrescar</v>
      </c>
      <c r="G578" s="21" t="str">
        <f ca="1">IFERROR(__xludf.DUMMYFUNCTION("GOOGLETRANSLATE($B578,""en"",G$3)"),"Rafraîchir")</f>
        <v>Rafraîchir</v>
      </c>
      <c r="H578" s="21" t="str">
        <f ca="1">IFERROR(__xludf.DUMMYFUNCTION("GOOGLETRANSLATE($B578,""en"",H$3)"),"Freskatu")</f>
        <v>Freskatu</v>
      </c>
      <c r="I578" s="21" t="str">
        <f ca="1">IFERROR(__xludf.DUMMYFUNCTION("GOOGLETRANSLATE($B578,""en"",I$3)"),"Actualització")</f>
        <v>Actualització</v>
      </c>
      <c r="J578" s="21" t="str">
        <f ca="1">IFERROR(__xludf.DUMMYFUNCTION("GOOGLETRANSLATE($B578,""en"",J$3)"),"Obnovit")</f>
        <v>Obnovit</v>
      </c>
      <c r="K578" s="21" t="str">
        <f ca="1">IFERROR(__xludf.DUMMYFUNCTION("GOOGLETRANSLATE($B578,""en"",K$3)"),"刷新")</f>
        <v>刷新</v>
      </c>
      <c r="L578" s="21" t="str">
        <f ca="1">IFERROR(__xludf.DUMMYFUNCTION("GOOGLETRANSLATE($B578,""en"",L$3)"),"刷新")</f>
        <v>刷新</v>
      </c>
      <c r="M578" s="21" t="str">
        <f ca="1">IFERROR(__xludf.DUMMYFUNCTION("GOOGLETRANSLATE($B578,""en"",M$3)"),"verversen")</f>
        <v>verversen</v>
      </c>
      <c r="N578" s="21" t="str">
        <f ca="1">IFERROR(__xludf.DUMMYFUNCTION("GOOGLETRANSLATE($B578,""en"",N$3)"),"Φρεσκάρω")</f>
        <v>Φρεσκάρω</v>
      </c>
      <c r="O578" s="21" t="str">
        <f ca="1">IFERROR(__xludf.DUMMYFUNCTION("GOOGLETRANSLATE($B578,""en"",O$3)"),"virkistää")</f>
        <v>virkistää</v>
      </c>
      <c r="P578" s="21" t="str">
        <f ca="1">IFERROR(__xludf.DUMMYFUNCTION("GOOGLETRANSLATE($B578,""en"",P$3)"),"Athnuaigh")</f>
        <v>Athnuaigh</v>
      </c>
      <c r="Q578" s="21" t="str">
        <f ca="1">IFERROR(__xludf.DUMMYFUNCTION("GOOGLETRANSLATE($B578,""en"",Q$3)"),"تازه کردن")</f>
        <v>تازه کردن</v>
      </c>
      <c r="R578" s="21" t="str">
        <f ca="1">IFERROR(__xludf.DUMMYFUNCTION("GOOGLETRANSLATE($B578,""en"",R$3)"),"לְרַעֲנֵן")</f>
        <v>לְרַעֲנֵן</v>
      </c>
      <c r="S578" s="21" t="str">
        <f ca="1">IFERROR(__xludf.DUMMYFUNCTION("GOOGLETRANSLATE($B578,""en"",S$3)"),"Uppfæra")</f>
        <v>Uppfæra</v>
      </c>
      <c r="T578" s="21" t="str">
        <f ca="1">IFERROR(__xludf.DUMMYFUNCTION("GOOGLETRANSLATE($B578,""en"",T$3)"),"Forfriske")</f>
        <v>Forfriske</v>
      </c>
      <c r="U578" s="21" t="str">
        <f ca="1">IFERROR(__xludf.DUMMYFUNCTION("GOOGLETRANSLATE($B578,""en"",U$3)"),"تحديث")</f>
        <v>تحديث</v>
      </c>
      <c r="V578" s="21" t="str">
        <f ca="1">IFERROR(__xludf.DUMMYFUNCTION("GOOGLETRANSLATE($B578,""en"",V$3)"),"Odświeżać")</f>
        <v>Odświeżać</v>
      </c>
      <c r="W578" s="21" t="str">
        <f ca="1">IFERROR(__xludf.DUMMYFUNCTION("GOOGLETRANSLATE($B578,""en"",W$3)"),"обновление")</f>
        <v>обновление</v>
      </c>
      <c r="X578" s="21" t="str">
        <f ca="1">IFERROR(__xludf.DUMMYFUNCTION("GOOGLETRANSLATE($B578,""en"",X$3)"),"Actualizar")</f>
        <v>Actualizar</v>
      </c>
      <c r="Y578" s="21"/>
      <c r="Z578" s="21"/>
    </row>
    <row r="579" spans="1:26" ht="32.25" customHeight="1" x14ac:dyDescent="0.2">
      <c r="A579" s="17" t="s">
        <v>1257</v>
      </c>
      <c r="B579" s="17" t="s">
        <v>1258</v>
      </c>
      <c r="C579" s="21" t="str">
        <f ca="1">IFERROR(__xludf.DUMMYFUNCTION("GOOGLETRANSLATE($B579,""en"",C$3)"),"Erfrischende Free Content (IAR)")</f>
        <v>Erfrischende Free Content (IAR)</v>
      </c>
      <c r="D579" s="21" t="str">
        <f ca="1">IFERROR(__xludf.DUMMYFUNCTION("GOOGLETRANSLATE($B579,""en"",D$3)"),"Uppfriskande gratis innehåll (IAR)")</f>
        <v>Uppfriskande gratis innehåll (IAR)</v>
      </c>
      <c r="E579" s="21" t="str">
        <f ca="1">IFERROR(__xludf.DUMMYFUNCTION("GOOGLETRANSLATE($B579,""en"",E$3)"),"Conteúdo refrescante gratuito (IAR)")</f>
        <v>Conteúdo refrescante gratuito (IAR)</v>
      </c>
      <c r="F579" s="21" t="str">
        <f ca="1">IFERROR(__xludf.DUMMYFUNCTION("GOOGLETRANSLATE($B579,""en"",F$3)"),"Conteúdo refrescante gratuito (IAR)")</f>
        <v>Conteúdo refrescante gratuito (IAR)</v>
      </c>
      <c r="G579" s="21" t="str">
        <f ca="1">IFERROR(__xludf.DUMMYFUNCTION("GOOGLETRANSLATE($B579,""en"",G$3)"),"Contenu gratuit Rafraîchissant (IAR)")</f>
        <v>Contenu gratuit Rafraîchissant (IAR)</v>
      </c>
      <c r="H579" s="21" t="str">
        <f ca="1">IFERROR(__xludf.DUMMYFUNCTION("GOOGLETRANSLATE($B579,""en"",H$3)"),"Freskatzen Free Edukia (iar)")</f>
        <v>Freskatzen Free Edukia (iar)</v>
      </c>
      <c r="I579" s="21" t="str">
        <f ca="1">IFERROR(__xludf.DUMMYFUNCTION("GOOGLETRANSLATE($B579,""en"",I$3)"),"Contingut refrescant gratuït (IAR)")</f>
        <v>Contingut refrescant gratuït (IAR)</v>
      </c>
      <c r="J579" s="21" t="str">
        <f ca="1">IFERROR(__xludf.DUMMYFUNCTION("GOOGLETRANSLATE($B579,""en"",J$3)"),"Osvěžující Free Content (IAR)")</f>
        <v>Osvěžující Free Content (IAR)</v>
      </c>
      <c r="K579" s="21" t="str">
        <f ca="1">IFERROR(__xludf.DUMMYFUNCTION("GOOGLETRANSLATE($B579,""en"",K$3)"),"清爽无内容（IAR）")</f>
        <v>清爽无内容（IAR）</v>
      </c>
      <c r="L579" s="21" t="str">
        <f ca="1">IFERROR(__xludf.DUMMYFUNCTION("GOOGLETRANSLATE($B579,""en"",L$3)"),"清爽無內容（IAR）")</f>
        <v>清爽無內容（IAR）</v>
      </c>
      <c r="M579" s="21" t="str">
        <f ca="1">IFERROR(__xludf.DUMMYFUNCTION("GOOGLETRANSLATE($B579,""en"",M$3)"),"Verfrissende Gratis Content (IAR)")</f>
        <v>Verfrissende Gratis Content (IAR)</v>
      </c>
      <c r="N579" s="21" t="str">
        <f ca="1">IFERROR(__xludf.DUMMYFUNCTION("GOOGLETRANSLATE($B579,""en"",N$3)"),"Αναζωογονητικό Δωρεάν περιεχόμενο (IAR)")</f>
        <v>Αναζωογονητικό Δωρεάν περιεχόμενο (IAR)</v>
      </c>
      <c r="O579" s="21" t="str">
        <f ca="1">IFERROR(__xludf.DUMMYFUNCTION("GOOGLETRANSLATE($B579,""en"",O$3)"),"Virkistävä Vapaa sisältö (IAR)")</f>
        <v>Virkistävä Vapaa sisältö (IAR)</v>
      </c>
      <c r="P579" s="21" t="str">
        <f ca="1">IFERROR(__xludf.DUMMYFUNCTION("GOOGLETRANSLATE($B579,""en"",P$3)"),"Refreshing Free Ábhar (IAR)")</f>
        <v>Refreshing Free Ábhar (IAR)</v>
      </c>
      <c r="Q579" s="21" t="str">
        <f ca="1">IFERROR(__xludf.DUMMYFUNCTION("GOOGLETRANSLATE($B579,""en"",Q$3)"),"محتوا و طراوت رایگان (IAR)")</f>
        <v>محتوا و طراوت رایگان (IAR)</v>
      </c>
      <c r="R579" s="21" t="str">
        <f ca="1">IFERROR(__xludf.DUMMYFUNCTION("GOOGLETRANSLATE($B579,""en"",R$3)"),"מרענן חינם תוכן (IAR)")</f>
        <v>מרענן חינם תוכן (IAR)</v>
      </c>
      <c r="S579" s="21" t="str">
        <f ca="1">IFERROR(__xludf.DUMMYFUNCTION("GOOGLETRANSLATE($B579,""en"",S$3)"),"Hressandi Free Content (IAR)")</f>
        <v>Hressandi Free Content (IAR)</v>
      </c>
      <c r="T579" s="21" t="str">
        <f ca="1">IFERROR(__xludf.DUMMYFUNCTION("GOOGLETRANSLATE($B579,""en"",T$3)"),"Forfriskende Gratis Innhold (IAR)")</f>
        <v>Forfriskende Gratis Innhold (IAR)</v>
      </c>
      <c r="U579" s="21" t="str">
        <f ca="1">IFERROR(__xludf.DUMMYFUNCTION("GOOGLETRANSLATE($B579,""en"",U$3)"),"منعش الحرة المحتوى (IAR)")</f>
        <v>منعش الحرة المحتوى (IAR)</v>
      </c>
      <c r="V579" s="21" t="str">
        <f ca="1">IFERROR(__xludf.DUMMYFUNCTION("GOOGLETRANSLATE($B579,""en"",V$3)"),"Odświeżanie bezpłatny Zawartość (IAR)")</f>
        <v>Odświeżanie bezpłatny Zawartość (IAR)</v>
      </c>
      <c r="W579" s="21" t="str">
        <f ca="1">IFERROR(__xludf.DUMMYFUNCTION("GOOGLETRANSLATE($B579,""en"",W$3)"),"Освежающий Free Content (IAR)")</f>
        <v>Освежающий Free Content (IAR)</v>
      </c>
      <c r="X579" s="21" t="str">
        <f ca="1">IFERROR(__xludf.DUMMYFUNCTION("GOOGLETRANSLATE($B579,""en"",X$3)"),"Contenido refrescante gratuito (IAR)")</f>
        <v>Contenido refrescante gratuito (IAR)</v>
      </c>
      <c r="Y579" s="25"/>
      <c r="Z579" s="25"/>
    </row>
    <row r="580" spans="1:26" ht="32.25" customHeight="1" x14ac:dyDescent="0.2">
      <c r="A580" s="17" t="s">
        <v>1259</v>
      </c>
      <c r="B580" s="17" t="s">
        <v>1260</v>
      </c>
      <c r="C580" s="21" t="str">
        <f ca="1">IFERROR(__xludf.DUMMYFUNCTION("GOOGLETRANSLATE($B580,""en"",C$3)"),"Erfrischende Free Content (OAR)")</f>
        <v>Erfrischende Free Content (OAR)</v>
      </c>
      <c r="D580" s="21" t="str">
        <f ca="1">IFERROR(__xludf.DUMMYFUNCTION("GOOGLETRANSLATE($B580,""en"",D$3)"),"Uppfriskande gratis innehåll (OAR)")</f>
        <v>Uppfriskande gratis innehåll (OAR)</v>
      </c>
      <c r="E580" s="21" t="str">
        <f ca="1">IFERROR(__xludf.DUMMYFUNCTION("GOOGLETRANSLATE($B580,""en"",E$3)"),"Conteúdo refrescante gratuito (OAR)")</f>
        <v>Conteúdo refrescante gratuito (OAR)</v>
      </c>
      <c r="F580" s="21" t="str">
        <f ca="1">IFERROR(__xludf.DUMMYFUNCTION("GOOGLETRANSLATE($B580,""en"",F$3)"),"Conteúdo refrescante gratuito (OAR)")</f>
        <v>Conteúdo refrescante gratuito (OAR)</v>
      </c>
      <c r="G580" s="21" t="str">
        <f ca="1">IFERROR(__xludf.DUMMYFUNCTION("GOOGLETRANSLATE($B580,""en"",G$3)"),"Contenu gratuit Rafraîchissant (OAR)")</f>
        <v>Contenu gratuit Rafraîchissant (OAR)</v>
      </c>
      <c r="H580" s="21" t="str">
        <f ca="1">IFERROR(__xludf.DUMMYFUNCTION("GOOGLETRANSLATE($B580,""en"",H$3)"),"Freskatzen Free Edukia (OAR)")</f>
        <v>Freskatzen Free Edukia (OAR)</v>
      </c>
      <c r="I580" s="21" t="str">
        <f ca="1">IFERROR(__xludf.DUMMYFUNCTION("GOOGLETRANSLATE($B580,""en"",I$3)"),"Contingut refrescant gratuït (OAR)")</f>
        <v>Contingut refrescant gratuït (OAR)</v>
      </c>
      <c r="J580" s="21" t="str">
        <f ca="1">IFERROR(__xludf.DUMMYFUNCTION("GOOGLETRANSLATE($B580,""en"",J$3)"),"Obsah osvěžující zdarma (OPU)")</f>
        <v>Obsah osvěžující zdarma (OPU)</v>
      </c>
      <c r="K580" s="21" t="str">
        <f ca="1">IFERROR(__xludf.DUMMYFUNCTION("GOOGLETRANSLATE($B580,""en"",K$3)"),"清爽无内容（OAR）")</f>
        <v>清爽无内容（OAR）</v>
      </c>
      <c r="L580" s="21" t="str">
        <f ca="1">IFERROR(__xludf.DUMMYFUNCTION("GOOGLETRANSLATE($B580,""en"",L$3)"),"清爽無內容（OAR）")</f>
        <v>清爽無內容（OAR）</v>
      </c>
      <c r="M580" s="21" t="str">
        <f ca="1">IFERROR(__xludf.DUMMYFUNCTION("GOOGLETRANSLATE($B580,""en"",M$3)"),"Verfrissende Gratis Content (OAR)")</f>
        <v>Verfrissende Gratis Content (OAR)</v>
      </c>
      <c r="N580" s="21" t="str">
        <f ca="1">IFERROR(__xludf.DUMMYFUNCTION("GOOGLETRANSLATE($B580,""en"",N$3)"),"Αναζωογονητικό Δωρεάν περιεχόμενο (OAR)")</f>
        <v>Αναζωογονητικό Δωρεάν περιεχόμενο (OAR)</v>
      </c>
      <c r="O580" s="21" t="str">
        <f ca="1">IFERROR(__xludf.DUMMYFUNCTION("GOOGLETRANSLATE($B580,""en"",O$3)"),"Virkistävä Vapaa sisältö (OAR)")</f>
        <v>Virkistävä Vapaa sisältö (OAR)</v>
      </c>
      <c r="P580" s="21" t="str">
        <f ca="1">IFERROR(__xludf.DUMMYFUNCTION("GOOGLETRANSLATE($B580,""en"",P$3)"),"Refreshing Free Ábhar (OAR)")</f>
        <v>Refreshing Free Ábhar (OAR)</v>
      </c>
      <c r="Q580" s="21" t="str">
        <f ca="1">IFERROR(__xludf.DUMMYFUNCTION("GOOGLETRANSLATE($B580,""en"",Q$3)"),"محتوا و طراوت رایگان (پارو)")</f>
        <v>محتوا و طراوت رایگان (پارو)</v>
      </c>
      <c r="R580" s="21" t="str">
        <f ca="1">IFERROR(__xludf.DUMMYFUNCTION("GOOGLETRANSLATE($B580,""en"",R$3)"),"מרענן חינם תוכן (משוט)")</f>
        <v>מרענן חינם תוכן (משוט)</v>
      </c>
      <c r="S580" s="21" t="str">
        <f ca="1">IFERROR(__xludf.DUMMYFUNCTION("GOOGLETRANSLATE($B580,""en"",S$3)"),"Hressandi Free Content (OAR)")</f>
        <v>Hressandi Free Content (OAR)</v>
      </c>
      <c r="T580" s="21" t="str">
        <f ca="1">IFERROR(__xludf.DUMMYFUNCTION("GOOGLETRANSLATE($B580,""en"",T$3)"),"Forfriskende Gratis Innhold (OAR)")</f>
        <v>Forfriskende Gratis Innhold (OAR)</v>
      </c>
      <c r="U580" s="21" t="str">
        <f ca="1">IFERROR(__xludf.DUMMYFUNCTION("GOOGLETRANSLATE($B580,""en"",U$3)"),"منعش الحرة المحتوى (أور)")</f>
        <v>منعش الحرة المحتوى (أور)</v>
      </c>
      <c r="V580" s="21" t="str">
        <f ca="1">IFERROR(__xludf.DUMMYFUNCTION("GOOGLETRANSLATE($B580,""en"",V$3)"),"Odświeżanie bezpłatny Zawartość (OAR)")</f>
        <v>Odświeżanie bezpłatny Zawartość (OAR)</v>
      </c>
      <c r="W580" s="21" t="str">
        <f ca="1">IFERROR(__xludf.DUMMYFUNCTION("GOOGLETRANSLATE($B580,""en"",W$3)"),"Освежающий Free Content (ОАР)")</f>
        <v>Освежающий Free Content (ОАР)</v>
      </c>
      <c r="X580" s="21" t="str">
        <f ca="1">IFERROR(__xludf.DUMMYFUNCTION("GOOGLETRANSLATE($B580,""en"",X$3)"),"Contenido refrescante gratuito (OAR)")</f>
        <v>Contenido refrescante gratuito (OAR)</v>
      </c>
      <c r="Y580" s="25"/>
      <c r="Z580" s="25"/>
    </row>
    <row r="581" spans="1:26" ht="32.25" customHeight="1" x14ac:dyDescent="0.2">
      <c r="A581" s="17" t="s">
        <v>1261</v>
      </c>
      <c r="B581" s="17" t="s">
        <v>1262</v>
      </c>
      <c r="C581" s="21" t="str">
        <f ca="1">IFERROR(__xludf.DUMMYFUNCTION("GOOGLETRANSLATE($B581,""en"",C$3)"),"Wenn Sie alle Karten löschen, müssen Sie Regenerat Karten, indem sie mit einer Karte Einstellung Neustart")</f>
        <v>Wenn Sie alle Karten löschen, müssen Sie Regenerat Karten, indem sie mit einer Karte Einstellung Neustart</v>
      </c>
      <c r="D581" s="21" t="str">
        <f ca="1">IFERROR(__xludf.DUMMYFUNCTION("GOOGLETRANSLATE($B581,""en"",D$3)"),"Om du tar bort alla kartor, måste du att regenerera kartor genom att starta med en karta inställning")</f>
        <v>Om du tar bort alla kartor, måste du att regenerera kartor genom att starta med en karta inställning</v>
      </c>
      <c r="E581" s="21" t="str">
        <f ca="1">IFERROR(__xludf.DUMMYFUNCTION("GOOGLETRANSLATE($B581,""en"",E$3)"),"Se você excluir todos os mapas, você precisa mapas regenerados reiniciando com uma configuração de mapa")</f>
        <v>Se você excluir todos os mapas, você precisa mapas regenerados reiniciando com uma configuração de mapa</v>
      </c>
      <c r="F581" s="21" t="str">
        <f ca="1">IFERROR(__xludf.DUMMYFUNCTION("GOOGLETRANSLATE($B581,""en"",F$3)"),"Se você excluir todos os mapas, você precisa mapas regenerados reiniciando com uma configuração de mapa")</f>
        <v>Se você excluir todos os mapas, você precisa mapas regenerados reiniciando com uma configuração de mapa</v>
      </c>
      <c r="G581" s="21" t="str">
        <f ca="1">IFERROR(__xludf.DUMMYFUNCTION("GOOGLETRANSLATE($B581,""en"",G$3)"),"Si vous supprimez toutes les cartes, vous devez cartes régénérés en redémarrant avec un réglage de carte")</f>
        <v>Si vous supprimez toutes les cartes, vous devez cartes régénérés en redémarrant avec un réglage de carte</v>
      </c>
      <c r="H581" s="21" t="str">
        <f ca="1">IFERROR(__xludf.DUMMYFUNCTION("GOOGLETRANSLATE($B581,""en"",H$3)"),"mapa guztiak ezabatzen baduzu, behar birsortzeko mapak mapa ezarpen bat berrabiarazi arabera")</f>
        <v>mapa guztiak ezabatzen baduzu, behar birsortzeko mapak mapa ezarpen bat berrabiarazi arabera</v>
      </c>
      <c r="I581" s="21" t="str">
        <f ca="1">IFERROR(__xludf.DUMMYFUNCTION("GOOGLETRANSLATE($B581,""en"",I$3)"),"Si elimina tots els mapes, cal mapes regenerats mitjançant el reinici amb un valor de MAP")</f>
        <v>Si elimina tots els mapes, cal mapes regenerats mitjançant el reinici amb un valor de MAP</v>
      </c>
      <c r="J581" s="21" t="str">
        <f ca="1">IFERROR(__xludf.DUMMYFUNCTION("GOOGLETRANSLATE($B581,""en"",J$3)"),"Pokud odstraníte všechny mapy, je nutné regenerovat mapy restartování s nastavením mapě")</f>
        <v>Pokud odstraníte všechny mapy, je nutné regenerovat mapy restartování s nastavením mapě</v>
      </c>
      <c r="K581" s="21" t="str">
        <f ca="1">IFERROR(__xludf.DUMMYFUNCTION("GOOGLETRANSLATE($B581,""en"",K$3)"),"如果删除了所有的地图，你用的地图设置重新启动需要重新地图")</f>
        <v>如果删除了所有的地图，你用的地图设置重新启动需要重新地图</v>
      </c>
      <c r="L581" s="21" t="str">
        <f ca="1">IFERROR(__xludf.DUMMYFUNCTION("GOOGLETRANSLATE($B581,""en"",L$3)"),"如果刪除了所有的地圖，你用的地圖設置重新啟動需要重新地圖")</f>
        <v>如果刪除了所有的地圖，你用的地圖設置重新啟動需要重新地圖</v>
      </c>
      <c r="M581" s="21" t="str">
        <f ca="1">IFERROR(__xludf.DUMMYFUNCTION("GOOGLETRANSLATE($B581,""en"",M$3)"),"Als je alle kaarten te verwijderen, moet je wedergeboren kaarten door opnieuw te starten met een kaart instelling")</f>
        <v>Als je alle kaarten te verwijderen, moet je wedergeboren kaarten door opnieuw te starten met een kaart instelling</v>
      </c>
      <c r="N581" s="21" t="str">
        <f ca="1">IFERROR(__xludf.DUMMYFUNCTION("GOOGLETRANSLATE($B581,""en"",N$3)"),"Εάν διαγράψετε όλους τους χάρτες, θα πρέπει να αναγεννηθούν χάρτες με την επανεκκίνηση με ρύθμιση χάρτη")</f>
        <v>Εάν διαγράψετε όλους τους χάρτες, θα πρέπει να αναγεννηθούν χάρτες με την επανεκκίνηση με ρύθμιση χάρτη</v>
      </c>
      <c r="O581" s="21" t="str">
        <f ca="1">IFERROR(__xludf.DUMMYFUNCTION("GOOGLETRANSLATE($B581,""en"",O$3)"),"Jos poistat kaikki kartat, sinun täytyy uudistaa karttoja uudelleenkäynnistyksen kartan asetuksella")</f>
        <v>Jos poistat kaikki kartat, sinun täytyy uudistaa karttoja uudelleenkäynnistyksen kartan asetuksella</v>
      </c>
      <c r="P581" s="21" t="str">
        <f ca="1">IFERROR(__xludf.DUMMYFUNCTION("GOOGLETRANSLATE($B581,""en"",P$3)"),"Má scriosann gach léarscáil, is gá duit a léarscáileanna athghiniúint trí restarting le suíomh léarscáil")</f>
        <v>Má scriosann gach léarscáil, is gá duit a léarscáileanna athghiniúint trí restarting le suíomh léarscáil</v>
      </c>
      <c r="Q581" s="21" t="str">
        <f ca="1">IFERROR(__xludf.DUMMYFUNCTION("GOOGLETRANSLATE($B581,""en"",Q$3)"),"اگر شما تمامی نقشه ها را حذف کنید، شما را به نقشه های بازسازی نیاز با راه اندازی مجدد با یک تنظیم نقشه")</f>
        <v>اگر شما تمامی نقشه ها را حذف کنید، شما را به نقشه های بازسازی نیاز با راه اندازی مجدد با یک تنظیم نقشه</v>
      </c>
      <c r="R581" s="21" t="str">
        <f ca="1">IFERROR(__xludf.DUMMYFUNCTION("GOOGLETRANSLATE($B581,""en"",R$3)"),"אם תמחק את כל מפות, אתה צריך מפות להתחדש על ידי הפעלה מחדש עם הגדרת מפה")</f>
        <v>אם תמחק את כל מפות, אתה צריך מפות להתחדש על ידי הפעלה מחדש עם הגדרת מפה</v>
      </c>
      <c r="S581" s="21" t="str">
        <f ca="1">IFERROR(__xludf.DUMMYFUNCTION("GOOGLETRANSLATE($B581,""en"",S$3)"),"Ef þú eyðir öllum kortum, þú þarft að endurnýja kort með því að endurræsa með kort stillingu")</f>
        <v>Ef þú eyðir öllum kortum, þú þarft að endurnýja kort með því að endurræsa með kort stillingu</v>
      </c>
      <c r="T581" s="21" t="str">
        <f ca="1">IFERROR(__xludf.DUMMYFUNCTION("GOOGLETRANSLATE($B581,""en"",T$3)"),"Hvis du sletter alle kartene, må du regenerere kart ved å starte med et kart innstilling")</f>
        <v>Hvis du sletter alle kartene, må du regenerere kart ved å starte med et kart innstilling</v>
      </c>
      <c r="U581" s="21" t="str">
        <f ca="1">IFERROR(__xludf.DUMMYFUNCTION("GOOGLETRANSLATE($B581,""en"",U$3)"),"إذا قمت بحذف جميع الخرائط، تحتاج إلى خرائط تجديد عن طريق إعادة تشغيل مع إعداد خريطة")</f>
        <v>إذا قمت بحذف جميع الخرائط، تحتاج إلى خرائط تجديد عن طريق إعادة تشغيل مع إعداد خريطة</v>
      </c>
      <c r="V581" s="21" t="str">
        <f ca="1">IFERROR(__xludf.DUMMYFUNCTION("GOOGLETRANSLATE($B581,""en"",V$3)"),"Jeśli usuniesz wszystkie mapy, trzeba regenerować map przez ponowne uruchomienie z ustawieniem mapy")</f>
        <v>Jeśli usuniesz wszystkie mapy, trzeba regenerować map przez ponowne uruchomienie z ustawieniem mapy</v>
      </c>
      <c r="W581" s="21" t="str">
        <f ca="1">IFERROR(__xludf.DUMMYFUNCTION("GOOGLETRANSLATE($B581,""en"",W$3)"),"Если удалить все карты, вам необходимо регенерировать карты путем перезагрузки с установкой карты")</f>
        <v>Если удалить все карты, вам необходимо регенерировать карты путем перезагрузки с установкой карты</v>
      </c>
      <c r="X581" s="21" t="str">
        <f ca="1">IFERROR(__xludf.DUMMYFUNCTION("GOOGLETRANSLATE($B581,""en"",X$3)"),"Si elimina todos los mapas, es necesario mapas regenerados mediante el reinicio con un valor de MAP")</f>
        <v>Si elimina todos los mapas, es necesario mapas regenerados mediante el reinicio con un valor de MAP</v>
      </c>
      <c r="Y581" s="25"/>
      <c r="Z581" s="25"/>
    </row>
    <row r="582" spans="1:26" ht="32.25" customHeight="1" x14ac:dyDescent="0.2">
      <c r="A582" s="17" t="s">
        <v>1263</v>
      </c>
      <c r="B582" s="17" t="s">
        <v>1264</v>
      </c>
      <c r="C582" s="21" t="str">
        <f ca="1">IFERROR(__xludf.DUMMYFUNCTION("GOOGLETRANSLATE($B582,""en"",C$3)"),"Region bereits vorhanden")</f>
        <v>Region bereits vorhanden</v>
      </c>
      <c r="D582" s="21" t="str">
        <f ca="1">IFERROR(__xludf.DUMMYFUNCTION("GOOGLETRANSLATE($B582,""en"",D$3)"),"Region redan")</f>
        <v>Region redan</v>
      </c>
      <c r="E582" s="21" t="str">
        <f ca="1">IFERROR(__xludf.DUMMYFUNCTION("GOOGLETRANSLATE($B582,""en"",E$3)"),"Região já existe")</f>
        <v>Região já existe</v>
      </c>
      <c r="F582" s="21" t="str">
        <f ca="1">IFERROR(__xludf.DUMMYFUNCTION("GOOGLETRANSLATE($B582,""en"",F$3)"),"Região já existe")</f>
        <v>Região já existe</v>
      </c>
      <c r="G582" s="21" t="str">
        <f ca="1">IFERROR(__xludf.DUMMYFUNCTION("GOOGLETRANSLATE($B582,""en"",G$3)"),"Région existe déjà")</f>
        <v>Région existe déjà</v>
      </c>
      <c r="H582" s="21" t="str">
        <f ca="1">IFERROR(__xludf.DUMMYFUNCTION("GOOGLETRANSLATE($B582,""en"",H$3)"),"Eskualde lehendik dago")</f>
        <v>Eskualde lehendik dago</v>
      </c>
      <c r="I582" s="21" t="str">
        <f ca="1">IFERROR(__xludf.DUMMYFUNCTION("GOOGLETRANSLATE($B582,""en"",I$3)"),"Regió ja existeix")</f>
        <v>Regió ja existeix</v>
      </c>
      <c r="J582" s="21" t="str">
        <f ca="1">IFERROR(__xludf.DUMMYFUNCTION("GOOGLETRANSLATE($B582,""en"",J$3)"),"Region již existuje")</f>
        <v>Region již existuje</v>
      </c>
      <c r="K582" s="21" t="str">
        <f ca="1">IFERROR(__xludf.DUMMYFUNCTION("GOOGLETRANSLATE($B582,""en"",K$3)"),"地区已经存在")</f>
        <v>地区已经存在</v>
      </c>
      <c r="L582" s="21" t="str">
        <f ca="1">IFERROR(__xludf.DUMMYFUNCTION("GOOGLETRANSLATE($B582,""en"",L$3)"),"地區已經存在")</f>
        <v>地區已經存在</v>
      </c>
      <c r="M582" s="21" t="str">
        <f ca="1">IFERROR(__xludf.DUMMYFUNCTION("GOOGLETRANSLATE($B582,""en"",M$3)"),"Region bestaat al")</f>
        <v>Region bestaat al</v>
      </c>
      <c r="N582" s="21" t="str">
        <f ca="1">IFERROR(__xludf.DUMMYFUNCTION("GOOGLETRANSLATE($B582,""en"",N$3)"),"Περιοχή υπάρχει ήδη")</f>
        <v>Περιοχή υπάρχει ήδη</v>
      </c>
      <c r="O582" s="21" t="str">
        <f ca="1">IFERROR(__xludf.DUMMYFUNCTION("GOOGLETRANSLATE($B582,""en"",O$3)"),"Alue on jo olemassa")</f>
        <v>Alue on jo olemassa</v>
      </c>
      <c r="P582" s="21" t="str">
        <f ca="1">IFERROR(__xludf.DUMMYFUNCTION("GOOGLETRANSLATE($B582,""en"",P$3)"),"Réigiún ann cheana")</f>
        <v>Réigiún ann cheana</v>
      </c>
      <c r="Q582" s="21" t="str">
        <f ca="1">IFERROR(__xludf.DUMMYFUNCTION("GOOGLETRANSLATE($B582,""en"",Q$3)"),"منطقه قبلا وجود داشته")</f>
        <v>منطقه قبلا وجود داشته</v>
      </c>
      <c r="R582" s="21" t="str">
        <f ca="1">IFERROR(__xludf.DUMMYFUNCTION("GOOGLETRANSLATE($B582,""en"",R$3)"),"אזור זה כבר קיים")</f>
        <v>אזור זה כבר קיים</v>
      </c>
      <c r="S582" s="21" t="str">
        <f ca="1">IFERROR(__xludf.DUMMYFUNCTION("GOOGLETRANSLATE($B582,""en"",S$3)"),"Svæði er þegar til")</f>
        <v>Svæði er þegar til</v>
      </c>
      <c r="T582" s="21" t="str">
        <f ca="1">IFERROR(__xludf.DUMMYFUNCTION("GOOGLETRANSLATE($B582,""en"",T$3)"),"Region finnes allerede")</f>
        <v>Region finnes allerede</v>
      </c>
      <c r="U582" s="21" t="str">
        <f ca="1">IFERROR(__xludf.DUMMYFUNCTION("GOOGLETRANSLATE($B582,""en"",U$3)"),"المنطقة موجود بالفعل")</f>
        <v>المنطقة موجود بالفعل</v>
      </c>
      <c r="V582" s="21" t="str">
        <f ca="1">IFERROR(__xludf.DUMMYFUNCTION("GOOGLETRANSLATE($B582,""en"",V$3)"),"Region już istnieje")</f>
        <v>Region już istnieje</v>
      </c>
      <c r="W582" s="21" t="str">
        <f ca="1">IFERROR(__xludf.DUMMYFUNCTION("GOOGLETRANSLATE($B582,""en"",W$3)"),"Регион уже существует")</f>
        <v>Регион уже существует</v>
      </c>
      <c r="X582" s="21" t="str">
        <f ca="1">IFERROR(__xludf.DUMMYFUNCTION("GOOGLETRANSLATE($B582,""en"",X$3)"),"Región ya existe")</f>
        <v>Región ya existe</v>
      </c>
      <c r="Y582" s="21"/>
      <c r="Z582" s="21"/>
    </row>
    <row r="583" spans="1:26" ht="32.25" customHeight="1" x14ac:dyDescent="0.2">
      <c r="A583" s="17" t="s">
        <v>1265</v>
      </c>
      <c r="B583" s="17" t="s">
        <v>1266</v>
      </c>
      <c r="C583" s="21" t="str">
        <f ca="1">IFERROR(__xludf.DUMMYFUNCTION("GOOGLETRANSLATE($B583,""en"",C$3)"),"Region Kontrollen")</f>
        <v>Region Kontrollen</v>
      </c>
      <c r="D583" s="21" t="str">
        <f ca="1">IFERROR(__xludf.DUMMYFUNCTION("GOOGLETRANSLATE($B583,""en"",D$3)"),"Region Controls")</f>
        <v>Region Controls</v>
      </c>
      <c r="E583" s="21" t="str">
        <f ca="1">IFERROR(__xludf.DUMMYFUNCTION("GOOGLETRANSLATE($B583,""en"",E$3)"),"Controles região")</f>
        <v>Controles região</v>
      </c>
      <c r="F583" s="21" t="str">
        <f ca="1">IFERROR(__xludf.DUMMYFUNCTION("GOOGLETRANSLATE($B583,""en"",F$3)"),"Controles região")</f>
        <v>Controles região</v>
      </c>
      <c r="G583" s="21" t="str">
        <f ca="1">IFERROR(__xludf.DUMMYFUNCTION("GOOGLETRANSLATE($B583,""en"",G$3)"),"Contrôles de la région")</f>
        <v>Contrôles de la région</v>
      </c>
      <c r="H583" s="21" t="str">
        <f ca="1">IFERROR(__xludf.DUMMYFUNCTION("GOOGLETRANSLATE($B583,""en"",H$3)"),"Eskualde Kontrolak")</f>
        <v>Eskualde Kontrolak</v>
      </c>
      <c r="I583" s="21" t="str">
        <f ca="1">IFERROR(__xludf.DUMMYFUNCTION("GOOGLETRANSLATE($B583,""en"",I$3)"),"controls regió")</f>
        <v>controls regió</v>
      </c>
      <c r="J583" s="21" t="str">
        <f ca="1">IFERROR(__xludf.DUMMYFUNCTION("GOOGLETRANSLATE($B583,""en"",J$3)"),"Kontroly region")</f>
        <v>Kontroly region</v>
      </c>
      <c r="K583" s="21" t="str">
        <f ca="1">IFERROR(__xludf.DUMMYFUNCTION("GOOGLETRANSLATE($B583,""en"",K$3)"),"控制区")</f>
        <v>控制区</v>
      </c>
      <c r="L583" s="21" t="str">
        <f ca="1">IFERROR(__xludf.DUMMYFUNCTION("GOOGLETRANSLATE($B583,""en"",L$3)"),"控制區")</f>
        <v>控制區</v>
      </c>
      <c r="M583" s="21" t="str">
        <f ca="1">IFERROR(__xludf.DUMMYFUNCTION("GOOGLETRANSLATE($B583,""en"",M$3)"),"Region Controls")</f>
        <v>Region Controls</v>
      </c>
      <c r="N583" s="21" t="str">
        <f ca="1">IFERROR(__xludf.DUMMYFUNCTION("GOOGLETRANSLATE($B583,""en"",N$3)"),"Έλεγχοι Περιφέρειας")</f>
        <v>Έλεγχοι Περιφέρειας</v>
      </c>
      <c r="O583" s="21" t="str">
        <f ca="1">IFERROR(__xludf.DUMMYFUNCTION("GOOGLETRANSLATE($B583,""en"",O$3)"),"alue Controls")</f>
        <v>alue Controls</v>
      </c>
      <c r="P583" s="21" t="str">
        <f ca="1">IFERROR(__xludf.DUMMYFUNCTION("GOOGLETRANSLATE($B583,""en"",P$3)"),"Rialuithe Réigiún")</f>
        <v>Rialuithe Réigiún</v>
      </c>
      <c r="Q583" s="21" t="str">
        <f ca="1">IFERROR(__xludf.DUMMYFUNCTION("GOOGLETRANSLATE($B583,""en"",Q$3)"),"کنترل منطقه")</f>
        <v>کنترل منطقه</v>
      </c>
      <c r="R583" s="21" t="str">
        <f ca="1">IFERROR(__xludf.DUMMYFUNCTION("GOOGLETRANSLATE($B583,""en"",R$3)"),"בקרות אזור")</f>
        <v>בקרות אזור</v>
      </c>
      <c r="S583" s="21" t="str">
        <f ca="1">IFERROR(__xludf.DUMMYFUNCTION("GOOGLETRANSLATE($B583,""en"",S$3)"),"svæði Stýrir")</f>
        <v>svæði Stýrir</v>
      </c>
      <c r="T583" s="21" t="str">
        <f ca="1">IFERROR(__xludf.DUMMYFUNCTION("GOOGLETRANSLATE($B583,""en"",T$3)"),"Region Controls")</f>
        <v>Region Controls</v>
      </c>
      <c r="U583" s="21" t="str">
        <f ca="1">IFERROR(__xludf.DUMMYFUNCTION("GOOGLETRANSLATE($B583,""en"",U$3)"),"الضوابط المنطقة")</f>
        <v>الضوابط المنطقة</v>
      </c>
      <c r="V583" s="21" t="str">
        <f ca="1">IFERROR(__xludf.DUMMYFUNCTION("GOOGLETRANSLATE($B583,""en"",V$3)"),"Kontrole Region")</f>
        <v>Kontrole Region</v>
      </c>
      <c r="W583" s="21" t="str">
        <f ca="1">IFERROR(__xludf.DUMMYFUNCTION("GOOGLETRANSLATE($B583,""en"",W$3)"),"Органы управления региона")</f>
        <v>Органы управления региона</v>
      </c>
      <c r="X583" s="21" t="str">
        <f ca="1">IFERROR(__xludf.DUMMYFUNCTION("GOOGLETRANSLATE($B583,""en"",X$3)"),"Controles región")</f>
        <v>Controles región</v>
      </c>
      <c r="Y583" s="21"/>
      <c r="Z583" s="21"/>
    </row>
    <row r="584" spans="1:26" ht="32.25" customHeight="1" x14ac:dyDescent="0.2">
      <c r="A584" s="17" t="s">
        <v>1267</v>
      </c>
      <c r="B584" s="17" t="s">
        <v>1268</v>
      </c>
      <c r="C584" s="21" t="str">
        <f ca="1">IFERROR(__xludf.DUMMYFUNCTION("GOOGLETRANSLATE($B584,""en"",C$3)"),"Region Koordinaten X kann nicht kleiner als 0")</f>
        <v>Region Koordinaten X kann nicht kleiner als 0</v>
      </c>
      <c r="D584" s="21" t="str">
        <f ca="1">IFERROR(__xludf.DUMMYFUNCTION("GOOGLETRANSLATE($B584,""en"",D$3)"),"Region Koordinat X kan inte vara mindre än 0")</f>
        <v>Region Koordinat X kan inte vara mindre än 0</v>
      </c>
      <c r="E584" s="21" t="str">
        <f ca="1">IFERROR(__xludf.DUMMYFUNCTION("GOOGLETRANSLATE($B584,""en"",E$3)"),"Região de coordenadas X não pode ser inferior a 0")</f>
        <v>Região de coordenadas X não pode ser inferior a 0</v>
      </c>
      <c r="F584" s="21" t="str">
        <f ca="1">IFERROR(__xludf.DUMMYFUNCTION("GOOGLETRANSLATE($B584,""en"",F$3)"),"Região de coordenadas X não pode ser inferior a 0")</f>
        <v>Região de coordenadas X não pode ser inferior a 0</v>
      </c>
      <c r="G584" s="21" t="str">
        <f ca="1">IFERROR(__xludf.DUMMYFUNCTION("GOOGLETRANSLATE($B584,""en"",G$3)"),"Région coordonnée X ne peut pas être inférieure à 0")</f>
        <v>Région coordonnée X ne peut pas être inférieure à 0</v>
      </c>
      <c r="H584" s="21" t="str">
        <f ca="1">IFERROR(__xludf.DUMMYFUNCTION("GOOGLETRANSLATE($B584,""en"",H$3)"),"Eskualde koordinatzea X ezin 0 baino txikiagoa izan")</f>
        <v>Eskualde koordinatzea X ezin 0 baino txikiagoa izan</v>
      </c>
      <c r="I584" s="21" t="str">
        <f ca="1">IFERROR(__xludf.DUMMYFUNCTION("GOOGLETRANSLATE($B584,""en"",I$3)"),"Regió de coordenades X no pot ser inferior a 0")</f>
        <v>Regió de coordenades X no pot ser inferior a 0</v>
      </c>
      <c r="J584" s="21" t="str">
        <f ca="1">IFERROR(__xludf.DUMMYFUNCTION("GOOGLETRANSLATE($B584,""en"",J$3)"),"Region souřadnic X nemůže být nižší než 0")</f>
        <v>Region souřadnic X nemůže být nižší než 0</v>
      </c>
      <c r="K584" s="21" t="str">
        <f ca="1">IFERROR(__xludf.DUMMYFUNCTION("GOOGLETRANSLATE($B584,""en"",K$3)"),"区域坐标X不能小于0")</f>
        <v>区域坐标X不能小于0</v>
      </c>
      <c r="L584" s="21" t="str">
        <f ca="1">IFERROR(__xludf.DUMMYFUNCTION("GOOGLETRANSLATE($B584,""en"",L$3)"),"區域坐標X不能小於0")</f>
        <v>區域坐標X不能小於0</v>
      </c>
      <c r="M584" s="21" t="str">
        <f ca="1">IFERROR(__xludf.DUMMYFUNCTION("GOOGLETRANSLATE($B584,""en"",M$3)"),"Zeegebied te coördineren X kan niet lager zijn dan 0")</f>
        <v>Zeegebied te coördineren X kan niet lager zijn dan 0</v>
      </c>
      <c r="N584" s="21" t="str">
        <f ca="1">IFERROR(__xludf.DUMMYFUNCTION("GOOGLETRANSLATE($B584,""en"",N$3)"),"Περιοχή συντεταγμένων Χ δεν μπορεί να είναι μικρότερη από 0")</f>
        <v>Περιοχή συντεταγμένων Χ δεν μπορεί να είναι μικρότερη από 0</v>
      </c>
      <c r="O584" s="21" t="str">
        <f ca="1">IFERROR(__xludf.DUMMYFUNCTION("GOOGLETRANSLATE($B584,""en"",O$3)"),"Alue Koordinaattien X ei voi olla alle 0")</f>
        <v>Alue Koordinaattien X ei voi olla alle 0</v>
      </c>
      <c r="P584" s="21" t="str">
        <f ca="1">IFERROR(__xludf.DUMMYFUNCTION("GOOGLETRANSLATE($B584,""en"",P$3)"),"Ní féidir le Réigiún a chomhordú X a bheith níos lú ná 0")</f>
        <v>Ní féidir le Réigiún a chomhordú X a bheith níos lú ná 0</v>
      </c>
      <c r="Q584" s="21" t="str">
        <f ca="1">IFERROR(__xludf.DUMMYFUNCTION("GOOGLETRANSLATE($B584,""en"",Q$3)"),"منطقه مختصات X نمی تواند کمتر از 0")</f>
        <v>منطقه مختصات X نمی تواند کمتر از 0</v>
      </c>
      <c r="R584" s="21" t="str">
        <f ca="1">IFERROR(__xludf.DUMMYFUNCTION("GOOGLETRANSLATE($B584,""en"",R$3)"),"האזור לתאם X לא יכול להיות פחות מ 0")</f>
        <v>האזור לתאם X לא יכול להיות פחות מ 0</v>
      </c>
      <c r="S584" s="21" t="str">
        <f ca="1">IFERROR(__xludf.DUMMYFUNCTION("GOOGLETRANSLATE($B584,""en"",S$3)"),"Region Samræma X má ekki vera minna en 0")</f>
        <v>Region Samræma X má ekki vera minna en 0</v>
      </c>
      <c r="T584" s="21" t="str">
        <f ca="1">IFERROR(__xludf.DUMMYFUNCTION("GOOGLETRANSLATE($B584,""en"",T$3)"),"Region Koordinere X kan ikke være mindre enn 0")</f>
        <v>Region Koordinere X kan ikke være mindre enn 0</v>
      </c>
      <c r="U584" s="21" t="str">
        <f ca="1">IFERROR(__xludf.DUMMYFUNCTION("GOOGLETRANSLATE($B584,""en"",U$3)"),"المنطقة تنسيق X لا يمكن أن يكون أقل من 0")</f>
        <v>المنطقة تنسيق X لا يمكن أن يكون أقل من 0</v>
      </c>
      <c r="V584" s="21" t="str">
        <f ca="1">IFERROR(__xludf.DUMMYFUNCTION("GOOGLETRANSLATE($B584,""en"",V$3)"),"Region współrzędnych X nie może być mniejsza niż 0")</f>
        <v>Region współrzędnych X nie może być mniejsza niż 0</v>
      </c>
      <c r="W584" s="21" t="str">
        <f ca="1">IFERROR(__xludf.DUMMYFUNCTION("GOOGLETRANSLATE($B584,""en"",W$3)"),"Регион координат X не может быть меньше, чем 0")</f>
        <v>Регион координат X не может быть меньше, чем 0</v>
      </c>
      <c r="X584" s="21" t="str">
        <f ca="1">IFERROR(__xludf.DUMMYFUNCTION("GOOGLETRANSLATE($B584,""en"",X$3)"),"Región de coordenadas X no puede ser inferior a 0")</f>
        <v>Región de coordenadas X no puede ser inferior a 0</v>
      </c>
      <c r="Y584" s="21"/>
      <c r="Z584" s="21"/>
    </row>
    <row r="585" spans="1:26" ht="32.25" customHeight="1" x14ac:dyDescent="0.2">
      <c r="A585" s="17" t="s">
        <v>1269</v>
      </c>
      <c r="B585" s="17" t="s">
        <v>1270</v>
      </c>
      <c r="C585" s="21" t="str">
        <f ca="1">IFERROR(__xludf.DUMMYFUNCTION("GOOGLETRANSLATE($B585,""en"",C$3)"),"Region Koordinaten X zu groß ist")</f>
        <v>Region Koordinaten X zu groß ist</v>
      </c>
      <c r="D585" s="21" t="str">
        <f ca="1">IFERROR(__xludf.DUMMYFUNCTION("GOOGLETRANSLATE($B585,""en"",D$3)"),"Region Samordna X är för stor")</f>
        <v>Region Samordna X är för stor</v>
      </c>
      <c r="E585" s="21" t="str">
        <f ca="1">IFERROR(__xludf.DUMMYFUNCTION("GOOGLETRANSLATE($B585,""en"",E$3)"),"Região de coordenadas X é muito grande")</f>
        <v>Região de coordenadas X é muito grande</v>
      </c>
      <c r="F585" s="21" t="str">
        <f ca="1">IFERROR(__xludf.DUMMYFUNCTION("GOOGLETRANSLATE($B585,""en"",F$3)"),"Região de coordenadas X é muito grande")</f>
        <v>Região de coordenadas X é muito grande</v>
      </c>
      <c r="G585" s="21" t="str">
        <f ca="1">IFERROR(__xludf.DUMMYFUNCTION("GOOGLETRANSLATE($B585,""en"",G$3)"),"Région X est trop Coordinate grand")</f>
        <v>Région X est trop Coordinate grand</v>
      </c>
      <c r="H585" s="21" t="str">
        <f ca="1">IFERROR(__xludf.DUMMYFUNCTION("GOOGLETRANSLATE($B585,""en"",H$3)"),"Eskualde koordinatzea X handiegia da")</f>
        <v>Eskualde koordinatzea X handiegia da</v>
      </c>
      <c r="I585" s="21" t="str">
        <f ca="1">IFERROR(__xludf.DUMMYFUNCTION("GOOGLETRANSLATE($B585,""en"",I$3)"),"Regió de coordenades X és massa gran")</f>
        <v>Regió de coordenades X és massa gran</v>
      </c>
      <c r="J585" s="21" t="str">
        <f ca="1">IFERROR(__xludf.DUMMYFUNCTION("GOOGLETRANSLATE($B585,""en"",J$3)"),"Region souřadnic X je příliš velká")</f>
        <v>Region souřadnic X je příliš velká</v>
      </c>
      <c r="K585" s="21" t="str">
        <f ca="1">IFERROR(__xludf.DUMMYFUNCTION("GOOGLETRANSLATE($B585,""en"",K$3)"),"区域坐标x过大")</f>
        <v>区域坐标x过大</v>
      </c>
      <c r="L585" s="21" t="str">
        <f ca="1">IFERROR(__xludf.DUMMYFUNCTION("GOOGLETRANSLATE($B585,""en"",L$3)"),"區域坐標x過大")</f>
        <v>區域坐標x過大</v>
      </c>
      <c r="M585" s="21" t="str">
        <f ca="1">IFERROR(__xludf.DUMMYFUNCTION("GOOGLETRANSLATE($B585,""en"",M$3)"),"Regio Coördinaat X is te groot")</f>
        <v>Regio Coördinaat X is te groot</v>
      </c>
      <c r="N585" s="21" t="str">
        <f ca="1">IFERROR(__xludf.DUMMYFUNCTION("GOOGLETRANSLATE($B585,""en"",N$3)"),"Περιοχή συντεταγμένων Χ είναι πάρα πολύ μεγάλο")</f>
        <v>Περιοχή συντεταγμένων Χ είναι πάρα πολύ μεγάλο</v>
      </c>
      <c r="O585" s="21" t="str">
        <f ca="1">IFERROR(__xludf.DUMMYFUNCTION("GOOGLETRANSLATE($B585,""en"",O$3)"),"Alue Koordinaattien X on liian suuri")</f>
        <v>Alue Koordinaattien X on liian suuri</v>
      </c>
      <c r="P585" s="21" t="str">
        <f ca="1">IFERROR(__xludf.DUMMYFUNCTION("GOOGLETRANSLATE($B585,""en"",P$3)"),"Réigiún Chomhordanáideach X An bhfuil ró-mhór")</f>
        <v>Réigiún Chomhordanáideach X An bhfuil ró-mhór</v>
      </c>
      <c r="Q585" s="21" t="str">
        <f ca="1">IFERROR(__xludf.DUMMYFUNCTION("GOOGLETRANSLATE($B585,""en"",Q$3)"),"منطقه مختصات X بیش از حد بزرگ")</f>
        <v>منطقه مختصات X بیش از حد بزرگ</v>
      </c>
      <c r="R585" s="21" t="str">
        <f ca="1">IFERROR(__xludf.DUMMYFUNCTION("GOOGLETRANSLATE($B585,""en"",R$3)"),"אזור לתאם X גדול מדי")</f>
        <v>אזור לתאם X גדול מדי</v>
      </c>
      <c r="S585" s="21" t="str">
        <f ca="1">IFERROR(__xludf.DUMMYFUNCTION("GOOGLETRANSLATE($B585,""en"",S$3)"),"Region Samræma X er of stór")</f>
        <v>Region Samræma X er of stór</v>
      </c>
      <c r="T585" s="21" t="str">
        <f ca="1">IFERROR(__xludf.DUMMYFUNCTION("GOOGLETRANSLATE($B585,""en"",T$3)"),"Region Koordinere X er for stor")</f>
        <v>Region Koordinere X er for stor</v>
      </c>
      <c r="U585" s="21" t="str">
        <f ca="1">IFERROR(__xludf.DUMMYFUNCTION("GOOGLETRANSLATE($B585,""en"",U$3)"),"المنطقة تنسيق X هو كبير جدا")</f>
        <v>المنطقة تنسيق X هو كبير جدا</v>
      </c>
      <c r="V585" s="21" t="str">
        <f ca="1">IFERROR(__xludf.DUMMYFUNCTION("GOOGLETRANSLATE($B585,""en"",V$3)"),"Region współrzędnych X jest zbyt duży")</f>
        <v>Region współrzędnych X jest zbyt duży</v>
      </c>
      <c r="W585" s="21" t="str">
        <f ca="1">IFERROR(__xludf.DUMMYFUNCTION("GOOGLETRANSLATE($B585,""en"",W$3)"),"Регион координат X слишком велик")</f>
        <v>Регион координат X слишком велик</v>
      </c>
      <c r="X585" s="21" t="str">
        <f ca="1">IFERROR(__xludf.DUMMYFUNCTION("GOOGLETRANSLATE($B585,""en"",X$3)"),"Región de coordenadas X es demasiado grande")</f>
        <v>Región de coordenadas X es demasiado grande</v>
      </c>
      <c r="Y585" s="21"/>
      <c r="Z585" s="21"/>
    </row>
    <row r="586" spans="1:26" ht="32.25" customHeight="1" x14ac:dyDescent="0.2">
      <c r="A586" s="17" t="s">
        <v>1271</v>
      </c>
      <c r="B586" s="17" t="s">
        <v>1272</v>
      </c>
      <c r="C586" s="21" t="str">
        <f ca="1">IFERROR(__xludf.DUMMYFUNCTION("GOOGLETRANSLATE($B586,""en"",C$3)"),"Region Koordinaten Y nicht weniger als 32")</f>
        <v>Region Koordinaten Y nicht weniger als 32</v>
      </c>
      <c r="D586" s="21" t="str">
        <f ca="1">IFERROR(__xludf.DUMMYFUNCTION("GOOGLETRANSLATE($B586,""en"",D$3)"),"Region Koordinat Y kan inte vara mindre än 32")</f>
        <v>Region Koordinat Y kan inte vara mindre än 32</v>
      </c>
      <c r="E586" s="21" t="str">
        <f ca="1">IFERROR(__xludf.DUMMYFUNCTION("GOOGLETRANSLATE($B586,""en"",E$3)"),"Região de coordenadas Y não pode ser inferior a 32")</f>
        <v>Região de coordenadas Y não pode ser inferior a 32</v>
      </c>
      <c r="F586" s="21" t="str">
        <f ca="1">IFERROR(__xludf.DUMMYFUNCTION("GOOGLETRANSLATE($B586,""en"",F$3)"),"Região de coordenadas Y não pode ser inferior a 32")</f>
        <v>Região de coordenadas Y não pode ser inferior a 32</v>
      </c>
      <c r="G586" s="21" t="str">
        <f ca="1">IFERROR(__xludf.DUMMYFUNCTION("GOOGLETRANSLATE($B586,""en"",G$3)"),"Région coordonnée Y ne peut pas être inférieure à 32")</f>
        <v>Région coordonnée Y ne peut pas être inférieure à 32</v>
      </c>
      <c r="H586" s="21" t="str">
        <f ca="1">IFERROR(__xludf.DUMMYFUNCTION("GOOGLETRANSLATE($B586,""en"",H$3)"),"Eskualde koordinatzea Y ezin 32 baino gutxiago izan")</f>
        <v>Eskualde koordinatzea Y ezin 32 baino gutxiago izan</v>
      </c>
      <c r="I586" s="21" t="str">
        <f ca="1">IFERROR(__xludf.DUMMYFUNCTION("GOOGLETRANSLATE($B586,""en"",I$3)"),"Regió de coordenades I no pot ser inferior a 32")</f>
        <v>Regió de coordenades I no pot ser inferior a 32</v>
      </c>
      <c r="J586" s="21" t="str">
        <f ca="1">IFERROR(__xludf.DUMMYFUNCTION("GOOGLETRANSLATE($B586,""en"",J$3)"),"Region souřadnic Y nemůže být nižší než 32")</f>
        <v>Region souřadnic Y nemůže být nižší než 32</v>
      </c>
      <c r="K586" s="21" t="str">
        <f ca="1">IFERROR(__xludf.DUMMYFUNCTION("GOOGLETRANSLATE($B586,""en"",K$3)"),"区域协调Y不能低于32")</f>
        <v>区域协调Y不能低于32</v>
      </c>
      <c r="L586" s="21" t="str">
        <f ca="1">IFERROR(__xludf.DUMMYFUNCTION("GOOGLETRANSLATE($B586,""en"",L$3)"),"區域協調Y不能低於32")</f>
        <v>區域協調Y不能低於32</v>
      </c>
      <c r="M586" s="21" t="str">
        <f ca="1">IFERROR(__xludf.DUMMYFUNCTION("GOOGLETRANSLATE($B586,""en"",M$3)"),"Gebied coördinaat Y niet minder dan 32")</f>
        <v>Gebied coördinaat Y niet minder dan 32</v>
      </c>
      <c r="N586" s="21" t="str">
        <f ca="1">IFERROR(__xludf.DUMMYFUNCTION("GOOGLETRANSLATE($B586,""en"",N$3)"),"Περιοχή Συντονισμό Υ δεν μπορεί να είναι μικρότερη από 32")</f>
        <v>Περιοχή Συντονισμό Υ δεν μπορεί να είναι μικρότερη από 32</v>
      </c>
      <c r="O586" s="21" t="str">
        <f ca="1">IFERROR(__xludf.DUMMYFUNCTION("GOOGLETRANSLATE($B586,""en"",O$3)"),"Alue koordinaatti Y ei voi olla pienempi kuin 32")</f>
        <v>Alue koordinaatti Y ei voi olla pienempi kuin 32</v>
      </c>
      <c r="P586" s="21" t="str">
        <f ca="1">IFERROR(__xludf.DUMMYFUNCTION("GOOGLETRANSLATE($B586,""en"",P$3)"),"Ní féidir le Réigiún a chomhordú Y a bheith níos lú ná 32")</f>
        <v>Ní féidir le Réigiún a chomhordú Y a bheith níos lú ná 32</v>
      </c>
      <c r="Q586" s="21" t="str">
        <f ca="1">IFERROR(__xludf.DUMMYFUNCTION("GOOGLETRANSLATE($B586,""en"",Q$3)"),"منطقه مختصات Y می تواند کمتر از 32")</f>
        <v>منطقه مختصات Y می تواند کمتر از 32</v>
      </c>
      <c r="R586" s="21" t="str">
        <f ca="1">IFERROR(__xludf.DUMMYFUNCTION("GOOGLETRANSLATE($B586,""en"",R$3)"),"אזור לתאם Y לא יכול להיות פחות מ 32")</f>
        <v>אזור לתאם Y לא יכול להיות פחות מ 32</v>
      </c>
      <c r="S586" s="21" t="str">
        <f ca="1">IFERROR(__xludf.DUMMYFUNCTION("GOOGLETRANSLATE($B586,""en"",S$3)"),"Region Samræma Y má ekki vera minna en 32")</f>
        <v>Region Samræma Y má ekki vera minna en 32</v>
      </c>
      <c r="T586" s="21" t="str">
        <f ca="1">IFERROR(__xludf.DUMMYFUNCTION("GOOGLETRANSLATE($B586,""en"",T$3)"),"Region Koordinering Y kan ikke være mindre enn 32")</f>
        <v>Region Koordinering Y kan ikke være mindre enn 32</v>
      </c>
      <c r="U586" s="21" t="str">
        <f ca="1">IFERROR(__xludf.DUMMYFUNCTION("GOOGLETRANSLATE($B586,""en"",U$3)"),"المنطقة تنسيق Y لا يمكن أن يكون أقل من 32")</f>
        <v>المنطقة تنسيق Y لا يمكن أن يكون أقل من 32</v>
      </c>
      <c r="V586" s="21" t="str">
        <f ca="1">IFERROR(__xludf.DUMMYFUNCTION("GOOGLETRANSLATE($B586,""en"",V$3)"),"Region współrzędnych Y nie może być mniejsza niż 32")</f>
        <v>Region współrzędnych Y nie może być mniejsza niż 32</v>
      </c>
      <c r="W586" s="21" t="str">
        <f ca="1">IFERROR(__xludf.DUMMYFUNCTION("GOOGLETRANSLATE($B586,""en"",W$3)"),"Область координат Y не может быть меньше, чем 32")</f>
        <v>Область координат Y не может быть меньше, чем 32</v>
      </c>
      <c r="X586" s="21" t="str">
        <f ca="1">IFERROR(__xludf.DUMMYFUNCTION("GOOGLETRANSLATE($B586,""en"",X$3)"),"Región de coordenadas Y no puede ser inferior a 32")</f>
        <v>Región de coordenadas Y no puede ser inferior a 32</v>
      </c>
      <c r="Y586" s="21"/>
      <c r="Z586" s="21"/>
    </row>
    <row r="587" spans="1:26" ht="32.25" customHeight="1" x14ac:dyDescent="0.2">
      <c r="A587" s="17" t="s">
        <v>1273</v>
      </c>
      <c r="B587" s="17" t="s">
        <v>1274</v>
      </c>
      <c r="C587" s="21" t="str">
        <f ca="1">IFERROR(__xludf.DUMMYFUNCTION("GOOGLETRANSLATE($B587,""en"",C$3)"),"Region Y-Koordinate zu groß")</f>
        <v>Region Y-Koordinate zu groß</v>
      </c>
      <c r="D587" s="21" t="str">
        <f ca="1">IFERROR(__xludf.DUMMYFUNCTION("GOOGLETRANSLATE($B587,""en"",D$3)"),"Region Samordna Y är för stor")</f>
        <v>Region Samordna Y är för stor</v>
      </c>
      <c r="E587" s="21" t="str">
        <f ca="1">IFERROR(__xludf.DUMMYFUNCTION("GOOGLETRANSLATE($B587,""en"",E$3)"),"Região Coordenada Y é muito grande")</f>
        <v>Região Coordenada Y é muito grande</v>
      </c>
      <c r="F587" s="21" t="str">
        <f ca="1">IFERROR(__xludf.DUMMYFUNCTION("GOOGLETRANSLATE($B587,""en"",F$3)"),"Região Coordenada Y é muito grande")</f>
        <v>Região Coordenada Y é muito grande</v>
      </c>
      <c r="G587" s="21" t="str">
        <f ca="1">IFERROR(__xludf.DUMMYFUNCTION("GOOGLETRANSLATE($B587,""en"",G$3)"),"Région coordonnée Y est trop grand")</f>
        <v>Région coordonnée Y est trop grand</v>
      </c>
      <c r="H587" s="21" t="str">
        <f ca="1">IFERROR(__xludf.DUMMYFUNCTION("GOOGLETRANSLATE($B587,""en"",H$3)"),"Eskualde koordinatzea Y handiegia da")</f>
        <v>Eskualde koordinatzea Y handiegia da</v>
      </c>
      <c r="I587" s="21" t="str">
        <f ca="1">IFERROR(__xludf.DUMMYFUNCTION("GOOGLETRANSLATE($B587,""en"",I$3)"),"Regió de coordenades I és massa gran")</f>
        <v>Regió de coordenades I és massa gran</v>
      </c>
      <c r="J587" s="21" t="str">
        <f ca="1">IFERROR(__xludf.DUMMYFUNCTION("GOOGLETRANSLATE($B587,""en"",J$3)"),"Region souřadnic Y je příliš velká")</f>
        <v>Region souřadnic Y je příliš velká</v>
      </c>
      <c r="K587" s="21" t="str">
        <f ca="1">IFERROR(__xludf.DUMMYFUNCTION("GOOGLETRANSLATE($B587,""en"",K$3)"),"区域坐标y过大")</f>
        <v>区域坐标y过大</v>
      </c>
      <c r="L587" s="21" t="str">
        <f ca="1">IFERROR(__xludf.DUMMYFUNCTION("GOOGLETRANSLATE($B587,""en"",L$3)"),"區域坐標y過大")</f>
        <v>區域坐標y過大</v>
      </c>
      <c r="M587" s="21" t="str">
        <f ca="1">IFERROR(__xludf.DUMMYFUNCTION("GOOGLETRANSLATE($B587,""en"",M$3)"),"Regio Coördinaat Y is te groot")</f>
        <v>Regio Coördinaat Y is te groot</v>
      </c>
      <c r="N587" s="21" t="str">
        <f ca="1">IFERROR(__xludf.DUMMYFUNCTION("GOOGLETRANSLATE($B587,""en"",N$3)"),"Περιοχή συντεταγμένων Υ είναι πολύ μεγάλο")</f>
        <v>Περιοχή συντεταγμένων Υ είναι πολύ μεγάλο</v>
      </c>
      <c r="O587" s="21" t="str">
        <f ca="1">IFERROR(__xludf.DUMMYFUNCTION("GOOGLETRANSLATE($B587,""en"",O$3)"),"Alue Koordinoi Y on liian suuri")</f>
        <v>Alue Koordinoi Y on liian suuri</v>
      </c>
      <c r="P587" s="21" t="str">
        <f ca="1">IFERROR(__xludf.DUMMYFUNCTION("GOOGLETRANSLATE($B587,""en"",P$3)"),"Réigiún Chomhordanáideach Y An bhfuil ró-mhór")</f>
        <v>Réigiún Chomhordanáideach Y An bhfuil ró-mhór</v>
      </c>
      <c r="Q587" s="21" t="str">
        <f ca="1">IFERROR(__xludf.DUMMYFUNCTION("GOOGLETRANSLATE($B587,""en"",Q$3)"),"منطقه مختصات y است بیش از حد بزرگ")</f>
        <v>منطقه مختصات y است بیش از حد بزرگ</v>
      </c>
      <c r="R587" s="21" t="str">
        <f ca="1">IFERROR(__xludf.DUMMYFUNCTION("GOOGLETRANSLATE($B587,""en"",R$3)"),"האזור לתאם Y גדול מדי")</f>
        <v>האזור לתאם Y גדול מדי</v>
      </c>
      <c r="S587" s="21" t="str">
        <f ca="1">IFERROR(__xludf.DUMMYFUNCTION("GOOGLETRANSLATE($B587,""en"",S$3)"),"Region Samræma Y er of stór")</f>
        <v>Region Samræma Y er of stór</v>
      </c>
      <c r="T587" s="21" t="str">
        <f ca="1">IFERROR(__xludf.DUMMYFUNCTION("GOOGLETRANSLATE($B587,""en"",T$3)"),"Region Koordinere Y er for stor")</f>
        <v>Region Koordinere Y er for stor</v>
      </c>
      <c r="U587" s="21" t="str">
        <f ca="1">IFERROR(__xludf.DUMMYFUNCTION("GOOGLETRANSLATE($B587,""en"",U$3)"),"المنطقة تنسيق Y هو كبير جدا")</f>
        <v>المنطقة تنسيق Y هو كبير جدا</v>
      </c>
      <c r="V587" s="21" t="str">
        <f ca="1">IFERROR(__xludf.DUMMYFUNCTION("GOOGLETRANSLATE($B587,""en"",V$3)"),"Region współrzędna Y jest zbyt duży")</f>
        <v>Region współrzędna Y jest zbyt duży</v>
      </c>
      <c r="W587" s="21" t="str">
        <f ca="1">IFERROR(__xludf.DUMMYFUNCTION("GOOGLETRANSLATE($B587,""en"",W$3)"),"Регион координат Y Слишком большой")</f>
        <v>Регион координат Y Слишком большой</v>
      </c>
      <c r="X587" s="21" t="str">
        <f ca="1">IFERROR(__xludf.DUMMYFUNCTION("GOOGLETRANSLATE($B587,""en"",X$3)"),"Región de coordenadas Y es demasiado grande")</f>
        <v>Región de coordenadas Y es demasiado grande</v>
      </c>
      <c r="Y587" s="21"/>
      <c r="Z587" s="21"/>
    </row>
    <row r="588" spans="1:26" ht="32.25" customHeight="1" x14ac:dyDescent="0.2">
      <c r="A588" s="17" t="s">
        <v>1275</v>
      </c>
      <c r="B588" s="17" t="s">
        <v>1276</v>
      </c>
      <c r="C588" s="21" t="str">
        <f ca="1">IFERROR(__xludf.DUMMYFUNCTION("GOOGLETRANSLATE($B588,""en"",C$3)"),"Region Datenbank")</f>
        <v>Region Datenbank</v>
      </c>
      <c r="D588" s="21" t="str">
        <f ca="1">IFERROR(__xludf.DUMMYFUNCTION("GOOGLETRANSLATE($B588,""en"",D$3)"),"region Database")</f>
        <v>region Database</v>
      </c>
      <c r="E588" s="21" t="str">
        <f ca="1">IFERROR(__xludf.DUMMYFUNCTION("GOOGLETRANSLATE($B588,""en"",E$3)"),"região de banco de dados")</f>
        <v>região de banco de dados</v>
      </c>
      <c r="F588" s="21" t="str">
        <f ca="1">IFERROR(__xludf.DUMMYFUNCTION("GOOGLETRANSLATE($B588,""en"",F$3)"),"região de banco de dados")</f>
        <v>região de banco de dados</v>
      </c>
      <c r="G588" s="21" t="str">
        <f ca="1">IFERROR(__xludf.DUMMYFUNCTION("GOOGLETRANSLATE($B588,""en"",G$3)"),"Base de données de la région")</f>
        <v>Base de données de la région</v>
      </c>
      <c r="H588" s="21" t="str">
        <f ca="1">IFERROR(__xludf.DUMMYFUNCTION("GOOGLETRANSLATE($B588,""en"",H$3)"),"Eskualde Database")</f>
        <v>Eskualde Database</v>
      </c>
      <c r="I588" s="21" t="str">
        <f ca="1">IFERROR(__xludf.DUMMYFUNCTION("GOOGLETRANSLATE($B588,""en"",I$3)"),"Base de dades regió")</f>
        <v>Base de dades regió</v>
      </c>
      <c r="J588" s="21" t="str">
        <f ca="1">IFERROR(__xludf.DUMMYFUNCTION("GOOGLETRANSLATE($B588,""en"",J$3)"),"Databáze region")</f>
        <v>Databáze region</v>
      </c>
      <c r="K588" s="21" t="str">
        <f ca="1">IFERROR(__xludf.DUMMYFUNCTION("GOOGLETRANSLATE($B588,""en"",K$3)"),"区数据库")</f>
        <v>区数据库</v>
      </c>
      <c r="L588" s="21" t="str">
        <f ca="1">IFERROR(__xludf.DUMMYFUNCTION("GOOGLETRANSLATE($B588,""en"",L$3)"),"區數據庫")</f>
        <v>區數據庫</v>
      </c>
      <c r="M588" s="21" t="str">
        <f ca="1">IFERROR(__xludf.DUMMYFUNCTION("GOOGLETRANSLATE($B588,""en"",M$3)"),"Region Database")</f>
        <v>Region Database</v>
      </c>
      <c r="N588" s="21" t="str">
        <f ca="1">IFERROR(__xludf.DUMMYFUNCTION("GOOGLETRANSLATE($B588,""en"",N$3)"),"Περιοχή Βάση Δεδομένων")</f>
        <v>Περιοχή Βάση Δεδομένων</v>
      </c>
      <c r="O588" s="21" t="str">
        <f ca="1">IFERROR(__xludf.DUMMYFUNCTION("GOOGLETRANSLATE($B588,""en"",O$3)"),"alue Database")</f>
        <v>alue Database</v>
      </c>
      <c r="P588" s="21" t="str">
        <f ca="1">IFERROR(__xludf.DUMMYFUNCTION("GOOGLETRANSLATE($B588,""en"",P$3)"),"Bunachar Sonraí Réigiún")</f>
        <v>Bunachar Sonraí Réigiún</v>
      </c>
      <c r="Q588" s="21" t="str">
        <f ca="1">IFERROR(__xludf.DUMMYFUNCTION("GOOGLETRANSLATE($B588,""en"",Q$3)"),"پایگاه منطقه")</f>
        <v>پایگاه منطقه</v>
      </c>
      <c r="R588" s="21" t="str">
        <f ca="1">IFERROR(__xludf.DUMMYFUNCTION("GOOGLETRANSLATE($B588,""en"",R$3)"),"מסד האזור")</f>
        <v>מסד האזור</v>
      </c>
      <c r="S588" s="21" t="str">
        <f ca="1">IFERROR(__xludf.DUMMYFUNCTION("GOOGLETRANSLATE($B588,""en"",S$3)"),"svæði Database")</f>
        <v>svæði Database</v>
      </c>
      <c r="T588" s="21" t="str">
        <f ca="1">IFERROR(__xludf.DUMMYFUNCTION("GOOGLETRANSLATE($B588,""en"",T$3)"),"Region Database")</f>
        <v>Region Database</v>
      </c>
      <c r="U588" s="21" t="str">
        <f ca="1">IFERROR(__xludf.DUMMYFUNCTION("GOOGLETRANSLATE($B588,""en"",U$3)"),"قاعدة بيانات المنطقة")</f>
        <v>قاعدة بيانات المنطقة</v>
      </c>
      <c r="V588" s="21" t="str">
        <f ca="1">IFERROR(__xludf.DUMMYFUNCTION("GOOGLETRANSLATE($B588,""en"",V$3)"),"Baza Region")</f>
        <v>Baza Region</v>
      </c>
      <c r="W588" s="21" t="str">
        <f ca="1">IFERROR(__xludf.DUMMYFUNCTION("GOOGLETRANSLATE($B588,""en"",W$3)"),"База данных Регион")</f>
        <v>База данных Регион</v>
      </c>
      <c r="X588" s="21" t="str">
        <f ca="1">IFERROR(__xludf.DUMMYFUNCTION("GOOGLETRANSLATE($B588,""en"",X$3)"),"Base de datos región")</f>
        <v>Base de datos región</v>
      </c>
      <c r="Y588" s="21"/>
      <c r="Z588" s="21"/>
    </row>
    <row r="589" spans="1:26" ht="32.25" customHeight="1" x14ac:dyDescent="0.2">
      <c r="A589" s="17" t="s">
        <v>1277</v>
      </c>
      <c r="B589" s="17" t="s">
        <v>995</v>
      </c>
      <c r="C589" s="21" t="str">
        <f ca="1">IFERROR(__xludf.DUMMYFUNCTION("GOOGLETRANSLATE($B589,""en"",C$3)"),"Die maximale Anzahl der Avatare + NPCs")</f>
        <v>Die maximale Anzahl der Avatare + NPCs</v>
      </c>
      <c r="D589" s="21" t="str">
        <f ca="1">IFERROR(__xludf.DUMMYFUNCTION("GOOGLETRANSLATE($B589,""en"",D$3)"),"Max antal Avatars + NPCs")</f>
        <v>Max antal Avatars + NPCs</v>
      </c>
      <c r="E589" s="21" t="str">
        <f ca="1">IFERROR(__xludf.DUMMYFUNCTION("GOOGLETRANSLATE($B589,""en"",E$3)"),"O número máximo de avatares + NPCs")</f>
        <v>O número máximo de avatares + NPCs</v>
      </c>
      <c r="F589" s="21" t="str">
        <f ca="1">IFERROR(__xludf.DUMMYFUNCTION("GOOGLETRANSLATE($B589,""en"",F$3)"),"O número máximo de avatares + NPCs")</f>
        <v>O número máximo de avatares + NPCs</v>
      </c>
      <c r="G589" s="21" t="str">
        <f ca="1">IFERROR(__xludf.DUMMYFUNCTION("GOOGLETRANSLATE($B589,""en"",G$3)"),"Nombre maximum d'Avatars + PNJ")</f>
        <v>Nombre maximum d'Avatars + PNJ</v>
      </c>
      <c r="H589" s="21" t="str">
        <f ca="1">IFERROR(__xludf.DUMMYFUNCTION("GOOGLETRANSLATE($B589,""en"",H$3)"),"Max Avatars + NPCs kopurua")</f>
        <v>Max Avatars + NPCs kopurua</v>
      </c>
      <c r="I589" s="21" t="str">
        <f ca="1">IFERROR(__xludf.DUMMYFUNCTION("GOOGLETRANSLATE($B589,""en"",I$3)"),"Màxima de Avatars + NPC")</f>
        <v>Màxima de Avatars + NPC</v>
      </c>
      <c r="J589" s="21" t="str">
        <f ca="1">IFERROR(__xludf.DUMMYFUNCTION("GOOGLETRANSLATE($B589,""en"",J$3)"),"Maximální počet avatarů + NPC")</f>
        <v>Maximální počet avatarů + NPC</v>
      </c>
      <c r="K589" s="21" t="str">
        <f ca="1">IFERROR(__xludf.DUMMYFUNCTION("GOOGLETRANSLATE($B589,""en"",K$3)"),"头像+筹备的最大数量")</f>
        <v>头像+筹备的最大数量</v>
      </c>
      <c r="L589" s="21" t="str">
        <f ca="1">IFERROR(__xludf.DUMMYFUNCTION("GOOGLETRANSLATE($B589,""en"",L$3)"),"頭像+籌備的最大數量")</f>
        <v>頭像+籌備的最大數量</v>
      </c>
      <c r="M589" s="21" t="str">
        <f ca="1">IFERROR(__xludf.DUMMYFUNCTION("GOOGLETRANSLATE($B589,""en"",M$3)"),"Maximaal aantal Avatars + NPCs")</f>
        <v>Maximaal aantal Avatars + NPCs</v>
      </c>
      <c r="N589" s="21" t="str">
        <f ca="1">IFERROR(__xludf.DUMMYFUNCTION("GOOGLETRANSLATE($B589,""en"",N$3)"),"Μέγιστος αριθμός Avatars + NPCs")</f>
        <v>Μέγιστος αριθμός Avatars + NPCs</v>
      </c>
      <c r="O589" s="21" t="str">
        <f ca="1">IFERROR(__xludf.DUMMYFUNCTION("GOOGLETRANSLATE($B589,""en"",O$3)"),"Maksimi määrä hahmot + NPC")</f>
        <v>Maksimi määrä hahmot + NPC</v>
      </c>
      <c r="P589" s="21" t="str">
        <f ca="1">IFERROR(__xludf.DUMMYFUNCTION("GOOGLETRANSLATE($B589,""en"",P$3)"),"Uaslíon de Avatars + NPCs")</f>
        <v>Uaslíon de Avatars + NPCs</v>
      </c>
      <c r="Q589" s="21" t="str">
        <f ca="1">IFERROR(__xludf.DUMMYFUNCTION("GOOGLETRANSLATE($B589,""en"",Q$3)"),"حداکثر تعداد آواتار ها + NPC ها")</f>
        <v>حداکثر تعداد آواتار ها + NPC ها</v>
      </c>
      <c r="R589" s="21" t="str">
        <f ca="1">IFERROR(__xludf.DUMMYFUNCTION("GOOGLETRANSLATE($B589,""en"",R$3)"),"מקס מספר אווטרים + NPCs")</f>
        <v>מקס מספר אווטרים + NPCs</v>
      </c>
      <c r="S589" s="21" t="str">
        <f ca="1">IFERROR(__xludf.DUMMYFUNCTION("GOOGLETRANSLATE($B589,""en"",S$3)"),"Max fjöldi avatars + NPCs")</f>
        <v>Max fjöldi avatars + NPCs</v>
      </c>
      <c r="T589" s="21" t="str">
        <f ca="1">IFERROR(__xludf.DUMMYFUNCTION("GOOGLETRANSLATE($B589,""en"",T$3)"),"Maks antall avatarer + NPCer")</f>
        <v>Maks antall avatarer + NPCer</v>
      </c>
      <c r="U589" s="21" t="str">
        <f ca="1">IFERROR(__xludf.DUMMYFUNCTION("GOOGLETRANSLATE($B589,""en"",U$3)"),"أقصى عدد من الصور الرمزية + الشخصيات")</f>
        <v>أقصى عدد من الصور الرمزية + الشخصيات</v>
      </c>
      <c r="V589" s="21" t="str">
        <f ca="1">IFERROR(__xludf.DUMMYFUNCTION("GOOGLETRANSLATE($B589,""en"",V$3)"),"Maksymalna liczba awatarów + NPC")</f>
        <v>Maksymalna liczba awatarów + NPC</v>
      </c>
      <c r="W589" s="21" t="str">
        <f ca="1">IFERROR(__xludf.DUMMYFUNCTION("GOOGLETRANSLATE($B589,""en"",W$3)"),"Максимальное количество Avatars + РНУ")</f>
        <v>Максимальное количество Avatars + РНУ</v>
      </c>
      <c r="X589" s="21" t="str">
        <f ca="1">IFERROR(__xludf.DUMMYFUNCTION("GOOGLETRANSLATE($B589,""en"",X$3)"),"Número máximo de Avatares + NPC")</f>
        <v>Número máximo de Avatares + NPC</v>
      </c>
      <c r="Y589" s="21"/>
      <c r="Z589" s="21"/>
    </row>
    <row r="590" spans="1:26" ht="32.25" customHeight="1" x14ac:dyDescent="0.2">
      <c r="A590" s="17" t="s">
        <v>1278</v>
      </c>
      <c r="B590" s="17" t="s">
        <v>1279</v>
      </c>
      <c r="C590" s="21" t="str">
        <f ca="1">IFERROR(__xludf.DUMMYFUNCTION("GOOGLETRANSLATE($B590,""en"",C$3)"),"Region Liste")</f>
        <v>Region Liste</v>
      </c>
      <c r="D590" s="21" t="str">
        <f ca="1">IFERROR(__xludf.DUMMYFUNCTION("GOOGLETRANSLATE($B590,""en"",D$3)"),"region List")</f>
        <v>region List</v>
      </c>
      <c r="E590" s="21" t="str">
        <f ca="1">IFERROR(__xludf.DUMMYFUNCTION("GOOGLETRANSLATE($B590,""en"",E$3)"),"Lista região")</f>
        <v>Lista região</v>
      </c>
      <c r="F590" s="21" t="str">
        <f ca="1">IFERROR(__xludf.DUMMYFUNCTION("GOOGLETRANSLATE($B590,""en"",F$3)"),"Lista região")</f>
        <v>Lista região</v>
      </c>
      <c r="G590" s="21" t="str">
        <f ca="1">IFERROR(__xludf.DUMMYFUNCTION("GOOGLETRANSLATE($B590,""en"",G$3)"),"région Liste")</f>
        <v>région Liste</v>
      </c>
      <c r="H590" s="21" t="str">
        <f ca="1">IFERROR(__xludf.DUMMYFUNCTION("GOOGLETRANSLATE($B590,""en"",H$3)"),"Eskualde zerrenda")</f>
        <v>Eskualde zerrenda</v>
      </c>
      <c r="I590" s="21" t="str">
        <f ca="1">IFERROR(__xludf.DUMMYFUNCTION("GOOGLETRANSLATE($B590,""en"",I$3)"),"llista de regions")</f>
        <v>llista de regions</v>
      </c>
      <c r="J590" s="21" t="str">
        <f ca="1">IFERROR(__xludf.DUMMYFUNCTION("GOOGLETRANSLATE($B590,""en"",J$3)"),"Region Seznam")</f>
        <v>Region Seznam</v>
      </c>
      <c r="K590" s="21" t="str">
        <f ca="1">IFERROR(__xludf.DUMMYFUNCTION("GOOGLETRANSLATE($B590,""en"",K$3)"),"地区列表")</f>
        <v>地区列表</v>
      </c>
      <c r="L590" s="21" t="str">
        <f ca="1">IFERROR(__xludf.DUMMYFUNCTION("GOOGLETRANSLATE($B590,""en"",L$3)"),"地區列表")</f>
        <v>地區列表</v>
      </c>
      <c r="M590" s="21" t="str">
        <f ca="1">IFERROR(__xludf.DUMMYFUNCTION("GOOGLETRANSLATE($B590,""en"",M$3)"),"Region List")</f>
        <v>Region List</v>
      </c>
      <c r="N590" s="21" t="str">
        <f ca="1">IFERROR(__xludf.DUMMYFUNCTION("GOOGLETRANSLATE($B590,""en"",N$3)"),"Περιοχή Λίστα")</f>
        <v>Περιοχή Λίστα</v>
      </c>
      <c r="O590" s="21" t="str">
        <f ca="1">IFERROR(__xludf.DUMMYFUNCTION("GOOGLETRANSLATE($B590,""en"",O$3)"),"alue List")</f>
        <v>alue List</v>
      </c>
      <c r="P590" s="21" t="str">
        <f ca="1">IFERROR(__xludf.DUMMYFUNCTION("GOOGLETRANSLATE($B590,""en"",P$3)"),"Réigiún Liosta")</f>
        <v>Réigiún Liosta</v>
      </c>
      <c r="Q590" s="21" t="str">
        <f ca="1">IFERROR(__xludf.DUMMYFUNCTION("GOOGLETRANSLATE($B590,""en"",Q$3)"),"فهرست منطقه")</f>
        <v>فهرست منطقه</v>
      </c>
      <c r="R590" s="21" t="str">
        <f ca="1">IFERROR(__xludf.DUMMYFUNCTION("GOOGLETRANSLATE($B590,""en"",R$3)"),"רשימת האזור")</f>
        <v>רשימת האזור</v>
      </c>
      <c r="S590" s="21" t="str">
        <f ca="1">IFERROR(__xludf.DUMMYFUNCTION("GOOGLETRANSLATE($B590,""en"",S$3)"),"svæði List")</f>
        <v>svæði List</v>
      </c>
      <c r="T590" s="21" t="str">
        <f ca="1">IFERROR(__xludf.DUMMYFUNCTION("GOOGLETRANSLATE($B590,""en"",T$3)"),"Liste")</f>
        <v>Liste</v>
      </c>
      <c r="U590" s="21" t="str">
        <f ca="1">IFERROR(__xludf.DUMMYFUNCTION("GOOGLETRANSLATE($B590,""en"",U$3)"),"قائمة المنطقة")</f>
        <v>قائمة المنطقة</v>
      </c>
      <c r="V590" s="21" t="str">
        <f ca="1">IFERROR(__xludf.DUMMYFUNCTION("GOOGLETRANSLATE($B590,""en"",V$3)"),"Region Lista")</f>
        <v>Region Lista</v>
      </c>
      <c r="W590" s="21" t="str">
        <f ca="1">IFERROR(__xludf.DUMMYFUNCTION("GOOGLETRANSLATE($B590,""en"",W$3)"),"Список область")</f>
        <v>Список область</v>
      </c>
      <c r="X590" s="21" t="str">
        <f ca="1">IFERROR(__xludf.DUMMYFUNCTION("GOOGLETRANSLATE($B590,""en"",X$3)"),"lista de regiones")</f>
        <v>lista de regiones</v>
      </c>
      <c r="Y590" s="21"/>
      <c r="Z590" s="21"/>
    </row>
    <row r="591" spans="1:26" ht="32.25" customHeight="1" x14ac:dyDescent="0.2">
      <c r="A591" s="17" t="s">
        <v>1280</v>
      </c>
      <c r="B591" s="17" t="s">
        <v>1281</v>
      </c>
      <c r="C591" s="21" t="str">
        <f ca="1">IFERROR(__xludf.DUMMYFUNCTION("GOOGLETRANSLATE($B591,""en"",C$3)"),"Region Manager ist Gott?")</f>
        <v>Region Manager ist Gott?</v>
      </c>
      <c r="D591" s="21" t="str">
        <f ca="1">IFERROR(__xludf.DUMMYFUNCTION("GOOGLETRANSLATE($B591,""en"",D$3)"),"Region manager är Gud?")</f>
        <v>Region manager är Gud?</v>
      </c>
      <c r="E591" s="21" t="str">
        <f ca="1">IFERROR(__xludf.DUMMYFUNCTION("GOOGLETRANSLATE($B591,""en"",E$3)"),"gerente região é deus?")</f>
        <v>gerente região é deus?</v>
      </c>
      <c r="F591" s="21" t="str">
        <f ca="1">IFERROR(__xludf.DUMMYFUNCTION("GOOGLETRANSLATE($B591,""en"",F$3)"),"gerente região é deus?")</f>
        <v>gerente região é deus?</v>
      </c>
      <c r="G591" s="21" t="str">
        <f ca="1">IFERROR(__xludf.DUMMYFUNCTION("GOOGLETRANSLATE($B591,""en"",G$3)"),"directeur de la région est Dieu?")</f>
        <v>directeur de la région est Dieu?</v>
      </c>
      <c r="H591" s="21" t="str">
        <f ca="1">IFERROR(__xludf.DUMMYFUNCTION("GOOGLETRANSLATE($B591,""en"",H$3)"),"Eskualde manager jainkoa da?")</f>
        <v>Eskualde manager jainkoa da?</v>
      </c>
      <c r="I591" s="21" t="str">
        <f ca="1">IFERROR(__xludf.DUMMYFUNCTION("GOOGLETRANSLATE($B591,""en"",I$3)"),"gerent regió és déu?")</f>
        <v>gerent regió és déu?</v>
      </c>
      <c r="J591" s="21" t="str">
        <f ca="1">IFERROR(__xludf.DUMMYFUNCTION("GOOGLETRANSLATE($B591,""en"",J$3)"),"manager region je bůh?")</f>
        <v>manager region je bůh?</v>
      </c>
      <c r="K591" s="21" t="str">
        <f ca="1">IFERROR(__xludf.DUMMYFUNCTION("GOOGLETRANSLATE($B591,""en"",K$3)"),"区域经理是神？")</f>
        <v>区域经理是神？</v>
      </c>
      <c r="L591" s="21" t="str">
        <f ca="1">IFERROR(__xludf.DUMMYFUNCTION("GOOGLETRANSLATE($B591,""en"",L$3)"),"區域經理是神？")</f>
        <v>區域經理是神？</v>
      </c>
      <c r="M591" s="21" t="str">
        <f ca="1">IFERROR(__xludf.DUMMYFUNCTION("GOOGLETRANSLATE($B591,""en"",M$3)"),"Regio manager is god?")</f>
        <v>Regio manager is god?</v>
      </c>
      <c r="N591" s="21" t="str">
        <f ca="1">IFERROR(__xludf.DUMMYFUNCTION("GOOGLETRANSLATE($B591,""en"",N$3)"),"διευθυντής Περιφέρειας είναι ο θεός;")</f>
        <v>διευθυντής Περιφέρειας είναι ο θεός;</v>
      </c>
      <c r="O591" s="21" t="str">
        <f ca="1">IFERROR(__xludf.DUMMYFUNCTION("GOOGLETRANSLATE($B591,""en"",O$3)"),"Alue johtaja on jumala?")</f>
        <v>Alue johtaja on jumala?</v>
      </c>
      <c r="P591" s="21" t="str">
        <f ca="1">IFERROR(__xludf.DUMMYFUNCTION("GOOGLETRANSLATE($B591,""en"",P$3)"),"Is bainisteoir réigiún Dia?")</f>
        <v>Is bainisteoir réigiún Dia?</v>
      </c>
      <c r="Q591" s="21" t="str">
        <f ca="1">IFERROR(__xludf.DUMMYFUNCTION("GOOGLETRANSLATE($B591,""en"",Q$3)"),"مدیر منطقه خدا است؟")</f>
        <v>مدیر منطقه خدا است؟</v>
      </c>
      <c r="R591" s="21" t="str">
        <f ca="1">IFERROR(__xludf.DUMMYFUNCTION("GOOGLETRANSLATE($B591,""en"",R$3)"),"מנהל האזור הוא אלוהים?")</f>
        <v>מנהל האזור הוא אלוהים?</v>
      </c>
      <c r="S591" s="21" t="str">
        <f ca="1">IFERROR(__xludf.DUMMYFUNCTION("GOOGLETRANSLATE($B591,""en"",S$3)"),"Region framkvæmdastjóri er guð?")</f>
        <v>Region framkvæmdastjóri er guð?</v>
      </c>
      <c r="T591" s="21" t="str">
        <f ca="1">IFERROR(__xludf.DUMMYFUNCTION("GOOGLETRANSLATE($B591,""en"",T$3)"),"Region manager er gud?")</f>
        <v>Region manager er gud?</v>
      </c>
      <c r="U591" s="21" t="str">
        <f ca="1">IFERROR(__xludf.DUMMYFUNCTION("GOOGLETRANSLATE($B591,""en"",U$3)"),"مدير المنطقة هو الله؟")</f>
        <v>مدير المنطقة هو الله؟</v>
      </c>
      <c r="V591" s="21" t="str">
        <f ca="1">IFERROR(__xludf.DUMMYFUNCTION("GOOGLETRANSLATE($B591,""en"",V$3)"),"kierownik regionu jest Bóg?")</f>
        <v>kierownik regionu jest Bóg?</v>
      </c>
      <c r="W591" s="21" t="str">
        <f ca="1">IFERROR(__xludf.DUMMYFUNCTION("GOOGLETRANSLATE($B591,""en"",W$3)"),"менеджер Регион бог?")</f>
        <v>менеджер Регион бог?</v>
      </c>
      <c r="X591" s="21" t="str">
        <f ca="1">IFERROR(__xludf.DUMMYFUNCTION("GOOGLETRANSLATE($B591,""en"",X$3)"),"gerente región es dios?")</f>
        <v>gerente región es dios?</v>
      </c>
      <c r="Y591" s="21"/>
      <c r="Z591" s="21"/>
    </row>
    <row r="592" spans="1:26" ht="32.25" customHeight="1" x14ac:dyDescent="0.2">
      <c r="A592" s="17" t="s">
        <v>1282</v>
      </c>
      <c r="B592" s="17" t="s">
        <v>1283</v>
      </c>
      <c r="C592" s="21" t="str">
        <f ca="1">IFERROR(__xludf.DUMMYFUNCTION("GOOGLETRANSLATE($B592,""en"",C$3)"),"Region Manager ist Gott - Real Estate Manager können Götter werden, aber nur für dieses Grundstück")</f>
        <v>Region Manager ist Gott - Real Estate Manager können Götter werden, aber nur für dieses Grundstück</v>
      </c>
      <c r="D592" s="21" t="str">
        <f ca="1">IFERROR(__xludf.DUMMYFUNCTION("GOOGLETRANSLATE($B592,""en"",D$3)"),"Region Manager är Gud - Estate chefer kan bli gudar, men bara för denna egendom")</f>
        <v>Region Manager är Gud - Estate chefer kan bli gudar, men bara för denna egendom</v>
      </c>
      <c r="E592" s="21" t="str">
        <f ca="1">IFERROR(__xludf.DUMMYFUNCTION("GOOGLETRANSLATE($B592,""en"",E$3)"),"Região Manager é Deus - gestores Estate pode se tornar deuses, mas apenas para esta propriedade")</f>
        <v>Região Manager é Deus - gestores Estate pode se tornar deuses, mas apenas para esta propriedade</v>
      </c>
      <c r="F592" s="21" t="str">
        <f ca="1">IFERROR(__xludf.DUMMYFUNCTION("GOOGLETRANSLATE($B592,""en"",F$3)"),"Região Manager é Deus - gestores Estate pode se tornar deuses, mas apenas para esta propriedade")</f>
        <v>Região Manager é Deus - gestores Estate pode se tornar deuses, mas apenas para esta propriedade</v>
      </c>
      <c r="G592" s="21" t="str">
        <f ca="1">IFERROR(__xludf.DUMMYFUNCTION("GOOGLETRANSLATE($B592,""en"",G$3)"),"Region Manager est Dieu - les gestionnaires immobiliers peuvent devenir des dieux, mais seulement pour ce domaine")</f>
        <v>Region Manager est Dieu - les gestionnaires immobiliers peuvent devenir des dieux, mais seulement pour ce domaine</v>
      </c>
      <c r="H592" s="21" t="str">
        <f ca="1">IFERROR(__xludf.DUMMYFUNCTION("GOOGLETRANSLATE($B592,""en"",H$3)"),"Eskualde Kudeatzaile God da - Higiezinen kudeatzaile jainko bihur daiteke, baina higiezinen horretarako")</f>
        <v>Eskualde Kudeatzaile God da - Higiezinen kudeatzaile jainko bihur daiteke, baina higiezinen horretarako</v>
      </c>
      <c r="I592" s="21" t="str">
        <f ca="1">IFERROR(__xludf.DUMMYFUNCTION("GOOGLETRANSLATE($B592,""en"",I$3)"),"Regió Manager és Déu - els administradors d'arrels poden convertir-se en déus, però només per aquesta finca")</f>
        <v>Regió Manager és Déu - els administradors d'arrels poden convertir-se en déus, però només per aquesta finca</v>
      </c>
      <c r="J592" s="21" t="str">
        <f ca="1">IFERROR(__xludf.DUMMYFUNCTION("GOOGLETRANSLATE($B592,""en"",J$3)"),"Region Manager je Bůh - Estate manažeři mohou stát bohy, ale právě pro tento majetek")</f>
        <v>Region Manager je Bůh - Estate manažeři mohou stát bohy, ale právě pro tento majetek</v>
      </c>
      <c r="K592" s="21" t="str">
        <f ca="1">IFERROR(__xludf.DUMMYFUNCTION("GOOGLETRANSLATE($B592,""en"",K$3)"),"区域经理是上帝 - 房地产经理人可以成为神，而只是对这个楼盘")</f>
        <v>区域经理是上帝 - 房地产经理人可以成为神，而只是对这个楼盘</v>
      </c>
      <c r="L592" s="21" t="str">
        <f ca="1">IFERROR(__xludf.DUMMYFUNCTION("GOOGLETRANSLATE($B592,""en"",L$3)"),"區域經理是上帝 - 房地產經理人可以成為神，而只是對這個樓盤")</f>
        <v>區域經理是上帝 - 房地產經理人可以成為神，而只是對這個樓盤</v>
      </c>
      <c r="M592" s="21" t="str">
        <f ca="1">IFERROR(__xludf.DUMMYFUNCTION("GOOGLETRANSLATE($B592,""en"",M$3)"),"Regio Manager is God - Estate managers kunnen goden te worden, maar alleen voor deze landgoed")</f>
        <v>Regio Manager is God - Estate managers kunnen goden te worden, maar alleen voor deze landgoed</v>
      </c>
      <c r="N592" s="21" t="str">
        <f ca="1">IFERROR(__xludf.DUMMYFUNCTION("GOOGLETRANSLATE($B592,""en"",N$3)"),"Περιοχή Manager είναι ο Θεός - διαχειριστές ακινήτων μπορούν να γίνουν θεοί, αλλά ακριβώς γι 'αυτό το κτήμα")</f>
        <v>Περιοχή Manager είναι ο Θεός - διαχειριστές ακινήτων μπορούν να γίνουν θεοί, αλλά ακριβώς γι 'αυτό το κτήμα</v>
      </c>
      <c r="O592" s="21" t="str">
        <f ca="1">IFERROR(__xludf.DUMMYFUNCTION("GOOGLETRANSLATE($B592,""en"",O$3)"),"Aluejohtaja on Jumala - isännöitsijät voivat tulla jumalia, mutta juuri tämän kartanon")</f>
        <v>Aluejohtaja on Jumala - isännöitsijät voivat tulla jumalia, mutta juuri tämän kartanon</v>
      </c>
      <c r="P592" s="21" t="str">
        <f ca="1">IFERROR(__xludf.DUMMYFUNCTION("GOOGLETRANSLATE($B592,""en"",P$3)"),"Is Bainisteoir Réigiún Dia - Is féidir le bainisteoirí Eastáit bheith gods, ach amháin le haghaidh an eastáit")</f>
        <v>Is Bainisteoir Réigiún Dia - Is féidir le bainisteoirí Eastáit bheith gods, ach amháin le haghaidh an eastáit</v>
      </c>
      <c r="Q592" s="21" t="str">
        <f ca="1">IFERROR(__xludf.DUMMYFUNCTION("GOOGLETRANSLATE($B592,""en"",Q$3)"),"منطقه مدیر خداوند است - مدیران و مستغلات می تواند تبدیل شدن به خدایان، اما فقط برای این املاک")</f>
        <v>منطقه مدیر خداوند است - مدیران و مستغلات می تواند تبدیل شدن به خدایان، اما فقط برای این املاک</v>
      </c>
      <c r="R592" s="21" t="str">
        <f ca="1">IFERROR(__xludf.DUMMYFUNCTION("GOOGLETRANSLATE($B592,""en"",R$3)"),"אזור Manager הוא אלוהים - מנהלי נדל""ן יכולים להיות אלימים, אבל רק עבור אחוזה זו")</f>
        <v>אזור Manager הוא אלוהים - מנהלי נדל"ן יכולים להיות אלימים, אבל רק עבור אחוזה זו</v>
      </c>
      <c r="S592" s="21" t="str">
        <f ca="1">IFERROR(__xludf.DUMMYFUNCTION("GOOGLETRANSLATE($B592,""en"",S$3)"),"Svæði Manager er Guð - Estate stjórnendur geta orðið guðir, heldur bara fyrir búinu")</f>
        <v>Svæði Manager er Guð - Estate stjórnendur geta orðið guðir, heldur bara fyrir búinu</v>
      </c>
      <c r="T592" s="21" t="str">
        <f ca="1">IFERROR(__xludf.DUMMYFUNCTION("GOOGLETRANSLATE($B592,""en"",T$3)"),"Region Manager er Gud - eiendom ledere kan bli guder, men bare for denne eiendom")</f>
        <v>Region Manager er Gud - eiendom ledere kan bli guder, men bare for denne eiendom</v>
      </c>
      <c r="U592" s="21" t="str">
        <f ca="1">IFERROR(__xludf.DUMMYFUNCTION("GOOGLETRANSLATE($B592,""en"",U$3)"),"المنطقة مدير هو الله - ويمكن لمديري العقارية يصبحون آلهة، ولكن فقط لهذا العقار")</f>
        <v>المنطقة مدير هو الله - ويمكن لمديري العقارية يصبحون آلهة، ولكن فقط لهذا العقار</v>
      </c>
      <c r="V592" s="21" t="str">
        <f ca="1">IFERROR(__xludf.DUMMYFUNCTION("GOOGLETRANSLATE($B592,""en"",V$3)"),"Region Manager jest Bóg - zarządcy nieruchomości może stać się bogami, ale tylko dla tej nieruchomości")</f>
        <v>Region Manager jest Bóg - zarządcy nieruchomości może stać się bogami, ale tylko dla tej nieruchomości</v>
      </c>
      <c r="W592" s="21" t="str">
        <f ca="1">IFERROR(__xludf.DUMMYFUNCTION("GOOGLETRANSLATE($B592,""en"",W$3)"),"Регион Менеджер Бог - менеджеры по недвижимости могут стать богами, но только для этого имущества")</f>
        <v>Регион Менеджер Бог - менеджеры по недвижимости могут стать богами, но только для этого имущества</v>
      </c>
      <c r="X592" s="21" t="str">
        <f ca="1">IFERROR(__xludf.DUMMYFUNCTION("GOOGLETRANSLATE($B592,""en"",X$3)"),"Región Manager es Dios - los administradores de raíces pueden convertirse en dioses, pero sólo por esta finca")</f>
        <v>Región Manager es Dios - los administradores de raíces pueden convertirse en dioses, pero sólo por esta finca</v>
      </c>
      <c r="Y592" s="21"/>
      <c r="Z592" s="21"/>
    </row>
    <row r="593" spans="1:26" ht="32.25" customHeight="1" x14ac:dyDescent="0.2">
      <c r="A593" s="17" t="s">
        <v>1284</v>
      </c>
      <c r="B593" s="17" t="s">
        <v>1285</v>
      </c>
      <c r="C593" s="21" t="str">
        <f ca="1">IFERROR(__xludf.DUMMYFUNCTION("GOOGLETRANSLATE($B593,""en"",C$3)"),"Alphanumerisches und Spaces")</f>
        <v>Alphanumerisches und Spaces</v>
      </c>
      <c r="D593" s="21" t="str">
        <f ca="1">IFERROR(__xludf.DUMMYFUNCTION("GOOGLETRANSLATE($B593,""en"",D$3)"),"Alfanumeriska plus Spaces")</f>
        <v>Alfanumeriska plus Spaces</v>
      </c>
      <c r="E593" s="21" t="str">
        <f ca="1">IFERROR(__xludf.DUMMYFUNCTION("GOOGLETRANSLATE($B593,""en"",E$3)"),"Alfa-numérico mais espaços")</f>
        <v>Alfa-numérico mais espaços</v>
      </c>
      <c r="F593" s="21" t="str">
        <f ca="1">IFERROR(__xludf.DUMMYFUNCTION("GOOGLETRANSLATE($B593,""en"",F$3)"),"Alfa-numérico mais espaços")</f>
        <v>Alfa-numérico mais espaços</v>
      </c>
      <c r="G593" s="21" t="str">
        <f ca="1">IFERROR(__xludf.DUMMYFUNCTION("GOOGLETRANSLATE($B593,""en"",G$3)"),"Alpha-numérique, plus les espaces")</f>
        <v>Alpha-numérique, plus les espaces</v>
      </c>
      <c r="H593" s="21" t="str">
        <f ca="1">IFERROR(__xludf.DUMMYFUNCTION("GOOGLETRANSLATE($B593,""en"",H$3)"),"Alfazenbakizko plus Espazioak")</f>
        <v>Alfazenbakizko plus Espazioak</v>
      </c>
      <c r="I593" s="21" t="str">
        <f ca="1">IFERROR(__xludf.DUMMYFUNCTION("GOOGLETRANSLATE($B593,""en"",I$3)"),"Alfa-numèric, més espais")</f>
        <v>Alfa-numèric, més espais</v>
      </c>
      <c r="J593" s="21" t="str">
        <f ca="1">IFERROR(__xludf.DUMMYFUNCTION("GOOGLETRANSLATE($B593,""en"",J$3)"),"Alfanumerická a Spaces")</f>
        <v>Alfanumerická a Spaces</v>
      </c>
      <c r="K593" s="21" t="str">
        <f ca="1">IFERROR(__xludf.DUMMYFUNCTION("GOOGLETRANSLATE($B593,""en"",K$3)"),"字母数字加空格")</f>
        <v>字母数字加空格</v>
      </c>
      <c r="L593" s="21" t="str">
        <f ca="1">IFERROR(__xludf.DUMMYFUNCTION("GOOGLETRANSLATE($B593,""en"",L$3)"),"字母數字加空格")</f>
        <v>字母數字加空格</v>
      </c>
      <c r="M593" s="21" t="str">
        <f ca="1">IFERROR(__xludf.DUMMYFUNCTION("GOOGLETRANSLATE($B593,""en"",M$3)"),"Alpha-numeriek plus Spaces")</f>
        <v>Alpha-numeriek plus Spaces</v>
      </c>
      <c r="N593" s="21" t="str">
        <f ca="1">IFERROR(__xludf.DUMMYFUNCTION("GOOGLETRANSLATE($B593,""en"",N$3)"),"Αλφαριθμητικό συν χώρους")</f>
        <v>Αλφαριθμητικό συν χώρους</v>
      </c>
      <c r="O593" s="21" t="str">
        <f ca="1">IFERROR(__xludf.DUMMYFUNCTION("GOOGLETRANSLATE($B593,""en"",O$3)"),"Aakkosnumeeriset plus Spaces")</f>
        <v>Aakkosnumeeriset plus Spaces</v>
      </c>
      <c r="P593" s="21" t="str">
        <f ca="1">IFERROR(__xludf.DUMMYFUNCTION("GOOGLETRANSLATE($B593,""en"",P$3)"),"Alfa-Uimhriúil móide Spásanna")</f>
        <v>Alfa-Uimhriúil móide Spásanna</v>
      </c>
      <c r="Q593" s="21" t="str">
        <f ca="1">IFERROR(__xludf.DUMMYFUNCTION("GOOGLETRANSLATE($B593,""en"",Q$3)"),"آلفا عددی به علاوه فضاهای")</f>
        <v>آلفا عددی به علاوه فضاهای</v>
      </c>
      <c r="R593" s="21" t="str">
        <f ca="1">IFERROR(__xludf.DUMMYFUNCTION("GOOGLETRANSLATE($B593,""en"",R$3)"),"אלפא-נומרי פלוס Spaces")</f>
        <v>אלפא-נומרי פלוס Spaces</v>
      </c>
      <c r="S593" s="21" t="str">
        <f ca="1">IFERROR(__xludf.DUMMYFUNCTION("GOOGLETRANSLATE($B593,""en"",S$3)"),"Alfa-töluna plús Spaces")</f>
        <v>Alfa-töluna plús Spaces</v>
      </c>
      <c r="T593" s="21" t="str">
        <f ca="1">IFERROR(__xludf.DUMMYFUNCTION("GOOGLETRANSLATE($B593,""en"",T$3)"),"Alfanumerisk pluss Spaces")</f>
        <v>Alfanumerisk pluss Spaces</v>
      </c>
      <c r="U593" s="21" t="str">
        <f ca="1">IFERROR(__xludf.DUMMYFUNCTION("GOOGLETRANSLATE($B593,""en"",U$3)"),"ألفا الرقمية بالإضافة إلى مساحات")</f>
        <v>ألفا الرقمية بالإضافة إلى مساحات</v>
      </c>
      <c r="V593" s="21" t="str">
        <f ca="1">IFERROR(__xludf.DUMMYFUNCTION("GOOGLETRANSLATE($B593,""en"",V$3)"),"Alfanumeryczny Plus przeznaczone")</f>
        <v>Alfanumeryczny Plus przeznaczone</v>
      </c>
      <c r="W593" s="21" t="str">
        <f ca="1">IFERROR(__xludf.DUMMYFUNCTION("GOOGLETRANSLATE($B593,""en"",W$3)"),"Алфавитно-цифровой плюс Spaces")</f>
        <v>Алфавитно-цифровой плюс Spaces</v>
      </c>
      <c r="X593" s="21" t="str">
        <f ca="1">IFERROR(__xludf.DUMMYFUNCTION("GOOGLETRANSLATE($B593,""en"",X$3)"),"Alfa-numérico, más espacios")</f>
        <v>Alfa-numérico, más espacios</v>
      </c>
      <c r="Y593" s="21"/>
      <c r="Z593" s="21"/>
    </row>
    <row r="594" spans="1:26" ht="32.25" customHeight="1" x14ac:dyDescent="0.2">
      <c r="A594" s="17" t="s">
        <v>1286</v>
      </c>
      <c r="B594" s="17" t="s">
        <v>1287</v>
      </c>
      <c r="C594" s="21" t="str">
        <f ca="1">IFERROR(__xludf.DUMMYFUNCTION("GOOGLETRANSLATE($B594,""en"",C$3)"),"Region Name darf nicht leer sein")</f>
        <v>Region Name darf nicht leer sein</v>
      </c>
      <c r="D594" s="21" t="str">
        <f ca="1">IFERROR(__xludf.DUMMYFUNCTION("GOOGLETRANSLATE($B594,""en"",D$3)"),"Region namn får inte vara tomt")</f>
        <v>Region namn får inte vara tomt</v>
      </c>
      <c r="E594" s="21" t="str">
        <f ca="1">IFERROR(__xludf.DUMMYFUNCTION("GOOGLETRANSLATE($B594,""en"",E$3)"),"nome da região não deve estar em branco")</f>
        <v>nome da região não deve estar em branco</v>
      </c>
      <c r="F594" s="21" t="str">
        <f ca="1">IFERROR(__xludf.DUMMYFUNCTION("GOOGLETRANSLATE($B594,""en"",F$3)"),"nome da região não deve estar em branco")</f>
        <v>nome da região não deve estar em branco</v>
      </c>
      <c r="G594" s="21" t="str">
        <f ca="1">IFERROR(__xludf.DUMMYFUNCTION("GOOGLETRANSLATE($B594,""en"",G$3)"),"Nom de la région ne doit pas être vide")</f>
        <v>Nom de la région ne doit pas être vide</v>
      </c>
      <c r="H594" s="21" t="str">
        <f ca="1">IFERROR(__xludf.DUMMYFUNCTION("GOOGLETRANSLATE($B594,""en"",H$3)"),"Region izena ez du hutsik egon")</f>
        <v>Region izena ez du hutsik egon</v>
      </c>
      <c r="I594" s="21" t="str">
        <f ca="1">IFERROR(__xludf.DUMMYFUNCTION("GOOGLETRANSLATE($B594,""en"",I$3)"),"nom de la regió no ha d'estar en blanc")</f>
        <v>nom de la regió no ha d'estar en blanc</v>
      </c>
      <c r="J594" s="21" t="str">
        <f ca="1">IFERROR(__xludf.DUMMYFUNCTION("GOOGLETRANSLATE($B594,""en"",J$3)"),"Název regionu nesmí být prázdný")</f>
        <v>Název regionu nesmí být prázdný</v>
      </c>
      <c r="K594" s="21" t="str">
        <f ca="1">IFERROR(__xludf.DUMMYFUNCTION("GOOGLETRANSLATE($B594,""en"",K$3)"),"区域名称不能为空")</f>
        <v>区域名称不能为空</v>
      </c>
      <c r="L594" s="21" t="str">
        <f ca="1">IFERROR(__xludf.DUMMYFUNCTION("GOOGLETRANSLATE($B594,""en"",L$3)"),"區域名稱不能為空")</f>
        <v>區域名稱不能為空</v>
      </c>
      <c r="M594" s="21" t="str">
        <f ca="1">IFERROR(__xludf.DUMMYFUNCTION("GOOGLETRANSLATE($B594,""en"",M$3)"),"Region naam mag niet leeg zijn")</f>
        <v>Region naam mag niet leeg zijn</v>
      </c>
      <c r="N594" s="21" t="str">
        <f ca="1">IFERROR(__xludf.DUMMYFUNCTION("GOOGLETRANSLATE($B594,""en"",N$3)"),"όνομα της περιοχής δεν πρέπει να είναι κενή")</f>
        <v>όνομα της περιοχής δεν πρέπει να είναι κενή</v>
      </c>
      <c r="O594" s="21" t="str">
        <f ca="1">IFERROR(__xludf.DUMMYFUNCTION("GOOGLETRANSLATE($B594,""en"",O$3)"),"Region nimi ei saa olla tyhjä")</f>
        <v>Region nimi ei saa olla tyhjä</v>
      </c>
      <c r="P594" s="21" t="str">
        <f ca="1">IFERROR(__xludf.DUMMYFUNCTION("GOOGLETRANSLATE($B594,""en"",P$3)"),"Ní mór ainm réigiún a bheith bán")</f>
        <v>Ní mór ainm réigiún a bheith bán</v>
      </c>
      <c r="Q594" s="21" t="str">
        <f ca="1">IFERROR(__xludf.DUMMYFUNCTION("GOOGLETRANSLATE($B594,""en"",Q$3)"),"نام منطقه باید پر شوند")</f>
        <v>نام منطقه باید پر شوند</v>
      </c>
      <c r="R594" s="21" t="str">
        <f ca="1">IFERROR(__xludf.DUMMYFUNCTION("GOOGLETRANSLATE($B594,""en"",R$3)"),"שם אזור אסור להיות ריק")</f>
        <v>שם אזור אסור להיות ריק</v>
      </c>
      <c r="S594" s="21" t="str">
        <f ca="1">IFERROR(__xludf.DUMMYFUNCTION("GOOGLETRANSLATE($B594,""en"",S$3)"),"Region nafn má ekki vera auður")</f>
        <v>Region nafn má ekki vera auður</v>
      </c>
      <c r="T594" s="21" t="str">
        <f ca="1">IFERROR(__xludf.DUMMYFUNCTION("GOOGLETRANSLATE($B594,""en"",T$3)"),"Region Navnet må ikke være tomt")</f>
        <v>Region Navnet må ikke være tomt</v>
      </c>
      <c r="U594" s="21" t="str">
        <f ca="1">IFERROR(__xludf.DUMMYFUNCTION("GOOGLETRANSLATE($B594,""en"",U$3)"),"يجب ألا يكون اسم المنطقة فارغة")</f>
        <v>يجب ألا يكون اسم المنطقة فارغة</v>
      </c>
      <c r="V594" s="21" t="str">
        <f ca="1">IFERROR(__xludf.DUMMYFUNCTION("GOOGLETRANSLATE($B594,""en"",V$3)"),"Nazwa regionu nie może być puste")</f>
        <v>Nazwa regionu nie może być puste</v>
      </c>
      <c r="W594" s="21" t="str">
        <f ca="1">IFERROR(__xludf.DUMMYFUNCTION("GOOGLETRANSLATE($B594,""en"",W$3)"),"Название Регион не должно быть пустым")</f>
        <v>Название Регион не должно быть пустым</v>
      </c>
      <c r="X594" s="21" t="str">
        <f ca="1">IFERROR(__xludf.DUMMYFUNCTION("GOOGLETRANSLATE($B594,""en"",X$3)"),"nombre de la región no debe estar en blanco")</f>
        <v>nombre de la región no debe estar en blanco</v>
      </c>
      <c r="Y594" s="21"/>
      <c r="Z594" s="21"/>
    </row>
    <row r="595" spans="1:26" ht="32.25" customHeight="1" x14ac:dyDescent="0.2">
      <c r="A595" s="17" t="s">
        <v>1288</v>
      </c>
      <c r="B595" s="17" t="s">
        <v>1289</v>
      </c>
      <c r="C595" s="21" t="str">
        <f ca="1">IFERROR(__xludf.DUMMYFUNCTION("GOOGLETRANSLATE($B595,""en"",C$3)"),"Region Name darf keine Sonderzeichen verwenden")</f>
        <v>Region Name darf keine Sonderzeichen verwenden</v>
      </c>
      <c r="D595" s="21" t="str">
        <f ca="1">IFERROR(__xludf.DUMMYFUNCTION("GOOGLETRANSLATE($B595,""en"",D$3)"),"Region namn kan inte använda specialtecken")</f>
        <v>Region namn kan inte använda specialtecken</v>
      </c>
      <c r="E595" s="21" t="str">
        <f ca="1">IFERROR(__xludf.DUMMYFUNCTION("GOOGLETRANSLATE($B595,""en"",E$3)"),"nome da região não pode usar caracteres especiais")</f>
        <v>nome da região não pode usar caracteres especiais</v>
      </c>
      <c r="F595" s="21" t="str">
        <f ca="1">IFERROR(__xludf.DUMMYFUNCTION("GOOGLETRANSLATE($B595,""en"",F$3)"),"nome da região não pode usar caracteres especiais")</f>
        <v>nome da região não pode usar caracteres especiais</v>
      </c>
      <c r="G595" s="21" t="str">
        <f ca="1">IFERROR(__xludf.DUMMYFUNCTION("GOOGLETRANSLATE($B595,""en"",G$3)"),"Nom de la région ne peut pas utiliser des caractères spéciaux")</f>
        <v>Nom de la région ne peut pas utiliser des caractères spéciaux</v>
      </c>
      <c r="H595" s="21" t="str">
        <f ca="1">IFERROR(__xludf.DUMMYFUNCTION("GOOGLETRANSLATE($B595,""en"",H$3)"),"Region izena ezin karaktere bereziak erabili")</f>
        <v>Region izena ezin karaktere bereziak erabili</v>
      </c>
      <c r="I595" s="21" t="str">
        <f ca="1">IFERROR(__xludf.DUMMYFUNCTION("GOOGLETRANSLATE($B595,""en"",I$3)"),"nom de la regió no pot utilitzar caràcters especials")</f>
        <v>nom de la regió no pot utilitzar caràcters especials</v>
      </c>
      <c r="J595" s="21" t="str">
        <f ca="1">IFERROR(__xludf.DUMMYFUNCTION("GOOGLETRANSLATE($B595,""en"",J$3)"),"Název regionu nelze používat speciální znaky")</f>
        <v>Název regionu nelze používat speciální znaky</v>
      </c>
      <c r="K595" s="21" t="str">
        <f ca="1">IFERROR(__xludf.DUMMYFUNCTION("GOOGLETRANSLATE($B595,""en"",K$3)"),"区域名称不能使用特殊字符")</f>
        <v>区域名称不能使用特殊字符</v>
      </c>
      <c r="L595" s="21" t="str">
        <f ca="1">IFERROR(__xludf.DUMMYFUNCTION("GOOGLETRANSLATE($B595,""en"",L$3)"),"區域名稱不能使用特殊字符")</f>
        <v>區域名稱不能使用特殊字符</v>
      </c>
      <c r="M595" s="21" t="str">
        <f ca="1">IFERROR(__xludf.DUMMYFUNCTION("GOOGLETRANSLATE($B595,""en"",M$3)"),"Region naam mag geen speciale tekens gebruiken")</f>
        <v>Region naam mag geen speciale tekens gebruiken</v>
      </c>
      <c r="N595" s="21" t="str">
        <f ca="1">IFERROR(__xludf.DUMMYFUNCTION("GOOGLETRANSLATE($B595,""en"",N$3)"),"όνομα της περιοχής δεν μπορούν να χρησιμοποιήσουν ειδικούς χαρακτήρες")</f>
        <v>όνομα της περιοχής δεν μπορούν να χρησιμοποιήσουν ειδικούς χαρακτήρες</v>
      </c>
      <c r="O595" s="21" t="str">
        <f ca="1">IFERROR(__xludf.DUMMYFUNCTION("GOOGLETRANSLATE($B595,""en"",O$3)"),"Alueen nimi voi käyttää erikoismerkkejä")</f>
        <v>Alueen nimi voi käyttää erikoismerkkejä</v>
      </c>
      <c r="P595" s="21" t="str">
        <f ca="1">IFERROR(__xludf.DUMMYFUNCTION("GOOGLETRANSLATE($B595,""en"",P$3)"),"Ní féidir ainm na Réigiún litreacha speisialta")</f>
        <v>Ní féidir ainm na Réigiún litreacha speisialta</v>
      </c>
      <c r="Q595" s="21" t="str">
        <f ca="1">IFERROR(__xludf.DUMMYFUNCTION("GOOGLETRANSLATE($B595,""en"",Q$3)"),"نام منطقه می توانید از کاراکترهای خاص استفاده نمی")</f>
        <v>نام منطقه می توانید از کاراکترهای خاص استفاده نمی</v>
      </c>
      <c r="R595" s="21" t="str">
        <f ca="1">IFERROR(__xludf.DUMMYFUNCTION("GOOGLETRANSLATE($B595,""en"",R$3)"),"שם אזור לא ניתן להשתמש בתווים מיוחדים")</f>
        <v>שם אזור לא ניתן להשתמש בתווים מיוחדים</v>
      </c>
      <c r="S595" s="21" t="str">
        <f ca="1">IFERROR(__xludf.DUMMYFUNCTION("GOOGLETRANSLATE($B595,""en"",S$3)"),"Region nafn er ekki notað sérstafi")</f>
        <v>Region nafn er ekki notað sérstafi</v>
      </c>
      <c r="T595" s="21" t="str">
        <f ca="1">IFERROR(__xludf.DUMMYFUNCTION("GOOGLETRANSLATE($B595,""en"",T$3)"),"Region navn kan ikke bruke spesialtegn")</f>
        <v>Region navn kan ikke bruke spesialtegn</v>
      </c>
      <c r="U595" s="21" t="str">
        <f ca="1">IFERROR(__xludf.DUMMYFUNCTION("GOOGLETRANSLATE($B595,""en"",U$3)"),"لا يمكن استخدام اسم المنطقة أحرف خاصة")</f>
        <v>لا يمكن استخدام اسم المنطقة أحرف خاصة</v>
      </c>
      <c r="V595" s="21" t="str">
        <f ca="1">IFERROR(__xludf.DUMMYFUNCTION("GOOGLETRANSLATE($B595,""en"",V$3)"),"Nazwa regionu nie można używać znaków specjalnych")</f>
        <v>Nazwa regionu nie można używać znaków specjalnych</v>
      </c>
      <c r="W595" s="21" t="str">
        <f ca="1">IFERROR(__xludf.DUMMYFUNCTION("GOOGLETRANSLATE($B595,""en"",W$3)"),"Название Регион не может использовать специальные символы")</f>
        <v>Название Регион не может использовать специальные символы</v>
      </c>
      <c r="X595" s="21" t="str">
        <f ca="1">IFERROR(__xludf.DUMMYFUNCTION("GOOGLETRANSLATE($B595,""en"",X$3)"),"nombre de la región no puede utilizar caracteres especiales")</f>
        <v>nombre de la región no puede utilizar caracteres especiales</v>
      </c>
      <c r="Y595" s="21"/>
      <c r="Z595" s="21"/>
    </row>
    <row r="596" spans="1:26" ht="32.25" customHeight="1" x14ac:dyDescent="0.2">
      <c r="A596" s="17" t="s">
        <v>1290</v>
      </c>
      <c r="B596" s="17" t="s">
        <v>1291</v>
      </c>
      <c r="C596" s="21" t="str">
        <f ca="1">IFERROR(__xludf.DUMMYFUNCTION("GOOGLETRANSLATE($B596,""en"",C$3)"),"Regionsspezifische Einstellungen außer Kraft setzen Standardeinstellungen")</f>
        <v>Regionsspezifische Einstellungen außer Kraft setzen Standardeinstellungen</v>
      </c>
      <c r="D596" s="21" t="str">
        <f ca="1">IFERROR(__xludf.DUMMYFUNCTION("GOOGLETRANSLATE($B596,""en"",D$3)"),"Region specifika inställningar åsidostandardinställningar")</f>
        <v>Region specifika inställningar åsidostandardinställningar</v>
      </c>
      <c r="E596" s="21" t="str">
        <f ca="1">IFERROR(__xludf.DUMMYFUNCTION("GOOGLETRANSLATE($B596,""en"",E$3)"),"configurações de substituição padrão região específica configurações")</f>
        <v>configurações de substituição padrão região específica configurações</v>
      </c>
      <c r="F596" s="21" t="str">
        <f ca="1">IFERROR(__xludf.DUMMYFUNCTION("GOOGLETRANSLATE($B596,""en"",F$3)"),"configurações de substituição padrão região específica configurações")</f>
        <v>configurações de substituição padrão região específica configurações</v>
      </c>
      <c r="G596" s="21" t="str">
        <f ca="1">IFERROR(__xludf.DUMMYFUNCTION("GOOGLETRANSLATE($B596,""en"",G$3)"),"Les paramètres par défaut de priorité spécifique de la région")</f>
        <v>Les paramètres par défaut de priorité spécifique de la région</v>
      </c>
      <c r="H596" s="21" t="str">
        <f ca="1">IFERROR(__xludf.DUMMYFUNCTION("GOOGLETRANSLATE($B596,""en"",H$3)"),"Eskualde zehatz ezarpenak override lehenetsia")</f>
        <v>Eskualde zehatz ezarpenak override lehenetsia</v>
      </c>
      <c r="I596" s="21" t="str">
        <f ca="1">IFERROR(__xludf.DUMMYFUNCTION("GOOGLETRANSLATE($B596,""en"",I$3)"),"anul·len els paràmetres per defecte específics de la regió ajustos")</f>
        <v>anul·len els paràmetres per defecte específics de la regió ajustos</v>
      </c>
      <c r="J596" s="21" t="str">
        <f ca="1">IFERROR(__xludf.DUMMYFUNCTION("GOOGLETRANSLATE($B596,""en"",J$3)"),"Region Specifická nastavení přepisují tyto výchozí nastavení")</f>
        <v>Region Specifická nastavení přepisují tyto výchozí nastavení</v>
      </c>
      <c r="K596" s="21" t="str">
        <f ca="1">IFERROR(__xludf.DUMMYFUNCTION("GOOGLETRANSLATE($B596,""en"",K$3)"),"特定地区设置覆盖默认设置")</f>
        <v>特定地区设置覆盖默认设置</v>
      </c>
      <c r="L596" s="21" t="str">
        <f ca="1">IFERROR(__xludf.DUMMYFUNCTION("GOOGLETRANSLATE($B596,""en"",L$3)"),"特定地區設置覆蓋默認設置")</f>
        <v>特定地區設置覆蓋默認設置</v>
      </c>
      <c r="M596" s="21" t="str">
        <f ca="1">IFERROR(__xludf.DUMMYFUNCTION("GOOGLETRANSLATE($B596,""en"",M$3)"),"Regio specifieke instellingen overschrijven standaardinstellingen")</f>
        <v>Regio specifieke instellingen overschrijven standaardinstellingen</v>
      </c>
      <c r="N596" s="21" t="str">
        <f ca="1">IFERROR(__xludf.DUMMYFUNCTION("GOOGLETRANSLATE($B596,""en"",N$3)"),"Περιοχή συγκεκριμένες προεπιλεγμένες ρυθμίσεις αντικαθιστούν τις ρυθμίσεις του")</f>
        <v>Περιοχή συγκεκριμένες προεπιλεγμένες ρυθμίσεις αντικαθιστούν τις ρυθμίσεις του</v>
      </c>
      <c r="O596" s="21" t="str">
        <f ca="1">IFERROR(__xludf.DUMMYFUNCTION("GOOGLETRANSLATE($B596,""en"",O$3)"),"Aluekohtainen asetukset ohittavat oletusasetukset")</f>
        <v>Aluekohtainen asetukset ohittavat oletusasetukset</v>
      </c>
      <c r="P596" s="21" t="str">
        <f ca="1">IFERROR(__xludf.DUMMYFUNCTION("GOOGLETRANSLATE($B596,""en"",P$3)"),"réamhshocruithe sáraíocht réigiún ar leith i suímh")</f>
        <v>réamhshocruithe sáraíocht réigiún ar leith i suímh</v>
      </c>
      <c r="Q596" s="21" t="str">
        <f ca="1">IFERROR(__xludf.DUMMYFUNCTION("GOOGLETRANSLATE($B596,""en"",Q$3)"),"تنظیمات پیش فرض لغو منطقه خاص تنظیمات")</f>
        <v>تنظیمات پیش فرض لغو منطقه خاص تنظیمات</v>
      </c>
      <c r="R596" s="21" t="str">
        <f ca="1">IFERROR(__xludf.DUMMYFUNCTION("GOOGLETRANSLATE($B596,""en"",R$3)"),"אזור הגדרות ברירת המחדל עקיפת הגדרות ספציפיות")</f>
        <v>אזור הגדרות ברירת המחדל עקיפת הגדרות ספציפיות</v>
      </c>
      <c r="S596" s="21" t="str">
        <f ca="1">IFERROR(__xludf.DUMMYFUNCTION("GOOGLETRANSLATE($B596,""en"",S$3)"),"Sjálfgefin tiltekið svæði Stillingar Stillingar")</f>
        <v>Sjálfgefin tiltekið svæði Stillingar Stillingar</v>
      </c>
      <c r="T596" s="21" t="str">
        <f ca="1">IFERROR(__xludf.DUMMYFUNCTION("GOOGLETRANSLATE($B596,""en"",T$3)"),"Region spesifikke innstillinger overstyrer standardinnstillingene")</f>
        <v>Region spesifikke innstillinger overstyrer standardinnstillingene</v>
      </c>
      <c r="U596" s="21" t="str">
        <f ca="1">IFERROR(__xludf.DUMMYFUNCTION("GOOGLETRANSLATE($B596,""en"",U$3)"),"الإعدادات الافتراضية تجاوز المنطقة المحددة إعدادات")</f>
        <v>الإعدادات الافتراضية تجاوز المنطقة المحددة إعدادات</v>
      </c>
      <c r="V596" s="21" t="str">
        <f ca="1">IFERROR(__xludf.DUMMYFUNCTION("GOOGLETRANSLATE($B596,""en"",V$3)"),"Ustawienia domyślne uruchamianie konkretnego regionu Ustawienia")</f>
        <v>Ustawienia domyślne uruchamianie konkretnego regionu Ustawienia</v>
      </c>
      <c r="W596" s="21" t="str">
        <f ca="1">IFERROR(__xludf.DUMMYFUNCTION("GOOGLETRANSLATE($B596,""en"",W$3)"),"Регион конкретные параметры настройки переопределения по умолчанию")</f>
        <v>Регион конкретные параметры настройки переопределения по умолчанию</v>
      </c>
      <c r="X596" s="21" t="str">
        <f ca="1">IFERROR(__xludf.DUMMYFUNCTION("GOOGLETRANSLATE($B596,""en"",X$3)"),"anulan los valores predeterminados específicos de la región ajustes")</f>
        <v>anulan los valores predeterminados específicos de la región ajustes</v>
      </c>
      <c r="Y596" s="21"/>
      <c r="Z596" s="21"/>
    </row>
    <row r="597" spans="1:26" ht="32.25" customHeight="1" x14ac:dyDescent="0.2">
      <c r="A597" s="17" t="s">
        <v>1292</v>
      </c>
      <c r="B597" s="17" t="s">
        <v>1293</v>
      </c>
      <c r="C597" s="21" t="str">
        <f ca="1">IFERROR(__xludf.DUMMYFUNCTION("GOOGLETRANSLATE($B597,""en"",C$3)"),"Region Besitzer ist Gott")</f>
        <v>Region Besitzer ist Gott</v>
      </c>
      <c r="D597" s="21" t="str">
        <f ca="1">IFERROR(__xludf.DUMMYFUNCTION("GOOGLETRANSLATE($B597,""en"",D$3)"),"Region Ägare är Gud")</f>
        <v>Region Ägare är Gud</v>
      </c>
      <c r="E597" s="21" t="str">
        <f ca="1">IFERROR(__xludf.DUMMYFUNCTION("GOOGLETRANSLATE($B597,""en"",E$3)"),"Região proprietário é Deus")</f>
        <v>Região proprietário é Deus</v>
      </c>
      <c r="F597" s="21" t="str">
        <f ca="1">IFERROR(__xludf.DUMMYFUNCTION("GOOGLETRANSLATE($B597,""en"",F$3)"),"Região proprietário é Deus")</f>
        <v>Região proprietário é Deus</v>
      </c>
      <c r="G597" s="21" t="str">
        <f ca="1">IFERROR(__xludf.DUMMYFUNCTION("GOOGLETRANSLATE($B597,""en"",G$3)"),"Région propriétaire est Dieu")</f>
        <v>Région propriétaire est Dieu</v>
      </c>
      <c r="H597" s="21" t="str">
        <f ca="1">IFERROR(__xludf.DUMMYFUNCTION("GOOGLETRANSLATE($B597,""en"",H$3)"),"Eskualde jabearen Jainkoa da")</f>
        <v>Eskualde jabearen Jainkoa da</v>
      </c>
      <c r="I597" s="21" t="str">
        <f ca="1">IFERROR(__xludf.DUMMYFUNCTION("GOOGLETRANSLATE($B597,""en"",I$3)"),"Regió propietari és Déu")</f>
        <v>Regió propietari és Déu</v>
      </c>
      <c r="J597" s="21" t="str">
        <f ca="1">IFERROR(__xludf.DUMMYFUNCTION("GOOGLETRANSLATE($B597,""en"",J$3)"),"Region Vlastník je Bůh")</f>
        <v>Region Vlastník je Bůh</v>
      </c>
      <c r="K597" s="21" t="str">
        <f ca="1">IFERROR(__xludf.DUMMYFUNCTION("GOOGLETRANSLATE($B597,""en"",K$3)"),"区业主是上帝")</f>
        <v>区业主是上帝</v>
      </c>
      <c r="L597" s="21" t="str">
        <f ca="1">IFERROR(__xludf.DUMMYFUNCTION("GOOGLETRANSLATE($B597,""en"",L$3)"),"區業主是上帝")</f>
        <v>區業主是上帝</v>
      </c>
      <c r="M597" s="21" t="str">
        <f ca="1">IFERROR(__xludf.DUMMYFUNCTION("GOOGLETRANSLATE($B597,""en"",M$3)"),"Region Eigenaar is God")</f>
        <v>Region Eigenaar is God</v>
      </c>
      <c r="N597" s="21" t="str">
        <f ca="1">IFERROR(__xludf.DUMMYFUNCTION("GOOGLETRANSLATE($B597,""en"",N$3)"),"Περιοχή Ιδιοκτήτης είναι ο Θεός")</f>
        <v>Περιοχή Ιδιοκτήτης είναι ο Θεός</v>
      </c>
      <c r="O597" s="21" t="str">
        <f ca="1">IFERROR(__xludf.DUMMYFUNCTION("GOOGLETRANSLATE($B597,""en"",O$3)"),"Alue omistaja on Jumala")</f>
        <v>Alue omistaja on Jumala</v>
      </c>
      <c r="P597" s="21" t="str">
        <f ca="1">IFERROR(__xludf.DUMMYFUNCTION("GOOGLETRANSLATE($B597,""en"",P$3)"),"Is Réigiún Úinéir Dia")</f>
        <v>Is Réigiún Úinéir Dia</v>
      </c>
      <c r="Q597" s="21" t="str">
        <f ca="1">IFERROR(__xludf.DUMMYFUNCTION("GOOGLETRANSLATE($B597,""en"",Q$3)"),"منطقه مالک خدا است")</f>
        <v>منطقه مالک خدا است</v>
      </c>
      <c r="R597" s="21" t="str">
        <f ca="1">IFERROR(__xludf.DUMMYFUNCTION("GOOGLETRANSLATE($B597,""en"",R$3)"),"אזור הבעלים הוא אלוהים")</f>
        <v>אזור הבעלים הוא אלוהים</v>
      </c>
      <c r="S597" s="21" t="str">
        <f ca="1">IFERROR(__xludf.DUMMYFUNCTION("GOOGLETRANSLATE($B597,""en"",S$3)"),"Region Eigandi er Guð")</f>
        <v>Region Eigandi er Guð</v>
      </c>
      <c r="T597" s="21" t="str">
        <f ca="1">IFERROR(__xludf.DUMMYFUNCTION("GOOGLETRANSLATE($B597,""en"",T$3)"),"Region Eier er Gud")</f>
        <v>Region Eier er Gud</v>
      </c>
      <c r="U597" s="21" t="str">
        <f ca="1">IFERROR(__xludf.DUMMYFUNCTION("GOOGLETRANSLATE($B597,""en"",U$3)"),"المنطقة المالك هو الله")</f>
        <v>المنطقة المالك هو الله</v>
      </c>
      <c r="V597" s="21" t="str">
        <f ca="1">IFERROR(__xludf.DUMMYFUNCTION("GOOGLETRANSLATE($B597,""en"",V$3)"),"Region Właściciel jest Bóg")</f>
        <v>Region Właściciel jest Bóg</v>
      </c>
      <c r="W597" s="21" t="str">
        <f ca="1">IFERROR(__xludf.DUMMYFUNCTION("GOOGLETRANSLATE($B597,""en"",W$3)"),"Регион Владелец Бог")</f>
        <v>Регион Владелец Бог</v>
      </c>
      <c r="X597" s="21" t="str">
        <f ca="1">IFERROR(__xludf.DUMMYFUNCTION("GOOGLETRANSLATE($B597,""en"",X$3)"),"Región propietario es Dios")</f>
        <v>Región propietario es Dios</v>
      </c>
      <c r="Y597" s="21"/>
      <c r="Z597" s="21"/>
    </row>
    <row r="598" spans="1:26" ht="32.25" customHeight="1" x14ac:dyDescent="0.2">
      <c r="A598" s="17" t="s">
        <v>1294</v>
      </c>
      <c r="B598" s="17" t="s">
        <v>1295</v>
      </c>
      <c r="C598" s="21" t="str">
        <f ca="1">IFERROR(__xludf.DUMMYFUNCTION("GOOGLETRANSLATE($B598,""en"",C$3)"),"Region Port Start #")</f>
        <v>Region Port Start #</v>
      </c>
      <c r="D598" s="21" t="str">
        <f ca="1">IFERROR(__xludf.DUMMYFUNCTION("GOOGLETRANSLATE($B598,""en"",D$3)"),"Region Port Start #")</f>
        <v>Region Port Start #</v>
      </c>
      <c r="E598" s="21" t="str">
        <f ca="1">IFERROR(__xludf.DUMMYFUNCTION("GOOGLETRANSLATE($B598,""en"",E$3)"),"Região Port Start #")</f>
        <v>Região Port Start #</v>
      </c>
      <c r="F598" s="21" t="str">
        <f ca="1">IFERROR(__xludf.DUMMYFUNCTION("GOOGLETRANSLATE($B598,""en"",F$3)"),"Região Port Start #")</f>
        <v>Região Port Start #</v>
      </c>
      <c r="G598" s="21" t="str">
        <f ca="1">IFERROR(__xludf.DUMMYFUNCTION("GOOGLETRANSLATE($B598,""en"",G$3)"),"Région Port de départ #")</f>
        <v>Région Port de départ #</v>
      </c>
      <c r="H598" s="21" t="str">
        <f ca="1">IFERROR(__xludf.DUMMYFUNCTION("GOOGLETRANSLATE($B598,""en"",H$3)"),"Eskualde Port Start #")</f>
        <v>Eskualde Port Start #</v>
      </c>
      <c r="I598" s="21" t="str">
        <f ca="1">IFERROR(__xludf.DUMMYFUNCTION("GOOGLETRANSLATE($B598,""en"",I$3)"),"Regió port d'inici #")</f>
        <v>Regió port d'inici #</v>
      </c>
      <c r="J598" s="21" t="str">
        <f ca="1">IFERROR(__xludf.DUMMYFUNCTION("GOOGLETRANSLATE($B598,""en"",J$3)"),"Region Port start #")</f>
        <v>Region Port start #</v>
      </c>
      <c r="K598" s="21" t="str">
        <f ca="1">IFERROR(__xludf.DUMMYFUNCTION("GOOGLETRANSLATE($B598,""en"",K$3)"),"地区港口开始＃")</f>
        <v>地区港口开始＃</v>
      </c>
      <c r="L598" s="21" t="str">
        <f ca="1">IFERROR(__xludf.DUMMYFUNCTION("GOOGLETRANSLATE($B598,""en"",L$3)"),"地區港口開始＃")</f>
        <v>地區港口開始＃</v>
      </c>
      <c r="M598" s="21" t="str">
        <f ca="1">IFERROR(__xludf.DUMMYFUNCTION("GOOGLETRANSLATE($B598,""en"",M$3)"),"Region Port Start #")</f>
        <v>Region Port Start #</v>
      </c>
      <c r="N598" s="21" t="str">
        <f ca="1">IFERROR(__xludf.DUMMYFUNCTION("GOOGLETRANSLATE($B598,""en"",N$3)"),"Περιοχή Port Start #")</f>
        <v>Περιοχή Port Start #</v>
      </c>
      <c r="O598" s="21" t="str">
        <f ca="1">IFERROR(__xludf.DUMMYFUNCTION("GOOGLETRANSLATE($B598,""en"",O$3)"),"Alue Port Start #")</f>
        <v>Alue Port Start #</v>
      </c>
      <c r="P598" s="21" t="str">
        <f ca="1">IFERROR(__xludf.DUMMYFUNCTION("GOOGLETRANSLATE($B598,""en"",P$3)"),"Réigiún Port Tosaigh #")</f>
        <v>Réigiún Port Tosaigh #</v>
      </c>
      <c r="Q598" s="21" t="str">
        <f ca="1">IFERROR(__xludf.DUMMYFUNCTION("GOOGLETRANSLATE($B598,""en"",Q$3)"),"منطقه بندر شروع #")</f>
        <v>منطقه بندر شروع #</v>
      </c>
      <c r="R598" s="21" t="str">
        <f ca="1">IFERROR(__xludf.DUMMYFUNCTION("GOOGLETRANSLATE($B598,""en"",R$3)"),"אזור הנמל התחל #")</f>
        <v>אזור הנמל התחל #</v>
      </c>
      <c r="S598" s="21" t="str">
        <f ca="1">IFERROR(__xludf.DUMMYFUNCTION("GOOGLETRANSLATE($B598,""en"",S$3)"),"Region Port Start #")</f>
        <v>Region Port Start #</v>
      </c>
      <c r="T598" s="21" t="str">
        <f ca="1">IFERROR(__xludf.DUMMYFUNCTION("GOOGLETRANSLATE($B598,""en"",T$3)"),"Region Port start #")</f>
        <v>Region Port start #</v>
      </c>
      <c r="U598" s="21" t="str">
        <f ca="1">IFERROR(__xludf.DUMMYFUNCTION("GOOGLETRANSLATE($B598,""en"",U$3)"),"منطقة ميناء بدء #")</f>
        <v>منطقة ميناء بدء #</v>
      </c>
      <c r="V598" s="21" t="str">
        <f ca="1">IFERROR(__xludf.DUMMYFUNCTION("GOOGLETRANSLATE($B598,""en"",V$3)"),"Region Port start #")</f>
        <v>Region Port start #</v>
      </c>
      <c r="W598" s="21" t="str">
        <f ca="1">IFERROR(__xludf.DUMMYFUNCTION("GOOGLETRANSLATE($B598,""en"",W$3)"),"Регион Порт Старт #")</f>
        <v>Регион Порт Старт #</v>
      </c>
      <c r="X598" s="21" t="str">
        <f ca="1">IFERROR(__xludf.DUMMYFUNCTION("GOOGLETRANSLATE($B598,""en"",X$3)"),"Región puerto de inicio #")</f>
        <v>Región puerto de inicio #</v>
      </c>
      <c r="Y598" s="21"/>
      <c r="Z598" s="21"/>
    </row>
    <row r="599" spans="1:26" ht="32.25" customHeight="1" x14ac:dyDescent="0.2">
      <c r="A599" s="17" t="s">
        <v>1296</v>
      </c>
      <c r="B599" s="17" t="s">
        <v>1297</v>
      </c>
      <c r="C599" s="21" t="str">
        <f ca="1">IFERROR(__xludf.DUMMYFUNCTION("GOOGLETRANSLATE($B599,""en"",C$3)"),"Region Port")</f>
        <v>Region Port</v>
      </c>
      <c r="D599" s="21" t="str">
        <f ca="1">IFERROR(__xludf.DUMMYFUNCTION("GOOGLETRANSLATE($B599,""en"",D$3)"),"region Port")</f>
        <v>region Port</v>
      </c>
      <c r="E599" s="21" t="str">
        <f ca="1">IFERROR(__xludf.DUMMYFUNCTION("GOOGLETRANSLATE($B599,""en"",E$3)"),"região Porto")</f>
        <v>região Porto</v>
      </c>
      <c r="F599" s="21" t="str">
        <f ca="1">IFERROR(__xludf.DUMMYFUNCTION("GOOGLETRANSLATE($B599,""en"",F$3)"),"região Porto")</f>
        <v>região Porto</v>
      </c>
      <c r="G599" s="21" t="str">
        <f ca="1">IFERROR(__xludf.DUMMYFUNCTION("GOOGLETRANSLATE($B599,""en"",G$3)"),"région Port")</f>
        <v>région Port</v>
      </c>
      <c r="H599" s="21" t="str">
        <f ca="1">IFERROR(__xludf.DUMMYFUNCTION("GOOGLETRANSLATE($B599,""en"",H$3)"),"Eskualde Port")</f>
        <v>Eskualde Port</v>
      </c>
      <c r="I599" s="21" t="str">
        <f ca="1">IFERROR(__xludf.DUMMYFUNCTION("GOOGLETRANSLATE($B599,""en"",I$3)"),"regió del Port")</f>
        <v>regió del Port</v>
      </c>
      <c r="J599" s="21" t="str">
        <f ca="1">IFERROR(__xludf.DUMMYFUNCTION("GOOGLETRANSLATE($B599,""en"",J$3)"),"Region Port")</f>
        <v>Region Port</v>
      </c>
      <c r="K599" s="21" t="str">
        <f ca="1">IFERROR(__xludf.DUMMYFUNCTION("GOOGLETRANSLATE($B599,""en"",K$3)"),"港口区")</f>
        <v>港口区</v>
      </c>
      <c r="L599" s="21" t="str">
        <f ca="1">IFERROR(__xludf.DUMMYFUNCTION("GOOGLETRANSLATE($B599,""en"",L$3)"),"港口區")</f>
        <v>港口區</v>
      </c>
      <c r="M599" s="21" t="str">
        <f ca="1">IFERROR(__xludf.DUMMYFUNCTION("GOOGLETRANSLATE($B599,""en"",M$3)"),"Region Port")</f>
        <v>Region Port</v>
      </c>
      <c r="N599" s="21" t="str">
        <f ca="1">IFERROR(__xludf.DUMMYFUNCTION("GOOGLETRANSLATE($B599,""en"",N$3)"),"Περιοχή Λιμάνι")</f>
        <v>Περιοχή Λιμάνι</v>
      </c>
      <c r="O599" s="21" t="str">
        <f ca="1">IFERROR(__xludf.DUMMYFUNCTION("GOOGLETRANSLATE($B599,""en"",O$3)"),"alue Port")</f>
        <v>alue Port</v>
      </c>
      <c r="P599" s="21" t="str">
        <f ca="1">IFERROR(__xludf.DUMMYFUNCTION("GOOGLETRANSLATE($B599,""en"",P$3)"),"Réigiún Port")</f>
        <v>Réigiún Port</v>
      </c>
      <c r="Q599" s="21" t="str">
        <f ca="1">IFERROR(__xludf.DUMMYFUNCTION("GOOGLETRANSLATE($B599,""en"",Q$3)"),"منطقه بندر")</f>
        <v>منطقه بندر</v>
      </c>
      <c r="R599" s="21" t="str">
        <f ca="1">IFERROR(__xludf.DUMMYFUNCTION("GOOGLETRANSLATE($B599,""en"",R$3)"),"אזור נמל")</f>
        <v>אזור נמל</v>
      </c>
      <c r="S599" s="21" t="str">
        <f ca="1">IFERROR(__xludf.DUMMYFUNCTION("GOOGLETRANSLATE($B599,""en"",S$3)"),"svæði Port")</f>
        <v>svæði Port</v>
      </c>
      <c r="T599" s="21" t="str">
        <f ca="1">IFERROR(__xludf.DUMMYFUNCTION("GOOGLETRANSLATE($B599,""en"",T$3)"),"Region Port")</f>
        <v>Region Port</v>
      </c>
      <c r="U599" s="21" t="str">
        <f ca="1">IFERROR(__xludf.DUMMYFUNCTION("GOOGLETRANSLATE($B599,""en"",U$3)"),"ميناء المنطقة")</f>
        <v>ميناء المنطقة</v>
      </c>
      <c r="V599" s="21" t="str">
        <f ca="1">IFERROR(__xludf.DUMMYFUNCTION("GOOGLETRANSLATE($B599,""en"",V$3)"),"Region Port")</f>
        <v>Region Port</v>
      </c>
      <c r="W599" s="21" t="str">
        <f ca="1">IFERROR(__xludf.DUMMYFUNCTION("GOOGLETRANSLATE($B599,""en"",W$3)"),"Регион Порт")</f>
        <v>Регион Порт</v>
      </c>
      <c r="X599" s="21" t="str">
        <f ca="1">IFERROR(__xludf.DUMMYFUNCTION("GOOGLETRANSLATE($B599,""en"",X$3)"),"región del Puerto")</f>
        <v>región del Puerto</v>
      </c>
      <c r="Y599" s="21"/>
      <c r="Z599" s="21"/>
    </row>
    <row r="600" spans="1:26" ht="32.25" customHeight="1" x14ac:dyDescent="0.2">
      <c r="A600" s="17" t="s">
        <v>1298</v>
      </c>
      <c r="B600" s="17" t="s">
        <v>1299</v>
      </c>
      <c r="C600" s="21" t="str">
        <f ca="1">IFERROR(__xludf.DUMMYFUNCTION("GOOGLETRANSLATE($B600,""en"",C$3)"),"Region Ports")</f>
        <v>Region Ports</v>
      </c>
      <c r="D600" s="21" t="str">
        <f ca="1">IFERROR(__xludf.DUMMYFUNCTION("GOOGLETRANSLATE($B600,""en"",D$3)"),"Region Ports")</f>
        <v>Region Ports</v>
      </c>
      <c r="E600" s="21" t="str">
        <f ca="1">IFERROR(__xludf.DUMMYFUNCTION("GOOGLETRANSLATE($B600,""en"",E$3)"),"Regional Portos")</f>
        <v>Regional Portos</v>
      </c>
      <c r="F600" s="21" t="str">
        <f ca="1">IFERROR(__xludf.DUMMYFUNCTION("GOOGLETRANSLATE($B600,""en"",F$3)"),"Regional Portos")</f>
        <v>Regional Portos</v>
      </c>
      <c r="G600" s="21" t="str">
        <f ca="1">IFERROR(__xludf.DUMMYFUNCTION("GOOGLETRANSLATE($B600,""en"",G$3)"),"Ports Région")</f>
        <v>Ports Région</v>
      </c>
      <c r="H600" s="21" t="str">
        <f ca="1">IFERROR(__xludf.DUMMYFUNCTION("GOOGLETRANSLATE($B600,""en"",H$3)"),"Eskualde Portuak")</f>
        <v>Eskualde Portuak</v>
      </c>
      <c r="I600" s="21" t="str">
        <f ca="1">IFERROR(__xludf.DUMMYFUNCTION("GOOGLETRANSLATE($B600,""en"",I$3)"),"regions Ports")</f>
        <v>regions Ports</v>
      </c>
      <c r="J600" s="21" t="str">
        <f ca="1">IFERROR(__xludf.DUMMYFUNCTION("GOOGLETRANSLATE($B600,""en"",J$3)"),"Kraj Porty")</f>
        <v>Kraj Porty</v>
      </c>
      <c r="K600" s="21" t="str">
        <f ca="1">IFERROR(__xludf.DUMMYFUNCTION("GOOGLETRANSLATE($B600,""en"",K$3)"),"港口区")</f>
        <v>港口区</v>
      </c>
      <c r="L600" s="21" t="str">
        <f ca="1">IFERROR(__xludf.DUMMYFUNCTION("GOOGLETRANSLATE($B600,""en"",L$3)"),"港口區")</f>
        <v>港口區</v>
      </c>
      <c r="M600" s="21" t="str">
        <f ca="1">IFERROR(__xludf.DUMMYFUNCTION("GOOGLETRANSLATE($B600,""en"",M$3)"),"Region Ports")</f>
        <v>Region Ports</v>
      </c>
      <c r="N600" s="21" t="str">
        <f ca="1">IFERROR(__xludf.DUMMYFUNCTION("GOOGLETRANSLATE($B600,""en"",N$3)"),"Περιοχή Ports")</f>
        <v>Περιοχή Ports</v>
      </c>
      <c r="O600" s="21" t="str">
        <f ca="1">IFERROR(__xludf.DUMMYFUNCTION("GOOGLETRANSLATE($B600,""en"",O$3)"),"alue Portit")</f>
        <v>alue Portit</v>
      </c>
      <c r="P600" s="21" t="str">
        <f ca="1">IFERROR(__xludf.DUMMYFUNCTION("GOOGLETRANSLATE($B600,""en"",P$3)"),"Calafoirt Réigiún")</f>
        <v>Calafoirt Réigiún</v>
      </c>
      <c r="Q600" s="21" t="str">
        <f ca="1">IFERROR(__xludf.DUMMYFUNCTION("GOOGLETRANSLATE($B600,""en"",Q$3)"),"بنادر منطقه")</f>
        <v>بنادر منطقه</v>
      </c>
      <c r="R600" s="21" t="str">
        <f ca="1">IFERROR(__xludf.DUMMYFUNCTION("GOOGLETRANSLATE($B600,""en"",R$3)"),"יציאות אזור")</f>
        <v>יציאות אזור</v>
      </c>
      <c r="S600" s="21" t="str">
        <f ca="1">IFERROR(__xludf.DUMMYFUNCTION("GOOGLETRANSLATE($B600,""en"",S$3)"),"svæði Hafnir")</f>
        <v>svæði Hafnir</v>
      </c>
      <c r="T600" s="21" t="str">
        <f ca="1">IFERROR(__xludf.DUMMYFUNCTION("GOOGLETRANSLATE($B600,""en"",T$3)"),"Region Ports")</f>
        <v>Region Ports</v>
      </c>
      <c r="U600" s="21" t="str">
        <f ca="1">IFERROR(__xludf.DUMMYFUNCTION("GOOGLETRANSLATE($B600,""en"",U$3)"),"موانئ المنطقة")</f>
        <v>موانئ المنطقة</v>
      </c>
      <c r="V600" s="21" t="str">
        <f ca="1">IFERROR(__xludf.DUMMYFUNCTION("GOOGLETRANSLATE($B600,""en"",V$3)"),"Porty Region")</f>
        <v>Porty Region</v>
      </c>
      <c r="W600" s="21" t="str">
        <f ca="1">IFERROR(__xludf.DUMMYFUNCTION("GOOGLETRANSLATE($B600,""en"",W$3)"),"Регион Порты")</f>
        <v>Регион Порты</v>
      </c>
      <c r="X600" s="21" t="str">
        <f ca="1">IFERROR(__xludf.DUMMYFUNCTION("GOOGLETRANSLATE($B600,""en"",X$3)"),"regiones Puertos")</f>
        <v>regiones Puertos</v>
      </c>
      <c r="Y600" s="21"/>
      <c r="Z600" s="21"/>
    </row>
    <row r="601" spans="1:26" ht="32.25" customHeight="1" x14ac:dyDescent="0.2">
      <c r="A601" s="17" t="s">
        <v>1300</v>
      </c>
      <c r="B601" s="17" t="s">
        <v>1301</v>
      </c>
      <c r="C601" s="21" t="str">
        <f ca="1">IFERROR(__xludf.DUMMYFUNCTION("GOOGLETRANSLATE($B601,""en"",C$3)"),"Region wurde entfernt")</f>
        <v>Region wurde entfernt</v>
      </c>
      <c r="D601" s="21" t="str">
        <f ca="1">IFERROR(__xludf.DUMMYFUNCTION("GOOGLETRANSLATE($B601,""en"",D$3)"),"Region har tagits bort")</f>
        <v>Region har tagits bort</v>
      </c>
      <c r="E601" s="21" t="str">
        <f ca="1">IFERROR(__xludf.DUMMYFUNCTION("GOOGLETRANSLATE($B601,""en"",E$3)"),"Região foi removido")</f>
        <v>Região foi removido</v>
      </c>
      <c r="F601" s="21" t="str">
        <f ca="1">IFERROR(__xludf.DUMMYFUNCTION("GOOGLETRANSLATE($B601,""en"",F$3)"),"Região foi removido")</f>
        <v>Região foi removido</v>
      </c>
      <c r="G601" s="21" t="str">
        <f ca="1">IFERROR(__xludf.DUMMYFUNCTION("GOOGLETRANSLATE($B601,""en"",G$3)"),"Région a été supprimé")</f>
        <v>Région a été supprimé</v>
      </c>
      <c r="H601" s="21" t="str">
        <f ca="1">IFERROR(__xludf.DUMMYFUNCTION("GOOGLETRANSLATE($B601,""en"",H$3)"),"Eskualde kendu egin da")</f>
        <v>Eskualde kendu egin da</v>
      </c>
      <c r="I601" s="21" t="str">
        <f ca="1">IFERROR(__xludf.DUMMYFUNCTION("GOOGLETRANSLATE($B601,""en"",I$3)"),"Regió s'ha eliminat")</f>
        <v>Regió s'ha eliminat</v>
      </c>
      <c r="J601" s="21" t="str">
        <f ca="1">IFERROR(__xludf.DUMMYFUNCTION("GOOGLETRANSLATE($B601,""en"",J$3)"),"Region byl odstraněn")</f>
        <v>Region byl odstraněn</v>
      </c>
      <c r="K601" s="21" t="str">
        <f ca="1">IFERROR(__xludf.DUMMYFUNCTION("GOOGLETRANSLATE($B601,""en"",K$3)"),"区已被删除")</f>
        <v>区已被删除</v>
      </c>
      <c r="L601" s="21" t="str">
        <f ca="1">IFERROR(__xludf.DUMMYFUNCTION("GOOGLETRANSLATE($B601,""en"",L$3)"),"區已被刪除")</f>
        <v>區已被刪除</v>
      </c>
      <c r="M601" s="21" t="str">
        <f ca="1">IFERROR(__xludf.DUMMYFUNCTION("GOOGLETRANSLATE($B601,""en"",M$3)"),"Region is verwijderd")</f>
        <v>Region is verwijderd</v>
      </c>
      <c r="N601" s="21" t="str">
        <f ca="1">IFERROR(__xludf.DUMMYFUNCTION("GOOGLETRANSLATE($B601,""en"",N$3)"),"Περιφέρεια έχει αφαιρεθεί")</f>
        <v>Περιφέρεια έχει αφαιρεθεί</v>
      </c>
      <c r="O601" s="21" t="str">
        <f ca="1">IFERROR(__xludf.DUMMYFUNCTION("GOOGLETRANSLATE($B601,""en"",O$3)"),"Alue on poistettu")</f>
        <v>Alue on poistettu</v>
      </c>
      <c r="P601" s="21" t="str">
        <f ca="1">IFERROR(__xludf.DUMMYFUNCTION("GOOGLETRANSLATE($B601,""en"",P$3)"),"Tá Réigiún bainte")</f>
        <v>Tá Réigiún bainte</v>
      </c>
      <c r="Q601" s="21" t="str">
        <f ca="1">IFERROR(__xludf.DUMMYFUNCTION("GOOGLETRANSLATE($B601,""en"",Q$3)"),"منطقه حذف شده است")</f>
        <v>منطقه حذف شده است</v>
      </c>
      <c r="R601" s="21" t="str">
        <f ca="1">IFERROR(__xludf.DUMMYFUNCTION("GOOGLETRANSLATE($B601,""en"",R$3)"),"האזור הוסר")</f>
        <v>האזור הוסר</v>
      </c>
      <c r="S601" s="21" t="str">
        <f ca="1">IFERROR(__xludf.DUMMYFUNCTION("GOOGLETRANSLATE($B601,""en"",S$3)"),"Svæðinu hefur verið fjarlægður")</f>
        <v>Svæðinu hefur verið fjarlægður</v>
      </c>
      <c r="T601" s="21" t="str">
        <f ca="1">IFERROR(__xludf.DUMMYFUNCTION("GOOGLETRANSLATE($B601,""en"",T$3)"),"Regionen har blitt fjernet")</f>
        <v>Regionen har blitt fjernet</v>
      </c>
      <c r="U601" s="21" t="str">
        <f ca="1">IFERROR(__xludf.DUMMYFUNCTION("GOOGLETRANSLATE($B601,""en"",U$3)"),"تمت إزالة المنطقة")</f>
        <v>تمت إزالة المنطقة</v>
      </c>
      <c r="V601" s="21" t="str">
        <f ca="1">IFERROR(__xludf.DUMMYFUNCTION("GOOGLETRANSLATE($B601,""en"",V$3)"),"Region został usunięty")</f>
        <v>Region został usunięty</v>
      </c>
      <c r="W601" s="21" t="str">
        <f ca="1">IFERROR(__xludf.DUMMYFUNCTION("GOOGLETRANSLATE($B601,""en"",W$3)"),"Регион был удален")</f>
        <v>Регион был удален</v>
      </c>
      <c r="X601" s="21" t="str">
        <f ca="1">IFERROR(__xludf.DUMMYFUNCTION("GOOGLETRANSLATE($B601,""en"",X$3)"),"Región se ha eliminado")</f>
        <v>Región se ha eliminado</v>
      </c>
      <c r="Y601" s="21"/>
      <c r="Z601" s="21"/>
    </row>
    <row r="602" spans="1:26" ht="32.25" customHeight="1" x14ac:dyDescent="0.2">
      <c r="A602" s="17" t="s">
        <v>1302</v>
      </c>
      <c r="B602" s="17" t="s">
        <v>1303</v>
      </c>
      <c r="C602" s="21" t="str">
        <f ca="1">IFERROR(__xludf.DUMMYFUNCTION("GOOGLETRANSLATE($B602,""en"",C$3)"),"Region Server")</f>
        <v>Region Server</v>
      </c>
      <c r="D602" s="21" t="str">
        <f ca="1">IFERROR(__xludf.DUMMYFUNCTION("GOOGLETRANSLATE($B602,""en"",D$3)"),"region Server")</f>
        <v>region Server</v>
      </c>
      <c r="E602" s="21" t="str">
        <f ca="1">IFERROR(__xludf.DUMMYFUNCTION("GOOGLETRANSLATE($B602,""en"",E$3)"),"região Servidor")</f>
        <v>região Servidor</v>
      </c>
      <c r="F602" s="21" t="str">
        <f ca="1">IFERROR(__xludf.DUMMYFUNCTION("GOOGLETRANSLATE($B602,""en"",F$3)"),"região Servidor")</f>
        <v>região Servidor</v>
      </c>
      <c r="G602" s="21" t="str">
        <f ca="1">IFERROR(__xludf.DUMMYFUNCTION("GOOGLETRANSLATE($B602,""en"",G$3)"),"région serveur")</f>
        <v>région serveur</v>
      </c>
      <c r="H602" s="21" t="str">
        <f ca="1">IFERROR(__xludf.DUMMYFUNCTION("GOOGLETRANSLATE($B602,""en"",H$3)"),"Eskualde zerbitzaria")</f>
        <v>Eskualde zerbitzaria</v>
      </c>
      <c r="I602" s="21" t="str">
        <f ca="1">IFERROR(__xludf.DUMMYFUNCTION("GOOGLETRANSLATE($B602,""en"",I$3)"),"regió de l'servidor")</f>
        <v>regió de l'servidor</v>
      </c>
      <c r="J602" s="21" t="str">
        <f ca="1">IFERROR(__xludf.DUMMYFUNCTION("GOOGLETRANSLATE($B602,""en"",J$3)"),"Region Server")</f>
        <v>Region Server</v>
      </c>
      <c r="K602" s="21" t="str">
        <f ca="1">IFERROR(__xludf.DUMMYFUNCTION("GOOGLETRANSLATE($B602,""en"",K$3)"),"地区服务器")</f>
        <v>地区服务器</v>
      </c>
      <c r="L602" s="21" t="str">
        <f ca="1">IFERROR(__xludf.DUMMYFUNCTION("GOOGLETRANSLATE($B602,""en"",L$3)"),"地區服務器")</f>
        <v>地區服務器</v>
      </c>
      <c r="M602" s="21" t="str">
        <f ca="1">IFERROR(__xludf.DUMMYFUNCTION("GOOGLETRANSLATE($B602,""en"",M$3)"),"Region Server")</f>
        <v>Region Server</v>
      </c>
      <c r="N602" s="21" t="str">
        <f ca="1">IFERROR(__xludf.DUMMYFUNCTION("GOOGLETRANSLATE($B602,""en"",N$3)"),"Περιφέρεια διακομιστή")</f>
        <v>Περιφέρεια διακομιστή</v>
      </c>
      <c r="O602" s="21" t="str">
        <f ca="1">IFERROR(__xludf.DUMMYFUNCTION("GOOGLETRANSLATE($B602,""en"",O$3)"),"alue Server")</f>
        <v>alue Server</v>
      </c>
      <c r="P602" s="21" t="str">
        <f ca="1">IFERROR(__xludf.DUMMYFUNCTION("GOOGLETRANSLATE($B602,""en"",P$3)"),"Réigiún Freastalaí")</f>
        <v>Réigiún Freastalaí</v>
      </c>
      <c r="Q602" s="21" t="str">
        <f ca="1">IFERROR(__xludf.DUMMYFUNCTION("GOOGLETRANSLATE($B602,""en"",Q$3)"),"منطقه سرور")</f>
        <v>منطقه سرور</v>
      </c>
      <c r="R602" s="21" t="str">
        <f ca="1">IFERROR(__xludf.DUMMYFUNCTION("GOOGLETRANSLATE($B602,""en"",R$3)"),"שרת האזור")</f>
        <v>שרת האזור</v>
      </c>
      <c r="S602" s="21" t="str">
        <f ca="1">IFERROR(__xludf.DUMMYFUNCTION("GOOGLETRANSLATE($B602,""en"",S$3)"),"svæði Server")</f>
        <v>svæði Server</v>
      </c>
      <c r="T602" s="21" t="str">
        <f ca="1">IFERROR(__xludf.DUMMYFUNCTION("GOOGLETRANSLATE($B602,""en"",T$3)"),"Region Server")</f>
        <v>Region Server</v>
      </c>
      <c r="U602" s="21" t="str">
        <f ca="1">IFERROR(__xludf.DUMMYFUNCTION("GOOGLETRANSLATE($B602,""en"",U$3)"),"المنطقة خادم")</f>
        <v>المنطقة خادم</v>
      </c>
      <c r="V602" s="21" t="str">
        <f ca="1">IFERROR(__xludf.DUMMYFUNCTION("GOOGLETRANSLATE($B602,""en"",V$3)"),"Region Server")</f>
        <v>Region Server</v>
      </c>
      <c r="W602" s="21" t="str">
        <f ca="1">IFERROR(__xludf.DUMMYFUNCTION("GOOGLETRANSLATE($B602,""en"",W$3)"),"Регион сервер")</f>
        <v>Регион сервер</v>
      </c>
      <c r="X602" s="21" t="str">
        <f ca="1">IFERROR(__xludf.DUMMYFUNCTION("GOOGLETRANSLATE($B602,""en"",X$3)"),"región del servidor")</f>
        <v>región del servidor</v>
      </c>
      <c r="Y602" s="21"/>
      <c r="Z602" s="21"/>
    </row>
    <row r="603" spans="1:26" ht="32.25" customHeight="1" x14ac:dyDescent="0.2">
      <c r="A603" s="17" t="s">
        <v>1304</v>
      </c>
      <c r="B603" s="17" t="s">
        <v>1305</v>
      </c>
      <c r="C603" s="21" t="str">
        <f ca="1">IFERROR(__xludf.DUMMYFUNCTION("GOOGLETRANSLATE($B603,""en"",C$3)"),"Der Server zu verbinden. ‚Localhost‘ ist die Standardeinstellung.")</f>
        <v>Der Server zu verbinden. ‚Localhost‘ ist die Standardeinstellung.</v>
      </c>
      <c r="D603" s="21" t="str">
        <f ca="1">IFERROR(__xludf.DUMMYFUNCTION("GOOGLETRANSLATE($B603,""en"",D$3)"),"Servern att ansluta till. 'Localhost' är standard.")</f>
        <v>Servern att ansluta till. 'Localhost' är standard.</v>
      </c>
      <c r="E603" s="21" t="str">
        <f ca="1">IFERROR(__xludf.DUMMYFUNCTION("GOOGLETRANSLATE($B603,""en"",E$3)"),"O servidor se conectar. 'Localhost' é o padrão.")</f>
        <v>O servidor se conectar. 'Localhost' é o padrão.</v>
      </c>
      <c r="F603" s="21" t="str">
        <f ca="1">IFERROR(__xludf.DUMMYFUNCTION("GOOGLETRANSLATE($B603,""en"",F$3)"),"O servidor se conectar. 'Localhost' é o padrão.")</f>
        <v>O servidor se conectar. 'Localhost' é o padrão.</v>
      </c>
      <c r="G603" s="21" t="str">
        <f ca="1">IFERROR(__xludf.DUMMYFUNCTION("GOOGLETRANSLATE($B603,""en"",G$3)"),"Le serveur se connecter. « Localhost » est la valeur par défaut.")</f>
        <v>Le serveur se connecter. « Localhost » est la valeur par défaut.</v>
      </c>
      <c r="H603" s="21" t="str">
        <f ca="1">IFERROR(__xludf.DUMMYFUNCTION("GOOGLETRANSLATE($B603,""en"",H$3)"),"zerbitzariari konektatu. 'Localhost' lehenetsia da.")</f>
        <v>zerbitzariari konektatu. 'Localhost' lehenetsia da.</v>
      </c>
      <c r="I603" s="21" t="str">
        <f ca="1">IFERROR(__xludf.DUMMYFUNCTION("GOOGLETRANSLATE($B603,""en"",I$3)"),"El servidor a què connectar-se. 'Localhost' és el valor per omissió.")</f>
        <v>El servidor a què connectar-se. 'Localhost' és el valor per omissió.</v>
      </c>
      <c r="J603" s="21" t="str">
        <f ca="1">IFERROR(__xludf.DUMMYFUNCTION("GOOGLETRANSLATE($B603,""en"",J$3)"),"Server připojit. ‚Localhost‘ je výchozí.")</f>
        <v>Server připojit. ‚Localhost‘ je výchozí.</v>
      </c>
      <c r="K603" s="21" t="str">
        <f ca="1">IFERROR(__xludf.DUMMYFUNCTION("GOOGLETRANSLATE($B603,""en"",K$3)"),"服务器连接。 “localhost”的是默认的。")</f>
        <v>服务器连接。 “localhost”的是默认的。</v>
      </c>
      <c r="L603" s="21" t="str">
        <f ca="1">IFERROR(__xludf.DUMMYFUNCTION("GOOGLETRANSLATE($B603,""en"",L$3)"),"服務器連接。 'localhost'的是默認的。")</f>
        <v>服務器連接。 'localhost'的是默認的。</v>
      </c>
      <c r="M603" s="21" t="str">
        <f ca="1">IFERROR(__xludf.DUMMYFUNCTION("GOOGLETRANSLATE($B603,""en"",M$3)"),"De server om verbinding te maken. 'Localhost' is de standaard.")</f>
        <v>De server om verbinding te maken. 'Localhost' is de standaard.</v>
      </c>
      <c r="N603" s="21" t="str">
        <f ca="1">IFERROR(__xludf.DUMMYFUNCTION("GOOGLETRANSLATE($B603,""en"",N$3)"),"Ο διακομιστής για να συνδεθείτε. «Localhost» είναι η προεπιλεγμένη.")</f>
        <v>Ο διακομιστής για να συνδεθείτε. «Localhost» είναι η προεπιλεγμένη.</v>
      </c>
      <c r="O603" s="21" t="str">
        <f ca="1">IFERROR(__xludf.DUMMYFUNCTION("GOOGLETRANSLATE($B603,""en"",O$3)"),"Palvelin yhteyden. 'Localhost' on oletusarvo.")</f>
        <v>Palvelin yhteyden. 'Localhost' on oletusarvo.</v>
      </c>
      <c r="P603" s="21" t="str">
        <f ca="1">IFERROR(__xludf.DUMMYFUNCTION("GOOGLETRANSLATE($B603,""en"",P$3)"),"An freastalaí chun ceangal le. 'Localhost' Is é an réamhshocrú.")</f>
        <v>An freastalaí chun ceangal le. 'Localhost' Is é an réamhshocrú.</v>
      </c>
      <c r="Q603" s="21" t="str">
        <f ca="1">IFERROR(__xludf.DUMMYFUNCTION("GOOGLETRANSLATE($B603,""en"",Q$3)"),"سرور برای اتصال به. : localhost را ""پیش فرض است.")</f>
        <v>سرور برای اتصال به. : localhost را "پیش فرض است.</v>
      </c>
      <c r="R603" s="21" t="str">
        <f ca="1">IFERROR(__xludf.DUMMYFUNCTION("GOOGLETRANSLATE($B603,""en"",R$3)"),"שרת להתחבר. ""Localhost"" היא ברירת המחדל.")</f>
        <v>שרת להתחבר. "Localhost" היא ברירת המחדל.</v>
      </c>
      <c r="S603" s="21" t="str">
        <f ca="1">IFERROR(__xludf.DUMMYFUNCTION("GOOGLETRANSLATE($B603,""en"",S$3)"),"Miðlarinn að tengjast. 'Localhost' er sjálfgefið.")</f>
        <v>Miðlarinn að tengjast. 'Localhost' er sjálfgefið.</v>
      </c>
      <c r="T603" s="21" t="str">
        <f ca="1">IFERROR(__xludf.DUMMYFUNCTION("GOOGLETRANSLATE($B603,""en"",T$3)"),"Serveren skal kobles til. 'Localhost' er standard.")</f>
        <v>Serveren skal kobles til. 'Localhost' er standard.</v>
      </c>
      <c r="U603" s="21" t="str">
        <f ca="1">IFERROR(__xludf.DUMMYFUNCTION("GOOGLETRANSLATE($B603,""en"",U$3)"),"خادم للاتصال. ""المضيف المحلي"" هو الافتراضي.")</f>
        <v>خادم للاتصال. "المضيف المحلي" هو الافتراضي.</v>
      </c>
      <c r="V603" s="21" t="str">
        <f ca="1">IFERROR(__xludf.DUMMYFUNCTION("GOOGLETRANSLATE($B603,""en"",V$3)"),"Serwer się połączyć. „Localhost” jest domyślnie.")</f>
        <v>Serwer się połączyć. „Localhost” jest domyślnie.</v>
      </c>
      <c r="W603" s="21" t="str">
        <f ca="1">IFERROR(__xludf.DUMMYFUNCTION("GOOGLETRANSLATE($B603,""en"",W$3)"),"Сервер для подключения. «Локальный» по умолчанию.")</f>
        <v>Сервер для подключения. «Локальный» по умолчанию.</v>
      </c>
      <c r="X603" s="21" t="str">
        <f ca="1">IFERROR(__xludf.DUMMYFUNCTION("GOOGLETRANSLATE($B603,""en"",X$3)"),"El servidor al que conectarse. 'Localhost' es el valor predeterminado.")</f>
        <v>El servidor al que conectarse. 'Localhost' es el valor predeterminado.</v>
      </c>
      <c r="Y603" s="21"/>
      <c r="Z603" s="21"/>
    </row>
    <row r="604" spans="1:26" ht="32.25" customHeight="1" x14ac:dyDescent="0.2">
      <c r="A604" s="17" t="s">
        <v>1306</v>
      </c>
      <c r="B604" s="17" t="s">
        <v>1307</v>
      </c>
      <c r="C604" s="21" t="str">
        <f ca="1">IFERROR(__xludf.DUMMYFUNCTION("GOOGLETRANSLATE($B604,""en"",C$3)"),"Einstellungen Region Spezifische")</f>
        <v>Einstellungen Region Spezifische</v>
      </c>
      <c r="D604" s="21" t="str">
        <f ca="1">IFERROR(__xludf.DUMMYFUNCTION("GOOGLETRANSLATE($B604,""en"",D$3)"),"Regionspecifika inställningar")</f>
        <v>Regionspecifika inställningar</v>
      </c>
      <c r="E604" s="21" t="str">
        <f ca="1">IFERROR(__xludf.DUMMYFUNCTION("GOOGLETRANSLATE($B604,""en"",E$3)"),"Configurações específicas da região")</f>
        <v>Configurações específicas da região</v>
      </c>
      <c r="F604" s="21" t="str">
        <f ca="1">IFERROR(__xludf.DUMMYFUNCTION("GOOGLETRANSLATE($B604,""en"",F$3)"),"Configurações específicas da região")</f>
        <v>Configurações específicas da região</v>
      </c>
      <c r="G604" s="21" t="str">
        <f ca="1">IFERROR(__xludf.DUMMYFUNCTION("GOOGLETRANSLATE($B604,""en"",G$3)"),"Région Paramètres spécifiques")</f>
        <v>Région Paramètres spécifiques</v>
      </c>
      <c r="H604" s="21" t="str">
        <f ca="1">IFERROR(__xludf.DUMMYFUNCTION("GOOGLETRANSLATE($B604,""en"",H$3)"),"Eskualde espezifikoen ezarpenak")</f>
        <v>Eskualde espezifikoen ezarpenak</v>
      </c>
      <c r="I604" s="21" t="str">
        <f ca="1">IFERROR(__xludf.DUMMYFUNCTION("GOOGLETRANSLATE($B604,""en"",I$3)"),"Configuracions específiques de la regió")</f>
        <v>Configuracions específiques de la regió</v>
      </c>
      <c r="J604" s="21" t="str">
        <f ca="1">IFERROR(__xludf.DUMMYFUNCTION("GOOGLETRANSLATE($B604,""en"",J$3)"),"Nastavení určitého regionu")</f>
        <v>Nastavení určitého regionu</v>
      </c>
      <c r="K604" s="21" t="str">
        <f ca="1">IFERROR(__xludf.DUMMYFUNCTION("GOOGLETRANSLATE($B604,""en"",K$3)"),"地区特定的设置")</f>
        <v>地区特定的设置</v>
      </c>
      <c r="L604" s="21" t="str">
        <f ca="1">IFERROR(__xludf.DUMMYFUNCTION("GOOGLETRANSLATE($B604,""en"",L$3)"),"地區特定的設置")</f>
        <v>地區特定的設置</v>
      </c>
      <c r="M604" s="21" t="str">
        <f ca="1">IFERROR(__xludf.DUMMYFUNCTION("GOOGLETRANSLATE($B604,""en"",M$3)"),"Regio specifieke instellingen")</f>
        <v>Regio specifieke instellingen</v>
      </c>
      <c r="N604" s="21" t="str">
        <f ca="1">IFERROR(__xludf.DUMMYFUNCTION("GOOGLETRANSLATE($B604,""en"",N$3)"),"Περιοχή Ειδικές Ρυθμίσεις")</f>
        <v>Περιοχή Ειδικές Ρυθμίσεις</v>
      </c>
      <c r="O604" s="21" t="str">
        <f ca="1">IFERROR(__xludf.DUMMYFUNCTION("GOOGLETRANSLATE($B604,""en"",O$3)"),"Aluekohtainen Asetukset")</f>
        <v>Aluekohtainen Asetukset</v>
      </c>
      <c r="P604" s="21" t="str">
        <f ca="1">IFERROR(__xludf.DUMMYFUNCTION("GOOGLETRANSLATE($B604,""en"",P$3)"),"Socruithe faoi leith Réigiún")</f>
        <v>Socruithe faoi leith Réigiún</v>
      </c>
      <c r="Q604" s="21" t="str">
        <f ca="1">IFERROR(__xludf.DUMMYFUNCTION("GOOGLETRANSLATE($B604,""en"",Q$3)"),"تنظیمات خاص منطقه")</f>
        <v>تنظیمات خاص منطقه</v>
      </c>
      <c r="R604" s="21" t="str">
        <f ca="1">IFERROR(__xludf.DUMMYFUNCTION("GOOGLETRANSLATE($B604,""en"",R$3)"),"הגדרות ספציפיות אזור")</f>
        <v>הגדרות ספציפיות אזור</v>
      </c>
      <c r="S604" s="21" t="str">
        <f ca="1">IFERROR(__xludf.DUMMYFUNCTION("GOOGLETRANSLATE($B604,""en"",S$3)"),"Tiltekið svæði Stillingar")</f>
        <v>Tiltekið svæði Stillingar</v>
      </c>
      <c r="T604" s="21" t="str">
        <f ca="1">IFERROR(__xludf.DUMMYFUNCTION("GOOGLETRANSLATE($B604,""en"",T$3)"),"Regionspesifikke innstillinger")</f>
        <v>Regionspesifikke innstillinger</v>
      </c>
      <c r="U604" s="21" t="str">
        <f ca="1">IFERROR(__xludf.DUMMYFUNCTION("GOOGLETRANSLATE($B604,""en"",U$3)"),"إعدادات محددة المنطقة")</f>
        <v>إعدادات محددة المنطقة</v>
      </c>
      <c r="V604" s="21" t="str">
        <f ca="1">IFERROR(__xludf.DUMMYFUNCTION("GOOGLETRANSLATE($B604,""en"",V$3)"),"Region ustawienia specyficzne")</f>
        <v>Region ustawienia specyficzne</v>
      </c>
      <c r="W604" s="21" t="str">
        <f ca="1">IFERROR(__xludf.DUMMYFUNCTION("GOOGLETRANSLATE($B604,""en"",W$3)"),"Конкретные параметры региона")</f>
        <v>Конкретные параметры региона</v>
      </c>
      <c r="X604" s="21" t="str">
        <f ca="1">IFERROR(__xludf.DUMMYFUNCTION("GOOGLETRANSLATE($B604,""en"",X$3)"),"Configuraciones específicas de la región")</f>
        <v>Configuraciones específicas de la región</v>
      </c>
      <c r="Y604" s="21"/>
      <c r="Z604" s="21"/>
    </row>
    <row r="605" spans="1:26" ht="32.25" customHeight="1" x14ac:dyDescent="0.2">
      <c r="A605" s="17" t="s">
        <v>1308</v>
      </c>
      <c r="B605" s="17" t="s">
        <v>1309</v>
      </c>
      <c r="C605" s="21" t="str">
        <f ca="1">IFERROR(__xludf.DUMMYFUNCTION("GOOGLETRANSLATE($B605,""en"",C$3)"),"Region Statistik")</f>
        <v>Region Statistik</v>
      </c>
      <c r="D605" s="21" t="str">
        <f ca="1">IFERROR(__xludf.DUMMYFUNCTION("GOOGLETRANSLATE($B605,""en"",D$3)"),"region Stats")</f>
        <v>region Stats</v>
      </c>
      <c r="E605" s="21" t="str">
        <f ca="1">IFERROR(__xludf.DUMMYFUNCTION("GOOGLETRANSLATE($B605,""en"",E$3)"),"região Stats")</f>
        <v>região Stats</v>
      </c>
      <c r="F605" s="21" t="str">
        <f ca="1">IFERROR(__xludf.DUMMYFUNCTION("GOOGLETRANSLATE($B605,""en"",F$3)"),"região Stats")</f>
        <v>região Stats</v>
      </c>
      <c r="G605" s="21" t="str">
        <f ca="1">IFERROR(__xludf.DUMMYFUNCTION("GOOGLETRANSLATE($B605,""en"",G$3)"),"région Stats")</f>
        <v>région Stats</v>
      </c>
      <c r="H605" s="21" t="str">
        <f ca="1">IFERROR(__xludf.DUMMYFUNCTION("GOOGLETRANSLATE($B605,""en"",H$3)"),"Eskualde estatistikak")</f>
        <v>Eskualde estatistikak</v>
      </c>
      <c r="I605" s="21" t="str">
        <f ca="1">IFERROR(__xludf.DUMMYFUNCTION("GOOGLETRANSLATE($B605,""en"",I$3)"),"regió Estadístiques")</f>
        <v>regió Estadístiques</v>
      </c>
      <c r="J605" s="21" t="str">
        <f ca="1">IFERROR(__xludf.DUMMYFUNCTION("GOOGLETRANSLATE($B605,""en"",J$3)"),"Kraj Statistiky")</f>
        <v>Kraj Statistiky</v>
      </c>
      <c r="K605" s="21" t="str">
        <f ca="1">IFERROR(__xludf.DUMMYFUNCTION("GOOGLETRANSLATE($B605,""en"",K$3)"),"地区统计")</f>
        <v>地区统计</v>
      </c>
      <c r="L605" s="21" t="str">
        <f ca="1">IFERROR(__xludf.DUMMYFUNCTION("GOOGLETRANSLATE($B605,""en"",L$3)"),"地區統計")</f>
        <v>地區統計</v>
      </c>
      <c r="M605" s="21" t="str">
        <f ca="1">IFERROR(__xludf.DUMMYFUNCTION("GOOGLETRANSLATE($B605,""en"",M$3)"),"Region Stats")</f>
        <v>Region Stats</v>
      </c>
      <c r="N605" s="21" t="str">
        <f ca="1">IFERROR(__xludf.DUMMYFUNCTION("GOOGLETRANSLATE($B605,""en"",N$3)"),"Περιοχή Στατιστικά")</f>
        <v>Περιοχή Στατιστικά</v>
      </c>
      <c r="O605" s="21" t="str">
        <f ca="1">IFERROR(__xludf.DUMMYFUNCTION("GOOGLETRANSLATE($B605,""en"",O$3)"),"alue tilastot")</f>
        <v>alue tilastot</v>
      </c>
      <c r="P605" s="21" t="str">
        <f ca="1">IFERROR(__xludf.DUMMYFUNCTION("GOOGLETRANSLATE($B605,""en"",P$3)"),"Réigiún Stats")</f>
        <v>Réigiún Stats</v>
      </c>
      <c r="Q605" s="21" t="str">
        <f ca="1">IFERROR(__xludf.DUMMYFUNCTION("GOOGLETRANSLATE($B605,""en"",Q$3)"),"منطقه آمار")</f>
        <v>منطقه آمار</v>
      </c>
      <c r="R605" s="21" t="str">
        <f ca="1">IFERROR(__xludf.DUMMYFUNCTION("GOOGLETRANSLATE($B605,""en"",R$3)"),"נתונים סטטיסטיים של אזור")</f>
        <v>נתונים סטטיסטיים של אזור</v>
      </c>
      <c r="S605" s="21" t="str">
        <f ca="1">IFERROR(__xludf.DUMMYFUNCTION("GOOGLETRANSLATE($B605,""en"",S$3)"),"svæði Stats")</f>
        <v>svæði Stats</v>
      </c>
      <c r="T605" s="21" t="str">
        <f ca="1">IFERROR(__xludf.DUMMYFUNCTION("GOOGLETRANSLATE($B605,""en"",T$3)"),"Region Statistikk")</f>
        <v>Region Statistikk</v>
      </c>
      <c r="U605" s="21" t="str">
        <f ca="1">IFERROR(__xludf.DUMMYFUNCTION("GOOGLETRANSLATE($B605,""en"",U$3)"),"المنطقة الإحصائيات")</f>
        <v>المنطقة الإحصائيات</v>
      </c>
      <c r="V605" s="21" t="str">
        <f ca="1">IFERROR(__xludf.DUMMYFUNCTION("GOOGLETRANSLATE($B605,""en"",V$3)"),"Region Stats")</f>
        <v>Region Stats</v>
      </c>
      <c r="W605" s="21" t="str">
        <f ca="1">IFERROR(__xludf.DUMMYFUNCTION("GOOGLETRANSLATE($B605,""en"",W$3)"),"Регион: Статистика")</f>
        <v>Регион: Статистика</v>
      </c>
      <c r="X605" s="21" t="str">
        <f ca="1">IFERROR(__xludf.DUMMYFUNCTION("GOOGLETRANSLATE($B605,""en"",X$3)"),"región Estadísticas")</f>
        <v>región Estadísticas</v>
      </c>
      <c r="Y605" s="21"/>
      <c r="Z605" s="21"/>
    </row>
    <row r="606" spans="1:26" ht="32.25" customHeight="1" x14ac:dyDescent="0.2">
      <c r="A606" s="17" t="s">
        <v>1310</v>
      </c>
      <c r="B606" s="17" t="s">
        <v>1311</v>
      </c>
      <c r="C606" s="21" t="str">
        <f ca="1">IFERROR(__xludf.DUMMYFUNCTION("GOOGLETRANSLATE($B606,""en"",C$3)"),"Region UUID ist ungültig")</f>
        <v>Region UUID ist ungültig</v>
      </c>
      <c r="D606" s="21" t="str">
        <f ca="1">IFERROR(__xludf.DUMMYFUNCTION("GOOGLETRANSLATE($B606,""en"",D$3)"),"Region UUID är ogiltig")</f>
        <v>Region UUID är ogiltig</v>
      </c>
      <c r="E606" s="21" t="str">
        <f ca="1">IFERROR(__xludf.DUMMYFUNCTION("GOOGLETRANSLATE($B606,""en"",E$3)"),"Região UUID é inválido")</f>
        <v>Região UUID é inválido</v>
      </c>
      <c r="F606" s="21" t="str">
        <f ca="1">IFERROR(__xludf.DUMMYFUNCTION("GOOGLETRANSLATE($B606,""en"",F$3)"),"Região UUID é inválido")</f>
        <v>Região UUID é inválido</v>
      </c>
      <c r="G606" s="21" t="str">
        <f ca="1">IFERROR(__xludf.DUMMYFUNCTION("GOOGLETRANSLATE($B606,""en"",G$3)"),"Région UUID est invalide")</f>
        <v>Région UUID est invalide</v>
      </c>
      <c r="H606" s="21" t="str">
        <f ca="1">IFERROR(__xludf.DUMMYFUNCTION("GOOGLETRANSLATE($B606,""en"",H$3)"),"Eskualde UUID baliogabea da")</f>
        <v>Eskualde UUID baliogabea da</v>
      </c>
      <c r="I606" s="21" t="str">
        <f ca="1">IFERROR(__xludf.DUMMYFUNCTION("GOOGLETRANSLATE($B606,""en"",I$3)"),"Regió UUID no és vàlid")</f>
        <v>Regió UUID no és vàlid</v>
      </c>
      <c r="J606" s="21" t="str">
        <f ca="1">IFERROR(__xludf.DUMMYFUNCTION("GOOGLETRANSLATE($B606,""en"",J$3)"),"Region UUID je neplatná")</f>
        <v>Region UUID je neplatná</v>
      </c>
      <c r="K606" s="21" t="str">
        <f ca="1">IFERROR(__xludf.DUMMYFUNCTION("GOOGLETRANSLATE($B606,""en"",K$3)"),"地区UUID无效")</f>
        <v>地区UUID无效</v>
      </c>
      <c r="L606" s="21" t="str">
        <f ca="1">IFERROR(__xludf.DUMMYFUNCTION("GOOGLETRANSLATE($B606,""en"",L$3)"),"地區UUID無效")</f>
        <v>地區UUID無效</v>
      </c>
      <c r="M606" s="21" t="str">
        <f ca="1">IFERROR(__xludf.DUMMYFUNCTION("GOOGLETRANSLATE($B606,""en"",M$3)"),"Regio UUID is ongeldig")</f>
        <v>Regio UUID is ongeldig</v>
      </c>
      <c r="N606" s="21" t="str">
        <f ca="1">IFERROR(__xludf.DUMMYFUNCTION("GOOGLETRANSLATE($B606,""en"",N$3)"),"Περιοχή UUID είναι άκυρο")</f>
        <v>Περιοχή UUID είναι άκυρο</v>
      </c>
      <c r="O606" s="21" t="str">
        <f ca="1">IFERROR(__xludf.DUMMYFUNCTION("GOOGLETRANSLATE($B606,""en"",O$3)"),"Alue UUID Is kelpaa")</f>
        <v>Alue UUID Is kelpaa</v>
      </c>
      <c r="P606" s="21" t="str">
        <f ca="1">IFERROR(__xludf.DUMMYFUNCTION("GOOGLETRANSLATE($B606,""en"",P$3)"),"Réigiún UUID Is neamhbhailí")</f>
        <v>Réigiún UUID Is neamhbhailí</v>
      </c>
      <c r="Q606" s="21" t="str">
        <f ca="1">IFERROR(__xludf.DUMMYFUNCTION("GOOGLETRANSLATE($B606,""en"",Q$3)"),"منطقه UUID نامعتبر است")</f>
        <v>منطقه UUID نامعتبر است</v>
      </c>
      <c r="R606" s="21" t="str">
        <f ca="1">IFERROR(__xludf.DUMMYFUNCTION("GOOGLETRANSLATE($B606,""en"",R$3)"),"אזור UUID איננו חוקי")</f>
        <v>אזור UUID איננו חוקי</v>
      </c>
      <c r="S606" s="21" t="str">
        <f ca="1">IFERROR(__xludf.DUMMYFUNCTION("GOOGLETRANSLATE($B606,""en"",S$3)"),"Region UUID er ógilt")</f>
        <v>Region UUID er ógilt</v>
      </c>
      <c r="T606" s="21" t="str">
        <f ca="1">IFERROR(__xludf.DUMMYFUNCTION("GOOGLETRANSLATE($B606,""en"",T$3)"),"Region UUID er ugyldig")</f>
        <v>Region UUID er ugyldig</v>
      </c>
      <c r="U606" s="21" t="str">
        <f ca="1">IFERROR(__xludf.DUMMYFUNCTION("GOOGLETRANSLATE($B606,""en"",U$3)"),"المنطقة UUID غير صالح")</f>
        <v>المنطقة UUID غير صالح</v>
      </c>
      <c r="V606" s="21" t="str">
        <f ca="1">IFERROR(__xludf.DUMMYFUNCTION("GOOGLETRANSLATE($B606,""en"",V$3)"),"Region UUID jest nieprawidłowy")</f>
        <v>Region UUID jest nieprawidłowy</v>
      </c>
      <c r="W606" s="21" t="str">
        <f ca="1">IFERROR(__xludf.DUMMYFUNCTION("GOOGLETRANSLATE($B606,""en"",W$3)"),"Регион UUID недействителен")</f>
        <v>Регион UUID недействителен</v>
      </c>
      <c r="X606" s="21" t="str">
        <f ca="1">IFERROR(__xludf.DUMMYFUNCTION("GOOGLETRANSLATE($B606,""en"",X$3)"),"Región UUID no es válido")</f>
        <v>Región UUID no es válido</v>
      </c>
      <c r="Y606" s="21"/>
      <c r="Z606" s="21"/>
    </row>
    <row r="607" spans="1:26" ht="32.25" customHeight="1" x14ac:dyDescent="0.2">
      <c r="A607" s="10" t="s">
        <v>1312</v>
      </c>
      <c r="B607" s="10" t="s">
        <v>1313</v>
      </c>
      <c r="C607" s="11" t="str">
        <f ca="1">IFERROR(__xludf.DUMMYFUNCTION("GOOGLETRANSLATE($B607,""en"",C$3)"),"Region")</f>
        <v>Region</v>
      </c>
      <c r="D607" s="11" t="str">
        <f ca="1">IFERROR(__xludf.DUMMYFUNCTION("GOOGLETRANSLATE($B607,""en"",D$3)"),"Område")</f>
        <v>Område</v>
      </c>
      <c r="E607" s="11" t="str">
        <f ca="1">IFERROR(__xludf.DUMMYFUNCTION("GOOGLETRANSLATE($B607,""en"",E$3)"),"Região")</f>
        <v>Região</v>
      </c>
      <c r="F607" s="11" t="str">
        <f ca="1">IFERROR(__xludf.DUMMYFUNCTION("GOOGLETRANSLATE($B607,""en"",F$3)"),"Região")</f>
        <v>Região</v>
      </c>
      <c r="G607" s="11" t="str">
        <f ca="1">IFERROR(__xludf.DUMMYFUNCTION("GOOGLETRANSLATE($B607,""en"",G$3)"),"Région")</f>
        <v>Région</v>
      </c>
      <c r="H607" s="11" t="str">
        <f ca="1">IFERROR(__xludf.DUMMYFUNCTION("GOOGLETRANSLATE($B607,""en"",H$3)"),"Region")</f>
        <v>Region</v>
      </c>
      <c r="I607" s="11" t="str">
        <f ca="1">IFERROR(__xludf.DUMMYFUNCTION("GOOGLETRANSLATE($B607,""en"",I$3)"),"regió")</f>
        <v>regió</v>
      </c>
      <c r="J607" s="11" t="str">
        <f ca="1">IFERROR(__xludf.DUMMYFUNCTION("GOOGLETRANSLATE($B607,""en"",J$3)"),"Kraj")</f>
        <v>Kraj</v>
      </c>
      <c r="K607" s="11" t="str">
        <f ca="1">IFERROR(__xludf.DUMMYFUNCTION("GOOGLETRANSLATE($B607,""en"",K$3)"),"地区")</f>
        <v>地区</v>
      </c>
      <c r="L607" s="11" t="str">
        <f ca="1">IFERROR(__xludf.DUMMYFUNCTION("GOOGLETRANSLATE($B607,""en"",L$3)"),"地區")</f>
        <v>地區</v>
      </c>
      <c r="M607" s="11" t="str">
        <f ca="1">IFERROR(__xludf.DUMMYFUNCTION("GOOGLETRANSLATE($B607,""en"",M$3)"),"Regio")</f>
        <v>Regio</v>
      </c>
      <c r="N607" s="11" t="str">
        <f ca="1">IFERROR(__xludf.DUMMYFUNCTION("GOOGLETRANSLATE($B607,""en"",N$3)"),"Περιοχή")</f>
        <v>Περιοχή</v>
      </c>
      <c r="O607" s="11" t="str">
        <f ca="1">IFERROR(__xludf.DUMMYFUNCTION("GOOGLETRANSLATE($B607,""en"",O$3)"),"alue")</f>
        <v>alue</v>
      </c>
      <c r="P607" s="11" t="str">
        <f ca="1">IFERROR(__xludf.DUMMYFUNCTION("GOOGLETRANSLATE($B607,""en"",P$3)"),"Réigiún")</f>
        <v>Réigiún</v>
      </c>
      <c r="Q607" s="11" t="str">
        <f ca="1">IFERROR(__xludf.DUMMYFUNCTION("GOOGLETRANSLATE($B607,""en"",Q$3)"),"منطقه")</f>
        <v>منطقه</v>
      </c>
      <c r="R607" s="11" t="str">
        <f ca="1">IFERROR(__xludf.DUMMYFUNCTION("GOOGLETRANSLATE($B607,""en"",R$3)"),"אזור")</f>
        <v>אזור</v>
      </c>
      <c r="S607" s="11" t="str">
        <f ca="1">IFERROR(__xludf.DUMMYFUNCTION("GOOGLETRANSLATE($B607,""en"",S$3)"),"Region")</f>
        <v>Region</v>
      </c>
      <c r="T607" s="11" t="str">
        <f ca="1">IFERROR(__xludf.DUMMYFUNCTION("GOOGLETRANSLATE($B607,""en"",T$3)"),"Region")</f>
        <v>Region</v>
      </c>
      <c r="U607" s="11" t="str">
        <f ca="1">IFERROR(__xludf.DUMMYFUNCTION("GOOGLETRANSLATE($B607,""en"",U$3)"),"منطقة")</f>
        <v>منطقة</v>
      </c>
      <c r="V607" s="11" t="str">
        <f ca="1">IFERROR(__xludf.DUMMYFUNCTION("GOOGLETRANSLATE($B607,""en"",V$3)"),"Region")</f>
        <v>Region</v>
      </c>
      <c r="W607" s="11" t="str">
        <f ca="1">IFERROR(__xludf.DUMMYFUNCTION("GOOGLETRANSLATE($B607,""en"",W$3)"),"Область")</f>
        <v>Область</v>
      </c>
      <c r="X607" s="11" t="str">
        <f ca="1">IFERROR(__xludf.DUMMYFUNCTION("GOOGLETRANSLATE($B607,""en"",X$3)"),"Región")</f>
        <v>Región</v>
      </c>
    </row>
    <row r="608" spans="1:26" ht="32.25" customHeight="1" x14ac:dyDescent="0.2">
      <c r="A608" s="17" t="s">
        <v>1314</v>
      </c>
      <c r="B608" s="17" t="s">
        <v>1315</v>
      </c>
      <c r="C608" s="18" t="s">
        <v>1316</v>
      </c>
      <c r="D608" s="12" t="str">
        <f ca="1">IFERROR(__xludf.DUMMYFUNCTION("GOOGLETRANSLATE($B606,""en"",D$3)"),"Region UUID är ogiltig")</f>
        <v>Region UUID är ogiltig</v>
      </c>
      <c r="E608" s="12" t="str">
        <f ca="1">IFERROR(__xludf.DUMMYFUNCTION("GOOGLETRANSLATE($B606,""en"",E$3)"),"Região UUID é inválido")</f>
        <v>Região UUID é inválido</v>
      </c>
      <c r="F608" s="12" t="str">
        <f ca="1">IFERROR(__xludf.DUMMYFUNCTION("GOOGLETRANSLATE($B606,""en"",F$3)"),"Região UUID é inválido")</f>
        <v>Região UUID é inválido</v>
      </c>
      <c r="G608" s="12" t="str">
        <f ca="1">IFERROR(__xludf.DUMMYFUNCTION("GOOGLETRANSLATE($B606,""en"",G$3)"),"Région UUID est invalide")</f>
        <v>Région UUID est invalide</v>
      </c>
      <c r="H608" s="12" t="str">
        <f ca="1">IFERROR(__xludf.DUMMYFUNCTION("GOOGLETRANSLATE($B606,""en"",H$3)"),"Eskualde UUID baliogabea da")</f>
        <v>Eskualde UUID baliogabea da</v>
      </c>
      <c r="I608" s="12" t="str">
        <f ca="1">IFERROR(__xludf.DUMMYFUNCTION("GOOGLETRANSLATE($B606,""en"",I$3)"),"Regió UUID no és vàlid")</f>
        <v>Regió UUID no és vàlid</v>
      </c>
      <c r="J608" s="12" t="str">
        <f ca="1">IFERROR(__xludf.DUMMYFUNCTION("GOOGLETRANSLATE($B606,""en"",J$3)"),"Region UUID je neplatná")</f>
        <v>Region UUID je neplatná</v>
      </c>
      <c r="K608" s="12" t="str">
        <f ca="1">IFERROR(__xludf.DUMMYFUNCTION("GOOGLETRANSLATE($B606,""en"",K$3)"),"地区UUID无效")</f>
        <v>地区UUID无效</v>
      </c>
      <c r="L608" s="12" t="str">
        <f ca="1">IFERROR(__xludf.DUMMYFUNCTION("GOOGLETRANSLATE($B606,""en"",L$3)"),"地區UUID無效")</f>
        <v>地區UUID無效</v>
      </c>
      <c r="M608" s="12" t="str">
        <f ca="1">IFERROR(__xludf.DUMMYFUNCTION("GOOGLETRANSLATE($B606,""en"",M$3)"),"Regio UUID is ongeldig")</f>
        <v>Regio UUID is ongeldig</v>
      </c>
      <c r="N608" s="12" t="str">
        <f ca="1">IFERROR(__xludf.DUMMYFUNCTION("GOOGLETRANSLATE($B606,""en"",N$3)"),"Περιοχή UUID είναι άκυρο")</f>
        <v>Περιοχή UUID είναι άκυρο</v>
      </c>
      <c r="O608" s="12" t="str">
        <f ca="1">IFERROR(__xludf.DUMMYFUNCTION("GOOGLETRANSLATE($B606,""en"",O$3)"),"Alue UUID Is kelpaa")</f>
        <v>Alue UUID Is kelpaa</v>
      </c>
      <c r="P608" s="12" t="str">
        <f ca="1">IFERROR(__xludf.DUMMYFUNCTION("GOOGLETRANSLATE($B606,""en"",P$3)"),"Réigiún UUID Is neamhbhailí")</f>
        <v>Réigiún UUID Is neamhbhailí</v>
      </c>
      <c r="Q608" s="12" t="str">
        <f ca="1">IFERROR(__xludf.DUMMYFUNCTION("GOOGLETRANSLATE($B606,""en"",Q$3)"),"منطقه UUID نامعتبر است")</f>
        <v>منطقه UUID نامعتبر است</v>
      </c>
      <c r="R608" s="12" t="str">
        <f ca="1">IFERROR(__xludf.DUMMYFUNCTION("GOOGLETRANSLATE($B606,""en"",R$3)"),"אזור UUID איננו חוקי")</f>
        <v>אזור UUID איננו חוקי</v>
      </c>
      <c r="S608" s="12" t="str">
        <f ca="1">IFERROR(__xludf.DUMMYFUNCTION("GOOGLETRANSLATE($B606,""en"",S$3)"),"Region UUID er ógilt")</f>
        <v>Region UUID er ógilt</v>
      </c>
      <c r="T608" s="12" t="str">
        <f ca="1">IFERROR(__xludf.DUMMYFUNCTION("GOOGLETRANSLATE($B606,""en"",T$3)"),"Region UUID er ugyldig")</f>
        <v>Region UUID er ugyldig</v>
      </c>
      <c r="U608" s="12" t="str">
        <f ca="1">IFERROR(__xludf.DUMMYFUNCTION("GOOGLETRANSLATE($B606,""en"",U$3)"),"المنطقة UUID غير صالح")</f>
        <v>المنطقة UUID غير صالح</v>
      </c>
      <c r="V608" s="12" t="str">
        <f ca="1">IFERROR(__xludf.DUMMYFUNCTION("GOOGLETRANSLATE($B606,""en"",V$3)"),"Region UUID jest nieprawidłowy")</f>
        <v>Region UUID jest nieprawidłowy</v>
      </c>
      <c r="W608" s="12" t="str">
        <f ca="1">IFERROR(__xludf.DUMMYFUNCTION("GOOGLETRANSLATE($B606,""en"",W$3)"),"Регион UUID недействителен")</f>
        <v>Регион UUID недействителен</v>
      </c>
      <c r="X608" s="12" t="str">
        <f ca="1">IFERROR(__xludf.DUMMYFUNCTION("GOOGLETRANSLATE($B606,""en"",X$3)"),"Región UUID no es válido")</f>
        <v>Región UUID no es válido</v>
      </c>
      <c r="Y608" s="12"/>
      <c r="Z608" s="12"/>
    </row>
    <row r="609" spans="1:26" ht="32.25" customHeight="1" x14ac:dyDescent="0.2">
      <c r="A609" s="17" t="s">
        <v>1317</v>
      </c>
      <c r="B609" s="17" t="s">
        <v>1318</v>
      </c>
      <c r="C609" s="21" t="str">
        <f ca="1">IFERROR(__xludf.DUMMYFUNCTION("GOOGLETRANSLATE($B609,""en"",C$3)"),"Regionen")</f>
        <v>Regionen</v>
      </c>
      <c r="D609" s="21" t="str">
        <f ca="1">IFERROR(__xludf.DUMMYFUNCTION("GOOGLETRANSLATE($B609,""en"",D$3)"),"regioner")</f>
        <v>regioner</v>
      </c>
      <c r="E609" s="21" t="str">
        <f ca="1">IFERROR(__xludf.DUMMYFUNCTION("GOOGLETRANSLATE($B609,""en"",E$3)"),"regiões")</f>
        <v>regiões</v>
      </c>
      <c r="F609" s="21" t="str">
        <f ca="1">IFERROR(__xludf.DUMMYFUNCTION("GOOGLETRANSLATE($B609,""en"",F$3)"),"regiões")</f>
        <v>regiões</v>
      </c>
      <c r="G609" s="21" t="str">
        <f ca="1">IFERROR(__xludf.DUMMYFUNCTION("GOOGLETRANSLATE($B609,""en"",G$3)"),"Régions")</f>
        <v>Régions</v>
      </c>
      <c r="H609" s="21" t="str">
        <f ca="1">IFERROR(__xludf.DUMMYFUNCTION("GOOGLETRANSLATE($B609,""en"",H$3)"),"Eskualde")</f>
        <v>Eskualde</v>
      </c>
      <c r="I609" s="21" t="str">
        <f ca="1">IFERROR(__xludf.DUMMYFUNCTION("GOOGLETRANSLATE($B609,""en"",I$3)"),"regions")</f>
        <v>regions</v>
      </c>
      <c r="J609" s="21" t="str">
        <f ca="1">IFERROR(__xludf.DUMMYFUNCTION("GOOGLETRANSLATE($B609,""en"",J$3)"),"regiony")</f>
        <v>regiony</v>
      </c>
      <c r="K609" s="21" t="str">
        <f ca="1">IFERROR(__xludf.DUMMYFUNCTION("GOOGLETRANSLATE($B609,""en"",K$3)"),"地区")</f>
        <v>地区</v>
      </c>
      <c r="L609" s="21" t="str">
        <f ca="1">IFERROR(__xludf.DUMMYFUNCTION("GOOGLETRANSLATE($B609,""en"",L$3)"),"地區")</f>
        <v>地區</v>
      </c>
      <c r="M609" s="21" t="str">
        <f ca="1">IFERROR(__xludf.DUMMYFUNCTION("GOOGLETRANSLATE($B609,""en"",M$3)"),"Regio's")</f>
        <v>Regio's</v>
      </c>
      <c r="N609" s="21" t="str">
        <f ca="1">IFERROR(__xludf.DUMMYFUNCTION("GOOGLETRANSLATE($B609,""en"",N$3)"),"Περιοχές")</f>
        <v>Περιοχές</v>
      </c>
      <c r="O609" s="21" t="str">
        <f ca="1">IFERROR(__xludf.DUMMYFUNCTION("GOOGLETRANSLATE($B609,""en"",O$3)"),"alueet")</f>
        <v>alueet</v>
      </c>
      <c r="P609" s="21" t="str">
        <f ca="1">IFERROR(__xludf.DUMMYFUNCTION("GOOGLETRANSLATE($B609,""en"",P$3)"),"Réigiúin")</f>
        <v>Réigiúin</v>
      </c>
      <c r="Q609" s="21" t="str">
        <f ca="1">IFERROR(__xludf.DUMMYFUNCTION("GOOGLETRANSLATE($B609,""en"",Q$3)"),"مناطق")</f>
        <v>مناطق</v>
      </c>
      <c r="R609" s="21" t="str">
        <f ca="1">IFERROR(__xludf.DUMMYFUNCTION("GOOGLETRANSLATE($B609,""en"",R$3)"),"אזורים")</f>
        <v>אזורים</v>
      </c>
      <c r="S609" s="21" t="str">
        <f ca="1">IFERROR(__xludf.DUMMYFUNCTION("GOOGLETRANSLATE($B609,""en"",S$3)"),"Svæði")</f>
        <v>Svæði</v>
      </c>
      <c r="T609" s="21" t="str">
        <f ca="1">IFERROR(__xludf.DUMMYFUNCTION("GOOGLETRANSLATE($B609,""en"",T$3)"),"regioner")</f>
        <v>regioner</v>
      </c>
      <c r="U609" s="21" t="str">
        <f ca="1">IFERROR(__xludf.DUMMYFUNCTION("GOOGLETRANSLATE($B609,""en"",U$3)"),"المناطق")</f>
        <v>المناطق</v>
      </c>
      <c r="V609" s="21" t="str">
        <f ca="1">IFERROR(__xludf.DUMMYFUNCTION("GOOGLETRANSLATE($B609,""en"",V$3)"),"regiony")</f>
        <v>regiony</v>
      </c>
      <c r="W609" s="21" t="str">
        <f ca="1">IFERROR(__xludf.DUMMYFUNCTION("GOOGLETRANSLATE($B609,""en"",W$3)"),"районы")</f>
        <v>районы</v>
      </c>
      <c r="X609" s="21" t="str">
        <f ca="1">IFERROR(__xludf.DUMMYFUNCTION("GOOGLETRANSLATE($B609,""en"",X$3)"),"Regiones")</f>
        <v>Regiones</v>
      </c>
      <c r="Y609" s="21"/>
      <c r="Z609" s="21"/>
    </row>
    <row r="610" spans="1:26" ht="32.25" customHeight="1" x14ac:dyDescent="0.2">
      <c r="A610" s="17" t="s">
        <v>1319</v>
      </c>
      <c r="B610" s="17" t="s">
        <v>1320</v>
      </c>
      <c r="C610" s="21" t="str">
        <f ca="1">IFERROR(__xludf.DUMMYFUNCTION("GOOGLETRANSLATE($B610,""en"",C$3)"),"Neuladen des Rasters")</f>
        <v>Neuladen des Rasters</v>
      </c>
      <c r="D610" s="21" t="str">
        <f ca="1">IFERROR(__xludf.DUMMYFUNCTION("GOOGLETRANSLATE($B610,""en"",D$3)"),"Ladda nätet")</f>
        <v>Ladda nätet</v>
      </c>
      <c r="E610" s="21" t="str">
        <f ca="1">IFERROR(__xludf.DUMMYFUNCTION("GOOGLETRANSLATE($B610,""en"",E$3)"),"Recarregar a grade")</f>
        <v>Recarregar a grade</v>
      </c>
      <c r="F610" s="21" t="str">
        <f ca="1">IFERROR(__xludf.DUMMYFUNCTION("GOOGLETRANSLATE($B610,""en"",F$3)"),"Recarregar a grade")</f>
        <v>Recarregar a grade</v>
      </c>
      <c r="G610" s="21" t="str">
        <f ca="1">IFERROR(__xludf.DUMMYFUNCTION("GOOGLETRANSLATE($B610,""en"",G$3)"),"Recharger la grille")</f>
        <v>Recharger la grille</v>
      </c>
      <c r="H610" s="21" t="str">
        <f ca="1">IFERROR(__xludf.DUMMYFUNCTION("GOOGLETRANSLATE($B610,""en"",H$3)"),"Birkargatu sareta")</f>
        <v>Birkargatu sareta</v>
      </c>
      <c r="I610" s="21" t="str">
        <f ca="1">IFERROR(__xludf.DUMMYFUNCTION("GOOGLETRANSLATE($B610,""en"",I$3)"),"Actualitzar la quadrícula")</f>
        <v>Actualitzar la quadrícula</v>
      </c>
      <c r="J610" s="21" t="str">
        <f ca="1">IFERROR(__xludf.DUMMYFUNCTION("GOOGLETRANSLATE($B610,""en"",J$3)"),"Obnovit mřížku")</f>
        <v>Obnovit mřížku</v>
      </c>
      <c r="K610" s="21" t="str">
        <f ca="1">IFERROR(__xludf.DUMMYFUNCTION("GOOGLETRANSLATE($B610,""en"",K$3)"),"刷新网格")</f>
        <v>刷新网格</v>
      </c>
      <c r="L610" s="21" t="str">
        <f ca="1">IFERROR(__xludf.DUMMYFUNCTION("GOOGLETRANSLATE($B610,""en"",L$3)"),"刷新網格")</f>
        <v>刷新網格</v>
      </c>
      <c r="M610" s="21" t="str">
        <f ca="1">IFERROR(__xludf.DUMMYFUNCTION("GOOGLETRANSLATE($B610,""en"",M$3)"),"Herladen het rooster")</f>
        <v>Herladen het rooster</v>
      </c>
      <c r="N610" s="21" t="str">
        <f ca="1">IFERROR(__xludf.DUMMYFUNCTION("GOOGLETRANSLATE($B610,""en"",N$3)"),"Ανανέωση του πλέγματος")</f>
        <v>Ανανέωση του πλέγματος</v>
      </c>
      <c r="O610" s="21" t="str">
        <f ca="1">IFERROR(__xludf.DUMMYFUNCTION("GOOGLETRANSLATE($B610,""en"",O$3)"),"Päivitä ruudukko")</f>
        <v>Päivitä ruudukko</v>
      </c>
      <c r="P610" s="21" t="str">
        <f ca="1">IFERROR(__xludf.DUMMYFUNCTION("GOOGLETRANSLATE($B610,""en"",P$3)"),"Athluchtaigh an eangach")</f>
        <v>Athluchtaigh an eangach</v>
      </c>
      <c r="Q610" s="21" t="str">
        <f ca="1">IFERROR(__xludf.DUMMYFUNCTION("GOOGLETRANSLATE($B610,""en"",Q$3)"),"بازنگری شبکه")</f>
        <v>بازنگری شبکه</v>
      </c>
      <c r="R610" s="21" t="str">
        <f ca="1">IFERROR(__xludf.DUMMYFUNCTION("GOOGLETRANSLATE($B610,""en"",R$3)"),"רענן לרשת")</f>
        <v>רענן לרשת</v>
      </c>
      <c r="S610" s="21" t="str">
        <f ca="1">IFERROR(__xludf.DUMMYFUNCTION("GOOGLETRANSLATE($B610,""en"",S$3)"),"Endurhlaða rist")</f>
        <v>Endurhlaða rist</v>
      </c>
      <c r="T610" s="21" t="str">
        <f ca="1">IFERROR(__xludf.DUMMYFUNCTION("GOOGLETRANSLATE($B610,""en"",T$3)"),"Last gitteret")</f>
        <v>Last gitteret</v>
      </c>
      <c r="U610" s="21" t="str">
        <f ca="1">IFERROR(__xludf.DUMMYFUNCTION("GOOGLETRANSLATE($B610,""en"",U$3)"),"تحديث الشبكة")</f>
        <v>تحديث الشبكة</v>
      </c>
      <c r="V610" s="21" t="str">
        <f ca="1">IFERROR(__xludf.DUMMYFUNCTION("GOOGLETRANSLATE($B610,""en"",V$3)"),"Odśwież siatkę")</f>
        <v>Odśwież siatkę</v>
      </c>
      <c r="W610" s="21" t="str">
        <f ca="1">IFERROR(__xludf.DUMMYFUNCTION("GOOGLETRANSLATE($B610,""en"",W$3)"),"Обновить сетку")</f>
        <v>Обновить сетку</v>
      </c>
      <c r="X610" s="21" t="str">
        <f ca="1">IFERROR(__xludf.DUMMYFUNCTION("GOOGLETRANSLATE($B610,""en"",X$3)"),"Actualizar la cuadrícula")</f>
        <v>Actualizar la cuadrícula</v>
      </c>
      <c r="Y610" s="21"/>
      <c r="Z610" s="21"/>
    </row>
    <row r="611" spans="1:26" ht="32.25" customHeight="1" x14ac:dyDescent="0.2">
      <c r="A611" s="17" t="s">
        <v>1321</v>
      </c>
      <c r="B611" s="17" t="s">
        <v>1322</v>
      </c>
      <c r="C611" s="21" t="str">
        <f ca="1">IFERROR(__xludf.DUMMYFUNCTION("GOOGLETRANSLATE($B611,""en"",C$3)"),"Render Max Höhe")</f>
        <v>Render Max Höhe</v>
      </c>
      <c r="D611" s="21" t="str">
        <f ca="1">IFERROR(__xludf.DUMMYFUNCTION("GOOGLETRANSLATE($B611,""en"",D$3)"),"Render max höjd")</f>
        <v>Render max höjd</v>
      </c>
      <c r="E611" s="21" t="str">
        <f ca="1">IFERROR(__xludf.DUMMYFUNCTION("GOOGLETRANSLATE($B611,""en"",E$3)"),"Tornar Max Altura")</f>
        <v>Tornar Max Altura</v>
      </c>
      <c r="F611" s="21" t="str">
        <f ca="1">IFERROR(__xludf.DUMMYFUNCTION("GOOGLETRANSLATE($B611,""en"",F$3)"),"Tornar Max Altura")</f>
        <v>Tornar Max Altura</v>
      </c>
      <c r="G611" s="21" t="str">
        <f ca="1">IFERROR(__xludf.DUMMYFUNCTION("GOOGLETRANSLATE($B611,""en"",G$3)"),"Rendu Max Hauteur")</f>
        <v>Rendu Max Hauteur</v>
      </c>
      <c r="H611" s="21" t="str">
        <f ca="1">IFERROR(__xludf.DUMMYFUNCTION("GOOGLETRANSLATE($B611,""en"",H$3)"),"Errendatu Max Altuera")</f>
        <v>Errendatu Max Altuera</v>
      </c>
      <c r="I611" s="21" t="str">
        <f ca="1">IFERROR(__xludf.DUMMYFUNCTION("GOOGLETRANSLATE($B611,""en"",I$3)"),"Render alçada màxima")</f>
        <v>Render alçada màxima</v>
      </c>
      <c r="J611" s="21" t="str">
        <f ca="1">IFERROR(__xludf.DUMMYFUNCTION("GOOGLETRANSLATE($B611,""en"",J$3)"),"Vykreslení Maxe Výška")</f>
        <v>Vykreslení Maxe Výška</v>
      </c>
      <c r="K611" s="21" t="str">
        <f ca="1">IFERROR(__xludf.DUMMYFUNCTION("GOOGLETRANSLATE($B611,""en"",K$3)"),"渲染最大高度")</f>
        <v>渲染最大高度</v>
      </c>
      <c r="L611" s="21" t="str">
        <f ca="1">IFERROR(__xludf.DUMMYFUNCTION("GOOGLETRANSLATE($B611,""en"",L$3)"),"渲染最大高度")</f>
        <v>渲染最大高度</v>
      </c>
      <c r="M611" s="21" t="str">
        <f ca="1">IFERROR(__xludf.DUMMYFUNCTION("GOOGLETRANSLATE($B611,""en"",M$3)"),"Render Max Hoogte")</f>
        <v>Render Max Hoogte</v>
      </c>
      <c r="N611" s="21" t="str">
        <f ca="1">IFERROR(__xludf.DUMMYFUNCTION("GOOGLETRANSLATE($B611,""en"",N$3)"),"Απόδοση Max Ύψος")</f>
        <v>Απόδοση Max Ύψος</v>
      </c>
      <c r="O611" s="21" t="str">
        <f ca="1">IFERROR(__xludf.DUMMYFUNCTION("GOOGLETRANSLATE($B611,""en"",O$3)"),"Render Max Korkeus")</f>
        <v>Render Max Korkeus</v>
      </c>
      <c r="P611" s="21" t="str">
        <f ca="1">IFERROR(__xludf.DUMMYFUNCTION("GOOGLETRANSLATE($B611,""en"",P$3)"),"Rindreáil Max Airde")</f>
        <v>Rindreáil Max Airde</v>
      </c>
      <c r="Q611" s="21" t="str">
        <f ca="1">IFERROR(__xludf.DUMMYFUNCTION("GOOGLETRANSLATE($B611,""en"",Q$3)"),"بارگزاری حداکثر ارتفاع")</f>
        <v>بارگزاری حداکثر ارتفاع</v>
      </c>
      <c r="R611" s="21" t="str">
        <f ca="1">IFERROR(__xludf.DUMMYFUNCTION("GOOGLETRANSLATE($B611,""en"",R$3)"),"Render מקס גובה")</f>
        <v>Render מקס גובה</v>
      </c>
      <c r="S611" s="21" t="str">
        <f ca="1">IFERROR(__xludf.DUMMYFUNCTION("GOOGLETRANSLATE($B611,""en"",S$3)"),"Gjaldið Max Hæð")</f>
        <v>Gjaldið Max Hæð</v>
      </c>
      <c r="T611" s="21" t="str">
        <f ca="1">IFERROR(__xludf.DUMMYFUNCTION("GOOGLETRANSLATE($B611,""en"",T$3)"),"Render Max Høyde")</f>
        <v>Render Max Høyde</v>
      </c>
      <c r="U611" s="21" t="str">
        <f ca="1">IFERROR(__xludf.DUMMYFUNCTION("GOOGLETRANSLATE($B611,""en"",U$3)"),"تقديم أقصى ارتفاع")</f>
        <v>تقديم أقصى ارتفاع</v>
      </c>
      <c r="V611" s="21" t="str">
        <f ca="1">IFERROR(__xludf.DUMMYFUNCTION("GOOGLETRANSLATE($B611,""en"",V$3)"),"Renderowanie Maksymalna wysokość")</f>
        <v>Renderowanie Maksymalna wysokość</v>
      </c>
      <c r="W611" s="21" t="str">
        <f ca="1">IFERROR(__xludf.DUMMYFUNCTION("GOOGLETRANSLATE($B611,""en"",W$3)"),"Рендер Максимальная высота")</f>
        <v>Рендер Максимальная высота</v>
      </c>
      <c r="X611" s="21" t="str">
        <f ca="1">IFERROR(__xludf.DUMMYFUNCTION("GOOGLETRANSLATE($B611,""en"",X$3)"),"Render altura máxima")</f>
        <v>Render altura máxima</v>
      </c>
      <c r="Y611" s="21"/>
      <c r="Z611" s="21"/>
    </row>
    <row r="612" spans="1:26" ht="32.25" customHeight="1" x14ac:dyDescent="0.2">
      <c r="A612" s="17" t="s">
        <v>1323</v>
      </c>
      <c r="B612" s="17" t="s">
        <v>1324</v>
      </c>
      <c r="C612" s="21" t="str">
        <f ca="1">IFERROR(__xludf.DUMMYFUNCTION("GOOGLETRANSLATE($B612,""en"",C$3)"),"Render Min Höhe")</f>
        <v>Render Min Höhe</v>
      </c>
      <c r="D612" s="21" t="str">
        <f ca="1">IFERROR(__xludf.DUMMYFUNCTION("GOOGLETRANSLATE($B612,""en"",D$3)"),"Render Min Längd")</f>
        <v>Render Min Längd</v>
      </c>
      <c r="E612" s="21" t="str">
        <f ca="1">IFERROR(__xludf.DUMMYFUNCTION("GOOGLETRANSLATE($B612,""en"",E$3)"),"Tornar Min Altura")</f>
        <v>Tornar Min Altura</v>
      </c>
      <c r="F612" s="21" t="str">
        <f ca="1">IFERROR(__xludf.DUMMYFUNCTION("GOOGLETRANSLATE($B612,""en"",F$3)"),"Tornar Min Altura")</f>
        <v>Tornar Min Altura</v>
      </c>
      <c r="G612" s="21" t="str">
        <f ca="1">IFERROR(__xludf.DUMMYFUNCTION("GOOGLETRANSLATE($B612,""en"",G$3)"),"Rendu Min Hauteur")</f>
        <v>Rendu Min Hauteur</v>
      </c>
      <c r="H612" s="21" t="str">
        <f ca="1">IFERROR(__xludf.DUMMYFUNCTION("GOOGLETRANSLATE($B612,""en"",H$3)"),"Errendatu Min Altuera")</f>
        <v>Errendatu Min Altuera</v>
      </c>
      <c r="I612" s="21" t="str">
        <f ca="1">IFERROR(__xludf.DUMMYFUNCTION("GOOGLETRANSLATE($B612,""en"",I$3)"),"Render Min Alçada")</f>
        <v>Render Min Alçada</v>
      </c>
      <c r="J612" s="21" t="str">
        <f ca="1">IFERROR(__xludf.DUMMYFUNCTION("GOOGLETRANSLATE($B612,""en"",J$3)"),"Render min Výška")</f>
        <v>Render min Výška</v>
      </c>
      <c r="K612" s="21" t="str">
        <f ca="1">IFERROR(__xludf.DUMMYFUNCTION("GOOGLETRANSLATE($B612,""en"",K$3)"),"渲染最小高度")</f>
        <v>渲染最小高度</v>
      </c>
      <c r="L612" s="21" t="str">
        <f ca="1">IFERROR(__xludf.DUMMYFUNCTION("GOOGLETRANSLATE($B612,""en"",L$3)"),"渲染最小高度")</f>
        <v>渲染最小高度</v>
      </c>
      <c r="M612" s="21" t="str">
        <f ca="1">IFERROR(__xludf.DUMMYFUNCTION("GOOGLETRANSLATE($B612,""en"",M$3)"),"Render Min Hoogte")</f>
        <v>Render Min Hoogte</v>
      </c>
      <c r="N612" s="21" t="str">
        <f ca="1">IFERROR(__xludf.DUMMYFUNCTION("GOOGLETRANSLATE($B612,""en"",N$3)"),"Απόδοση Ελάχιστη Ύψος")</f>
        <v>Απόδοση Ελάχιστη Ύψος</v>
      </c>
      <c r="O612" s="21" t="str">
        <f ca="1">IFERROR(__xludf.DUMMYFUNCTION("GOOGLETRANSLATE($B612,""en"",O$3)"),"Render Min Korkeus")</f>
        <v>Render Min Korkeus</v>
      </c>
      <c r="P612" s="21" t="str">
        <f ca="1">IFERROR(__xludf.DUMMYFUNCTION("GOOGLETRANSLATE($B612,""en"",P$3)"),"Rindreáil Min Airde")</f>
        <v>Rindreáil Min Airde</v>
      </c>
      <c r="Q612" s="21" t="str">
        <f ca="1">IFERROR(__xludf.DUMMYFUNCTION("GOOGLETRANSLATE($B612,""en"",Q$3)"),"بارگزاری حداقل قد")</f>
        <v>بارگزاری حداقل قد</v>
      </c>
      <c r="R612" s="21" t="str">
        <f ca="1">IFERROR(__xludf.DUMMYFUNCTION("GOOGLETRANSLATE($B612,""en"",R$3)"),"Render מינימום גובה")</f>
        <v>Render מינימום גובה</v>
      </c>
      <c r="S612" s="21" t="str">
        <f ca="1">IFERROR(__xludf.DUMMYFUNCTION("GOOGLETRANSLATE($B612,""en"",S$3)"),"Gjaldið Min Hæð")</f>
        <v>Gjaldið Min Hæð</v>
      </c>
      <c r="T612" s="21" t="str">
        <f ca="1">IFERROR(__xludf.DUMMYFUNCTION("GOOGLETRANSLATE($B612,""en"",T$3)"),"Render Min Høyde")</f>
        <v>Render Min Høyde</v>
      </c>
      <c r="U612" s="21" t="str">
        <f ca="1">IFERROR(__xludf.DUMMYFUNCTION("GOOGLETRANSLATE($B612,""en"",U$3)"),"تقديم الحد الأدنى الارتفاع")</f>
        <v>تقديم الحد الأدنى الارتفاع</v>
      </c>
      <c r="V612" s="21" t="str">
        <f ca="1">IFERROR(__xludf.DUMMYFUNCTION("GOOGLETRANSLATE($B612,""en"",V$3)"),"Renderowanie Minimalna wysokość")</f>
        <v>Renderowanie Minimalna wysokość</v>
      </c>
      <c r="W612" s="21" t="str">
        <f ca="1">IFERROR(__xludf.DUMMYFUNCTION("GOOGLETRANSLATE($B612,""en"",W$3)"),"Рендер Минимальная высота")</f>
        <v>Рендер Минимальная высота</v>
      </c>
      <c r="X612" s="21" t="str">
        <f ca="1">IFERROR(__xludf.DUMMYFUNCTION("GOOGLETRANSLATE($B612,""en"",X$3)"),"Render Min Altura")</f>
        <v>Render Min Altura</v>
      </c>
      <c r="Y612" s="21"/>
      <c r="Z612" s="21"/>
    </row>
    <row r="613" spans="1:26" ht="32.25" customHeight="1" x14ac:dyDescent="0.2">
      <c r="A613" s="17" t="s">
        <v>1325</v>
      </c>
      <c r="B613" s="17" t="s">
        <v>1326</v>
      </c>
      <c r="C613" s="21" t="str">
        <f ca="1">IFERROR(__xludf.DUMMYFUNCTION("GOOGLETRANSLATE($B613,""en"",C$3)"),"Passwort wiederholen")</f>
        <v>Passwort wiederholen</v>
      </c>
      <c r="D613" s="21" t="str">
        <f ca="1">IFERROR(__xludf.DUMMYFUNCTION("GOOGLETRANSLATE($B613,""en"",D$3)"),"Repetera lösenord")</f>
        <v>Repetera lösenord</v>
      </c>
      <c r="E613" s="21" t="str">
        <f ca="1">IFERROR(__xludf.DUMMYFUNCTION("GOOGLETRANSLATE($B613,""en"",E$3)"),"Repita a senha")</f>
        <v>Repita a senha</v>
      </c>
      <c r="F613" s="21" t="str">
        <f ca="1">IFERROR(__xludf.DUMMYFUNCTION("GOOGLETRANSLATE($B613,""en"",F$3)"),"Repita a senha")</f>
        <v>Repita a senha</v>
      </c>
      <c r="G613" s="21" t="str">
        <f ca="1">IFERROR(__xludf.DUMMYFUNCTION("GOOGLETRANSLATE($B613,""en"",G$3)"),"Répéter le mot de passe")</f>
        <v>Répéter le mot de passe</v>
      </c>
      <c r="H613" s="21" t="str">
        <f ca="1">IFERROR(__xludf.DUMMYFUNCTION("GOOGLETRANSLATE($B613,""en"",H$3)"),"errepikatu pasahitza")</f>
        <v>errepikatu pasahitza</v>
      </c>
      <c r="I613" s="21" t="str">
        <f ca="1">IFERROR(__xludf.DUMMYFUNCTION("GOOGLETRANSLATE($B613,""en"",I$3)"),"Repeteix la contrassenya")</f>
        <v>Repeteix la contrassenya</v>
      </c>
      <c r="J613" s="21" t="str">
        <f ca="1">IFERROR(__xludf.DUMMYFUNCTION("GOOGLETRANSLATE($B613,""en"",J$3)"),"Zopakovat heslo")</f>
        <v>Zopakovat heslo</v>
      </c>
      <c r="K613" s="21" t="str">
        <f ca="1">IFERROR(__xludf.DUMMYFUNCTION("GOOGLETRANSLATE($B613,""en"",K$3)"),"重复输入密码")</f>
        <v>重复输入密码</v>
      </c>
      <c r="L613" s="21" t="str">
        <f ca="1">IFERROR(__xludf.DUMMYFUNCTION("GOOGLETRANSLATE($B613,""en"",L$3)"),"重複輸入密碼")</f>
        <v>重複輸入密碼</v>
      </c>
      <c r="M613" s="21" t="str">
        <f ca="1">IFERROR(__xludf.DUMMYFUNCTION("GOOGLETRANSLATE($B613,""en"",M$3)"),"Herhaal wachtwoord")</f>
        <v>Herhaal wachtwoord</v>
      </c>
      <c r="N613" s="21" t="str">
        <f ca="1">IFERROR(__xludf.DUMMYFUNCTION("GOOGLETRANSLATE($B613,""en"",N$3)"),"Επαναλάβετε τον κωδικό")</f>
        <v>Επαναλάβετε τον κωδικό</v>
      </c>
      <c r="O613" s="21" t="str">
        <f ca="1">IFERROR(__xludf.DUMMYFUNCTION("GOOGLETRANSLATE($B613,""en"",O$3)"),"Toista salasana")</f>
        <v>Toista salasana</v>
      </c>
      <c r="P613" s="21" t="str">
        <f ca="1">IFERROR(__xludf.DUMMYFUNCTION("GOOGLETRANSLATE($B613,""en"",P$3)"),"Athscríobh an Pasfhocal")</f>
        <v>Athscríobh an Pasfhocal</v>
      </c>
      <c r="Q613" s="21" t="str">
        <f ca="1">IFERROR(__xludf.DUMMYFUNCTION("GOOGLETRANSLATE($B613,""en"",Q$3)"),"رمز عبور تکرار")</f>
        <v>رمز عبور تکرار</v>
      </c>
      <c r="R613" s="21" t="str">
        <f ca="1">IFERROR(__xludf.DUMMYFUNCTION("GOOGLETRANSLATE($B613,""en"",R$3)"),"חזור על הסיסמה")</f>
        <v>חזור על הסיסמה</v>
      </c>
      <c r="S613" s="21" t="str">
        <f ca="1">IFERROR(__xludf.DUMMYFUNCTION("GOOGLETRANSLATE($B613,""en"",S$3)"),"Endurtaktu lykilorð")</f>
        <v>Endurtaktu lykilorð</v>
      </c>
      <c r="T613" s="21" t="str">
        <f ca="1">IFERROR(__xludf.DUMMYFUNCTION("GOOGLETRANSLATE($B613,""en"",T$3)"),"Gjenta passord")</f>
        <v>Gjenta passord</v>
      </c>
      <c r="U613" s="21" t="str">
        <f ca="1">IFERROR(__xludf.DUMMYFUNCTION("GOOGLETRANSLATE($B613,""en"",U$3)"),"اعد كلمة السر")</f>
        <v>اعد كلمة السر</v>
      </c>
      <c r="V613" s="21" t="str">
        <f ca="1">IFERROR(__xludf.DUMMYFUNCTION("GOOGLETRANSLATE($B613,""en"",V$3)"),"Powtórz hasło")</f>
        <v>Powtórz hasło</v>
      </c>
      <c r="W613" s="21" t="str">
        <f ca="1">IFERROR(__xludf.DUMMYFUNCTION("GOOGLETRANSLATE($B613,""en"",W$3)"),"Повторите пароль")</f>
        <v>Повторите пароль</v>
      </c>
      <c r="X613" s="21" t="str">
        <f ca="1">IFERROR(__xludf.DUMMYFUNCTION("GOOGLETRANSLATE($B613,""en"",X$3)"),"Repite la contraseña")</f>
        <v>Repite la contraseña</v>
      </c>
      <c r="Y613" s="21"/>
      <c r="Z613" s="21"/>
    </row>
    <row r="614" spans="1:26" ht="32.25" customHeight="1" x14ac:dyDescent="0.2">
      <c r="A614" s="10" t="s">
        <v>1325</v>
      </c>
      <c r="B614" s="10" t="s">
        <v>1326</v>
      </c>
      <c r="C614" s="11" t="str">
        <f ca="1">IFERROR(__xludf.DUMMYFUNCTION("GOOGLETRANSLATE($B614,""en"",C$3)"),"Passwort wiederholen")</f>
        <v>Passwort wiederholen</v>
      </c>
      <c r="D614" s="11" t="str">
        <f ca="1">IFERROR(__xludf.DUMMYFUNCTION("GOOGLETRANSLATE($B614,""en"",D$3)"),"Repetera lösenord")</f>
        <v>Repetera lösenord</v>
      </c>
      <c r="E614" s="11" t="str">
        <f ca="1">IFERROR(__xludf.DUMMYFUNCTION("GOOGLETRANSLATE($B614,""en"",E$3)"),"Repita a senha")</f>
        <v>Repita a senha</v>
      </c>
      <c r="F614" s="11" t="str">
        <f ca="1">IFERROR(__xludf.DUMMYFUNCTION("GOOGLETRANSLATE($B614,""en"",F$3)"),"Repita a senha")</f>
        <v>Repita a senha</v>
      </c>
      <c r="G614" s="11" t="str">
        <f ca="1">IFERROR(__xludf.DUMMYFUNCTION("GOOGLETRANSLATE($B614,""en"",G$3)"),"Répéter le mot de passe")</f>
        <v>Répéter le mot de passe</v>
      </c>
      <c r="H614" s="11" t="str">
        <f ca="1">IFERROR(__xludf.DUMMYFUNCTION("GOOGLETRANSLATE($B614,""en"",H$3)"),"errepikatu pasahitza")</f>
        <v>errepikatu pasahitza</v>
      </c>
      <c r="I614" s="11" t="str">
        <f ca="1">IFERROR(__xludf.DUMMYFUNCTION("GOOGLETRANSLATE($B614,""en"",I$3)"),"Repeteix la contrassenya")</f>
        <v>Repeteix la contrassenya</v>
      </c>
      <c r="J614" s="11" t="str">
        <f ca="1">IFERROR(__xludf.DUMMYFUNCTION("GOOGLETRANSLATE($B614,""en"",J$3)"),"Zopakovat heslo")</f>
        <v>Zopakovat heslo</v>
      </c>
      <c r="K614" s="11" t="str">
        <f ca="1">IFERROR(__xludf.DUMMYFUNCTION("GOOGLETRANSLATE($B614,""en"",K$3)"),"重复输入密码")</f>
        <v>重复输入密码</v>
      </c>
      <c r="L614" s="11" t="str">
        <f ca="1">IFERROR(__xludf.DUMMYFUNCTION("GOOGLETRANSLATE($B614,""en"",L$3)"),"重複輸入密碼")</f>
        <v>重複輸入密碼</v>
      </c>
      <c r="M614" s="11" t="str">
        <f ca="1">IFERROR(__xludf.DUMMYFUNCTION("GOOGLETRANSLATE($B614,""en"",M$3)"),"Herhaal wachtwoord")</f>
        <v>Herhaal wachtwoord</v>
      </c>
      <c r="N614" s="11" t="str">
        <f ca="1">IFERROR(__xludf.DUMMYFUNCTION("GOOGLETRANSLATE($B614,""en"",N$3)"),"Επαναλάβετε τον κωδικό")</f>
        <v>Επαναλάβετε τον κωδικό</v>
      </c>
      <c r="O614" s="11" t="str">
        <f ca="1">IFERROR(__xludf.DUMMYFUNCTION("GOOGLETRANSLATE($B614,""en"",O$3)"),"Toista salasana")</f>
        <v>Toista salasana</v>
      </c>
      <c r="P614" s="11" t="str">
        <f ca="1">IFERROR(__xludf.DUMMYFUNCTION("GOOGLETRANSLATE($B614,""en"",P$3)"),"Athscríobh an Pasfhocal")</f>
        <v>Athscríobh an Pasfhocal</v>
      </c>
      <c r="Q614" s="11" t="str">
        <f ca="1">IFERROR(__xludf.DUMMYFUNCTION("GOOGLETRANSLATE($B614,""en"",Q$3)"),"رمز عبور تکرار")</f>
        <v>رمز عبور تکرار</v>
      </c>
      <c r="R614" s="11" t="str">
        <f ca="1">IFERROR(__xludf.DUMMYFUNCTION("GOOGLETRANSLATE($B614,""en"",R$3)"),"חזור על הסיסמה")</f>
        <v>חזור על הסיסמה</v>
      </c>
      <c r="S614" s="11" t="str">
        <f ca="1">IFERROR(__xludf.DUMMYFUNCTION("GOOGLETRANSLATE($B614,""en"",S$3)"),"Endurtaktu lykilorð")</f>
        <v>Endurtaktu lykilorð</v>
      </c>
      <c r="T614" s="11" t="str">
        <f ca="1">IFERROR(__xludf.DUMMYFUNCTION("GOOGLETRANSLATE($B614,""en"",T$3)"),"Gjenta passord")</f>
        <v>Gjenta passord</v>
      </c>
      <c r="U614" s="11" t="str">
        <f ca="1">IFERROR(__xludf.DUMMYFUNCTION("GOOGLETRANSLATE($B614,""en"",U$3)"),"اعد كلمة السر")</f>
        <v>اعد كلمة السر</v>
      </c>
      <c r="V614" s="11" t="str">
        <f ca="1">IFERROR(__xludf.DUMMYFUNCTION("GOOGLETRANSLATE($B614,""en"",V$3)"),"Powtórz hasło")</f>
        <v>Powtórz hasło</v>
      </c>
      <c r="W614" s="11" t="str">
        <f ca="1">IFERROR(__xludf.DUMMYFUNCTION("GOOGLETRANSLATE($B614,""en"",W$3)"),"Повторите пароль")</f>
        <v>Повторите пароль</v>
      </c>
      <c r="X614" s="11" t="str">
        <f ca="1">IFERROR(__xludf.DUMMYFUNCTION("GOOGLETRANSLATE($B614,""en"",X$3)"),"Repite la contraseña")</f>
        <v>Repite la contraseña</v>
      </c>
    </row>
    <row r="615" spans="1:26" ht="32.25" customHeight="1" x14ac:dyDescent="0.2">
      <c r="A615" s="17" t="s">
        <v>1327</v>
      </c>
      <c r="B615" s="17" t="s">
        <v>1328</v>
      </c>
      <c r="C615" s="21" t="str">
        <f ca="1">IFERROR(__xludf.DUMMYFUNCTION("GOOGLETRANSLATE($B615,""en"",C$3)"),"Fordern App Creation")</f>
        <v>Fordern App Creation</v>
      </c>
      <c r="D615" s="21" t="str">
        <f ca="1">IFERROR(__xludf.DUMMYFUNCTION("GOOGLETRANSLATE($B615,""en"",D$3)"),"Begär App Creation")</f>
        <v>Begär App Creation</v>
      </c>
      <c r="E615" s="21" t="str">
        <f ca="1">IFERROR(__xludf.DUMMYFUNCTION("GOOGLETRANSLATE($B615,""en"",E$3)"),"Solicitar App Creation")</f>
        <v>Solicitar App Creation</v>
      </c>
      <c r="F615" s="21" t="str">
        <f ca="1">IFERROR(__xludf.DUMMYFUNCTION("GOOGLETRANSLATE($B615,""en"",F$3)"),"Solicitar App Creation")</f>
        <v>Solicitar App Creation</v>
      </c>
      <c r="G615" s="21" t="str">
        <f ca="1">IFERROR(__xludf.DUMMYFUNCTION("GOOGLETRANSLATE($B615,""en"",G$3)"),"Demande App Création")</f>
        <v>Demande App Création</v>
      </c>
      <c r="H615" s="21" t="str">
        <f ca="1">IFERROR(__xludf.DUMMYFUNCTION("GOOGLETRANSLATE($B615,""en"",H$3)"),"Eskatu aplikazioa Sorkuntza")</f>
        <v>Eskatu aplikazioa Sorkuntza</v>
      </c>
      <c r="I615" s="21" t="str">
        <f ca="1">IFERROR(__xludf.DUMMYFUNCTION("GOOGLETRANSLATE($B615,""en"",I$3)"),"Sol·licitar l'aplicació Creació")</f>
        <v>Sol·licitar l'aplicació Creació</v>
      </c>
      <c r="J615" s="21" t="str">
        <f ca="1">IFERROR(__xludf.DUMMYFUNCTION("GOOGLETRANSLATE($B615,""en"",J$3)"),"Požádat o App Creation")</f>
        <v>Požádat o App Creation</v>
      </c>
      <c r="K615" s="21" t="str">
        <f ca="1">IFERROR(__xludf.DUMMYFUNCTION("GOOGLETRANSLATE($B615,""en"",K$3)"),"请求程序创建")</f>
        <v>请求程序创建</v>
      </c>
      <c r="L615" s="21" t="str">
        <f ca="1">IFERROR(__xludf.DUMMYFUNCTION("GOOGLETRANSLATE($B615,""en"",L$3)"),"請求程序創建")</f>
        <v>請求程序創建</v>
      </c>
      <c r="M615" s="21" t="str">
        <f ca="1">IFERROR(__xludf.DUMMYFUNCTION("GOOGLETRANSLATE($B615,""en"",M$3)"),"Vraag App Creation")</f>
        <v>Vraag App Creation</v>
      </c>
      <c r="N615" s="21" t="str">
        <f ca="1">IFERROR(__xludf.DUMMYFUNCTION("GOOGLETRANSLATE($B615,""en"",N$3)"),"Ζητήστε App Δημιουργία")</f>
        <v>Ζητήστε App Δημιουργία</v>
      </c>
      <c r="O615" s="21" t="str">
        <f ca="1">IFERROR(__xludf.DUMMYFUNCTION("GOOGLETRANSLATE($B615,""en"",O$3)"),"Pyydä App Creation")</f>
        <v>Pyydä App Creation</v>
      </c>
      <c r="P615" s="21" t="str">
        <f ca="1">IFERROR(__xludf.DUMMYFUNCTION("GOOGLETRANSLATE($B615,""en"",P$3)"),"Iarratas Cruthú App")</f>
        <v>Iarratas Cruthú App</v>
      </c>
      <c r="Q615" s="21" t="str">
        <f ca="1">IFERROR(__xludf.DUMMYFUNCTION("GOOGLETRANSLATE($B615,""en"",Q$3)"),"درخواست پاسخ به برنامه ایجاد")</f>
        <v>درخواست پاسخ به برنامه ایجاد</v>
      </c>
      <c r="R615" s="21" t="str">
        <f ca="1">IFERROR(__xludf.DUMMYFUNCTION("GOOGLETRANSLATE($B615,""en"",R$3)"),"בקשה לאפליקציה בריאה")</f>
        <v>בקשה לאפליקציה בריאה</v>
      </c>
      <c r="S615" s="21" t="str">
        <f ca="1">IFERROR(__xludf.DUMMYFUNCTION("GOOGLETRANSLATE($B615,""en"",S$3)"),"Óska App Creation")</f>
        <v>Óska App Creation</v>
      </c>
      <c r="T615" s="21" t="str">
        <f ca="1">IFERROR(__xludf.DUMMYFUNCTION("GOOGLETRANSLATE($B615,""en"",T$3)"),"Be App Creation")</f>
        <v>Be App Creation</v>
      </c>
      <c r="U615" s="21" t="str">
        <f ca="1">IFERROR(__xludf.DUMMYFUNCTION("GOOGLETRANSLATE($B615,""en"",U$3)"),"طلب التطبيقات الخلق")</f>
        <v>طلب التطبيقات الخلق</v>
      </c>
      <c r="V615" s="21" t="str">
        <f ca="1">IFERROR(__xludf.DUMMYFUNCTION("GOOGLETRANSLATE($B615,""en"",V$3)"),"Prośba App Creation")</f>
        <v>Prośba App Creation</v>
      </c>
      <c r="W615" s="21" t="str">
        <f ca="1">IFERROR(__xludf.DUMMYFUNCTION("GOOGLETRANSLATE($B615,""en"",W$3)"),"Запрос App Создание")</f>
        <v>Запрос App Создание</v>
      </c>
      <c r="X615" s="21" t="str">
        <f ca="1">IFERROR(__xludf.DUMMYFUNCTION("GOOGLETRANSLATE($B615,""en"",X$3)"),"Solicitar la aplicación Creación")</f>
        <v>Solicitar la aplicación Creación</v>
      </c>
      <c r="Y615" s="21"/>
      <c r="Z615" s="21"/>
    </row>
    <row r="616" spans="1:26" ht="32.25" customHeight="1" x14ac:dyDescent="0.2">
      <c r="A616" s="17" t="s">
        <v>1329</v>
      </c>
      <c r="B616" s="17" t="s">
        <v>1330</v>
      </c>
      <c r="C616" s="18" t="s">
        <v>1331</v>
      </c>
      <c r="D616" s="12" t="str">
        <f ca="1">IFERROR(__xludf.DUMMYFUNCTION("GOOGLETRANSLATE($B615,""en"",D$3)"),"Begär App Creation")</f>
        <v>Begär App Creation</v>
      </c>
      <c r="E616" s="12" t="str">
        <f ca="1">IFERROR(__xludf.DUMMYFUNCTION("GOOGLETRANSLATE($B615,""en"",E$3)"),"Solicitar App Creation")</f>
        <v>Solicitar App Creation</v>
      </c>
      <c r="F616" s="12" t="str">
        <f ca="1">IFERROR(__xludf.DUMMYFUNCTION("GOOGLETRANSLATE($B615,""en"",F$3)"),"Solicitar App Creation")</f>
        <v>Solicitar App Creation</v>
      </c>
      <c r="G616" s="12" t="str">
        <f ca="1">IFERROR(__xludf.DUMMYFUNCTION("GOOGLETRANSLATE($B615,""en"",G$3)"),"Demande App Création")</f>
        <v>Demande App Création</v>
      </c>
      <c r="H616" s="12" t="str">
        <f ca="1">IFERROR(__xludf.DUMMYFUNCTION("GOOGLETRANSLATE($B615,""en"",H$3)"),"Eskatu aplikazioa Sorkuntza")</f>
        <v>Eskatu aplikazioa Sorkuntza</v>
      </c>
      <c r="I616" s="12" t="str">
        <f ca="1">IFERROR(__xludf.DUMMYFUNCTION("GOOGLETRANSLATE($B615,""en"",I$3)"),"Sol·licitar l'aplicació Creació")</f>
        <v>Sol·licitar l'aplicació Creació</v>
      </c>
      <c r="J616" s="12" t="str">
        <f ca="1">IFERROR(__xludf.DUMMYFUNCTION("GOOGLETRANSLATE($B615,""en"",J$3)"),"Požádat o App Creation")</f>
        <v>Požádat o App Creation</v>
      </c>
      <c r="K616" s="12" t="str">
        <f ca="1">IFERROR(__xludf.DUMMYFUNCTION("GOOGLETRANSLATE($B615,""en"",K$3)"),"请求程序创建")</f>
        <v>请求程序创建</v>
      </c>
      <c r="L616" s="12" t="str">
        <f ca="1">IFERROR(__xludf.DUMMYFUNCTION("GOOGLETRANSLATE($B615,""en"",L$3)"),"請求程序創建")</f>
        <v>請求程序創建</v>
      </c>
      <c r="M616" s="12" t="str">
        <f ca="1">IFERROR(__xludf.DUMMYFUNCTION("GOOGLETRANSLATE($B615,""en"",M$3)"),"Vraag App Creation")</f>
        <v>Vraag App Creation</v>
      </c>
      <c r="N616" s="12" t="str">
        <f ca="1">IFERROR(__xludf.DUMMYFUNCTION("GOOGLETRANSLATE($B615,""en"",N$3)"),"Ζητήστε App Δημιουργία")</f>
        <v>Ζητήστε App Δημιουργία</v>
      </c>
      <c r="O616" s="12" t="str">
        <f ca="1">IFERROR(__xludf.DUMMYFUNCTION("GOOGLETRANSLATE($B615,""en"",O$3)"),"Pyydä App Creation")</f>
        <v>Pyydä App Creation</v>
      </c>
      <c r="P616" s="12" t="str">
        <f ca="1">IFERROR(__xludf.DUMMYFUNCTION("GOOGLETRANSLATE($B615,""en"",P$3)"),"Iarratas Cruthú App")</f>
        <v>Iarratas Cruthú App</v>
      </c>
      <c r="Q616" s="12" t="str">
        <f ca="1">IFERROR(__xludf.DUMMYFUNCTION("GOOGLETRANSLATE($B615,""en"",Q$3)"),"درخواست پاسخ به برنامه ایجاد")</f>
        <v>درخواست پاسخ به برنامه ایجاد</v>
      </c>
      <c r="R616" s="12" t="str">
        <f ca="1">IFERROR(__xludf.DUMMYFUNCTION("GOOGLETRANSLATE($B615,""en"",R$3)"),"בקשה לאפליקציה בריאה")</f>
        <v>בקשה לאפליקציה בריאה</v>
      </c>
      <c r="S616" s="12" t="str">
        <f ca="1">IFERROR(__xludf.DUMMYFUNCTION("GOOGLETRANSLATE($B615,""en"",S$3)"),"Óska App Creation")</f>
        <v>Óska App Creation</v>
      </c>
      <c r="T616" s="12" t="str">
        <f ca="1">IFERROR(__xludf.DUMMYFUNCTION("GOOGLETRANSLATE($B615,""en"",T$3)"),"Be App Creation")</f>
        <v>Be App Creation</v>
      </c>
      <c r="U616" s="12" t="str">
        <f ca="1">IFERROR(__xludf.DUMMYFUNCTION("GOOGLETRANSLATE($B615,""en"",U$3)"),"طلب التطبيقات الخلق")</f>
        <v>طلب التطبيقات الخلق</v>
      </c>
      <c r="V616" s="12" t="str">
        <f ca="1">IFERROR(__xludf.DUMMYFUNCTION("GOOGLETRANSLATE($B615,""en"",V$3)"),"Prośba App Creation")</f>
        <v>Prośba App Creation</v>
      </c>
      <c r="W616" s="12" t="str">
        <f ca="1">IFERROR(__xludf.DUMMYFUNCTION("GOOGLETRANSLATE($B615,""en"",W$3)"),"Запрос App Создание")</f>
        <v>Запрос App Создание</v>
      </c>
      <c r="X616" s="12" t="str">
        <f ca="1">IFERROR(__xludf.DUMMYFUNCTION("GOOGLETRANSLATE($B615,""en"",X$3)"),"Solicitar la aplicación Creación")</f>
        <v>Solicitar la aplicación Creación</v>
      </c>
      <c r="Y616" s="12"/>
      <c r="Z616" s="12"/>
    </row>
    <row r="617" spans="1:26" ht="32.25" customHeight="1" x14ac:dyDescent="0.2">
      <c r="A617" s="10" t="s">
        <v>1332</v>
      </c>
      <c r="B617" s="10" t="s">
        <v>1333</v>
      </c>
      <c r="C617" s="11" t="str">
        <f ca="1">IFERROR(__xludf.DUMMYFUNCTION("GOOGLETRANSLATE($B617,""en"",C$3)"),". Zurücksetzen")</f>
        <v>. Zurücksetzen</v>
      </c>
      <c r="D617" s="11" t="str">
        <f ca="1">IFERROR(__xludf.DUMMYFUNCTION("GOOGLETRANSLATE($B617,""en"",D$3)"),". Återställ till standard")</f>
        <v>. Återställ till standard</v>
      </c>
      <c r="E617" s="11" t="str">
        <f ca="1">IFERROR(__xludf.DUMMYFUNCTION("GOOGLETRANSLATE($B617,""en"",E$3)"),". Restaurar ao padrão")</f>
        <v>. Restaurar ao padrão</v>
      </c>
      <c r="F617" s="11" t="str">
        <f ca="1">IFERROR(__xludf.DUMMYFUNCTION("GOOGLETRANSLATE($B617,""en"",F$3)"),". Restaurar ao padrão")</f>
        <v>. Restaurar ao padrão</v>
      </c>
      <c r="G617" s="11" t="str">
        <f ca="1">IFERROR(__xludf.DUMMYFUNCTION("GOOGLETRANSLATE($B617,""en"",G$3)"),". Réinitialiser par défaut")</f>
        <v>. Réinitialiser par défaut</v>
      </c>
      <c r="H617" s="11" t="str">
        <f ca="1">IFERROR(__xludf.DUMMYFUNCTION("GOOGLETRANSLATE($B617,""en"",H$3)"),". Berrezarri lehenetsiak")</f>
        <v>. Berrezarri lehenetsiak</v>
      </c>
      <c r="I617" s="11" t="str">
        <f ca="1">IFERROR(__xludf.DUMMYFUNCTION("GOOGLETRANSLATE($B617,""en"",I$3)"),". Restableixen als predeterminats")</f>
        <v>. Restableixen als predeterminats</v>
      </c>
      <c r="J617" s="11" t="str">
        <f ca="1">IFERROR(__xludf.DUMMYFUNCTION("GOOGLETRANSLATE($B617,""en"",J$3)"),", Obnovit do základního nastavení")</f>
        <v>, Obnovit do základního nastavení</v>
      </c>
      <c r="K617" s="11" t="str">
        <f ca="1">IFERROR(__xludf.DUMMYFUNCTION("GOOGLETRANSLATE($B617,""en"",K$3)"),"。重置为默认")</f>
        <v>。重置为默认</v>
      </c>
      <c r="L617" s="11" t="str">
        <f ca="1">IFERROR(__xludf.DUMMYFUNCTION("GOOGLETRANSLATE($B617,""en"",L$3)"),"。重置為默認")</f>
        <v>。重置為默認</v>
      </c>
      <c r="M617" s="11" t="str">
        <f ca="1">IFERROR(__xludf.DUMMYFUNCTION("GOOGLETRANSLATE($B617,""en"",M$3)"),". Reset naar standaard")</f>
        <v>. Reset naar standaard</v>
      </c>
      <c r="N617" s="11" t="str">
        <f ca="1">IFERROR(__xludf.DUMMYFUNCTION("GOOGLETRANSLATE($B617,""en"",N$3)"),". Επαναφορά στο προκαθορισμένο")</f>
        <v>. Επαναφορά στο προκαθορισμένο</v>
      </c>
      <c r="O617" s="11" t="str">
        <f ca="1">IFERROR(__xludf.DUMMYFUNCTION("GOOGLETRANSLATE($B617,""en"",O$3)"),". Palauta oletusasetukset")</f>
        <v>. Palauta oletusasetukset</v>
      </c>
      <c r="P617" s="11" t="str">
        <f ca="1">IFERROR(__xludf.DUMMYFUNCTION("GOOGLETRANSLATE($B617,""en"",P$3)"),". Athshocraigh réamhshocraithe")</f>
        <v>. Athshocraigh réamhshocraithe</v>
      </c>
      <c r="Q617" s="11" t="str">
        <f ca="1">IFERROR(__xludf.DUMMYFUNCTION("GOOGLETRANSLATE($B617,""en"",Q$3)"),". تنظیم مجدد به حالت پیش فرض")</f>
        <v>. تنظیم مجدد به حالت پیش فرض</v>
      </c>
      <c r="R617" s="11" t="str">
        <f ca="1">IFERROR(__xludf.DUMMYFUNCTION("GOOGLETRANSLATE($B617,""en"",R$3)"),". איפוס לברירת מחדל")</f>
        <v>. איפוס לברירת מחדל</v>
      </c>
      <c r="S617" s="11" t="str">
        <f ca="1">IFERROR(__xludf.DUMMYFUNCTION("GOOGLETRANSLATE($B617,""en"",S$3)"),". Endurstilla á sjálfgefið")</f>
        <v>. Endurstilla á sjálfgefið</v>
      </c>
      <c r="T617" s="11" t="str">
        <f ca="1">IFERROR(__xludf.DUMMYFUNCTION("GOOGLETRANSLATE($B617,""en"",T$3)"),". Tilbakestill til standard")</f>
        <v>. Tilbakestill til standard</v>
      </c>
      <c r="U617" s="11" t="str">
        <f ca="1">IFERROR(__xludf.DUMMYFUNCTION("GOOGLETRANSLATE($B617,""en"",U$3)"),". إعادة تعيين إلى الافتراضي")</f>
        <v>. إعادة تعيين إلى الافتراضي</v>
      </c>
      <c r="V617" s="11" t="str">
        <f ca="1">IFERROR(__xludf.DUMMYFUNCTION("GOOGLETRANSLATE($B617,""en"",V$3)"),", Przywróć ustawienia domyślne")</f>
        <v>, Przywróć ustawienia domyślne</v>
      </c>
      <c r="W617" s="11" t="str">
        <f ca="1">IFERROR(__xludf.DUMMYFUNCTION("GOOGLETRANSLATE($B617,""en"",W$3)"),", Восстановление значений по умолчанию")</f>
        <v>, Восстановление значений по умолчанию</v>
      </c>
      <c r="X617" s="11" t="str">
        <f ca="1">IFERROR(__xludf.DUMMYFUNCTION("GOOGLETRANSLATE($B617,""en"",X$3)"),". Restablecen a los predeterminados")</f>
        <v>. Restablecen a los predeterminados</v>
      </c>
    </row>
    <row r="618" spans="1:26" ht="32.25" customHeight="1" x14ac:dyDescent="0.2">
      <c r="A618" s="17" t="s">
        <v>1334</v>
      </c>
      <c r="B618" s="17" t="s">
        <v>1334</v>
      </c>
      <c r="C618" s="21" t="str">
        <f ca="1">IFERROR(__xludf.DUMMYFUNCTION("GOOGLETRANSLATE($B618,""en"",C$3)"),"aufgelöst")</f>
        <v>aufgelöst</v>
      </c>
      <c r="D618" s="21" t="str">
        <f ca="1">IFERROR(__xludf.DUMMYFUNCTION("GOOGLETRANSLATE($B618,""en"",D$3)"),"löst")</f>
        <v>löst</v>
      </c>
      <c r="E618" s="21" t="str">
        <f ca="1">IFERROR(__xludf.DUMMYFUNCTION("GOOGLETRANSLATE($B618,""en"",E$3)"),"resolvido")</f>
        <v>resolvido</v>
      </c>
      <c r="F618" s="21" t="str">
        <f ca="1">IFERROR(__xludf.DUMMYFUNCTION("GOOGLETRANSLATE($B618,""en"",F$3)"),"resolvido")</f>
        <v>resolvido</v>
      </c>
      <c r="G618" s="21" t="str">
        <f ca="1">IFERROR(__xludf.DUMMYFUNCTION("GOOGLETRANSLATE($B618,""en"",G$3)"),"résolu")</f>
        <v>résolu</v>
      </c>
      <c r="H618" s="21" t="str">
        <f ca="1">IFERROR(__xludf.DUMMYFUNCTION("GOOGLETRANSLATE($B618,""en"",H$3)"),"ebatzi")</f>
        <v>ebatzi</v>
      </c>
      <c r="I618" s="21" t="str">
        <f ca="1">IFERROR(__xludf.DUMMYFUNCTION("GOOGLETRANSLATE($B618,""en"",I$3)"),"resolt")</f>
        <v>resolt</v>
      </c>
      <c r="J618" s="21" t="str">
        <f ca="1">IFERROR(__xludf.DUMMYFUNCTION("GOOGLETRANSLATE($B618,""en"",J$3)"),"vyřešen")</f>
        <v>vyřešen</v>
      </c>
      <c r="K618" s="21" t="str">
        <f ca="1">IFERROR(__xludf.DUMMYFUNCTION("GOOGLETRANSLATE($B618,""en"",K$3)"),"解决")</f>
        <v>解决</v>
      </c>
      <c r="L618" s="21" t="str">
        <f ca="1">IFERROR(__xludf.DUMMYFUNCTION("GOOGLETRANSLATE($B618,""en"",L$3)"),"解決")</f>
        <v>解決</v>
      </c>
      <c r="M618" s="21" t="str">
        <f ca="1">IFERROR(__xludf.DUMMYFUNCTION("GOOGLETRANSLATE($B618,""en"",M$3)"),"opgelost")</f>
        <v>opgelost</v>
      </c>
      <c r="N618" s="21" t="str">
        <f ca="1">IFERROR(__xludf.DUMMYFUNCTION("GOOGLETRANSLATE($B618,""en"",N$3)"),"επιλυθεί")</f>
        <v>επιλυθεί</v>
      </c>
      <c r="O618" s="21" t="str">
        <f ca="1">IFERROR(__xludf.DUMMYFUNCTION("GOOGLETRANSLATE($B618,""en"",O$3)"),"ratkaistu")</f>
        <v>ratkaistu</v>
      </c>
      <c r="P618" s="21" t="str">
        <f ca="1">IFERROR(__xludf.DUMMYFUNCTION("GOOGLETRANSLATE($B618,""en"",P$3)"),"réitithe")</f>
        <v>réitithe</v>
      </c>
      <c r="Q618" s="21" t="str">
        <f ca="1">IFERROR(__xludf.DUMMYFUNCTION("GOOGLETRANSLATE($B618,""en"",Q$3)"),"مصمم")</f>
        <v>مصمم</v>
      </c>
      <c r="R618" s="21" t="str">
        <f ca="1">IFERROR(__xludf.DUMMYFUNCTION("GOOGLETRANSLATE($B618,""en"",R$3)"),"נפתר")</f>
        <v>נפתר</v>
      </c>
      <c r="S618" s="21" t="str">
        <f ca="1">IFERROR(__xludf.DUMMYFUNCTION("GOOGLETRANSLATE($B618,""en"",S$3)"),"leyst")</f>
        <v>leyst</v>
      </c>
      <c r="T618" s="21" t="str">
        <f ca="1">IFERROR(__xludf.DUMMYFUNCTION("GOOGLETRANSLATE($B618,""en"",T$3)"),"løst")</f>
        <v>løst</v>
      </c>
      <c r="U618" s="21" t="str">
        <f ca="1">IFERROR(__xludf.DUMMYFUNCTION("GOOGLETRANSLATE($B618,""en"",U$3)"),"تم الحل")</f>
        <v>تم الحل</v>
      </c>
      <c r="V618" s="21" t="str">
        <f ca="1">IFERROR(__xludf.DUMMYFUNCTION("GOOGLETRANSLATE($B618,""en"",V$3)"),"zdecydowany")</f>
        <v>zdecydowany</v>
      </c>
      <c r="W618" s="21" t="str">
        <f ca="1">IFERROR(__xludf.DUMMYFUNCTION("GOOGLETRANSLATE($B618,""en"",W$3)"),"решены")</f>
        <v>решены</v>
      </c>
      <c r="X618" s="21" t="str">
        <f ca="1">IFERROR(__xludf.DUMMYFUNCTION("GOOGLETRANSLATE($B618,""en"",X$3)"),"resuelto")</f>
        <v>resuelto</v>
      </c>
      <c r="Y618" s="21"/>
      <c r="Z618" s="21"/>
    </row>
    <row r="619" spans="1:26" ht="32.25" customHeight="1" x14ac:dyDescent="0.2">
      <c r="A619" s="17" t="s">
        <v>1335</v>
      </c>
      <c r="B619" s="17" t="s">
        <v>1336</v>
      </c>
      <c r="C619" s="21" t="str">
        <f ca="1">IFERROR(__xludf.DUMMYFUNCTION("GOOGLETRANSLATE($B619,""en"",C$3)"),"Neustarts alle Regionen Checked")</f>
        <v>Neustarts alle Regionen Checked</v>
      </c>
      <c r="D619" s="21" t="str">
        <f ca="1">IFERROR(__xludf.DUMMYFUNCTION("GOOGLETRANSLATE($B619,""en"",D$3)"),"Omstarter alla Kontrollerad Regioner")</f>
        <v>Omstarter alla Kontrollerad Regioner</v>
      </c>
      <c r="E619" s="21" t="str">
        <f ca="1">IFERROR(__xludf.DUMMYFUNCTION("GOOGLETRANSLATE($B619,""en"",E$3)"),"Reinicia todos verificado Regiões")</f>
        <v>Reinicia todos verificado Regiões</v>
      </c>
      <c r="F619" s="21" t="str">
        <f ca="1">IFERROR(__xludf.DUMMYFUNCTION("GOOGLETRANSLATE($B619,""en"",F$3)"),"Reinicia todos verificado Regiões")</f>
        <v>Reinicia todos verificado Regiões</v>
      </c>
      <c r="G619" s="21" t="str">
        <f ca="1">IFERROR(__xludf.DUMMYFUNCTION("GOOGLETRANSLATE($B619,""en"",G$3)"),"Redémarrages toutes les régions Examiné")</f>
        <v>Redémarrages toutes les régions Examiné</v>
      </c>
      <c r="H619" s="21" t="str">
        <f ca="1">IFERROR(__xludf.DUMMYFUNCTION("GOOGLETRANSLATE($B619,""en"",H$3)"),"Berrabiarazi guztiak Checked Eskualde")</f>
        <v>Berrabiarazi guztiak Checked Eskualde</v>
      </c>
      <c r="I619" s="21" t="str">
        <f ca="1">IFERROR(__xludf.DUMMYFUNCTION("GOOGLETRANSLATE($B619,""en"",I$3)"),"Reinicia tots es comproven Regions")</f>
        <v>Reinicia tots es comproven Regions</v>
      </c>
      <c r="J619" s="21" t="str">
        <f ca="1">IFERROR(__xludf.DUMMYFUNCTION("GOOGLETRANSLATE($B619,""en"",J$3)"),"Restartuje všechny Zkontrolováno Regions")</f>
        <v>Restartuje všechny Zkontrolováno Regions</v>
      </c>
      <c r="K619" s="21" t="str">
        <f ca="1">IFERROR(__xludf.DUMMYFUNCTION("GOOGLETRANSLATE($B619,""en"",K$3)"),"重新启动所有经过的地区")</f>
        <v>重新启动所有经过的地区</v>
      </c>
      <c r="L619" s="21" t="str">
        <f ca="1">IFERROR(__xludf.DUMMYFUNCTION("GOOGLETRANSLATE($B619,""en"",L$3)"),"重新啟動所有經過的地區")</f>
        <v>重新啟動所有經過的地區</v>
      </c>
      <c r="M619" s="21" t="str">
        <f ca="1">IFERROR(__xludf.DUMMYFUNCTION("GOOGLETRANSLATE($B619,""en"",M$3)"),"Restarts alle Gecontroleerd Regio")</f>
        <v>Restarts alle Gecontroleerd Regio</v>
      </c>
      <c r="N619" s="21" t="str">
        <f ca="1">IFERROR(__xludf.DUMMYFUNCTION("GOOGLETRANSLATE($B619,""en"",N$3)"),"Επανεκκίνηση του όλα είναι ελεγμένο Περιφερειών")</f>
        <v>Επανεκκίνηση του όλα είναι ελεγμένο Περιφερειών</v>
      </c>
      <c r="O619" s="21" t="str">
        <f ca="1">IFERROR(__xludf.DUMMYFUNCTION("GOOGLETRANSLATE($B619,""en"",O$3)"),"Käynnistyy uudelleen kaikki tarkastettu Alueet")</f>
        <v>Käynnistyy uudelleen kaikki tarkastettu Alueet</v>
      </c>
      <c r="P619" s="21" t="str">
        <f ca="1">IFERROR(__xludf.DUMMYFUNCTION("GOOGLETRANSLATE($B619,""en"",P$3)"),"Restarts Seiceáilte gach Réigiúin")</f>
        <v>Restarts Seiceáilte gach Réigiúin</v>
      </c>
      <c r="Q619" s="21" t="str">
        <f ca="1">IFERROR(__xludf.DUMMYFUNCTION("GOOGLETRANSLATE($B619,""en"",Q$3)"),"راه اندازی مجدد تمام مناطق بررسی")</f>
        <v>راه اندازی مجدد تمام مناطق بررسی</v>
      </c>
      <c r="R619" s="21" t="str">
        <f ca="1">IFERROR(__xludf.DUMMYFUNCTION("GOOGLETRANSLATE($B619,""en"",R$3)"),"מפעיל מחדש את כל מסומן אזורים")</f>
        <v>מפעיל מחדש את כל מסומן אזורים</v>
      </c>
      <c r="S619" s="21" t="str">
        <f ca="1">IFERROR(__xludf.DUMMYFUNCTION("GOOGLETRANSLATE($B619,""en"",S$3)"),"Endurræst allur innritaður Svæði")</f>
        <v>Endurræst allur innritaður Svæði</v>
      </c>
      <c r="T619" s="21" t="str">
        <f ca="1">IFERROR(__xludf.DUMMYFUNCTION("GOOGLETRANSLATE($B619,""en"",T$3)"),"Starter på nytt hele Sjekket Regioner")</f>
        <v>Starter på nytt hele Sjekket Regioner</v>
      </c>
      <c r="U619" s="21" t="str">
        <f ca="1">IFERROR(__xludf.DUMMYFUNCTION("GOOGLETRANSLATE($B619,""en"",U$3)"),"إعادة تشغيل فحص جميع المناطق")</f>
        <v>إعادة تشغيل فحص جميع المناطق</v>
      </c>
      <c r="V619" s="21" t="str">
        <f ca="1">IFERROR(__xludf.DUMMYFUNCTION("GOOGLETRANSLATE($B619,""en"",V$3)"),"Restartuje wszystkie sprawdzone Regions")</f>
        <v>Restartuje wszystkie sprawdzone Regions</v>
      </c>
      <c r="W619" s="21" t="str">
        <f ca="1">IFERROR(__xludf.DUMMYFUNCTION("GOOGLETRANSLATE($B619,""en"",W$3)"),"Перезапуск все регионы Проверено")</f>
        <v>Перезапуск все регионы Проверено</v>
      </c>
      <c r="X619" s="21" t="str">
        <f ca="1">IFERROR(__xludf.DUMMYFUNCTION("GOOGLETRANSLATE($B619,""en"",X$3)"),"Reinicia todos se comprueban Regiones")</f>
        <v>Reinicia todos se comprueban Regiones</v>
      </c>
      <c r="Y619" s="21"/>
      <c r="Z619" s="21"/>
    </row>
    <row r="620" spans="1:26" ht="32.25" customHeight="1" x14ac:dyDescent="0.2">
      <c r="A620" s="17" t="s">
        <v>1337</v>
      </c>
      <c r="B620" s="17" t="s">
        <v>1338</v>
      </c>
      <c r="C620" s="21" t="str">
        <f ca="1">IFERROR(__xludf.DUMMYFUNCTION("GOOGLETRANSLATE($B620,""en"",C$3)"),"Restart All")</f>
        <v>Restart All</v>
      </c>
      <c r="D620" s="21" t="str">
        <f ca="1">IFERROR(__xludf.DUMMYFUNCTION("GOOGLETRANSLATE($B620,""en"",D$3)"),"Starta om alla")</f>
        <v>Starta om alla</v>
      </c>
      <c r="E620" s="21" t="str">
        <f ca="1">IFERROR(__xludf.DUMMYFUNCTION("GOOGLETRANSLATE($B620,""en"",E$3)"),"Restart Todos")</f>
        <v>Restart Todos</v>
      </c>
      <c r="F620" s="21" t="str">
        <f ca="1">IFERROR(__xludf.DUMMYFUNCTION("GOOGLETRANSLATE($B620,""en"",F$3)"),"Restart Todos")</f>
        <v>Restart Todos</v>
      </c>
      <c r="G620" s="21" t="str">
        <f ca="1">IFERROR(__xludf.DUMMYFUNCTION("GOOGLETRANSLATE($B620,""en"",G$3)"),"Redémarrez tous")</f>
        <v>Redémarrez tous</v>
      </c>
      <c r="H620" s="21" t="str">
        <f ca="1">IFERROR(__xludf.DUMMYFUNCTION("GOOGLETRANSLATE($B620,""en"",H$3)"),"Restart guztiak")</f>
        <v>Restart guztiak</v>
      </c>
      <c r="I620" s="21" t="str">
        <f ca="1">IFERROR(__xludf.DUMMYFUNCTION("GOOGLETRANSLATE($B620,""en"",I$3)"),"tot reinici")</f>
        <v>tot reinici</v>
      </c>
      <c r="J620" s="21" t="str">
        <f ca="1">IFERROR(__xludf.DUMMYFUNCTION("GOOGLETRANSLATE($B620,""en"",J$3)"),"restart Vše")</f>
        <v>restart Vše</v>
      </c>
      <c r="K620" s="21" t="str">
        <f ca="1">IFERROR(__xludf.DUMMYFUNCTION("GOOGLETRANSLATE($B620,""en"",K$3)"),"重新启动所有")</f>
        <v>重新启动所有</v>
      </c>
      <c r="L620" s="21" t="str">
        <f ca="1">IFERROR(__xludf.DUMMYFUNCTION("GOOGLETRANSLATE($B620,""en"",L$3)"),"重新啟動所有")</f>
        <v>重新啟動所有</v>
      </c>
      <c r="M620" s="21" t="str">
        <f ca="1">IFERROR(__xludf.DUMMYFUNCTION("GOOGLETRANSLATE($B620,""en"",M$3)"),"Restart Alle")</f>
        <v>Restart Alle</v>
      </c>
      <c r="N620" s="21" t="str">
        <f ca="1">IFERROR(__xludf.DUMMYFUNCTION("GOOGLETRANSLATE($B620,""en"",N$3)"),"Επανεκκίνηση Όλα")</f>
        <v>Επανεκκίνηση Όλα</v>
      </c>
      <c r="O620" s="21" t="str">
        <f ca="1">IFERROR(__xludf.DUMMYFUNCTION("GOOGLETRANSLATE($B620,""en"",O$3)"),"uudelleenkäynnistys Kaikki")</f>
        <v>uudelleenkäynnistys Kaikki</v>
      </c>
      <c r="P620" s="21" t="str">
        <f ca="1">IFERROR(__xludf.DUMMYFUNCTION("GOOGLETRANSLATE($B620,""en"",P$3)"),"Atosaigh uile")</f>
        <v>Atosaigh uile</v>
      </c>
      <c r="Q620" s="21" t="str">
        <f ca="1">IFERROR(__xludf.DUMMYFUNCTION("GOOGLETRANSLATE($B620,""en"",Q$3)"),"راه اندازی مجدد تمام")</f>
        <v>راه اندازی مجدد تمام</v>
      </c>
      <c r="R620" s="21" t="str">
        <f ca="1">IFERROR(__xludf.DUMMYFUNCTION("GOOGLETRANSLATE($B620,""en"",R$3)"),"הפעל מחדש את כל")</f>
        <v>הפעל מחדש את כל</v>
      </c>
      <c r="S620" s="21" t="str">
        <f ca="1">IFERROR(__xludf.DUMMYFUNCTION("GOOGLETRANSLATE($B620,""en"",S$3)"),"endurræsa All")</f>
        <v>endurræsa All</v>
      </c>
      <c r="T620" s="21" t="str">
        <f ca="1">IFERROR(__xludf.DUMMYFUNCTION("GOOGLETRANSLATE($B620,""en"",T$3)"),"Restart Alle")</f>
        <v>Restart Alle</v>
      </c>
      <c r="U620" s="21" t="str">
        <f ca="1">IFERROR(__xludf.DUMMYFUNCTION("GOOGLETRANSLATE($B620,""en"",U$3)"),"إعادة تشغيل جميع")</f>
        <v>إعادة تشغيل جميع</v>
      </c>
      <c r="V620" s="21" t="str">
        <f ca="1">IFERROR(__xludf.DUMMYFUNCTION("GOOGLETRANSLATE($B620,""en"",V$3)"),"Wszystko restart")</f>
        <v>Wszystko restart</v>
      </c>
      <c r="W620" s="21" t="str">
        <f ca="1">IFERROR(__xludf.DUMMYFUNCTION("GOOGLETRANSLATE($B620,""en"",W$3)"),"Перезапуск Все")</f>
        <v>Перезапуск Все</v>
      </c>
      <c r="X620" s="21" t="str">
        <f ca="1">IFERROR(__xludf.DUMMYFUNCTION("GOOGLETRANSLATE($B620,""en"",X$3)"),"Todo reinicio")</f>
        <v>Todo reinicio</v>
      </c>
      <c r="Y620" s="21"/>
      <c r="Z620" s="21"/>
    </row>
    <row r="621" spans="1:26" ht="32.25" customHeight="1" x14ac:dyDescent="0.2">
      <c r="A621" s="17" t="s">
        <v>1339</v>
      </c>
      <c r="B621" s="17" t="s">
        <v>1340</v>
      </c>
      <c r="C621" s="21" t="str">
        <f ca="1">IFERROR(__xludf.DUMMYFUNCTION("GOOGLETRANSLATE($B621,""en"",C$3)"),"Restart-Intervall in Minuten")</f>
        <v>Restart-Intervall in Minuten</v>
      </c>
      <c r="D621" s="21" t="str">
        <f ca="1">IFERROR(__xludf.DUMMYFUNCTION("GOOGLETRANSLATE($B621,""en"",D$3)"),"Starta om Intervall i minuter")</f>
        <v>Starta om Intervall i minuter</v>
      </c>
      <c r="E621" s="21" t="str">
        <f ca="1">IFERROR(__xludf.DUMMYFUNCTION("GOOGLETRANSLATE($B621,""en"",E$3)"),"Restart Interval em Minutos")</f>
        <v>Restart Interval em Minutos</v>
      </c>
      <c r="F621" s="21" t="str">
        <f ca="1">IFERROR(__xludf.DUMMYFUNCTION("GOOGLETRANSLATE($B621,""en"",F$3)"),"Restart Interval em Minutos")</f>
        <v>Restart Interval em Minutos</v>
      </c>
      <c r="G621" s="21" t="str">
        <f ca="1">IFERROR(__xludf.DUMMYFUNCTION("GOOGLETRANSLATE($B621,""en"",G$3)"),"Redémarrer Intervalle en quelques minutes")</f>
        <v>Redémarrer Intervalle en quelques minutes</v>
      </c>
      <c r="H621" s="21" t="str">
        <f ca="1">IFERROR(__xludf.DUMMYFUNCTION("GOOGLETRANSLATE($B621,""en"",H$3)"),"Restart tartea minututan")</f>
        <v>Restart tartea minututan</v>
      </c>
      <c r="I621" s="21" t="str">
        <f ca="1">IFERROR(__xludf.DUMMYFUNCTION("GOOGLETRANSLATE($B621,""en"",I$3)"),"Reinici interval en minuts")</f>
        <v>Reinici interval en minuts</v>
      </c>
      <c r="J621" s="21" t="str">
        <f ca="1">IFERROR(__xludf.DUMMYFUNCTION("GOOGLETRANSLATE($B621,""en"",J$3)"),"Restart Interval v minutách")</f>
        <v>Restart Interval v minutách</v>
      </c>
      <c r="K621" s="21" t="str">
        <f ca="1">IFERROR(__xludf.DUMMYFUNCTION("GOOGLETRANSLATE($B621,""en"",K$3)"),"重新启动间隔时间（分钟）")</f>
        <v>重新启动间隔时间（分钟）</v>
      </c>
      <c r="L621" s="21" t="str">
        <f ca="1">IFERROR(__xludf.DUMMYFUNCTION("GOOGLETRANSLATE($B621,""en"",L$3)"),"重新啟動間隔時間（分鐘）")</f>
        <v>重新啟動間隔時間（分鐘）</v>
      </c>
      <c r="M621" s="21" t="str">
        <f ca="1">IFERROR(__xludf.DUMMYFUNCTION("GOOGLETRANSLATE($B621,""en"",M$3)"),"Restart Interval in minuten")</f>
        <v>Restart Interval in minuten</v>
      </c>
      <c r="N621" s="21" t="str">
        <f ca="1">IFERROR(__xludf.DUMMYFUNCTION("GOOGLETRANSLATE($B621,""en"",N$3)"),"Επανεκκίνηση Διάστημα σε λεπτά")</f>
        <v>Επανεκκίνηση Διάστημα σε λεπτά</v>
      </c>
      <c r="O621" s="21" t="str">
        <f ca="1">IFERROR(__xludf.DUMMYFUNCTION("GOOGLETRANSLATE($B621,""en"",O$3)"),"Uudelleenkäynnistys minuutteina")</f>
        <v>Uudelleenkäynnistys minuutteina</v>
      </c>
      <c r="P621" s="21" t="str">
        <f ca="1">IFERROR(__xludf.DUMMYFUNCTION("GOOGLETRANSLATE($B621,""en"",P$3)"),"Restart Eatramh i Miontuairiscí")</f>
        <v>Restart Eatramh i Miontuairiscí</v>
      </c>
      <c r="Q621" s="21" t="str">
        <f ca="1">IFERROR(__xludf.DUMMYFUNCTION("GOOGLETRANSLATE($B621,""en"",Q$3)"),"راه اندازی مجدد با فاصله در دقیقه")</f>
        <v>راه اندازی مجدد با فاصله در دقیقه</v>
      </c>
      <c r="R621" s="21" t="str">
        <f ca="1">IFERROR(__xludf.DUMMYFUNCTION("GOOGLETRANSLATE($B621,""en"",R$3)"),"הפעל מחדש מרווח בתוך דקות")</f>
        <v>הפעל מחדש מרווח בתוך דקות</v>
      </c>
      <c r="S621" s="21" t="str">
        <f ca="1">IFERROR(__xludf.DUMMYFUNCTION("GOOGLETRANSLATE($B621,""en"",S$3)"),"Restart Interval í Mínútur")</f>
        <v>Restart Interval í Mínútur</v>
      </c>
      <c r="T621" s="21" t="str">
        <f ca="1">IFERROR(__xludf.DUMMYFUNCTION("GOOGLETRANSLATE($B621,""en"",T$3)"),"Restart Intervall i minutter")</f>
        <v>Restart Intervall i minutter</v>
      </c>
      <c r="U621" s="21" t="str">
        <f ca="1">IFERROR(__xludf.DUMMYFUNCTION("GOOGLETRANSLATE($B621,""en"",U$3)"),"إعادة تشغيل الفاصل الزمني في دقائق")</f>
        <v>إعادة تشغيل الفاصل الزمني في دقائق</v>
      </c>
      <c r="V621" s="21" t="str">
        <f ca="1">IFERROR(__xludf.DUMMYFUNCTION("GOOGLETRANSLATE($B621,""en"",V$3)"),"Restart Interval w minutach")</f>
        <v>Restart Interval w minutach</v>
      </c>
      <c r="W621" s="21" t="str">
        <f ca="1">IFERROR(__xludf.DUMMYFUNCTION("GOOGLETRANSLATE($B621,""en"",W$3)"),"Перезапуск Интервал в минутах")</f>
        <v>Перезапуск Интервал в минутах</v>
      </c>
      <c r="X621" s="21" t="str">
        <f ca="1">IFERROR(__xludf.DUMMYFUNCTION("GOOGLETRANSLATE($B621,""en"",X$3)"),"Reinicio intervalo en minutos")</f>
        <v>Reinicio intervalo en minutos</v>
      </c>
      <c r="Y621" s="21"/>
      <c r="Z621" s="21"/>
    </row>
    <row r="622" spans="1:26" ht="32.25" customHeight="1" x14ac:dyDescent="0.2">
      <c r="A622" s="17" t="s">
        <v>1341</v>
      </c>
      <c r="B622" s="17" t="s">
        <v>1342</v>
      </c>
      <c r="C622" s="21" t="str">
        <f ca="1">IFERROR(__xludf.DUMMYFUNCTION("GOOGLETRANSLATE($B622,""en"",C$3)"),"Wenn eine Region abstürzt, wird die Region erneut gestartet")</f>
        <v>Wenn eine Region abstürzt, wird die Region erneut gestartet</v>
      </c>
      <c r="D622" s="21" t="str">
        <f ca="1">IFERROR(__xludf.DUMMYFUNCTION("GOOGLETRANSLATE($B622,""en"",D$3)"),"Om en region kraschar kommer regionen återstartas")</f>
        <v>Om en region kraschar kommer regionen återstartas</v>
      </c>
      <c r="E622" s="21" t="str">
        <f ca="1">IFERROR(__xludf.DUMMYFUNCTION("GOOGLETRANSLATE($B622,""en"",E$3)"),"Se uma região cai, a região será reiniciado")</f>
        <v>Se uma região cai, a região será reiniciado</v>
      </c>
      <c r="F622" s="21" t="str">
        <f ca="1">IFERROR(__xludf.DUMMYFUNCTION("GOOGLETRANSLATE($B622,""en"",F$3)"),"Se uma região cai, a região será reiniciado")</f>
        <v>Se uma região cai, a região será reiniciado</v>
      </c>
      <c r="G622" s="21" t="str">
        <f ca="1">IFERROR(__xludf.DUMMYFUNCTION("GOOGLETRANSLATE($B622,""en"",G$3)"),"Si une région tombe en panne, la région sera relancée")</f>
        <v>Si une région tombe en panne, la région sera relancée</v>
      </c>
      <c r="H622" s="21" t="str">
        <f ca="1">IFERROR(__xludf.DUMMYFUNCTION("GOOGLETRANSLATE($B622,""en"",H$3)"),"eskualde batean izorratzen bada, eskualdeko berrabiaraziko da")</f>
        <v>eskualde batean izorratzen bada, eskualdeko berrabiaraziko da</v>
      </c>
      <c r="I622" s="21" t="str">
        <f ca="1">IFERROR(__xludf.DUMMYFUNCTION("GOOGLETRANSLATE($B622,""en"",I$3)"),"Si una regió es bloqueja, es reiniciarà la regió")</f>
        <v>Si una regió es bloqueja, es reiniciarà la regió</v>
      </c>
      <c r="J622" s="21" t="str">
        <f ca="1">IFERROR(__xludf.DUMMYFUNCTION("GOOGLETRANSLATE($B622,""en"",J$3)"),"Je-li region zhroutí, bude region restartován")</f>
        <v>Je-li region zhroutí, bude region restartován</v>
      </c>
      <c r="K622" s="21" t="str">
        <f ca="1">IFERROR(__xludf.DUMMYFUNCTION("GOOGLETRANSLATE($B622,""en"",K$3)"),"如果一个区域崩溃，该区域将重新启动")</f>
        <v>如果一个区域崩溃，该区域将重新启动</v>
      </c>
      <c r="L622" s="21" t="str">
        <f ca="1">IFERROR(__xludf.DUMMYFUNCTION("GOOGLETRANSLATE($B622,""en"",L$3)"),"如果一個區域崩潰，該區域將重新啟動")</f>
        <v>如果一個區域崩潰，該區域將重新啟動</v>
      </c>
      <c r="M622" s="21" t="str">
        <f ca="1">IFERROR(__xludf.DUMMYFUNCTION("GOOGLETRANSLATE($B622,""en"",M$3)"),"Als een regio crasht, zal de regio worden hernieuwd")</f>
        <v>Als een regio crasht, zal de regio worden hernieuwd</v>
      </c>
      <c r="N622" s="21" t="str">
        <f ca="1">IFERROR(__xludf.DUMMYFUNCTION("GOOGLETRANSLATE($B622,""en"",N$3)"),"Εάν μια περιοχή διακόπτεται, η περιοχή θα γίνει επανεκκίνηση")</f>
        <v>Εάν μια περιοχή διακόπτεται, η περιοχή θα γίνει επανεκκίνηση</v>
      </c>
      <c r="O622" s="21" t="str">
        <f ca="1">IFERROR(__xludf.DUMMYFUNCTION("GOOGLETRANSLATE($B622,""en"",O$3)"),"Jos alue kaatuu, alue käynnistetään uudelleen")</f>
        <v>Jos alue kaatuu, alue käynnistetään uudelleen</v>
      </c>
      <c r="P622" s="21" t="str">
        <f ca="1">IFERROR(__xludf.DUMMYFUNCTION("GOOGLETRANSLATE($B622,""en"",P$3)"),"Má tuairteanna réigiún, beidh an réigiún a atosú")</f>
        <v>Má tuairteanna réigiún, beidh an réigiún a atosú</v>
      </c>
      <c r="Q622" s="21" t="str">
        <f ca="1">IFERROR(__xludf.DUMMYFUNCTION("GOOGLETRANSLATE($B622,""en"",Q$3)"),"اگر یک منطقه را قفل، منطقه را دوباره راه اندازی خواهد شد")</f>
        <v>اگر یک منطقه را قفل، منطقه را دوباره راه اندازی خواهد شد</v>
      </c>
      <c r="R622" s="21" t="str">
        <f ca="1">IFERROR(__xludf.DUMMYFUNCTION("GOOGLETRANSLATE($B622,""en"",R$3)"),"אם אזור מתרסק, באזור תופעל מחדש")</f>
        <v>אם אזור מתרסק, באזור תופעל מחדש</v>
      </c>
      <c r="S622" s="21" t="str">
        <f ca="1">IFERROR(__xludf.DUMMYFUNCTION("GOOGLETRANSLATE($B622,""en"",S$3)"),"Ef svæði hrun, á svæðinu verður endurræst")</f>
        <v>Ef svæði hrun, á svæðinu verður endurræst</v>
      </c>
      <c r="T622" s="21" t="str">
        <f ca="1">IFERROR(__xludf.DUMMYFUNCTION("GOOGLETRANSLATE($B622,""en"",T$3)"),"Hvis en region krasjer, vil regionen bli restartet")</f>
        <v>Hvis en region krasjer, vil regionen bli restartet</v>
      </c>
      <c r="U622" s="21" t="str">
        <f ca="1">IFERROR(__xludf.DUMMYFUNCTION("GOOGLETRANSLATE($B622,""en"",U$3)"),"في حالة تعطل المنطقة، سيتم إعادة تشغيل المنطقة")</f>
        <v>في حالة تعطل المنطقة، سيتم إعادة تشغيل المنطقة</v>
      </c>
      <c r="V622" s="21" t="str">
        <f ca="1">IFERROR(__xludf.DUMMYFUNCTION("GOOGLETRANSLATE($B622,""en"",V$3)"),"Jeśli region zawiesza region zostanie wznowiona")</f>
        <v>Jeśli region zawiesza region zostanie wznowiona</v>
      </c>
      <c r="W622" s="21" t="str">
        <f ca="1">IFERROR(__xludf.DUMMYFUNCTION("GOOGLETRANSLATE($B622,""en"",W$3)"),"Если регион падает, область будет перезапущена")</f>
        <v>Если регион падает, область будет перезапущена</v>
      </c>
      <c r="X622" s="21" t="str">
        <f ca="1">IFERROR(__xludf.DUMMYFUNCTION("GOOGLETRANSLATE($B622,""en"",X$3)"),"Si una región se bloquea, se reiniciará la región")</f>
        <v>Si una región se bloquea, se reiniciará la región</v>
      </c>
      <c r="Y622" s="21"/>
      <c r="Z622" s="21"/>
    </row>
    <row r="623" spans="1:26" ht="32.25" customHeight="1" x14ac:dyDescent="0.2">
      <c r="A623" s="17" t="s">
        <v>1343</v>
      </c>
      <c r="B623" s="17" t="s">
        <v>1344</v>
      </c>
      <c r="C623" s="21" t="str">
        <f ca="1">IFERROR(__xludf.DUMMYFUNCTION("GOOGLETRANSLATE($B623,""en"",C$3)"),"Restart auf Physik Absturz")</f>
        <v>Restart auf Physik Absturz</v>
      </c>
      <c r="D623" s="21" t="str">
        <f ca="1">IFERROR(__xludf.DUMMYFUNCTION("GOOGLETRANSLATE($B623,""en"",D$3)"),"Omstart på fysik Crash")</f>
        <v>Omstart på fysik Crash</v>
      </c>
      <c r="E623" s="21" t="str">
        <f ca="1">IFERROR(__xludf.DUMMYFUNCTION("GOOGLETRANSLATE($B623,""en"",E$3)"),"Restart em Física Bater")</f>
        <v>Restart em Física Bater</v>
      </c>
      <c r="F623" s="21" t="str">
        <f ca="1">IFERROR(__xludf.DUMMYFUNCTION("GOOGLETRANSLATE($B623,""en"",F$3)"),"Restart em Física Bater")</f>
        <v>Restart em Física Bater</v>
      </c>
      <c r="G623" s="21" t="str">
        <f ca="1">IFERROR(__xludf.DUMMYFUNCTION("GOOGLETRANSLATE($B623,""en"",G$3)"),"Redémarrer sur la physique crash")</f>
        <v>Redémarrer sur la physique crash</v>
      </c>
      <c r="H623" s="21" t="str">
        <f ca="1">IFERROR(__xludf.DUMMYFUNCTION("GOOGLETRANSLATE($B623,""en"",H$3)"),"Restart Fisika Crash on")</f>
        <v>Restart Fisika Crash on</v>
      </c>
      <c r="I623" s="21" t="str">
        <f ca="1">IFERROR(__xludf.DUMMYFUNCTION("GOOGLETRANSLATE($B623,""en"",I$3)"),"Reiniciar en bloqueig Física")</f>
        <v>Reiniciar en bloqueig Física</v>
      </c>
      <c r="J623" s="21" t="str">
        <f ca="1">IFERROR(__xludf.DUMMYFUNCTION("GOOGLETRANSLATE($B623,""en"",J$3)"),"Restart z fyziky Crash")</f>
        <v>Restart z fyziky Crash</v>
      </c>
      <c r="K623" s="21" t="str">
        <f ca="1">IFERROR(__xludf.DUMMYFUNCTION("GOOGLETRANSLATE($B623,""en"",K$3)"),"重新启动物理学崩溃")</f>
        <v>重新启动物理学崩溃</v>
      </c>
      <c r="L623" s="21" t="str">
        <f ca="1">IFERROR(__xludf.DUMMYFUNCTION("GOOGLETRANSLATE($B623,""en"",L$3)"),"重新啟動物理學崩潰")</f>
        <v>重新啟動物理學崩潰</v>
      </c>
      <c r="M623" s="21" t="str">
        <f ca="1">IFERROR(__xludf.DUMMYFUNCTION("GOOGLETRANSLATE($B623,""en"",M$3)"),"Restart op Physics Crash")</f>
        <v>Restart op Physics Crash</v>
      </c>
      <c r="N623" s="21" t="str">
        <f ca="1">IFERROR(__xludf.DUMMYFUNCTION("GOOGLETRANSLATE($B623,""en"",N$3)"),"Επανεκκίνηση στην Φυσική Crash")</f>
        <v>Επανεκκίνηση στην Φυσική Crash</v>
      </c>
      <c r="O623" s="21" t="str">
        <f ca="1">IFERROR(__xludf.DUMMYFUNCTION("GOOGLETRANSLATE($B623,""en"",O$3)"),"Uudelleenkäynnistys Physics Crash")</f>
        <v>Uudelleenkäynnistys Physics Crash</v>
      </c>
      <c r="P623" s="21" t="str">
        <f ca="1">IFERROR(__xludf.DUMMYFUNCTION("GOOGLETRANSLATE($B623,""en"",P$3)"),"Atosaigh ar Fisic Crash")</f>
        <v>Atosaigh ar Fisic Crash</v>
      </c>
      <c r="Q623" s="21" t="str">
        <f ca="1">IFERROR(__xludf.DUMMYFUNCTION("GOOGLETRANSLATE($B623,""en"",Q$3)"),"راه اندازی مجدد در فیزیک سقوط")</f>
        <v>راه اندازی مجدد در فیزیک سقوط</v>
      </c>
      <c r="R623" s="21" t="str">
        <f ca="1">IFERROR(__xludf.DUMMYFUNCTION("GOOGLETRANSLATE($B623,""en"",R$3)"),"מחדש על קראש פיזיקה")</f>
        <v>מחדש על קראש פיזיקה</v>
      </c>
      <c r="S623" s="21" t="str">
        <f ca="1">IFERROR(__xludf.DUMMYFUNCTION("GOOGLETRANSLATE($B623,""en"",S$3)"),"Restart á eðlisfræði Crash")</f>
        <v>Restart á eðlisfræði Crash</v>
      </c>
      <c r="T623" s="21" t="str">
        <f ca="1">IFERROR(__xludf.DUMMYFUNCTION("GOOGLETRANSLATE($B623,""en"",T$3)"),"Restart på fysikk Crash")</f>
        <v>Restart på fysikk Crash</v>
      </c>
      <c r="U623" s="21" t="str">
        <f ca="1">IFERROR(__xludf.DUMMYFUNCTION("GOOGLETRANSLATE($B623,""en"",U$3)"),"إعادة التشغيل الفيزياء تحطم")</f>
        <v>إعادة التشغيل الفيزياء تحطم</v>
      </c>
      <c r="V623" s="21" t="str">
        <f ca="1">IFERROR(__xludf.DUMMYFUNCTION("GOOGLETRANSLATE($B623,""en"",V$3)"),"Restart na Fizyki gniewu")</f>
        <v>Restart na Fizyki gniewu</v>
      </c>
      <c r="W623" s="21" t="str">
        <f ca="1">IFERROR(__xludf.DUMMYFUNCTION("GOOGLETRANSLATE($B623,""en"",W$3)"),"Перезагрузка по физике Крушения")</f>
        <v>Перезагрузка по физике Крушения</v>
      </c>
      <c r="X623" s="21" t="str">
        <f ca="1">IFERROR(__xludf.DUMMYFUNCTION("GOOGLETRANSLATE($B623,""en"",X$3)"),"Reiniciarse en bloqueo Física")</f>
        <v>Reiniciarse en bloqueo Física</v>
      </c>
      <c r="Y623" s="21"/>
      <c r="Z623" s="21"/>
    </row>
    <row r="624" spans="1:26" ht="32.25" customHeight="1" x14ac:dyDescent="0.2">
      <c r="A624" s="17" t="s">
        <v>1345</v>
      </c>
      <c r="B624" s="17" t="s">
        <v>1346</v>
      </c>
      <c r="C624" s="21" t="str">
        <f ca="1">IFERROR(__xludf.DUMMYFUNCTION("GOOGLETRANSLATE($B624,""en"",C$3)"),"Bulletsim Physik Crash einen Simulator Neustart erzwingen")</f>
        <v>Bulletsim Physik Crash einen Simulator Neustart erzwingen</v>
      </c>
      <c r="D624" s="21" t="str">
        <f ca="1">IFERROR(__xludf.DUMMYFUNCTION("GOOGLETRANSLATE($B624,""en"",D$3)"),"Bulletsim fysik kraschen kommer att tvinga en simulator omstart")</f>
        <v>Bulletsim fysik kraschen kommer att tvinga en simulator omstart</v>
      </c>
      <c r="E624" s="21" t="str">
        <f ca="1">IFERROR(__xludf.DUMMYFUNCTION("GOOGLETRANSLATE($B624,""en"",E$3)"),"acidente física Bulletsim irá forçar um reinício simulador")</f>
        <v>acidente física Bulletsim irá forçar um reinício simulador</v>
      </c>
      <c r="F624" s="21" t="str">
        <f ca="1">IFERROR(__xludf.DUMMYFUNCTION("GOOGLETRANSLATE($B624,""en"",F$3)"),"acidente física Bulletsim irá forçar um reinício simulador")</f>
        <v>acidente física Bulletsim irá forçar um reinício simulador</v>
      </c>
      <c r="G624" s="21" t="str">
        <f ca="1">IFERROR(__xludf.DUMMYFUNCTION("GOOGLETRANSLATE($B624,""en"",G$3)"),"accident de la physique Bulletsim forcera un redémarrage du simulateur")</f>
        <v>accident de la physique Bulletsim forcera un redémarrage du simulateur</v>
      </c>
      <c r="H624" s="21" t="str">
        <f ca="1">IFERROR(__xludf.DUMMYFUNCTION("GOOGLETRANSLATE($B624,""en"",H$3)"),"Bulletsim fisika hutsegite simulator berrabiaraztea bultzatuko du")</f>
        <v>Bulletsim fisika hutsegite simulator berrabiaraztea bultzatuko du</v>
      </c>
      <c r="I624" s="21" t="str">
        <f ca="1">IFERROR(__xludf.DUMMYFUNCTION("GOOGLETRANSLATE($B624,""en"",I$3)"),"accident de la física Bulletsim obligarà a reiniciar el simulador")</f>
        <v>accident de la física Bulletsim obligarà a reiniciar el simulador</v>
      </c>
      <c r="J624" s="21" t="str">
        <f ca="1">IFERROR(__xludf.DUMMYFUNCTION("GOOGLETRANSLATE($B624,""en"",J$3)"),"Bulletsim fyzika crash vynutí restart simulátoru")</f>
        <v>Bulletsim fyzika crash vynutí restart simulátoru</v>
      </c>
      <c r="K624" s="21" t="str">
        <f ca="1">IFERROR(__xludf.DUMMYFUNCTION("GOOGLETRANSLATE($B624,""en"",K$3)"),"Bulletsim物理碰撞将迫使模拟器重启")</f>
        <v>Bulletsim物理碰撞将迫使模拟器重启</v>
      </c>
      <c r="L624" s="21" t="str">
        <f ca="1">IFERROR(__xludf.DUMMYFUNCTION("GOOGLETRANSLATE($B624,""en"",L$3)"),"Bulletsim物理碰撞將迫使模擬器重啟")</f>
        <v>Bulletsim物理碰撞將迫使模擬器重啟</v>
      </c>
      <c r="M624" s="21" t="str">
        <f ca="1">IFERROR(__xludf.DUMMYFUNCTION("GOOGLETRANSLATE($B624,""en"",M$3)"),"Bulletsim fysica crash zal een simulator herstart te forceren")</f>
        <v>Bulletsim fysica crash zal een simulator herstart te forceren</v>
      </c>
      <c r="N624" s="21" t="str">
        <f ca="1">IFERROR(__xludf.DUMMYFUNCTION("GOOGLETRANSLATE($B624,""en"",N$3)"),"Bulletsim συντριβή της φυσικής θα αναγκάσει επανεκκίνηση προσομοιωτή")</f>
        <v>Bulletsim συντριβή της φυσικής θα αναγκάσει επανεκκίνηση προσομοιωτή</v>
      </c>
      <c r="O624" s="21" t="str">
        <f ca="1">IFERROR(__xludf.DUMMYFUNCTION("GOOGLETRANSLATE($B624,""en"",O$3)"),"Bulletsim fysiikka Crash pakottaa simulaattori uudelleenkäynnistyksen")</f>
        <v>Bulletsim fysiikka Crash pakottaa simulaattori uudelleenkäynnistyksen</v>
      </c>
      <c r="P624" s="21" t="str">
        <f ca="1">IFERROR(__xludf.DUMMYFUNCTION("GOOGLETRANSLATE($B624,""en"",P$3)"),"tuairteála fisice Bulletsim fórsa a atosú Insamhlóir")</f>
        <v>tuairteála fisice Bulletsim fórsa a atosú Insamhlóir</v>
      </c>
      <c r="Q624" s="21" t="str">
        <f ca="1">IFERROR(__xludf.DUMMYFUNCTION("GOOGLETRANSLATE($B624,""en"",Q$3)"),"سقوط فیزیک Bulletsim یک راه اندازی مجدد شبیه ساز مجبور")</f>
        <v>سقوط فیزیک Bulletsim یک راه اندازی مجدد شبیه ساز مجبور</v>
      </c>
      <c r="R624" s="21" t="str">
        <f ca="1">IFERROR(__xludf.DUMMYFUNCTION("GOOGLETRANSLATE($B624,""en"",R$3)"),"התרסקות פיזיקה Bulletsim יאלץ הפעלה מחדש סימולטור")</f>
        <v>התרסקות פיזיקה Bulletsim יאלץ הפעלה מחדש סימולטור</v>
      </c>
      <c r="S624" s="21" t="str">
        <f ca="1">IFERROR(__xludf.DUMMYFUNCTION("GOOGLETRANSLATE($B624,""en"",S$3)"),"Bulletsim eðlisfræði hrun þvinga fram hermir endurræsa")</f>
        <v>Bulletsim eðlisfræði hrun þvinga fram hermir endurræsa</v>
      </c>
      <c r="T624" s="21" t="str">
        <f ca="1">IFERROR(__xludf.DUMMYFUNCTION("GOOGLETRANSLATE($B624,""en"",T$3)"),"Bulletsim fysikk krasj vil tvinge en simulator omstart")</f>
        <v>Bulletsim fysikk krasj vil tvinge en simulator omstart</v>
      </c>
      <c r="U624" s="21" t="str">
        <f ca="1">IFERROR(__xludf.DUMMYFUNCTION("GOOGLETRANSLATE($B624,""en"",U$3)"),"تحطم الفيزياء Bulletsim سيجبر إعادة تشغيل جهاز محاكاة")</f>
        <v>تحطم الفيزياء Bulletsim سيجبر إعادة تشغيل جهاز محاكاة</v>
      </c>
      <c r="V624" s="21" t="str">
        <f ca="1">IFERROR(__xludf.DUMMYFUNCTION("GOOGLETRANSLATE($B624,""en"",V$3)"),"Bulletsim krach fizyka wymusi ponowne uruchomienie symulatora")</f>
        <v>Bulletsim krach fizyka wymusi ponowne uruchomienie symulatora</v>
      </c>
      <c r="W624" s="21" t="str">
        <f ca="1">IFERROR(__xludf.DUMMYFUNCTION("GOOGLETRANSLATE($B624,""en"",W$3)"),"Bulletsim аварии физика заставит рестарт имитатора")</f>
        <v>Bulletsim аварии физика заставит рестарт имитатора</v>
      </c>
      <c r="X624" s="21" t="str">
        <f ca="1">IFERROR(__xludf.DUMMYFUNCTION("GOOGLETRANSLATE($B624,""en"",X$3)"),"accidente de la física Bulletsim obligará a reiniciar el simulador")</f>
        <v>accidente de la física Bulletsim obligará a reiniciar el simulador</v>
      </c>
      <c r="Y624" s="21"/>
      <c r="Z624" s="21"/>
    </row>
    <row r="625" spans="1:26" ht="32.25" customHeight="1" x14ac:dyDescent="0.2">
      <c r="A625" s="17" t="s">
        <v>1347</v>
      </c>
      <c r="B625" s="17" t="s">
        <v>1348</v>
      </c>
      <c r="C625" s="18" t="s">
        <v>1349</v>
      </c>
      <c r="D625" s="12" t="str">
        <f ca="1">IFERROR(__xludf.DUMMYFUNCTION("GOOGLETRANSLATE($B624,""en"",D$3)"),"Bulletsim fysik kraschen kommer att tvinga en simulator omstart")</f>
        <v>Bulletsim fysik kraschen kommer att tvinga en simulator omstart</v>
      </c>
      <c r="E625" s="12" t="str">
        <f ca="1">IFERROR(__xludf.DUMMYFUNCTION("GOOGLETRANSLATE($B624,""en"",E$3)"),"acidente física Bulletsim irá forçar um reinício simulador")</f>
        <v>acidente física Bulletsim irá forçar um reinício simulador</v>
      </c>
      <c r="F625" s="12" t="str">
        <f ca="1">IFERROR(__xludf.DUMMYFUNCTION("GOOGLETRANSLATE($B624,""en"",F$3)"),"acidente física Bulletsim irá forçar um reinício simulador")</f>
        <v>acidente física Bulletsim irá forçar um reinício simulador</v>
      </c>
      <c r="G625" s="12" t="str">
        <f ca="1">IFERROR(__xludf.DUMMYFUNCTION("GOOGLETRANSLATE($B624,""en"",G$3)"),"accident de la physique Bulletsim forcera un redémarrage du simulateur")</f>
        <v>accident de la physique Bulletsim forcera un redémarrage du simulateur</v>
      </c>
      <c r="H625" s="12" t="str">
        <f ca="1">IFERROR(__xludf.DUMMYFUNCTION("GOOGLETRANSLATE($B624,""en"",H$3)"),"Bulletsim fisika hutsegite simulator berrabiaraztea bultzatuko du")</f>
        <v>Bulletsim fisika hutsegite simulator berrabiaraztea bultzatuko du</v>
      </c>
      <c r="I625" s="12" t="str">
        <f ca="1">IFERROR(__xludf.DUMMYFUNCTION("GOOGLETRANSLATE($B624,""en"",I$3)"),"accident de la física Bulletsim obligarà a reiniciar el simulador")</f>
        <v>accident de la física Bulletsim obligarà a reiniciar el simulador</v>
      </c>
      <c r="J625" s="12" t="str">
        <f ca="1">IFERROR(__xludf.DUMMYFUNCTION("GOOGLETRANSLATE($B624,""en"",J$3)"),"Bulletsim fyzika crash vynutí restart simulátoru")</f>
        <v>Bulletsim fyzika crash vynutí restart simulátoru</v>
      </c>
      <c r="K625" s="12" t="str">
        <f ca="1">IFERROR(__xludf.DUMMYFUNCTION("GOOGLETRANSLATE($B624,""en"",K$3)"),"Bulletsim物理碰撞将迫使模拟器重启")</f>
        <v>Bulletsim物理碰撞将迫使模拟器重启</v>
      </c>
      <c r="L625" s="12" t="str">
        <f ca="1">IFERROR(__xludf.DUMMYFUNCTION("GOOGLETRANSLATE($B624,""en"",L$3)"),"Bulletsim物理碰撞將迫使模擬器重啟")</f>
        <v>Bulletsim物理碰撞將迫使模擬器重啟</v>
      </c>
      <c r="M625" s="12" t="str">
        <f ca="1">IFERROR(__xludf.DUMMYFUNCTION("GOOGLETRANSLATE($B624,""en"",M$3)"),"Bulletsim fysica crash zal een simulator herstart te forceren")</f>
        <v>Bulletsim fysica crash zal een simulator herstart te forceren</v>
      </c>
      <c r="N625" s="12" t="str">
        <f ca="1">IFERROR(__xludf.DUMMYFUNCTION("GOOGLETRANSLATE($B624,""en"",N$3)"),"Bulletsim συντριβή της φυσικής θα αναγκάσει επανεκκίνηση προσομοιωτή")</f>
        <v>Bulletsim συντριβή της φυσικής θα αναγκάσει επανεκκίνηση προσομοιωτή</v>
      </c>
      <c r="O625" s="12" t="str">
        <f ca="1">IFERROR(__xludf.DUMMYFUNCTION("GOOGLETRANSLATE($B624,""en"",O$3)"),"Bulletsim fysiikka Crash pakottaa simulaattori uudelleenkäynnistyksen")</f>
        <v>Bulletsim fysiikka Crash pakottaa simulaattori uudelleenkäynnistyksen</v>
      </c>
      <c r="P625" s="12" t="str">
        <f ca="1">IFERROR(__xludf.DUMMYFUNCTION("GOOGLETRANSLATE($B624,""en"",P$3)"),"tuairteála fisice Bulletsim fórsa a atosú Insamhlóir")</f>
        <v>tuairteála fisice Bulletsim fórsa a atosú Insamhlóir</v>
      </c>
      <c r="Q625" s="12" t="str">
        <f ca="1">IFERROR(__xludf.DUMMYFUNCTION("GOOGLETRANSLATE($B624,""en"",Q$3)"),"سقوط فیزیک Bulletsim یک راه اندازی مجدد شبیه ساز مجبور")</f>
        <v>سقوط فیزیک Bulletsim یک راه اندازی مجدد شبیه ساز مجبور</v>
      </c>
      <c r="R625" s="12" t="str">
        <f ca="1">IFERROR(__xludf.DUMMYFUNCTION("GOOGLETRANSLATE($B624,""en"",R$3)"),"התרסקות פיזיקה Bulletsim יאלץ הפעלה מחדש סימולטור")</f>
        <v>התרסקות פיזיקה Bulletsim יאלץ הפעלה מחדש סימולטור</v>
      </c>
      <c r="S625" s="12" t="str">
        <f ca="1">IFERROR(__xludf.DUMMYFUNCTION("GOOGLETRANSLATE($B624,""en"",S$3)"),"Bulletsim eðlisfræði hrun þvinga fram hermir endurræsa")</f>
        <v>Bulletsim eðlisfræði hrun þvinga fram hermir endurræsa</v>
      </c>
      <c r="T625" s="12" t="str">
        <f ca="1">IFERROR(__xludf.DUMMYFUNCTION("GOOGLETRANSLATE($B624,""en"",T$3)"),"Bulletsim fysikk krasj vil tvinge en simulator omstart")</f>
        <v>Bulletsim fysikk krasj vil tvinge en simulator omstart</v>
      </c>
      <c r="U625" s="12" t="str">
        <f ca="1">IFERROR(__xludf.DUMMYFUNCTION("GOOGLETRANSLATE($B624,""en"",U$3)"),"تحطم الفيزياء Bulletsim سيجبر إعادة تشغيل جهاز محاكاة")</f>
        <v>تحطم الفيزياء Bulletsim سيجبر إعادة تشغيل جهاز محاكاة</v>
      </c>
      <c r="V625" s="12" t="str">
        <f ca="1">IFERROR(__xludf.DUMMYFUNCTION("GOOGLETRANSLATE($B624,""en"",V$3)"),"Bulletsim krach fizyka wymusi ponowne uruchomienie symulatora")</f>
        <v>Bulletsim krach fizyka wymusi ponowne uruchomienie symulatora</v>
      </c>
      <c r="W625" s="12" t="str">
        <f ca="1">IFERROR(__xludf.DUMMYFUNCTION("GOOGLETRANSLATE($B624,""en"",W$3)"),"Bulletsim аварии физика заставит рестарт имитатора")</f>
        <v>Bulletsim аварии физика заставит рестарт имитатора</v>
      </c>
      <c r="X625" s="12" t="str">
        <f ca="1">IFERROR(__xludf.DUMMYFUNCTION("GOOGLETRANSLATE($B624,""en"",X$3)"),"accidente de la física Bulletsim obligará a reiniciar el simulador")</f>
        <v>accidente de la física Bulletsim obligará a reiniciar el simulador</v>
      </c>
      <c r="Y625" s="12"/>
      <c r="Z625" s="12"/>
    </row>
    <row r="626" spans="1:26" ht="32.25" customHeight="1" x14ac:dyDescent="0.2">
      <c r="A626" s="17" t="s">
        <v>1350</v>
      </c>
      <c r="B626" s="17" t="s">
        <v>1351</v>
      </c>
      <c r="C626" s="21" t="str">
        <f ca="1">IFERROR(__xludf.DUMMYFUNCTION("GOOGLETRANSLATE($B626,""en"",C$3)"),"Neustart einer Region")</f>
        <v>Neustart einer Region</v>
      </c>
      <c r="D626" s="21" t="str">
        <f ca="1">IFERROR(__xludf.DUMMYFUNCTION("GOOGLETRANSLATE($B626,""en"",D$3)"),"Omstart en region")</f>
        <v>Omstart en region</v>
      </c>
      <c r="E626" s="21" t="str">
        <f ca="1">IFERROR(__xludf.DUMMYFUNCTION("GOOGLETRANSLATE($B626,""en"",E$3)"),"região um reinício")</f>
        <v>região um reinício</v>
      </c>
      <c r="F626" s="21" t="str">
        <f ca="1">IFERROR(__xludf.DUMMYFUNCTION("GOOGLETRANSLATE($B626,""en"",F$3)"),"região um reinício")</f>
        <v>região um reinício</v>
      </c>
      <c r="G626" s="21" t="str">
        <f ca="1">IFERROR(__xludf.DUMMYFUNCTION("GOOGLETRANSLATE($B626,""en"",G$3)"),"Recommencer une région")</f>
        <v>Recommencer une région</v>
      </c>
      <c r="H626" s="21" t="str">
        <f ca="1">IFERROR(__xludf.DUMMYFUNCTION("GOOGLETRANSLATE($B626,""en"",H$3)"),"Restart bat eskualdean")</f>
        <v>Restart bat eskualdean</v>
      </c>
      <c r="I626" s="21" t="str">
        <f ca="1">IFERROR(__xludf.DUMMYFUNCTION("GOOGLETRANSLATE($B626,""en"",I$3)"),"regió en un reinici")</f>
        <v>regió en un reinici</v>
      </c>
      <c r="J626" s="21" t="str">
        <f ca="1">IFERROR(__xludf.DUMMYFUNCTION("GOOGLETRANSLATE($B626,""en"",J$3)"),"Restart jeden region")</f>
        <v>Restart jeden region</v>
      </c>
      <c r="K626" s="21" t="str">
        <f ca="1">IFERROR(__xludf.DUMMYFUNCTION("GOOGLETRANSLATE($B626,""en"",K$3)"),"重新启动一个区域")</f>
        <v>重新启动一个区域</v>
      </c>
      <c r="L626" s="21" t="str">
        <f ca="1">IFERROR(__xludf.DUMMYFUNCTION("GOOGLETRANSLATE($B626,""en"",L$3)"),"重新啟動一個區域")</f>
        <v>重新啟動一個區域</v>
      </c>
      <c r="M626" s="21" t="str">
        <f ca="1">IFERROR(__xludf.DUMMYFUNCTION("GOOGLETRANSLATE($B626,""en"",M$3)"),"Restart één regio")</f>
        <v>Restart één regio</v>
      </c>
      <c r="N626" s="21" t="str">
        <f ca="1">IFERROR(__xludf.DUMMYFUNCTION("GOOGLETRANSLATE($B626,""en"",N$3)"),"μια περιοχή Επανεκκίνηση")</f>
        <v>μια περιοχή Επανεκκίνηση</v>
      </c>
      <c r="O626" s="21" t="str">
        <f ca="1">IFERROR(__xludf.DUMMYFUNCTION("GOOGLETRANSLATE($B626,""en"",O$3)"),"Uudelleenkäynnistyksen yksi alue")</f>
        <v>Uudelleenkäynnistyksen yksi alue</v>
      </c>
      <c r="P626" s="21" t="str">
        <f ca="1">IFERROR(__xludf.DUMMYFUNCTION("GOOGLETRANSLATE($B626,""en"",P$3)"),"réigiún amháin Atosaigh")</f>
        <v>réigiún amháin Atosaigh</v>
      </c>
      <c r="Q626" s="21" t="str">
        <f ca="1">IFERROR(__xludf.DUMMYFUNCTION("GOOGLETRANSLATE($B626,""en"",Q$3)"),"منطقه یکی راه اندازی مجدد")</f>
        <v>منطقه یکی راه اندازی مجدد</v>
      </c>
      <c r="R626" s="21" t="str">
        <f ca="1">IFERROR(__xludf.DUMMYFUNCTION("GOOGLETRANSLATE($B626,""en"",R$3)"),"אזור אחד Restart")</f>
        <v>אזור אחד Restart</v>
      </c>
      <c r="S626" s="21" t="str">
        <f ca="1">IFERROR(__xludf.DUMMYFUNCTION("GOOGLETRANSLATE($B626,""en"",S$3)"),"Endurræsa eitt svæði")</f>
        <v>Endurræsa eitt svæði</v>
      </c>
      <c r="T626" s="21" t="str">
        <f ca="1">IFERROR(__xludf.DUMMYFUNCTION("GOOGLETRANSLATE($B626,""en"",T$3)"),"Restart en region")</f>
        <v>Restart en region</v>
      </c>
      <c r="U626" s="21" t="str">
        <f ca="1">IFERROR(__xludf.DUMMYFUNCTION("GOOGLETRANSLATE($B626,""en"",U$3)"),"منطقة واحدة إعادة تشغيل")</f>
        <v>منطقة واحدة إعادة تشغيل</v>
      </c>
      <c r="V626" s="21" t="str">
        <f ca="1">IFERROR(__xludf.DUMMYFUNCTION("GOOGLETRANSLATE($B626,""en"",V$3)"),"Restart jeden region")</f>
        <v>Restart jeden region</v>
      </c>
      <c r="W626" s="21" t="str">
        <f ca="1">IFERROR(__xludf.DUMMYFUNCTION("GOOGLETRANSLATE($B626,""en"",W$3)"),"Перезапуск один регион")</f>
        <v>Перезапуск один регион</v>
      </c>
      <c r="X626" s="21" t="str">
        <f ca="1">IFERROR(__xludf.DUMMYFUNCTION("GOOGLETRANSLATE($B626,""en"",X$3)"),"región en uno de reinicio")</f>
        <v>región en uno de reinicio</v>
      </c>
      <c r="Y626" s="21"/>
      <c r="Z626" s="21"/>
    </row>
    <row r="627" spans="1:26" ht="32.25" customHeight="1" x14ac:dyDescent="0.2">
      <c r="A627" s="17" t="s">
        <v>1352</v>
      </c>
      <c r="B627" s="17" t="s">
        <v>1353</v>
      </c>
      <c r="C627" s="21" t="str">
        <f ca="1">IFERROR(__xludf.DUMMYFUNCTION("GOOGLETRANSLATE($B627,""en"",C$3)"),"Restart Pending")</f>
        <v>Restart Pending</v>
      </c>
      <c r="D627" s="21" t="str">
        <f ca="1">IFERROR(__xludf.DUMMYFUNCTION("GOOGLETRANSLATE($B627,""en"",D$3)"),"Starta om Väntar")</f>
        <v>Starta om Väntar</v>
      </c>
      <c r="E627" s="21" t="str">
        <f ca="1">IFERROR(__xludf.DUMMYFUNCTION("GOOGLETRANSLATE($B627,""en"",E$3)"),"Restart Pendente")</f>
        <v>Restart Pendente</v>
      </c>
      <c r="F627" s="21" t="str">
        <f ca="1">IFERROR(__xludf.DUMMYFUNCTION("GOOGLETRANSLATE($B627,""en"",F$3)"),"Restart Pendente")</f>
        <v>Restart Pendente</v>
      </c>
      <c r="G627" s="21" t="str">
        <f ca="1">IFERROR(__xludf.DUMMYFUNCTION("GOOGLETRANSLATE($B627,""en"",G$3)"),"En attente de redémarrage")</f>
        <v>En attente de redémarrage</v>
      </c>
      <c r="H627" s="21" t="str">
        <f ca="1">IFERROR(__xludf.DUMMYFUNCTION("GOOGLETRANSLATE($B627,""en"",H$3)"),"Restart Zain")</f>
        <v>Restart Zain</v>
      </c>
      <c r="I627" s="21" t="str">
        <f ca="1">IFERROR(__xludf.DUMMYFUNCTION("GOOGLETRANSLATE($B627,""en"",I$3)"),"reinici pendent")</f>
        <v>reinici pendent</v>
      </c>
      <c r="J627" s="21" t="str">
        <f ca="1">IFERROR(__xludf.DUMMYFUNCTION("GOOGLETRANSLATE($B627,""en"",J$3)"),"restart Pending")</f>
        <v>restart Pending</v>
      </c>
      <c r="K627" s="21" t="str">
        <f ca="1">IFERROR(__xludf.DUMMYFUNCTION("GOOGLETRANSLATE($B627,""en"",K$3)"),"即将重启")</f>
        <v>即将重启</v>
      </c>
      <c r="L627" s="21" t="str">
        <f ca="1">IFERROR(__xludf.DUMMYFUNCTION("GOOGLETRANSLATE($B627,""en"",L$3)"),"即將重啟")</f>
        <v>即將重啟</v>
      </c>
      <c r="M627" s="21" t="str">
        <f ca="1">IFERROR(__xludf.DUMMYFUNCTION("GOOGLETRANSLATE($B627,""en"",M$3)"),"Restart In afwachting")</f>
        <v>Restart In afwachting</v>
      </c>
      <c r="N627" s="21" t="str">
        <f ca="1">IFERROR(__xludf.DUMMYFUNCTION("GOOGLETRANSLATE($B627,""en"",N$3)"),"Επανεκκίνηση σε εκκρεμότητα")</f>
        <v>Επανεκκίνηση σε εκκρεμότητα</v>
      </c>
      <c r="O627" s="21" t="str">
        <f ca="1">IFERROR(__xludf.DUMMYFUNCTION("GOOGLETRANSLATE($B627,""en"",O$3)"),"uudelleenkäynnistys odottaa")</f>
        <v>uudelleenkäynnistys odottaa</v>
      </c>
      <c r="P627" s="21" t="str">
        <f ca="1">IFERROR(__xludf.DUMMYFUNCTION("GOOGLETRANSLATE($B627,""en"",P$3)"),"Atosaigh feitheamh")</f>
        <v>Atosaigh feitheamh</v>
      </c>
      <c r="Q627" s="21" t="str">
        <f ca="1">IFERROR(__xludf.DUMMYFUNCTION("GOOGLETRANSLATE($B627,""en"",Q$3)"),"راه اندازی مجدد در انتظار")</f>
        <v>راه اندازی مجدد در انتظار</v>
      </c>
      <c r="R627" s="21" t="str">
        <f ca="1">IFERROR(__xludf.DUMMYFUNCTION("GOOGLETRANSLATE($B627,""en"",R$3)"),"הפעל מחדש בהמתנה")</f>
        <v>הפעל מחדש בהמתנה</v>
      </c>
      <c r="S627" s="21" t="str">
        <f ca="1">IFERROR(__xludf.DUMMYFUNCTION("GOOGLETRANSLATE($B627,""en"",S$3)"),"endurræsa í bið")</f>
        <v>endurræsa í bið</v>
      </c>
      <c r="T627" s="21" t="str">
        <f ca="1">IFERROR(__xludf.DUMMYFUNCTION("GOOGLETRANSLATE($B627,""en"",T$3)"),"Restart Pending")</f>
        <v>Restart Pending</v>
      </c>
      <c r="U627" s="21" t="str">
        <f ca="1">IFERROR(__xludf.DUMMYFUNCTION("GOOGLETRANSLATE($B627,""en"",U$3)"),"إعادة قيد الانتظار")</f>
        <v>إعادة قيد الانتظار</v>
      </c>
      <c r="V627" s="21" t="str">
        <f ca="1">IFERROR(__xludf.DUMMYFUNCTION("GOOGLETRANSLATE($B627,""en"",V$3)"),"restart Oczekuje")</f>
        <v>restart Oczekuje</v>
      </c>
      <c r="W627" s="21" t="str">
        <f ca="1">IFERROR(__xludf.DUMMYFUNCTION("GOOGLETRANSLATE($B627,""en"",W$3)"),"Перезапуск В ожидании")</f>
        <v>Перезапуск В ожидании</v>
      </c>
      <c r="X627" s="21" t="str">
        <f ca="1">IFERROR(__xludf.DUMMYFUNCTION("GOOGLETRANSLATE($B627,""en"",X$3)"),"reinicio pendiente")</f>
        <v>reinicio pendiente</v>
      </c>
      <c r="Y627" s="21"/>
      <c r="Z627" s="21"/>
    </row>
    <row r="628" spans="1:26" ht="32.25" customHeight="1" x14ac:dyDescent="0.2">
      <c r="A628" s="17" t="s">
        <v>1354</v>
      </c>
      <c r="B628" s="17" t="s">
        <v>1355</v>
      </c>
      <c r="C628" s="21" t="str">
        <f ca="1">IFERROR(__xludf.DUMMYFUNCTION("GOOGLETRANSLATE($B628,""en"",C$3)"),"Die Regionen werden alle Auto-Restart nach so vielen Minuten laufen")</f>
        <v>Die Regionen werden alle Auto-Restart nach so vielen Minuten laufen</v>
      </c>
      <c r="D628" s="21" t="str">
        <f ca="1">IFERROR(__xludf.DUMMYFUNCTION("GOOGLETRANSLATE($B628,""en"",D$3)"),"Regionerna kommer all automatisk omstart efter så många minuter som körs")</f>
        <v>Regionerna kommer all automatisk omstart efter så många minuter som körs</v>
      </c>
      <c r="E628" s="21" t="str">
        <f ca="1">IFERROR(__xludf.DUMMYFUNCTION("GOOGLETRANSLATE($B628,""en"",E$3)"),"As regiões serão todos reinício automático após tantos minutos em execução")</f>
        <v>As regiões serão todos reinício automático após tantos minutos em execução</v>
      </c>
      <c r="F628" s="21" t="str">
        <f ca="1">IFERROR(__xludf.DUMMYFUNCTION("GOOGLETRANSLATE($B628,""en"",F$3)"),"As regiões serão todos reinício automático após tantos minutos em execução")</f>
        <v>As regiões serão todos reinício automático após tantos minutos em execução</v>
      </c>
      <c r="G628" s="21" t="str">
        <f ca="1">IFERROR(__xludf.DUMMYFUNCTION("GOOGLETRANSLATE($B628,""en"",G$3)"),"Les régions seront tous redémarrage automatique après tant de minutes en cours d'exécution")</f>
        <v>Les régions seront tous redémarrage automatique après tant de minutes en cours d'exécution</v>
      </c>
      <c r="H628" s="21" t="str">
        <f ca="1">IFERROR(__xludf.DUMMYFUNCTION("GOOGLETRANSLATE($B628,""en"",H$3)"),"eskualdeek izango auto berrabiarazi guztiak minutu hainbeste ondoren exekutatzen")</f>
        <v>eskualdeek izango auto berrabiarazi guztiak minutu hainbeste ondoren exekutatzen</v>
      </c>
      <c r="I628" s="21" t="str">
        <f ca="1">IFERROR(__xludf.DUMMYFUNCTION("GOOGLETRANSLATE($B628,""en"",I$3)"),"Les regions seran tots reinici automàtic després de tants minuts corrent")</f>
        <v>Les regions seran tots reinici automàtic després de tants minuts corrent</v>
      </c>
      <c r="J628" s="21" t="str">
        <f ca="1">IFERROR(__xludf.DUMMYFUNCTION("GOOGLETRANSLATE($B628,""en"",J$3)"),"Tyto regiony budou všechny auto restart po tolika minutách běhu")</f>
        <v>Tyto regiony budou všechny auto restart po tolika minutách běhu</v>
      </c>
      <c r="K628" s="21" t="str">
        <f ca="1">IFERROR(__xludf.DUMMYFUNCTION("GOOGLETRANSLATE($B628,""en"",K$3)"),"该地区将如此多分钟后，所有自动重新启动运行")</f>
        <v>该地区将如此多分钟后，所有自动重新启动运行</v>
      </c>
      <c r="L628" s="21" t="str">
        <f ca="1">IFERROR(__xludf.DUMMYFUNCTION("GOOGLETRANSLATE($B628,""en"",L$3)"),"該地區將如此多分鐘後，所有自動重新啟動運行")</f>
        <v>該地區將如此多分鐘後，所有自動重新啟動運行</v>
      </c>
      <c r="M628" s="21" t="str">
        <f ca="1">IFERROR(__xludf.DUMMYFUNCTION("GOOGLETRANSLATE($B628,""en"",M$3)"),"De regio's zullen alle automatische herstart na zoveel minuten hardlopen")</f>
        <v>De regio's zullen alle automatische herstart na zoveel minuten hardlopen</v>
      </c>
      <c r="N628" s="21" t="str">
        <f ca="1">IFERROR(__xludf.DUMMYFUNCTION("GOOGLETRANSLATE($B628,""en"",N$3)"),"Οι περιοχές που θα είναι όλα αυτόματης επανεκκίνησης μετά από τόσα λεπτά τρέξιμο")</f>
        <v>Οι περιοχές που θα είναι όλα αυτόματης επανεκκίνησης μετά από τόσα λεπτά τρέξιμο</v>
      </c>
      <c r="O628" s="21" t="str">
        <f ca="1">IFERROR(__xludf.DUMMYFUNCTION("GOOGLETRANSLATE($B628,""en"",O$3)"),"Alueet kaikki automaattisen uudelleenkäynnistyksen jälkeen niin monta minuuttia käynnissä")</f>
        <v>Alueet kaikki automaattisen uudelleenkäynnistyksen jälkeen niin monta minuuttia käynnissä</v>
      </c>
      <c r="P628" s="21" t="str">
        <f ca="1">IFERROR(__xludf.DUMMYFUNCTION("GOOGLETRANSLATE($B628,""en"",P$3)"),"Beidh na réigiúin ar atosú uathoibríoch tar éis an oiread sin nóiméad ag rith")</f>
        <v>Beidh na réigiúin ar atosú uathoibríoch tar éis an oiread sin nóiméad ag rith</v>
      </c>
      <c r="Q628" s="21" t="str">
        <f ca="1">IFERROR(__xludf.DUMMYFUNCTION("GOOGLETRANSLATE($B628,""en"",Q$3)"),"مناطق خواهد همه راه اندازی مجدد خودکار بسیاری از دقیقه پس از در حال اجرا")</f>
        <v>مناطق خواهد همه راه اندازی مجدد خودکار بسیاری از دقیقه پس از در حال اجرا</v>
      </c>
      <c r="R628" s="21" t="str">
        <f ca="1">IFERROR(__xludf.DUMMYFUNCTION("GOOGLETRANSLATE($B628,""en"",R$3)"),"האזורים כל יופעל מחדש אוטומטית אחרי דקות רבות כל כך פועל")</f>
        <v>האזורים כל יופעל מחדש אוטומטית אחרי דקות רבות כל כך פועל</v>
      </c>
      <c r="S628" s="21" t="str">
        <f ca="1">IFERROR(__xludf.DUMMYFUNCTION("GOOGLETRANSLATE($B628,""en"",S$3)"),"Bæir munu allir sjálfvirkt endurræsa eftir svo margar mínútur að keyra")</f>
        <v>Bæir munu allir sjálfvirkt endurræsa eftir svo margar mínútur að keyra</v>
      </c>
      <c r="T628" s="21" t="str">
        <f ca="1">IFERROR(__xludf.DUMMYFUNCTION("GOOGLETRANSLATE($B628,""en"",T$3)"),"Regionene vil alle automatisk omstart etter så mange minutter å kjøre")</f>
        <v>Regionene vil alle automatisk omstart etter så mange minutter å kjøre</v>
      </c>
      <c r="U628" s="21" t="str">
        <f ca="1">IFERROR(__xludf.DUMMYFUNCTION("GOOGLETRANSLATE($B628,""en"",U$3)"),"المناطق وجميع السيارات استئناف بعد الكثير من دقائق تشغيل")</f>
        <v>المناطق وجميع السيارات استئناف بعد الكثير من دقائق تشغيل</v>
      </c>
      <c r="V628" s="21" t="str">
        <f ca="1">IFERROR(__xludf.DUMMYFUNCTION("GOOGLETRANSLATE($B628,""en"",V$3)"),"Regiony będą wszyscy auto restart po tylu minutach działa")</f>
        <v>Regiony będą wszyscy auto restart po tylu minutach działa</v>
      </c>
      <c r="W628" s="21" t="str">
        <f ca="1">IFERROR(__xludf.DUMMYFUNCTION("GOOGLETRANSLATE($B628,""en"",W$3)"),"В регионах все будет автоматический перезапуск после стольких минут работы")</f>
        <v>В регионах все будет автоматический перезапуск после стольких минут работы</v>
      </c>
      <c r="X628" s="21" t="str">
        <f ca="1">IFERROR(__xludf.DUMMYFUNCTION("GOOGLETRANSLATE($B628,""en"",X$3)"),"Las regiones serán todos reinicio automático después de tantos minutos corriendo")</f>
        <v>Las regiones serán todos reinicio automático después de tantos minutos corriendo</v>
      </c>
      <c r="Y628" s="21"/>
      <c r="Z628" s="21"/>
    </row>
    <row r="629" spans="1:26" ht="32.25" customHeight="1" x14ac:dyDescent="0.2">
      <c r="A629" s="17" t="s">
        <v>1356</v>
      </c>
      <c r="B629" s="17" t="s">
        <v>1357</v>
      </c>
      <c r="C629" s="21" t="str">
        <f ca="1">IFERROR(__xludf.DUMMYFUNCTION("GOOGLETRANSLATE($B629,""en"",C$3)"),"Neu starten regelmäßig")</f>
        <v>Neu starten regelmäßig</v>
      </c>
      <c r="D629" s="21" t="str">
        <f ca="1">IFERROR(__xludf.DUMMYFUNCTION("GOOGLETRANSLATE($B629,""en"",D$3)"),"omstart period")</f>
        <v>omstart period</v>
      </c>
      <c r="E629" s="21" t="str">
        <f ca="1">IFERROR(__xludf.DUMMYFUNCTION("GOOGLETRANSLATE($B629,""en"",E$3)"),"Reiniciar periodicamente")</f>
        <v>Reiniciar periodicamente</v>
      </c>
      <c r="F629" s="21" t="str">
        <f ca="1">IFERROR(__xludf.DUMMYFUNCTION("GOOGLETRANSLATE($B629,""en"",F$3)"),"Reiniciar periodicamente")</f>
        <v>Reiniciar periodicamente</v>
      </c>
      <c r="G629" s="21" t="str">
        <f ca="1">IFERROR(__xludf.DUMMYFUNCTION("GOOGLETRANSLATE($B629,""en"",G$3)"),"Redémarrez périodiquement")</f>
        <v>Redémarrez périodiquement</v>
      </c>
      <c r="H629" s="21" t="str">
        <f ca="1">IFERROR(__xludf.DUMMYFUNCTION("GOOGLETRANSLATE($B629,""en"",H$3)"),"Restart aldiro")</f>
        <v>Restart aldiro</v>
      </c>
      <c r="I629" s="21" t="str">
        <f ca="1">IFERROR(__xludf.DUMMYFUNCTION("GOOGLETRANSLATE($B629,""en"",I$3)"),"reinici periòdicament")</f>
        <v>reinici periòdicament</v>
      </c>
      <c r="J629" s="21" t="str">
        <f ca="1">IFERROR(__xludf.DUMMYFUNCTION("GOOGLETRANSLATE($B629,""en"",J$3)"),"restart periodicky")</f>
        <v>restart periodicky</v>
      </c>
      <c r="K629" s="21" t="str">
        <f ca="1">IFERROR(__xludf.DUMMYFUNCTION("GOOGLETRANSLATE($B629,""en"",K$3)"),"定期重新启动")</f>
        <v>定期重新启动</v>
      </c>
      <c r="L629" s="21" t="str">
        <f ca="1">IFERROR(__xludf.DUMMYFUNCTION("GOOGLETRANSLATE($B629,""en"",L$3)"),"定期重新啟動")</f>
        <v>定期重新啟動</v>
      </c>
      <c r="M629" s="21" t="str">
        <f ca="1">IFERROR(__xludf.DUMMYFUNCTION("GOOGLETRANSLATE($B629,""en"",M$3)"),"Restart periodiek")</f>
        <v>Restart periodiek</v>
      </c>
      <c r="N629" s="21" t="str">
        <f ca="1">IFERROR(__xludf.DUMMYFUNCTION("GOOGLETRANSLATE($B629,""en"",N$3)"),"Επανεκκίνηση περιοδικά")</f>
        <v>Επανεκκίνηση περιοδικά</v>
      </c>
      <c r="O629" s="21" t="str">
        <f ca="1">IFERROR(__xludf.DUMMYFUNCTION("GOOGLETRANSLATE($B629,""en"",O$3)"),"uudelleenkäynnistys määräajoin")</f>
        <v>uudelleenkäynnistys määräajoin</v>
      </c>
      <c r="P629" s="21" t="str">
        <f ca="1">IFERROR(__xludf.DUMMYFUNCTION("GOOGLETRANSLATE($B629,""en"",P$3)"),"Atosaigh tréimhsiúil")</f>
        <v>Atosaigh tréimhsiúil</v>
      </c>
      <c r="Q629" s="21" t="str">
        <f ca="1">IFERROR(__xludf.DUMMYFUNCTION("GOOGLETRANSLATE($B629,""en"",Q$3)"),"راه اندازی مجدد دوره")</f>
        <v>راه اندازی مجدد دوره</v>
      </c>
      <c r="R629" s="21" t="str">
        <f ca="1">IFERROR(__xludf.DUMMYFUNCTION("GOOGLETRANSLATE($B629,""en"",R$3)"),"הפעל מחדש באופן תקופתי")</f>
        <v>הפעל מחדש באופן תקופתי</v>
      </c>
      <c r="S629" s="21" t="str">
        <f ca="1">IFERROR(__xludf.DUMMYFUNCTION("GOOGLETRANSLATE($B629,""en"",S$3)"),"endurræsa reglulega")</f>
        <v>endurræsa reglulega</v>
      </c>
      <c r="T629" s="21" t="str">
        <f ca="1">IFERROR(__xludf.DUMMYFUNCTION("GOOGLETRANSLATE($B629,""en"",T$3)"),"Restart med jevne mellomrom")</f>
        <v>Restart med jevne mellomrom</v>
      </c>
      <c r="U629" s="21" t="str">
        <f ca="1">IFERROR(__xludf.DUMMYFUNCTION("GOOGLETRANSLATE($B629,""en"",U$3)"),"استئناف دوري")</f>
        <v>استئناف دوري</v>
      </c>
      <c r="V629" s="21" t="str">
        <f ca="1">IFERROR(__xludf.DUMMYFUNCTION("GOOGLETRANSLATE($B629,""en"",V$3)"),"restart okresowo")</f>
        <v>restart okresowo</v>
      </c>
      <c r="W629" s="21" t="str">
        <f ca="1">IFERROR(__xludf.DUMMYFUNCTION("GOOGLETRANSLATE($B629,""en"",W$3)"),"Перезапуск периодически")</f>
        <v>Перезапуск периодически</v>
      </c>
      <c r="X629" s="21" t="str">
        <f ca="1">IFERROR(__xludf.DUMMYFUNCTION("GOOGLETRANSLATE($B629,""en"",X$3)"),"reinicio periódicamente")</f>
        <v>reinicio periódicamente</v>
      </c>
      <c r="Y629" s="21"/>
      <c r="Z629" s="21"/>
    </row>
    <row r="630" spans="1:26" ht="32.25" customHeight="1" x14ac:dyDescent="0.2">
      <c r="A630" s="17" t="s">
        <v>1358</v>
      </c>
      <c r="B630" s="17" t="s">
        <v>1359</v>
      </c>
      <c r="C630" s="21" t="str">
        <f ca="1">IFERROR(__xludf.DUMMYFUNCTION("GOOGLETRANSLATE($B630,""en"",C$3)"),"Restart Queued")</f>
        <v>Restart Queued</v>
      </c>
      <c r="D630" s="21" t="str">
        <f ca="1">IFERROR(__xludf.DUMMYFUNCTION("GOOGLETRANSLATE($B630,""en"",D$3)"),"Starta om kö")</f>
        <v>Starta om kö</v>
      </c>
      <c r="E630" s="21" t="str">
        <f ca="1">IFERROR(__xludf.DUMMYFUNCTION("GOOGLETRANSLATE($B630,""en"",E$3)"),"Restart fila de espera")</f>
        <v>Restart fila de espera</v>
      </c>
      <c r="F630" s="21" t="str">
        <f ca="1">IFERROR(__xludf.DUMMYFUNCTION("GOOGLETRANSLATE($B630,""en"",F$3)"),"Restart fila de espera")</f>
        <v>Restart fila de espera</v>
      </c>
      <c r="G630" s="21" t="str">
        <f ca="1">IFERROR(__xludf.DUMMYFUNCTION("GOOGLETRANSLATE($B630,""en"",G$3)"),"Redémarrer Queued")</f>
        <v>Redémarrer Queued</v>
      </c>
      <c r="H630" s="21" t="str">
        <f ca="1">IFERROR(__xludf.DUMMYFUNCTION("GOOGLETRANSLATE($B630,""en"",H$3)"),"Restart Ilaran")</f>
        <v>Restart Ilaran</v>
      </c>
      <c r="I630" s="21" t="str">
        <f ca="1">IFERROR(__xludf.DUMMYFUNCTION("GOOGLETRANSLATE($B630,""en"",I$3)"),"En cua de reinici")</f>
        <v>En cua de reinici</v>
      </c>
      <c r="J630" s="21" t="str">
        <f ca="1">IFERROR(__xludf.DUMMYFUNCTION("GOOGLETRANSLATE($B630,""en"",J$3)"),"restart ve frontě")</f>
        <v>restart ve frontě</v>
      </c>
      <c r="K630" s="21" t="str">
        <f ca="1">IFERROR(__xludf.DUMMYFUNCTION("GOOGLETRANSLATE($B630,""en"",K$3)"),"重新排队")</f>
        <v>重新排队</v>
      </c>
      <c r="L630" s="21" t="str">
        <f ca="1">IFERROR(__xludf.DUMMYFUNCTION("GOOGLETRANSLATE($B630,""en"",L$3)"),"重新排隊")</f>
        <v>重新排隊</v>
      </c>
      <c r="M630" s="21" t="str">
        <f ca="1">IFERROR(__xludf.DUMMYFUNCTION("GOOGLETRANSLATE($B630,""en"",M$3)"),"Restart wachtrij")</f>
        <v>Restart wachtrij</v>
      </c>
      <c r="N630" s="21" t="str">
        <f ca="1">IFERROR(__xludf.DUMMYFUNCTION("GOOGLETRANSLATE($B630,""en"",N$3)"),"Επανεκκίνηση ουρά")</f>
        <v>Επανεκκίνηση ουρά</v>
      </c>
      <c r="O630" s="21" t="str">
        <f ca="1">IFERROR(__xludf.DUMMYFUNCTION("GOOGLETRANSLATE($B630,""en"",O$3)"),"uudelleenkäynnistys Jonossa")</f>
        <v>uudelleenkäynnistys Jonossa</v>
      </c>
      <c r="P630" s="21" t="str">
        <f ca="1">IFERROR(__xludf.DUMMYFUNCTION("GOOGLETRANSLATE($B630,""en"",P$3)"),"Atosaigh chiú")</f>
        <v>Atosaigh chiú</v>
      </c>
      <c r="Q630" s="21" t="str">
        <f ca="1">IFERROR(__xludf.DUMMYFUNCTION("GOOGLETRANSLATE($B630,""en"",Q$3)"),"راه اندازی مجدد صف")</f>
        <v>راه اندازی مجدد صف</v>
      </c>
      <c r="R630" s="21" t="str">
        <f ca="1">IFERROR(__xludf.DUMMYFUNCTION("GOOGLETRANSLATE($B630,""en"",R$3)"),"הפעל מחדש שבתור")</f>
        <v>הפעל מחדש שבתור</v>
      </c>
      <c r="S630" s="21" t="str">
        <f ca="1">IFERROR(__xludf.DUMMYFUNCTION("GOOGLETRANSLATE($B630,""en"",S$3)"),"endurræsa biðröð")</f>
        <v>endurræsa biðröð</v>
      </c>
      <c r="T630" s="21" t="str">
        <f ca="1">IFERROR(__xludf.DUMMYFUNCTION("GOOGLETRANSLATE($B630,""en"",T$3)"),"Restart kø")</f>
        <v>Restart kø</v>
      </c>
      <c r="U630" s="21" t="str">
        <f ca="1">IFERROR(__xludf.DUMMYFUNCTION("GOOGLETRANSLATE($B630,""en"",U$3)"),"إعادة تشغيل قائمة الانتظار")</f>
        <v>إعادة تشغيل قائمة الانتظار</v>
      </c>
      <c r="V630" s="21" t="str">
        <f ca="1">IFERROR(__xludf.DUMMYFUNCTION("GOOGLETRANSLATE($B630,""en"",V$3)"),"restart kolejce")</f>
        <v>restart kolejce</v>
      </c>
      <c r="W630" s="21" t="str">
        <f ca="1">IFERROR(__xludf.DUMMYFUNCTION("GOOGLETRANSLATE($B630,""en"",W$3)"),"Перезапуск Queued")</f>
        <v>Перезапуск Queued</v>
      </c>
      <c r="X630" s="21" t="str">
        <f ca="1">IFERROR(__xludf.DUMMYFUNCTION("GOOGLETRANSLATE($B630,""en"",X$3)"),"En cola de reinicio")</f>
        <v>En cola de reinicio</v>
      </c>
      <c r="Y630" s="21"/>
      <c r="Z630" s="21"/>
    </row>
    <row r="631" spans="1:26" ht="32.25" customHeight="1" x14ac:dyDescent="0.2">
      <c r="A631" s="17" t="s">
        <v>1360</v>
      </c>
      <c r="B631" s="17" t="s">
        <v>1361</v>
      </c>
      <c r="C631" s="18" t="s">
        <v>1362</v>
      </c>
      <c r="D631" s="12" t="str">
        <f ca="1">IFERROR(__xludf.DUMMYFUNCTION("GOOGLETRANSLATE($B630,""en"",D$3)"),"Starta om kö")</f>
        <v>Starta om kö</v>
      </c>
      <c r="E631" s="12" t="str">
        <f ca="1">IFERROR(__xludf.DUMMYFUNCTION("GOOGLETRANSLATE($B630,""en"",E$3)"),"Restart fila de espera")</f>
        <v>Restart fila de espera</v>
      </c>
      <c r="F631" s="12" t="str">
        <f ca="1">IFERROR(__xludf.DUMMYFUNCTION("GOOGLETRANSLATE($B630,""en"",F$3)"),"Restart fila de espera")</f>
        <v>Restart fila de espera</v>
      </c>
      <c r="G631" s="12" t="str">
        <f ca="1">IFERROR(__xludf.DUMMYFUNCTION("GOOGLETRANSLATE($B630,""en"",G$3)"),"Redémarrer Queued")</f>
        <v>Redémarrer Queued</v>
      </c>
      <c r="H631" s="12" t="str">
        <f ca="1">IFERROR(__xludf.DUMMYFUNCTION("GOOGLETRANSLATE($B630,""en"",H$3)"),"Restart Ilaran")</f>
        <v>Restart Ilaran</v>
      </c>
      <c r="I631" s="12" t="str">
        <f ca="1">IFERROR(__xludf.DUMMYFUNCTION("GOOGLETRANSLATE($B630,""en"",I$3)"),"En cua de reinici")</f>
        <v>En cua de reinici</v>
      </c>
      <c r="J631" s="12" t="str">
        <f ca="1">IFERROR(__xludf.DUMMYFUNCTION("GOOGLETRANSLATE($B630,""en"",J$3)"),"restart ve frontě")</f>
        <v>restart ve frontě</v>
      </c>
      <c r="K631" s="12" t="str">
        <f ca="1">IFERROR(__xludf.DUMMYFUNCTION("GOOGLETRANSLATE($B630,""en"",K$3)"),"重新排队")</f>
        <v>重新排队</v>
      </c>
      <c r="L631" s="12" t="str">
        <f ca="1">IFERROR(__xludf.DUMMYFUNCTION("GOOGLETRANSLATE($B630,""en"",L$3)"),"重新排隊")</f>
        <v>重新排隊</v>
      </c>
      <c r="M631" s="12" t="str">
        <f ca="1">IFERROR(__xludf.DUMMYFUNCTION("GOOGLETRANSLATE($B630,""en"",M$3)"),"Restart wachtrij")</f>
        <v>Restart wachtrij</v>
      </c>
      <c r="N631" s="12" t="str">
        <f ca="1">IFERROR(__xludf.DUMMYFUNCTION("GOOGLETRANSLATE($B630,""en"",N$3)"),"Επανεκκίνηση ουρά")</f>
        <v>Επανεκκίνηση ουρά</v>
      </c>
      <c r="O631" s="12" t="str">
        <f ca="1">IFERROR(__xludf.DUMMYFUNCTION("GOOGLETRANSLATE($B630,""en"",O$3)"),"uudelleenkäynnistys Jonossa")</f>
        <v>uudelleenkäynnistys Jonossa</v>
      </c>
      <c r="P631" s="12" t="str">
        <f ca="1">IFERROR(__xludf.DUMMYFUNCTION("GOOGLETRANSLATE($B630,""en"",P$3)"),"Atosaigh chiú")</f>
        <v>Atosaigh chiú</v>
      </c>
      <c r="Q631" s="12" t="str">
        <f ca="1">IFERROR(__xludf.DUMMYFUNCTION("GOOGLETRANSLATE($B630,""en"",Q$3)"),"راه اندازی مجدد صف")</f>
        <v>راه اندازی مجدد صف</v>
      </c>
      <c r="R631" s="12" t="str">
        <f ca="1">IFERROR(__xludf.DUMMYFUNCTION("GOOGLETRANSLATE($B630,""en"",R$3)"),"הפעל מחדש שבתור")</f>
        <v>הפעל מחדש שבתור</v>
      </c>
      <c r="S631" s="12" t="str">
        <f ca="1">IFERROR(__xludf.DUMMYFUNCTION("GOOGLETRANSLATE($B630,""en"",S$3)"),"endurræsa biðröð")</f>
        <v>endurræsa biðröð</v>
      </c>
      <c r="T631" s="12" t="str">
        <f ca="1">IFERROR(__xludf.DUMMYFUNCTION("GOOGLETRANSLATE($B630,""en"",T$3)"),"Restart kø")</f>
        <v>Restart kø</v>
      </c>
      <c r="U631" s="12" t="str">
        <f ca="1">IFERROR(__xludf.DUMMYFUNCTION("GOOGLETRANSLATE($B630,""en"",U$3)"),"إعادة تشغيل قائمة الانتظار")</f>
        <v>إعادة تشغيل قائمة الانتظار</v>
      </c>
      <c r="V631" s="12" t="str">
        <f ca="1">IFERROR(__xludf.DUMMYFUNCTION("GOOGLETRANSLATE($B630,""en"",V$3)"),"restart kolejce")</f>
        <v>restart kolejce</v>
      </c>
      <c r="W631" s="12" t="str">
        <f ca="1">IFERROR(__xludf.DUMMYFUNCTION("GOOGLETRANSLATE($B630,""en"",W$3)"),"Перезапуск Queued")</f>
        <v>Перезапуск Queued</v>
      </c>
      <c r="X631" s="12" t="str">
        <f ca="1">IFERROR(__xludf.DUMMYFUNCTION("GOOGLETRANSLATE($B630,""en"",X$3)"),"En cola de reinicio")</f>
        <v>En cola de reinicio</v>
      </c>
      <c r="Y631" s="12"/>
      <c r="Z631" s="12"/>
    </row>
    <row r="632" spans="1:26" ht="32.25" customHeight="1" x14ac:dyDescent="0.2">
      <c r="A632" s="17" t="s">
        <v>1363</v>
      </c>
      <c r="B632" s="17" t="s">
        <v>1364</v>
      </c>
      <c r="C632" s="18" t="s">
        <v>1365</v>
      </c>
      <c r="D632" s="12" t="str">
        <f ca="1">IFERROR(__xludf.DUMMYFUNCTION("GOOGLETRANSLATE($B631,""en"",D$3)"),"Starta om Region")</f>
        <v>Starta om Region</v>
      </c>
      <c r="E632" s="12" t="str">
        <f ca="1">IFERROR(__xludf.DUMMYFUNCTION("GOOGLETRANSLATE($B631,""en"",E$3)"),"Restart Região")</f>
        <v>Restart Região</v>
      </c>
      <c r="F632" s="12" t="str">
        <f ca="1">IFERROR(__xludf.DUMMYFUNCTION("GOOGLETRANSLATE($B631,""en"",F$3)"),"Restart Região")</f>
        <v>Restart Região</v>
      </c>
      <c r="G632" s="12" t="str">
        <f ca="1">IFERROR(__xludf.DUMMYFUNCTION("GOOGLETRANSLATE($B631,""en"",G$3)"),"Redémarrer Région")</f>
        <v>Redémarrer Région</v>
      </c>
      <c r="H632" s="12" t="str">
        <f ca="1">IFERROR(__xludf.DUMMYFUNCTION("GOOGLETRANSLATE($B631,""en"",H$3)"),"Restart eskualdea")</f>
        <v>Restart eskualdea</v>
      </c>
      <c r="I632" s="12" t="str">
        <f ca="1">IFERROR(__xludf.DUMMYFUNCTION("GOOGLETRANSLATE($B631,""en"",I$3)"),"reinici Regió")</f>
        <v>reinici Regió</v>
      </c>
      <c r="J632" s="12" t="str">
        <f ca="1">IFERROR(__xludf.DUMMYFUNCTION("GOOGLETRANSLATE($B631,""en"",J$3)"),"restart Region")</f>
        <v>restart Region</v>
      </c>
      <c r="K632" s="12" t="str">
        <f ca="1">IFERROR(__xludf.DUMMYFUNCTION("GOOGLETRANSLATE($B631,""en"",K$3)"),"重新启动区域")</f>
        <v>重新启动区域</v>
      </c>
      <c r="L632" s="12" t="str">
        <f ca="1">IFERROR(__xludf.DUMMYFUNCTION("GOOGLETRANSLATE($B631,""en"",L$3)"),"重新啟動區域")</f>
        <v>重新啟動區域</v>
      </c>
      <c r="M632" s="12" t="str">
        <f ca="1">IFERROR(__xludf.DUMMYFUNCTION("GOOGLETRANSLATE($B631,""en"",M$3)"),"Restart Region")</f>
        <v>Restart Region</v>
      </c>
      <c r="N632" s="12" t="str">
        <f ca="1">IFERROR(__xludf.DUMMYFUNCTION("GOOGLETRANSLATE($B631,""en"",N$3)"),"Επανεκκίνηση Περιφέρεια")</f>
        <v>Επανεκκίνηση Περιφέρεια</v>
      </c>
      <c r="O632" s="12" t="str">
        <f ca="1">IFERROR(__xludf.DUMMYFUNCTION("GOOGLETRANSLATE($B631,""en"",O$3)"),"uudelleenkäynnistys Region")</f>
        <v>uudelleenkäynnistys Region</v>
      </c>
      <c r="P632" s="12" t="str">
        <f ca="1">IFERROR(__xludf.DUMMYFUNCTION("GOOGLETRANSLATE($B631,""en"",P$3)"),"Atosaigh Réigiún")</f>
        <v>Atosaigh Réigiún</v>
      </c>
      <c r="Q632" s="12" t="str">
        <f ca="1">IFERROR(__xludf.DUMMYFUNCTION("GOOGLETRANSLATE($B631,""en"",Q$3)"),"راه اندازی مجدد منطقه")</f>
        <v>راه اندازی مجدد منطقه</v>
      </c>
      <c r="R632" s="12" t="str">
        <f ca="1">IFERROR(__xludf.DUMMYFUNCTION("GOOGLETRANSLATE($B631,""en"",R$3)"),"אזור Restart")</f>
        <v>אזור Restart</v>
      </c>
      <c r="S632" s="12" t="str">
        <f ca="1">IFERROR(__xludf.DUMMYFUNCTION("GOOGLETRANSLATE($B631,""en"",S$3)"),"endurræsa Region")</f>
        <v>endurræsa Region</v>
      </c>
      <c r="T632" s="12" t="str">
        <f ca="1">IFERROR(__xludf.DUMMYFUNCTION("GOOGLETRANSLATE($B631,""en"",T$3)"),"Restart Region")</f>
        <v>Restart Region</v>
      </c>
      <c r="U632" s="12" t="str">
        <f ca="1">IFERROR(__xludf.DUMMYFUNCTION("GOOGLETRANSLATE($B631,""en"",U$3)"),"إعادة تشغيل المنطقة")</f>
        <v>إعادة تشغيل المنطقة</v>
      </c>
      <c r="V632" s="12" t="str">
        <f ca="1">IFERROR(__xludf.DUMMYFUNCTION("GOOGLETRANSLATE($B631,""en"",V$3)"),"restart Region")</f>
        <v>restart Region</v>
      </c>
      <c r="W632" s="12" t="str">
        <f ca="1">IFERROR(__xludf.DUMMYFUNCTION("GOOGLETRANSLATE($B631,""en"",W$3)"),"Перезапуск область")</f>
        <v>Перезапуск область</v>
      </c>
      <c r="X632" s="12" t="str">
        <f ca="1">IFERROR(__xludf.DUMMYFUNCTION("GOOGLETRANSLATE($B631,""en"",X$3)"),"reinicio Región")</f>
        <v>reinicio Región</v>
      </c>
      <c r="Y632" s="12"/>
      <c r="Z632" s="12"/>
    </row>
    <row r="633" spans="1:26" ht="32.25" customHeight="1" x14ac:dyDescent="0.2">
      <c r="A633" s="17" t="s">
        <v>1366</v>
      </c>
      <c r="B633" s="17" t="s">
        <v>1367</v>
      </c>
      <c r="C633" s="18" t="s">
        <v>1368</v>
      </c>
      <c r="D633" s="12" t="str">
        <f ca="1">IFERROR(__xludf.DUMMYFUNCTION("GOOGLETRANSLATE($B632,""en"",D$3)"),"omstart Robust")</f>
        <v>omstart Robust</v>
      </c>
      <c r="E633" s="12" t="str">
        <f ca="1">IFERROR(__xludf.DUMMYFUNCTION("GOOGLETRANSLATE($B632,""en"",E$3)"),"Restart Robust")</f>
        <v>Restart Robust</v>
      </c>
      <c r="F633" s="12" t="str">
        <f ca="1">IFERROR(__xludf.DUMMYFUNCTION("GOOGLETRANSLATE($B632,""en"",F$3)"),"Restart Robust")</f>
        <v>Restart Robust</v>
      </c>
      <c r="G633" s="12" t="str">
        <f ca="1">IFERROR(__xludf.DUMMYFUNCTION("GOOGLETRANSLATE($B632,""en"",G$3)"),"redémarrage robuste")</f>
        <v>redémarrage robuste</v>
      </c>
      <c r="H633" s="12" t="str">
        <f ca="1">IFERROR(__xludf.DUMMYFUNCTION("GOOGLETRANSLATE($B632,""en"",H$3)"),"Restart sendoa")</f>
        <v>Restart sendoa</v>
      </c>
      <c r="I633" s="12" t="str">
        <f ca="1">IFERROR(__xludf.DUMMYFUNCTION("GOOGLETRANSLATE($B632,""en"",I$3)"),"reinici robusta")</f>
        <v>reinici robusta</v>
      </c>
      <c r="J633" s="12" t="str">
        <f ca="1">IFERROR(__xludf.DUMMYFUNCTION("GOOGLETRANSLATE($B632,""en"",J$3)"),"restart Robust")</f>
        <v>restart Robust</v>
      </c>
      <c r="K633" s="12" t="str">
        <f ca="1">IFERROR(__xludf.DUMMYFUNCTION("GOOGLETRANSLATE($B632,""en"",K$3)"),"重启稳健")</f>
        <v>重启稳健</v>
      </c>
      <c r="L633" s="12" t="str">
        <f ca="1">IFERROR(__xludf.DUMMYFUNCTION("GOOGLETRANSLATE($B632,""en"",L$3)"),"重啟穩健")</f>
        <v>重啟穩健</v>
      </c>
      <c r="M633" s="12" t="str">
        <f ca="1">IFERROR(__xludf.DUMMYFUNCTION("GOOGLETRANSLATE($B632,""en"",M$3)"),"Restart Robuuste")</f>
        <v>Restart Robuuste</v>
      </c>
      <c r="N633" s="12" t="str">
        <f ca="1">IFERROR(__xludf.DUMMYFUNCTION("GOOGLETRANSLATE($B632,""en"",N$3)"),"Επανεκκίνηση Στιβαρή")</f>
        <v>Επανεκκίνηση Στιβαρή</v>
      </c>
      <c r="O633" s="12" t="str">
        <f ca="1">IFERROR(__xludf.DUMMYFUNCTION("GOOGLETRANSLATE($B632,""en"",O$3)"),"uudelleenkäynnistys Vankka")</f>
        <v>uudelleenkäynnistys Vankka</v>
      </c>
      <c r="P633" s="12" t="str">
        <f ca="1">IFERROR(__xludf.DUMMYFUNCTION("GOOGLETRANSLATE($B632,""en"",P$3)"),"Atosaigh láidir")</f>
        <v>Atosaigh láidir</v>
      </c>
      <c r="Q633" s="12" t="str">
        <f ca="1">IFERROR(__xludf.DUMMYFUNCTION("GOOGLETRANSLATE($B632,""en"",Q$3)"),"راه اندازی مجدد مقاوم")</f>
        <v>راه اندازی مجدد مقاوم</v>
      </c>
      <c r="R633" s="12" t="str">
        <f ca="1">IFERROR(__xludf.DUMMYFUNCTION("GOOGLETRANSLATE($B632,""en"",R$3)"),"הפעל מחדש חזק")</f>
        <v>הפעל מחדש חזק</v>
      </c>
      <c r="S633" s="12" t="str">
        <f ca="1">IFERROR(__xludf.DUMMYFUNCTION("GOOGLETRANSLATE($B632,""en"",S$3)"),"endurræsa sterkur")</f>
        <v>endurræsa sterkur</v>
      </c>
      <c r="T633" s="12" t="str">
        <f ca="1">IFERROR(__xludf.DUMMYFUNCTION("GOOGLETRANSLATE($B632,""en"",T$3)"),"Restart Robust")</f>
        <v>Restart Robust</v>
      </c>
      <c r="U633" s="12" t="str">
        <f ca="1">IFERROR(__xludf.DUMMYFUNCTION("GOOGLETRANSLATE($B632,""en"",U$3)"),"إعادة تشغيل قوية")</f>
        <v>إعادة تشغيل قوية</v>
      </c>
      <c r="V633" s="12" t="str">
        <f ca="1">IFERROR(__xludf.DUMMYFUNCTION("GOOGLETRANSLATE($B632,""en"",V$3)"),"Mocna restart")</f>
        <v>Mocna restart</v>
      </c>
      <c r="W633" s="12" t="str">
        <f ca="1">IFERROR(__xludf.DUMMYFUNCTION("GOOGLETRANSLATE($B632,""en"",W$3)"),"Перезапуск Robust")</f>
        <v>Перезапуск Robust</v>
      </c>
      <c r="X633" s="12" t="str">
        <f ca="1">IFERROR(__xludf.DUMMYFUNCTION("GOOGLETRANSLATE($B632,""en"",X$3)"),"reinicio robusta")</f>
        <v>reinicio robusta</v>
      </c>
      <c r="Y633" s="12"/>
      <c r="Z633" s="12"/>
    </row>
    <row r="634" spans="1:26" ht="32.25" customHeight="1" x14ac:dyDescent="0.2">
      <c r="A634" s="17" t="s">
        <v>1369</v>
      </c>
      <c r="B634" s="17" t="s">
        <v>1370</v>
      </c>
      <c r="C634" s="18" t="s">
        <v>1371</v>
      </c>
      <c r="D634" s="12" t="str">
        <f ca="1">IFERROR(__xludf.DUMMYFUNCTION("GOOGLETRANSLATE($B633,""en"",D$3)"),"Starta Inställningar")</f>
        <v>Starta Inställningar</v>
      </c>
      <c r="E634" s="12" t="str">
        <f ca="1">IFERROR(__xludf.DUMMYFUNCTION("GOOGLETRANSLATE($B633,""en"",E$3)"),"Configurações de reinício")</f>
        <v>Configurações de reinício</v>
      </c>
      <c r="F634" s="12" t="str">
        <f ca="1">IFERROR(__xludf.DUMMYFUNCTION("GOOGLETRANSLATE($B633,""en"",F$3)"),"Configurações de reinício")</f>
        <v>Configurações de reinício</v>
      </c>
      <c r="G634" s="12" t="str">
        <f ca="1">IFERROR(__xludf.DUMMYFUNCTION("GOOGLETRANSLATE($B633,""en"",G$3)"),"Redémarrez Paramètres")</f>
        <v>Redémarrez Paramètres</v>
      </c>
      <c r="H634" s="12" t="str">
        <f ca="1">IFERROR(__xludf.DUMMYFUNCTION("GOOGLETRANSLATE($B633,""en"",H$3)"),"Restart ezarpenak")</f>
        <v>Restart ezarpenak</v>
      </c>
      <c r="I634" s="12" t="str">
        <f ca="1">IFERROR(__xludf.DUMMYFUNCTION("GOOGLETRANSLATE($B633,""en"",I$3)"),"Configuració de la represa")</f>
        <v>Configuració de la represa</v>
      </c>
      <c r="J634" s="12" t="str">
        <f ca="1">IFERROR(__xludf.DUMMYFUNCTION("GOOGLETRANSLATE($B633,""en"",J$3)"),"Nastavení restart")</f>
        <v>Nastavení restart</v>
      </c>
      <c r="K634" s="12" t="str">
        <f ca="1">IFERROR(__xludf.DUMMYFUNCTION("GOOGLETRANSLATE($B633,""en"",K$3)"),"重新启动设置")</f>
        <v>重新启动设置</v>
      </c>
      <c r="L634" s="12" t="str">
        <f ca="1">IFERROR(__xludf.DUMMYFUNCTION("GOOGLETRANSLATE($B633,""en"",L$3)"),"重新啟動設置")</f>
        <v>重新啟動設置</v>
      </c>
      <c r="M634" s="12" t="str">
        <f ca="1">IFERROR(__xludf.DUMMYFUNCTION("GOOGLETRANSLATE($B633,""en"",M$3)"),"Restart Instellingen")</f>
        <v>Restart Instellingen</v>
      </c>
      <c r="N634" s="12" t="str">
        <f ca="1">IFERROR(__xludf.DUMMYFUNCTION("GOOGLETRANSLATE($B633,""en"",N$3)"),"Ρυθμίσεις Επανεκκίνηση")</f>
        <v>Ρυθμίσεις Επανεκκίνηση</v>
      </c>
      <c r="O634" s="12" t="str">
        <f ca="1">IFERROR(__xludf.DUMMYFUNCTION("GOOGLETRANSLATE($B633,""en"",O$3)"),"uudelleenkäynnistys asetukset")</f>
        <v>uudelleenkäynnistys asetukset</v>
      </c>
      <c r="P634" s="12" t="str">
        <f ca="1">IFERROR(__xludf.DUMMYFUNCTION("GOOGLETRANSLATE($B633,""en"",P$3)"),"Socruithe Atosaigh")</f>
        <v>Socruithe Atosaigh</v>
      </c>
      <c r="Q634" s="12" t="str">
        <f ca="1">IFERROR(__xludf.DUMMYFUNCTION("GOOGLETRANSLATE($B633,""en"",Q$3)"),"تنظیمات راه اندازی مجدد")</f>
        <v>تنظیمات راه اندازی مجدد</v>
      </c>
      <c r="R634" s="12" t="str">
        <f ca="1">IFERROR(__xludf.DUMMYFUNCTION("GOOGLETRANSLATE($B633,""en"",R$3)"),"הגדרות מחדש")</f>
        <v>הגדרות מחדש</v>
      </c>
      <c r="S634" s="12" t="str">
        <f ca="1">IFERROR(__xludf.DUMMYFUNCTION("GOOGLETRANSLATE($B633,""en"",S$3)"),"Restart Stillingar")</f>
        <v>Restart Stillingar</v>
      </c>
      <c r="T634" s="12" t="str">
        <f ca="1">IFERROR(__xludf.DUMMYFUNCTION("GOOGLETRANSLATE($B633,""en"",T$3)"),"Restart Innstillinger")</f>
        <v>Restart Innstillinger</v>
      </c>
      <c r="U634" s="12" t="str">
        <f ca="1">IFERROR(__xludf.DUMMYFUNCTION("GOOGLETRANSLATE($B633,""en"",U$3)"),"إعدادات إعادة تشغيل")</f>
        <v>إعدادات إعادة تشغيل</v>
      </c>
      <c r="V634" s="12" t="str">
        <f ca="1">IFERROR(__xludf.DUMMYFUNCTION("GOOGLETRANSLATE($B633,""en"",V$3)"),"Ustawienia restartu")</f>
        <v>Ustawienia restartu</v>
      </c>
      <c r="W634" s="12" t="str">
        <f ca="1">IFERROR(__xludf.DUMMYFUNCTION("GOOGLETRANSLATE($B633,""en"",W$3)"),"Параметры перезагрузки")</f>
        <v>Параметры перезагрузки</v>
      </c>
      <c r="X634" s="12" t="str">
        <f ca="1">IFERROR(__xludf.DUMMYFUNCTION("GOOGLETRANSLATE($B633,""en"",X$3)"),"Configuración del reinicio")</f>
        <v>Configuración del reinicio</v>
      </c>
      <c r="Y634" s="12"/>
      <c r="Z634" s="12"/>
    </row>
    <row r="635" spans="1:26" ht="32.25" customHeight="1" x14ac:dyDescent="0.2">
      <c r="A635" s="17" t="s">
        <v>1372</v>
      </c>
      <c r="B635" s="17" t="s">
        <v>1373</v>
      </c>
      <c r="C635" s="21" t="str">
        <f ca="1">IFERROR(__xludf.DUMMYFUNCTION("GOOGLETRANSLATE($B635,""en"",C$3)"),"Neustart")</f>
        <v>Neustart</v>
      </c>
      <c r="D635" s="21" t="str">
        <f ca="1">IFERROR(__xludf.DUMMYFUNCTION("GOOGLETRANSLATE($B635,""en"",D$3)"),"omstart")</f>
        <v>omstart</v>
      </c>
      <c r="E635" s="21" t="str">
        <f ca="1">IFERROR(__xludf.DUMMYFUNCTION("GOOGLETRANSLATE($B635,""en"",E$3)"),"reiniciando")</f>
        <v>reiniciando</v>
      </c>
      <c r="F635" s="21" t="str">
        <f ca="1">IFERROR(__xludf.DUMMYFUNCTION("GOOGLETRANSLATE($B635,""en"",F$3)"),"reiniciando")</f>
        <v>reiniciando</v>
      </c>
      <c r="G635" s="21" t="str">
        <f ca="1">IFERROR(__xludf.DUMMYFUNCTION("GOOGLETRANSLATE($B635,""en"",G$3)"),"redémarrage")</f>
        <v>redémarrage</v>
      </c>
      <c r="H635" s="21" t="str">
        <f ca="1">IFERROR(__xludf.DUMMYFUNCTION("GOOGLETRANSLATE($B635,""en"",H$3)"),"berrabiaraztea")</f>
        <v>berrabiaraztea</v>
      </c>
      <c r="I635" s="21" t="str">
        <f ca="1">IFERROR(__xludf.DUMMYFUNCTION("GOOGLETRANSLATE($B635,""en"",I$3)"),"reinici")</f>
        <v>reinici</v>
      </c>
      <c r="J635" s="21" t="str">
        <f ca="1">IFERROR(__xludf.DUMMYFUNCTION("GOOGLETRANSLATE($B635,""en"",J$3)"),"restartování")</f>
        <v>restartování</v>
      </c>
      <c r="K635" s="21" t="str">
        <f ca="1">IFERROR(__xludf.DUMMYFUNCTION("GOOGLETRANSLATE($B635,""en"",K$3)"),"重新启动")</f>
        <v>重新启动</v>
      </c>
      <c r="L635" s="21" t="str">
        <f ca="1">IFERROR(__xludf.DUMMYFUNCTION("GOOGLETRANSLATE($B635,""en"",L$3)"),"重新啟動")</f>
        <v>重新啟動</v>
      </c>
      <c r="M635" s="21" t="str">
        <f ca="1">IFERROR(__xludf.DUMMYFUNCTION("GOOGLETRANSLATE($B635,""en"",M$3)"),"Het opnieuw starten")</f>
        <v>Het opnieuw starten</v>
      </c>
      <c r="N635" s="21" t="str">
        <f ca="1">IFERROR(__xludf.DUMMYFUNCTION("GOOGLETRANSLATE($B635,""en"",N$3)"),"Επανεκκίνηση")</f>
        <v>Επανεκκίνηση</v>
      </c>
      <c r="O635" s="21" t="str">
        <f ca="1">IFERROR(__xludf.DUMMYFUNCTION("GOOGLETRANSLATE($B635,""en"",O$3)"),"uudelleenkäynnistyksen")</f>
        <v>uudelleenkäynnistyksen</v>
      </c>
      <c r="P635" s="21" t="str">
        <f ca="1">IFERROR(__xludf.DUMMYFUNCTION("GOOGLETRANSLATE($B635,""en"",P$3)"),"restarting")</f>
        <v>restarting</v>
      </c>
      <c r="Q635" s="21" t="str">
        <f ca="1">IFERROR(__xludf.DUMMYFUNCTION("GOOGLETRANSLATE($B635,""en"",Q$3)"),"راه اندازی مجدد")</f>
        <v>راه اندازی مجدد</v>
      </c>
      <c r="R635" s="21" t="str">
        <f ca="1">IFERROR(__xludf.DUMMYFUNCTION("GOOGLETRANSLATE($B635,""en"",R$3)"),"הפעלה מחדש")</f>
        <v>הפעלה מחדש</v>
      </c>
      <c r="S635" s="21" t="str">
        <f ca="1">IFERROR(__xludf.DUMMYFUNCTION("GOOGLETRANSLATE($B635,""en"",S$3)"),"endurræsa")</f>
        <v>endurræsa</v>
      </c>
      <c r="T635" s="21" t="str">
        <f ca="1">IFERROR(__xludf.DUMMYFUNCTION("GOOGLETRANSLATE($B635,""en"",T$3)"),"omstart")</f>
        <v>omstart</v>
      </c>
      <c r="U635" s="21" t="str">
        <f ca="1">IFERROR(__xludf.DUMMYFUNCTION("GOOGLETRANSLATE($B635,""en"",U$3)"),"إعادة التشغيل")</f>
        <v>إعادة التشغيل</v>
      </c>
      <c r="V635" s="21" t="str">
        <f ca="1">IFERROR(__xludf.DUMMYFUNCTION("GOOGLETRANSLATE($B635,""en"",V$3)"),"Ponowne uruchomienie")</f>
        <v>Ponowne uruchomienie</v>
      </c>
      <c r="W635" s="21" t="str">
        <f ca="1">IFERROR(__xludf.DUMMYFUNCTION("GOOGLETRANSLATE($B635,""en"",W$3)"),"Перезапуск")</f>
        <v>Перезапуск</v>
      </c>
      <c r="X635" s="21" t="str">
        <f ca="1">IFERROR(__xludf.DUMMYFUNCTION("GOOGLETRANSLATE($B635,""en"",X$3)"),"Reinicio")</f>
        <v>Reinicio</v>
      </c>
      <c r="Y635" s="21"/>
      <c r="Z635" s="21"/>
    </row>
    <row r="636" spans="1:26" ht="32.25" customHeight="1" x14ac:dyDescent="0.2">
      <c r="A636" s="17" t="s">
        <v>1374</v>
      </c>
      <c r="B636" s="17" t="s">
        <v>1375</v>
      </c>
      <c r="C636" s="21" t="str">
        <f ca="1">IFERROR(__xludf.DUMMYFUNCTION("GOOGLETRANSLATE($B636,""en"",C$3)"),"Datenbank wiederherstellen")</f>
        <v>Datenbank wiederherstellen</v>
      </c>
      <c r="D636" s="21" t="str">
        <f ca="1">IFERROR(__xludf.DUMMYFUNCTION("GOOGLETRANSLATE($B636,""en"",D$3)"),"Återställ databas")</f>
        <v>Återställ databas</v>
      </c>
      <c r="E636" s="21" t="str">
        <f ca="1">IFERROR(__xludf.DUMMYFUNCTION("GOOGLETRANSLATE($B636,""en"",E$3)"),"restaurar Banco de Dados")</f>
        <v>restaurar Banco de Dados</v>
      </c>
      <c r="F636" s="21" t="str">
        <f ca="1">IFERROR(__xludf.DUMMYFUNCTION("GOOGLETRANSLATE($B636,""en"",F$3)"),"restaurar Banco de Dados")</f>
        <v>restaurar Banco de Dados</v>
      </c>
      <c r="G636" s="21" t="str">
        <f ca="1">IFERROR(__xludf.DUMMYFUNCTION("GOOGLETRANSLATE($B636,""en"",G$3)"),"restaurer la base de données")</f>
        <v>restaurer la base de données</v>
      </c>
      <c r="H636" s="21" t="str">
        <f ca="1">IFERROR(__xludf.DUMMYFUNCTION("GOOGLETRANSLATE($B636,""en"",H$3)"),"Berreskuratu Database")</f>
        <v>Berreskuratu Database</v>
      </c>
      <c r="I636" s="21" t="str">
        <f ca="1">IFERROR(__xludf.DUMMYFUNCTION("GOOGLETRANSLATE($B636,""en"",I$3)"),"restaurar base de dades")</f>
        <v>restaurar base de dades</v>
      </c>
      <c r="J636" s="21" t="str">
        <f ca="1">IFERROR(__xludf.DUMMYFUNCTION("GOOGLETRANSLATE($B636,""en"",J$3)"),"obnovení databáze")</f>
        <v>obnovení databáze</v>
      </c>
      <c r="K636" s="21" t="str">
        <f ca="1">IFERROR(__xludf.DUMMYFUNCTION("GOOGLETRANSLATE($B636,""en"",K$3)"),"还原数据库")</f>
        <v>还原数据库</v>
      </c>
      <c r="L636" s="21" t="str">
        <f ca="1">IFERROR(__xludf.DUMMYFUNCTION("GOOGLETRANSLATE($B636,""en"",L$3)"),"還原數據庫")</f>
        <v>還原數據庫</v>
      </c>
      <c r="M636" s="21" t="str">
        <f ca="1">IFERROR(__xludf.DUMMYFUNCTION("GOOGLETRANSLATE($B636,""en"",M$3)"),"Database herstellen")</f>
        <v>Database herstellen</v>
      </c>
      <c r="N636" s="21" t="str">
        <f ca="1">IFERROR(__xludf.DUMMYFUNCTION("GOOGLETRANSLATE($B636,""en"",N$3)"),"Επαναφορά βάσης δεδομένων")</f>
        <v>Επαναφορά βάσης δεδομένων</v>
      </c>
      <c r="O636" s="21" t="str">
        <f ca="1">IFERROR(__xludf.DUMMYFUNCTION("GOOGLETRANSLATE($B636,""en"",O$3)"),"Palauta tietokanta")</f>
        <v>Palauta tietokanta</v>
      </c>
      <c r="P636" s="21" t="str">
        <f ca="1">IFERROR(__xludf.DUMMYFUNCTION("GOOGLETRANSLATE($B636,""en"",P$3)"),"Athchóirigh Bunachar Sonraí")</f>
        <v>Athchóirigh Bunachar Sonraí</v>
      </c>
      <c r="Q636" s="21" t="str">
        <f ca="1">IFERROR(__xludf.DUMMYFUNCTION("GOOGLETRANSLATE($B636,""en"",Q$3)"),"بازیابی پایگاه داده")</f>
        <v>بازیابی پایگاه داده</v>
      </c>
      <c r="R636" s="21" t="str">
        <f ca="1">IFERROR(__xludf.DUMMYFUNCTION("GOOGLETRANSLATE($B636,""en"",R$3)"),"שחזור מסד")</f>
        <v>שחזור מסד</v>
      </c>
      <c r="S636" s="21" t="str">
        <f ca="1">IFERROR(__xludf.DUMMYFUNCTION("GOOGLETRANSLATE($B636,""en"",S$3)"),"endurheimta gagnagrunn")</f>
        <v>endurheimta gagnagrunn</v>
      </c>
      <c r="T636" s="21" t="str">
        <f ca="1">IFERROR(__xludf.DUMMYFUNCTION("GOOGLETRANSLATE($B636,""en"",T$3)"),"Gjenopprett database")</f>
        <v>Gjenopprett database</v>
      </c>
      <c r="U636" s="21" t="str">
        <f ca="1">IFERROR(__xludf.DUMMYFUNCTION("GOOGLETRANSLATE($B636,""en"",U$3)"),"استعادة قاعدة البيانات")</f>
        <v>استعادة قاعدة البيانات</v>
      </c>
      <c r="V636" s="21" t="str">
        <f ca="1">IFERROR(__xludf.DUMMYFUNCTION("GOOGLETRANSLATE($B636,""en"",V$3)"),"Przywracanie bazy danych")</f>
        <v>Przywracanie bazy danych</v>
      </c>
      <c r="W636" s="21" t="str">
        <f ca="1">IFERROR(__xludf.DUMMYFUNCTION("GOOGLETRANSLATE($B636,""en"",W$3)"),"Восстановление базы данных")</f>
        <v>Восстановление базы данных</v>
      </c>
      <c r="X636" s="21" t="str">
        <f ca="1">IFERROR(__xludf.DUMMYFUNCTION("GOOGLETRANSLATE($B636,""en"",X$3)"),"restaurar base de datos")</f>
        <v>restaurar base de datos</v>
      </c>
      <c r="Y636" s="21"/>
      <c r="Z636" s="21"/>
    </row>
    <row r="637" spans="1:26" ht="32.25" customHeight="1" x14ac:dyDescent="0.2">
      <c r="A637" s="17" t="s">
        <v>1376</v>
      </c>
      <c r="B637" s="17" t="s">
        <v>1377</v>
      </c>
      <c r="C637" s="21" t="str">
        <f ca="1">IFERROR(__xludf.DUMMYFUNCTION("GOOGLETRANSLATE($B637,""en"",C$3)"),"Wiederherstellen?")</f>
        <v>Wiederherstellen?</v>
      </c>
      <c r="D637" s="21" t="str">
        <f ca="1">IFERROR(__xludf.DUMMYFUNCTION("GOOGLETRANSLATE($B637,""en"",D$3)"),"Återställ?")</f>
        <v>Återställ?</v>
      </c>
      <c r="E637" s="21" t="str">
        <f ca="1">IFERROR(__xludf.DUMMYFUNCTION("GOOGLETRANSLATE($B637,""en"",E$3)"),"Restaurar?")</f>
        <v>Restaurar?</v>
      </c>
      <c r="F637" s="21" t="str">
        <f ca="1">IFERROR(__xludf.DUMMYFUNCTION("GOOGLETRANSLATE($B637,""en"",F$3)"),"Restaurar?")</f>
        <v>Restaurar?</v>
      </c>
      <c r="G637" s="21" t="str">
        <f ca="1">IFERROR(__xludf.DUMMYFUNCTION("GOOGLETRANSLATE($B637,""en"",G$3)"),"Restaurer?")</f>
        <v>Restaurer?</v>
      </c>
      <c r="H637" s="21" t="str">
        <f ca="1">IFERROR(__xludf.DUMMYFUNCTION("GOOGLETRANSLATE($B637,""en"",H$3)"),"Berreskuratu?")</f>
        <v>Berreskuratu?</v>
      </c>
      <c r="I637" s="21" t="str">
        <f ca="1">IFERROR(__xludf.DUMMYFUNCTION("GOOGLETRANSLATE($B637,""en"",I$3)"),"Restaurar?")</f>
        <v>Restaurar?</v>
      </c>
      <c r="J637" s="21" t="str">
        <f ca="1">IFERROR(__xludf.DUMMYFUNCTION("GOOGLETRANSLATE($B637,""en"",J$3)"),"Obnovit?")</f>
        <v>Obnovit?</v>
      </c>
      <c r="K637" s="21" t="str">
        <f ca="1">IFERROR(__xludf.DUMMYFUNCTION("GOOGLETRANSLATE($B637,""en"",K$3)"),"恢复？")</f>
        <v>恢复？</v>
      </c>
      <c r="L637" s="21" t="str">
        <f ca="1">IFERROR(__xludf.DUMMYFUNCTION("GOOGLETRANSLATE($B637,""en"",L$3)"),"恢復？")</f>
        <v>恢復？</v>
      </c>
      <c r="M637" s="21" t="str">
        <f ca="1">IFERROR(__xludf.DUMMYFUNCTION("GOOGLETRANSLATE($B637,""en"",M$3)"),"Herstellen?")</f>
        <v>Herstellen?</v>
      </c>
      <c r="N637" s="21" t="str">
        <f ca="1">IFERROR(__xludf.DUMMYFUNCTION("GOOGLETRANSLATE($B637,""en"",N$3)"),"Επαναφέρω?")</f>
        <v>Επαναφέρω?</v>
      </c>
      <c r="O637" s="21" t="str">
        <f ca="1">IFERROR(__xludf.DUMMYFUNCTION("GOOGLETRANSLATE($B637,""en"",O$3)"),"Palauttaa?")</f>
        <v>Palauttaa?</v>
      </c>
      <c r="P637" s="21" t="str">
        <f ca="1">IFERROR(__xludf.DUMMYFUNCTION("GOOGLETRANSLATE($B637,""en"",P$3)"),"Athchóirigh?")</f>
        <v>Athchóirigh?</v>
      </c>
      <c r="Q637" s="21" t="str">
        <f ca="1">IFERROR(__xludf.DUMMYFUNCTION("GOOGLETRANSLATE($B637,""en"",Q$3)"),"بازگرداندن؟")</f>
        <v>بازگرداندن؟</v>
      </c>
      <c r="R637" s="21" t="str">
        <f ca="1">IFERROR(__xludf.DUMMYFUNCTION("GOOGLETRANSLATE($B637,""en"",R$3)"),"לשחזר?")</f>
        <v>לשחזר?</v>
      </c>
      <c r="S637" s="21" t="str">
        <f ca="1">IFERROR(__xludf.DUMMYFUNCTION("GOOGLETRANSLATE($B637,""en"",S$3)"),"Endurheimta?")</f>
        <v>Endurheimta?</v>
      </c>
      <c r="T637" s="21" t="str">
        <f ca="1">IFERROR(__xludf.DUMMYFUNCTION("GOOGLETRANSLATE($B637,""en"",T$3)"),"Restaurere?")</f>
        <v>Restaurere?</v>
      </c>
      <c r="U637" s="21" t="str">
        <f ca="1">IFERROR(__xludf.DUMMYFUNCTION("GOOGLETRANSLATE($B637,""en"",U$3)"),"استعادة؟")</f>
        <v>استعادة؟</v>
      </c>
      <c r="V637" s="21" t="str">
        <f ca="1">IFERROR(__xludf.DUMMYFUNCTION("GOOGLETRANSLATE($B637,""en"",V$3)"),"Przywracać?")</f>
        <v>Przywracać?</v>
      </c>
      <c r="W637" s="21" t="str">
        <f ca="1">IFERROR(__xludf.DUMMYFUNCTION("GOOGLETRANSLATE($B637,""en"",W$3)"),"Восстановить?")</f>
        <v>Восстановить?</v>
      </c>
      <c r="X637" s="21" t="str">
        <f ca="1">IFERROR(__xludf.DUMMYFUNCTION("GOOGLETRANSLATE($B637,""en"",X$3)"),"¿Restaurar?")</f>
        <v>¿Restaurar?</v>
      </c>
      <c r="Y637" s="21"/>
      <c r="Z637" s="21"/>
    </row>
    <row r="638" spans="1:26" ht="32.25" customHeight="1" x14ac:dyDescent="0.2">
      <c r="A638" s="17" t="s">
        <v>1378</v>
      </c>
      <c r="B638" s="17" t="s">
        <v>1379</v>
      </c>
      <c r="C638" s="21" t="str">
        <f ca="1">IFERROR(__xludf.DUMMYFUNCTION("GOOGLETRANSLATE($B638,""en"",C$3)"),"Fortsetzen")</f>
        <v>Fortsetzen</v>
      </c>
      <c r="D638" s="21" t="str">
        <f ca="1">IFERROR(__xludf.DUMMYFUNCTION("GOOGLETRANSLATE($B638,""en"",D$3)"),"Återuppta")</f>
        <v>Återuppta</v>
      </c>
      <c r="E638" s="21" t="str">
        <f ca="1">IFERROR(__xludf.DUMMYFUNCTION("GOOGLETRANSLATE($B638,""en"",E$3)"),"Retomar")</f>
        <v>Retomar</v>
      </c>
      <c r="F638" s="21" t="str">
        <f ca="1">IFERROR(__xludf.DUMMYFUNCTION("GOOGLETRANSLATE($B638,""en"",F$3)"),"Retomar")</f>
        <v>Retomar</v>
      </c>
      <c r="G638" s="21" t="str">
        <f ca="1">IFERROR(__xludf.DUMMYFUNCTION("GOOGLETRANSLATE($B638,""en"",G$3)"),"Reprise")</f>
        <v>Reprise</v>
      </c>
      <c r="H638" s="21" t="str">
        <f ca="1">IFERROR(__xludf.DUMMYFUNCTION("GOOGLETRANSLATE($B638,""en"",H$3)"),"berrekiten")</f>
        <v>berrekiten</v>
      </c>
      <c r="I638" s="21" t="str">
        <f ca="1">IFERROR(__xludf.DUMMYFUNCTION("GOOGLETRANSLATE($B638,""en"",I$3)"),"reprenent")</f>
        <v>reprenent</v>
      </c>
      <c r="J638" s="21" t="str">
        <f ca="1">IFERROR(__xludf.DUMMYFUNCTION("GOOGLETRANSLATE($B638,""en"",J$3)"),"Pokračování")</f>
        <v>Pokračování</v>
      </c>
      <c r="K638" s="21" t="str">
        <f ca="1">IFERROR(__xludf.DUMMYFUNCTION("GOOGLETRANSLATE($B638,""en"",K$3)"),"恢复")</f>
        <v>恢复</v>
      </c>
      <c r="L638" s="21" t="str">
        <f ca="1">IFERROR(__xludf.DUMMYFUNCTION("GOOGLETRANSLATE($B638,""en"",L$3)"),"恢復")</f>
        <v>恢復</v>
      </c>
      <c r="M638" s="21" t="str">
        <f ca="1">IFERROR(__xludf.DUMMYFUNCTION("GOOGLETRANSLATE($B638,""en"",M$3)"),"Hervatten")</f>
        <v>Hervatten</v>
      </c>
      <c r="N638" s="21" t="str">
        <f ca="1">IFERROR(__xludf.DUMMYFUNCTION("GOOGLETRANSLATE($B638,""en"",N$3)"),"Συνέχιση")</f>
        <v>Συνέχιση</v>
      </c>
      <c r="O638" s="21" t="str">
        <f ca="1">IFERROR(__xludf.DUMMYFUNCTION("GOOGLETRANSLATE($B638,""en"",O$3)"),"jatkaminen")</f>
        <v>jatkaminen</v>
      </c>
      <c r="P638" s="21" t="str">
        <f ca="1">IFERROR(__xludf.DUMMYFUNCTION("GOOGLETRANSLATE($B638,""en"",P$3)"),"filleadh")</f>
        <v>filleadh</v>
      </c>
      <c r="Q638" s="21" t="str">
        <f ca="1">IFERROR(__xludf.DUMMYFUNCTION("GOOGLETRANSLATE($B638,""en"",Q$3)"),"از سرگیری")</f>
        <v>از سرگیری</v>
      </c>
      <c r="R638" s="21" t="str">
        <f ca="1">IFERROR(__xludf.DUMMYFUNCTION("GOOGLETRANSLATE($B638,""en"",R$3)"),"והמשכים")</f>
        <v>והמשכים</v>
      </c>
      <c r="S638" s="21" t="str">
        <f ca="1">IFERROR(__xludf.DUMMYFUNCTION("GOOGLETRANSLATE($B638,""en"",S$3)"),"Byrja aftur")</f>
        <v>Byrja aftur</v>
      </c>
      <c r="T638" s="21" t="str">
        <f ca="1">IFERROR(__xludf.DUMMYFUNCTION("GOOGLETRANSLATE($B638,""en"",T$3)"),"Gjenopptar")</f>
        <v>Gjenopptar</v>
      </c>
      <c r="U638" s="21" t="str">
        <f ca="1">IFERROR(__xludf.DUMMYFUNCTION("GOOGLETRANSLATE($B638,""en"",U$3)"),"استئناف")</f>
        <v>استئناف</v>
      </c>
      <c r="V638" s="21" t="str">
        <f ca="1">IFERROR(__xludf.DUMMYFUNCTION("GOOGLETRANSLATE($B638,""en"",V$3)"),"wznawianie")</f>
        <v>wznawianie</v>
      </c>
      <c r="W638" s="21" t="str">
        <f ca="1">IFERROR(__xludf.DUMMYFUNCTION("GOOGLETRANSLATE($B638,""en"",W$3)"),"Возобновление")</f>
        <v>Возобновление</v>
      </c>
      <c r="X638" s="21" t="str">
        <f ca="1">IFERROR(__xludf.DUMMYFUNCTION("GOOGLETRANSLATE($B638,""en"",X$3)"),"Reanudando")</f>
        <v>Reanudando</v>
      </c>
      <c r="Y638" s="21"/>
      <c r="Z638" s="21"/>
    </row>
    <row r="639" spans="1:26" ht="32.25" customHeight="1" x14ac:dyDescent="0.2">
      <c r="A639" s="17" t="s">
        <v>1380</v>
      </c>
      <c r="B639" s="17" t="s">
        <v>1381</v>
      </c>
      <c r="C639" s="21" t="str">
        <f ca="1">IFERROR(__xludf.DUMMYFUNCTION("GOOGLETRANSLATE($B639,""en"",C$3)"),"Versionsgeschichte")</f>
        <v>Versionsgeschichte</v>
      </c>
      <c r="D639" s="21" t="str">
        <f ca="1">IFERROR(__xludf.DUMMYFUNCTION("GOOGLETRANSLATE($B639,""en"",D$3)"),"revisionshistorik")</f>
        <v>revisionshistorik</v>
      </c>
      <c r="E639" s="21" t="str">
        <f ca="1">IFERROR(__xludf.DUMMYFUNCTION("GOOGLETRANSLATE($B639,""en"",E$3)"),"Histórico de Revisão")</f>
        <v>Histórico de Revisão</v>
      </c>
      <c r="F639" s="21" t="str">
        <f ca="1">IFERROR(__xludf.DUMMYFUNCTION("GOOGLETRANSLATE($B639,""en"",F$3)"),"Histórico de Revisão")</f>
        <v>Histórico de Revisão</v>
      </c>
      <c r="G639" s="21" t="str">
        <f ca="1">IFERROR(__xludf.DUMMYFUNCTION("GOOGLETRANSLATE($B639,""en"",G$3)"),"Historique des révisions")</f>
        <v>Historique des révisions</v>
      </c>
      <c r="H639" s="21" t="str">
        <f ca="1">IFERROR(__xludf.DUMMYFUNCTION("GOOGLETRANSLATE($B639,""en"",H$3)"),"Errepasoa Historia")</f>
        <v>Errepasoa Historia</v>
      </c>
      <c r="I639" s="21" t="str">
        <f ca="1">IFERROR(__xludf.DUMMYFUNCTION("GOOGLETRANSLATE($B639,""en"",I$3)"),"Historial de versions")</f>
        <v>Historial de versions</v>
      </c>
      <c r="J639" s="21" t="str">
        <f ca="1">IFERROR(__xludf.DUMMYFUNCTION("GOOGLETRANSLATE($B639,""en"",J$3)"),"Historie revizí")</f>
        <v>Historie revizí</v>
      </c>
      <c r="K639" s="21" t="str">
        <f ca="1">IFERROR(__xludf.DUMMYFUNCTION("GOOGLETRANSLATE($B639,""en"",K$3)"),"修订记录")</f>
        <v>修订记录</v>
      </c>
      <c r="L639" s="21" t="str">
        <f ca="1">IFERROR(__xludf.DUMMYFUNCTION("GOOGLETRANSLATE($B639,""en"",L$3)"),"修訂記錄")</f>
        <v>修訂記錄</v>
      </c>
      <c r="M639" s="21" t="str">
        <f ca="1">IFERROR(__xludf.DUMMYFUNCTION("GOOGLETRANSLATE($B639,""en"",M$3)"),"revisiegeschiedenis")</f>
        <v>revisiegeschiedenis</v>
      </c>
      <c r="N639" s="21" t="str">
        <f ca="1">IFERROR(__xludf.DUMMYFUNCTION("GOOGLETRANSLATE($B639,""en"",N$3)"),"Ιστορία αναθεώρηση")</f>
        <v>Ιστορία αναθεώρηση</v>
      </c>
      <c r="O639" s="21" t="str">
        <f ca="1">IFERROR(__xludf.DUMMYFUNCTION("GOOGLETRANSLATE($B639,""en"",O$3)"),"Versiohistoria")</f>
        <v>Versiohistoria</v>
      </c>
      <c r="P639" s="21" t="str">
        <f ca="1">IFERROR(__xludf.DUMMYFUNCTION("GOOGLETRANSLATE($B639,""en"",P$3)"),"Dul siar Stair")</f>
        <v>Dul siar Stair</v>
      </c>
      <c r="Q639" s="21" t="str">
        <f ca="1">IFERROR(__xludf.DUMMYFUNCTION("GOOGLETRANSLATE($B639,""en"",Q$3)"),"تاریخچه ویرایشهای")</f>
        <v>تاریخچه ویرایشهای</v>
      </c>
      <c r="R639" s="21" t="str">
        <f ca="1">IFERROR(__xludf.DUMMYFUNCTION("GOOGLETRANSLATE($B639,""en"",R$3)"),"היסטוריה של תיקונים")</f>
        <v>היסטוריה של תיקונים</v>
      </c>
      <c r="S639" s="21" t="str">
        <f ca="1">IFERROR(__xludf.DUMMYFUNCTION("GOOGLETRANSLATE($B639,""en"",S$3)"),"endurskoðun Saga")</f>
        <v>endurskoðun Saga</v>
      </c>
      <c r="T639" s="21" t="str">
        <f ca="1">IFERROR(__xludf.DUMMYFUNCTION("GOOGLETRANSLATE($B639,""en"",T$3)"),"Endringshistorikk")</f>
        <v>Endringshistorikk</v>
      </c>
      <c r="U639" s="21" t="str">
        <f ca="1">IFERROR(__xludf.DUMMYFUNCTION("GOOGLETRANSLATE($B639,""en"",U$3)"),"مراجعة التاريخ")</f>
        <v>مراجعة التاريخ</v>
      </c>
      <c r="V639" s="21" t="str">
        <f ca="1">IFERROR(__xludf.DUMMYFUNCTION("GOOGLETRANSLATE($B639,""en"",V$3)"),"Historia zmian")</f>
        <v>Historia zmian</v>
      </c>
      <c r="W639" s="21" t="str">
        <f ca="1">IFERROR(__xludf.DUMMYFUNCTION("GOOGLETRANSLATE($B639,""en"",W$3)"),"лист регистраций изменений")</f>
        <v>лист регистраций изменений</v>
      </c>
      <c r="X639" s="21" t="str">
        <f ca="1">IFERROR(__xludf.DUMMYFUNCTION("GOOGLETRANSLATE($B639,""en"",X$3)"),"Revisión histórica")</f>
        <v>Revisión histórica</v>
      </c>
      <c r="Y639" s="21"/>
      <c r="Z639" s="21"/>
    </row>
    <row r="640" spans="1:26" ht="32.25" customHeight="1" x14ac:dyDescent="0.2">
      <c r="A640" s="17" t="s">
        <v>1382</v>
      </c>
      <c r="B640" s="17" t="s">
        <v>1383</v>
      </c>
      <c r="C640" s="21" t="str">
        <f ca="1">IFERROR(__xludf.DUMMYFUNCTION("GOOGLETRANSLATE($B640,""en"",C$3)"),"Robust verlassen. Möchten Sie das Fehlerprotokoll-Datei sehen?")</f>
        <v>Robust verlassen. Möchten Sie das Fehlerprotokoll-Datei sehen?</v>
      </c>
      <c r="D640" s="21" t="str">
        <f ca="1">IFERROR(__xludf.DUMMYFUNCTION("GOOGLETRANSLATE($B640,""en"",D$3)"),"Robust avslutas. Vill du se felloggfilen?")</f>
        <v>Robust avslutas. Vill du se felloggfilen?</v>
      </c>
      <c r="E640" s="21" t="str">
        <f ca="1">IFERROR(__xludf.DUMMYFUNCTION("GOOGLETRANSLATE($B640,""en"",E$3)"),"Robusto saiu. Você quer ver o arquivo de log de erro?")</f>
        <v>Robusto saiu. Você quer ver o arquivo de log de erro?</v>
      </c>
      <c r="F640" s="21" t="str">
        <f ca="1">IFERROR(__xludf.DUMMYFUNCTION("GOOGLETRANSLATE($B640,""en"",F$3)"),"Robusto saiu. Você quer ver o arquivo de log de erro?")</f>
        <v>Robusto saiu. Você quer ver o arquivo de log de erro?</v>
      </c>
      <c r="G640" s="21" t="str">
        <f ca="1">IFERROR(__xludf.DUMMYFUNCTION("GOOGLETRANSLATE($B640,""en"",G$3)"),"Robuste sorti. Voulez-vous voir le fichier journal des erreurs?")</f>
        <v>Robuste sorti. Voulez-vous voir le fichier journal des erreurs?</v>
      </c>
      <c r="H640" s="21" t="str">
        <f ca="1">IFERROR(__xludf.DUMMYFUNCTION("GOOGLETRANSLATE($B640,""en"",H$3)"),"Sendoa irten da. Ez error log fitxategia ikusi nahi al duzu?")</f>
        <v>Sendoa irten da. Ez error log fitxategia ikusi nahi al duzu?</v>
      </c>
      <c r="I640" s="21" t="str">
        <f ca="1">IFERROR(__xludf.DUMMYFUNCTION("GOOGLETRANSLATE($B640,""en"",I$3)"),"Robust sortit. Vols veure el fitxer de registre d'errors?")</f>
        <v>Robust sortit. Vols veure el fitxer de registre d'errors?</v>
      </c>
      <c r="J640" s="21" t="str">
        <f ca="1">IFERROR(__xludf.DUMMYFUNCTION("GOOGLETRANSLATE($B640,""en"",J$3)"),"Robustní ukončen. Chcete vidět soubor protokolu chyb?")</f>
        <v>Robustní ukončen. Chcete vidět soubor protokolu chyb?</v>
      </c>
      <c r="K640" s="21" t="str">
        <f ca="1">IFERROR(__xludf.DUMMYFUNCTION("GOOGLETRANSLATE($B640,""en"",K$3)"),"强大的退出。你想看到错误日志文件？")</f>
        <v>强大的退出。你想看到错误日志文件？</v>
      </c>
      <c r="L640" s="21" t="str">
        <f ca="1">IFERROR(__xludf.DUMMYFUNCTION("GOOGLETRANSLATE($B640,""en"",L$3)"),"強大的退出。你想看到錯誤日誌文件？")</f>
        <v>強大的退出。你想看到錯誤日誌文件？</v>
      </c>
      <c r="M640" s="21" t="str">
        <f ca="1">IFERROR(__xludf.DUMMYFUNCTION("GOOGLETRANSLATE($B640,""en"",M$3)"),"Robuuste verlaten. Wilt u de fout logbestand zien?")</f>
        <v>Robuuste verlaten. Wilt u de fout logbestand zien?</v>
      </c>
      <c r="N640" s="21" t="str">
        <f ca="1">IFERROR(__xludf.DUMMYFUNCTION("GOOGLETRANSLATE($B640,""en"",N$3)"),"Στιβαρή αποχώρησε. Θέλετε να δείτε το αρχείο καταγραφής σφαλμάτων;")</f>
        <v>Στιβαρή αποχώρησε. Θέλετε να δείτε το αρχείο καταγραφής σφαλμάτων;</v>
      </c>
      <c r="O640" s="21" t="str">
        <f ca="1">IFERROR(__xludf.DUMMYFUNCTION("GOOGLETRANSLATE($B640,""en"",O$3)"),"Tukeva poistui. Haluatko nähdä virhelokitiedostoon?")</f>
        <v>Tukeva poistui. Haluatko nähdä virhelokitiedostoon?</v>
      </c>
      <c r="P640" s="21" t="str">
        <f ca="1">IFERROR(__xludf.DUMMYFUNCTION("GOOGLETRANSLATE($B640,""en"",P$3)"),"Láidir sendmail. Ar mhaith leat a fheiceáil ar an comhad a logáil earráid?")</f>
        <v>Láidir sendmail. Ar mhaith leat a fheiceáil ar an comhad a logáil earráid?</v>
      </c>
      <c r="Q640" s="21" t="str">
        <f ca="1">IFERROR(__xludf.DUMMYFUNCTION("GOOGLETRANSLATE($B640,""en"",Q$3)"),"مقاوم خارج می شود. آیا شما می خواهید برای دیدن فایل ورود به خطا؟")</f>
        <v>مقاوم خارج می شود. آیا شما می خواهید برای دیدن فایل ورود به خطا؟</v>
      </c>
      <c r="R640" s="21" t="str">
        <f ca="1">IFERROR(__xludf.DUMMYFUNCTION("GOOGLETRANSLATE($B640,""en"",R$3)"),"חזק יצא. האם אתה רוצה לראות את קובץ היומן השגיא?")</f>
        <v>חזק יצא. האם אתה רוצה לראות את קובץ היומן השגיא?</v>
      </c>
      <c r="S640" s="21" t="str">
        <f ca="1">IFERROR(__xludf.DUMMYFUNCTION("GOOGLETRANSLATE($B640,""en"",S$3)"),"Sterkur lauk. Viltu sjá Villuannáll?")</f>
        <v>Sterkur lauk. Viltu sjá Villuannáll?</v>
      </c>
      <c r="T640" s="21" t="str">
        <f ca="1">IFERROR(__xludf.DUMMYFUNCTION("GOOGLETRANSLATE($B640,""en"",T$3)"),"Robust gått ut. Ønsker du å se feilloggfilen?")</f>
        <v>Robust gått ut. Ønsker du å se feilloggfilen?</v>
      </c>
      <c r="U640" s="21" t="str">
        <f ca="1">IFERROR(__xludf.DUMMYFUNCTION("GOOGLETRANSLATE($B640,""en"",U$3)"),"قوية خرجت. هل تريد أن ترى ملف سجل خطأ؟")</f>
        <v>قوية خرجت. هل تريد أن ترى ملف سجل خطأ؟</v>
      </c>
      <c r="V640" s="21" t="str">
        <f ca="1">IFERROR(__xludf.DUMMYFUNCTION("GOOGLETRANSLATE($B640,""en"",V$3)"),"Mocna wyszedł. Chcesz zobaczyć plik dziennika błędów?")</f>
        <v>Mocna wyszedł. Chcesz zobaczyć plik dziennika błędów?</v>
      </c>
      <c r="W640" s="21" t="str">
        <f ca="1">IFERROR(__xludf.DUMMYFUNCTION("GOOGLETRANSLATE($B640,""en"",W$3)"),"Прочные вышел. Вы хотите, чтобы увидеть файл журнала ошибок?")</f>
        <v>Прочные вышел. Вы хотите, чтобы увидеть файл журнала ошибок?</v>
      </c>
      <c r="X640" s="21" t="str">
        <f ca="1">IFERROR(__xludf.DUMMYFUNCTION("GOOGLETRANSLATE($B640,""en"",X$3)"),"Robust salido. ¿Quieres ver el archivo de registro de errores?")</f>
        <v>Robust salido. ¿Quieres ver el archivo de registro de errores?</v>
      </c>
      <c r="Y640" s="21"/>
      <c r="Z640" s="21"/>
    </row>
    <row r="641" spans="1:26" ht="32.25" customHeight="1" x14ac:dyDescent="0.2">
      <c r="A641" s="17" t="s">
        <v>1384</v>
      </c>
      <c r="B641" s="17" t="s">
        <v>1385</v>
      </c>
      <c r="C641" s="21" t="str">
        <f ca="1">IFERROR(__xludf.DUMMYFUNCTION("GOOGLETRANSLATE($B641,""en"",C$3)"),"Robust kann nicht starten")</f>
        <v>Robust kann nicht starten</v>
      </c>
      <c r="D641" s="21" t="str">
        <f ca="1">IFERROR(__xludf.DUMMYFUNCTION("GOOGLETRANSLATE($B641,""en"",D$3)"),"Robust gick inte att starta")</f>
        <v>Robust gick inte att starta</v>
      </c>
      <c r="E641" s="21" t="str">
        <f ca="1">IFERROR(__xludf.DUMMYFUNCTION("GOOGLETRANSLATE($B641,""en"",E$3)"),"Robusto falhou ao iniciar")</f>
        <v>Robusto falhou ao iniciar</v>
      </c>
      <c r="F641" s="21" t="str">
        <f ca="1">IFERROR(__xludf.DUMMYFUNCTION("GOOGLETRANSLATE($B641,""en"",F$3)"),"Robusto falhou ao iniciar")</f>
        <v>Robusto falhou ao iniciar</v>
      </c>
      <c r="G641" s="21" t="str">
        <f ca="1">IFERROR(__xludf.DUMMYFUNCTION("GOOGLETRANSLATE($B641,""en"",G$3)"),"Robuste n'a pas réussi à démarrer")</f>
        <v>Robuste n'a pas réussi à démarrer</v>
      </c>
      <c r="H641" s="21" t="str">
        <f ca="1">IFERROR(__xludf.DUMMYFUNCTION("GOOGLETRANSLATE($B641,""en"",H$3)"),"Sendoa huts egiten hasteko")</f>
        <v>Sendoa huts egiten hasteko</v>
      </c>
      <c r="I641" s="21" t="str">
        <f ca="1">IFERROR(__xludf.DUMMYFUNCTION("GOOGLETRANSLATE($B641,""en"",I$3)"),"Robusta no es va poder iniciar")</f>
        <v>Robusta no es va poder iniciar</v>
      </c>
      <c r="J641" s="21" t="str">
        <f ca="1">IFERROR(__xludf.DUMMYFUNCTION("GOOGLETRANSLATE($B641,""en"",J$3)"),"Robustní nepodařilo spustit")</f>
        <v>Robustní nepodařilo spustit</v>
      </c>
      <c r="K641" s="21" t="str">
        <f ca="1">IFERROR(__xludf.DUMMYFUNCTION("GOOGLETRANSLATE($B641,""en"",K$3)"),"乐百氏未能启动")</f>
        <v>乐百氏未能启动</v>
      </c>
      <c r="L641" s="21" t="str">
        <f ca="1">IFERROR(__xludf.DUMMYFUNCTION("GOOGLETRANSLATE($B641,""en"",L$3)"),"樂百氏未能啟動")</f>
        <v>樂百氏未能啟動</v>
      </c>
      <c r="M641" s="21" t="str">
        <f ca="1">IFERROR(__xludf.DUMMYFUNCTION("GOOGLETRANSLATE($B641,""en"",M$3)"),"Robuuste kan niet worden gestart")</f>
        <v>Robuuste kan niet worden gestart</v>
      </c>
      <c r="N641" s="21" t="str">
        <f ca="1">IFERROR(__xludf.DUMMYFUNCTION("GOOGLETRANSLATE($B641,""en"",N$3)"),"Στιβαρή απέτυχε να ξεκινήσει")</f>
        <v>Στιβαρή απέτυχε να ξεκινήσει</v>
      </c>
      <c r="O641" s="21" t="str">
        <f ca="1">IFERROR(__xludf.DUMMYFUNCTION("GOOGLETRANSLATE($B641,""en"",O$3)"),"Tukeva ei käynnistynyt")</f>
        <v>Tukeva ei käynnistynyt</v>
      </c>
      <c r="P641" s="21" t="str">
        <f ca="1">IFERROR(__xludf.DUMMYFUNCTION("GOOGLETRANSLATE($B641,""en"",P$3)"),"Láidir theip ar a thosú")</f>
        <v>Láidir theip ar a thosú</v>
      </c>
      <c r="Q641" s="21" t="str">
        <f ca="1">IFERROR(__xludf.DUMMYFUNCTION("GOOGLETRANSLATE($B641,""en"",Q$3)"),"مقاوم قادر به شروع")</f>
        <v>مقاوم قادر به شروع</v>
      </c>
      <c r="R641" s="21" t="str">
        <f ca="1">IFERROR(__xludf.DUMMYFUNCTION("GOOGLETRANSLATE($B641,""en"",R$3)"),"חזק נכשל")</f>
        <v>חזק נכשל</v>
      </c>
      <c r="S641" s="21" t="str">
        <f ca="1">IFERROR(__xludf.DUMMYFUNCTION("GOOGLETRANSLATE($B641,""en"",S$3)"),"Sterkur mistókst að byrja")</f>
        <v>Sterkur mistókst að byrja</v>
      </c>
      <c r="T641" s="21" t="str">
        <f ca="1">IFERROR(__xludf.DUMMYFUNCTION("GOOGLETRANSLATE($B641,""en"",T$3)"),"Robust startet ikke")</f>
        <v>Robust startet ikke</v>
      </c>
      <c r="U641" s="21" t="str">
        <f ca="1">IFERROR(__xludf.DUMMYFUNCTION("GOOGLETRANSLATE($B641,""en"",U$3)"),"قوية فشل في بدء التشغيل")</f>
        <v>قوية فشل في بدء التشغيل</v>
      </c>
      <c r="V641" s="21" t="str">
        <f ca="1">IFERROR(__xludf.DUMMYFUNCTION("GOOGLETRANSLATE($B641,""en"",V$3)"),"Mocna powiodło się")</f>
        <v>Mocna powiodło się</v>
      </c>
      <c r="W641" s="21" t="str">
        <f ca="1">IFERROR(__xludf.DUMMYFUNCTION("GOOGLETRANSLATE($B641,""en"",W$3)"),"Robust не удалось запустить")</f>
        <v>Robust не удалось запустить</v>
      </c>
      <c r="X641" s="21" t="str">
        <f ca="1">IFERROR(__xludf.DUMMYFUNCTION("GOOGLETRANSLATE($B641,""en"",X$3)"),"Robusta no se pudo iniciar")</f>
        <v>Robusta no se pudo iniciar</v>
      </c>
      <c r="Y641" s="21"/>
      <c r="Z641" s="21"/>
    </row>
    <row r="642" spans="1:26" ht="32.25" customHeight="1" x14ac:dyDescent="0.2">
      <c r="A642" s="17" t="s">
        <v>1386</v>
      </c>
      <c r="B642" s="17" t="s">
        <v>1387</v>
      </c>
      <c r="C642" s="21" t="str">
        <f ca="1">IFERROR(__xludf.DUMMYFUNCTION("GOOGLETRANSLATE($B642,""en"",C$3)"),"Robust läuft nicht auf dieser Maschine")</f>
        <v>Robust läuft nicht auf dieser Maschine</v>
      </c>
      <c r="D642" s="21" t="str">
        <f ca="1">IFERROR(__xludf.DUMMYFUNCTION("GOOGLETRANSLATE($B642,""en"",D$3)"),"Robust inte körs på den här maskinen")</f>
        <v>Robust inte körs på den här maskinen</v>
      </c>
      <c r="E642" s="21" t="str">
        <f ca="1">IFERROR(__xludf.DUMMYFUNCTION("GOOGLETRANSLATE($B642,""en"",E$3)"),"Robusto não está em execução nesta máquina")</f>
        <v>Robusto não está em execução nesta máquina</v>
      </c>
      <c r="F642" s="21" t="str">
        <f ca="1">IFERROR(__xludf.DUMMYFUNCTION("GOOGLETRANSLATE($B642,""en"",F$3)"),"Robusto não está em execução nesta máquina")</f>
        <v>Robusto não está em execução nesta máquina</v>
      </c>
      <c r="G642" s="21" t="str">
        <f ca="1">IFERROR(__xludf.DUMMYFUNCTION("GOOGLETRANSLATE($B642,""en"",G$3)"),"Robuste ne fonctionne pas sur cette machine")</f>
        <v>Robuste ne fonctionne pas sur cette machine</v>
      </c>
      <c r="H642" s="21" t="str">
        <f ca="1">IFERROR(__xludf.DUMMYFUNCTION("GOOGLETRANSLATE($B642,""en"",H$3)"),"Sendoa, ez dago makina honetan exekutatzen")</f>
        <v>Sendoa, ez dago makina honetan exekutatzen</v>
      </c>
      <c r="I642" s="21" t="str">
        <f ca="1">IFERROR(__xludf.DUMMYFUNCTION("GOOGLETRANSLATE($B642,""en"",I$3)"),"Robusta no s'està executant en aquest equip")</f>
        <v>Robusta no s'està executant en aquest equip</v>
      </c>
      <c r="J642" s="21" t="str">
        <f ca="1">IFERROR(__xludf.DUMMYFUNCTION("GOOGLETRANSLATE($B642,""en"",J$3)"),"Robustní není spuštěna v tomto počítači")</f>
        <v>Robustní není spuštěna v tomto počítači</v>
      </c>
      <c r="K642" s="21" t="str">
        <f ca="1">IFERROR(__xludf.DUMMYFUNCTION("GOOGLETRANSLATE($B642,""en"",K$3)"),"乐百氏是不是这台机器上运行")</f>
        <v>乐百氏是不是这台机器上运行</v>
      </c>
      <c r="L642" s="21" t="str">
        <f ca="1">IFERROR(__xludf.DUMMYFUNCTION("GOOGLETRANSLATE($B642,""en"",L$3)"),"樂百氏是不是這台機器上運行")</f>
        <v>樂百氏是不是這台機器上運行</v>
      </c>
      <c r="M642" s="21" t="str">
        <f ca="1">IFERROR(__xludf.DUMMYFUNCTION("GOOGLETRANSLATE($B642,""en"",M$3)"),"Robuust is niet actief op deze machine")</f>
        <v>Robuust is niet actief op deze machine</v>
      </c>
      <c r="N642" s="21" t="str">
        <f ca="1">IFERROR(__xludf.DUMMYFUNCTION("GOOGLETRANSLATE($B642,""en"",N$3)"),"Στιβαρή δεν εκτελείται σε αυτόν τον υπολογιστή")</f>
        <v>Στιβαρή δεν εκτελείται σε αυτόν τον υπολογιστή</v>
      </c>
      <c r="O642" s="21" t="str">
        <f ca="1">IFERROR(__xludf.DUMMYFUNCTION("GOOGLETRANSLATE($B642,""en"",O$3)"),"Tukeva ei ole käynnissä tällä koneella")</f>
        <v>Tukeva ei ole käynnissä tällä koneella</v>
      </c>
      <c r="P642" s="21" t="str">
        <f ca="1">IFERROR(__xludf.DUMMYFUNCTION("GOOGLETRANSLATE($B642,""en"",P$3)"),"Níl Láidir ag rith ar an ríomhaire")</f>
        <v>Níl Láidir ag rith ar an ríomhaire</v>
      </c>
      <c r="Q642" s="21" t="str">
        <f ca="1">IFERROR(__xludf.DUMMYFUNCTION("GOOGLETRANSLATE($B642,""en"",Q$3)"),"مقاوم در حال اجرا نیست در این دستگاه")</f>
        <v>مقاوم در حال اجرا نیست در این دستگاه</v>
      </c>
      <c r="R642" s="21" t="str">
        <f ca="1">IFERROR(__xludf.DUMMYFUNCTION("GOOGLETRANSLATE($B642,""en"",R$3)"),"יציבה לא פועלת במחשב זה")</f>
        <v>יציבה לא פועלת במחשב זה</v>
      </c>
      <c r="S642" s="21" t="str">
        <f ca="1">IFERROR(__xludf.DUMMYFUNCTION("GOOGLETRANSLATE($B642,""en"",S$3)"),"Sterkur er ekki í gangi á þessari vél")</f>
        <v>Sterkur er ekki í gangi á þessari vél</v>
      </c>
      <c r="T642" s="21" t="str">
        <f ca="1">IFERROR(__xludf.DUMMYFUNCTION("GOOGLETRANSLATE($B642,""en"",T$3)"),"Robust kjører ikke på denne maskinen")</f>
        <v>Robust kjører ikke på denne maskinen</v>
      </c>
      <c r="U642" s="21" t="str">
        <f ca="1">IFERROR(__xludf.DUMMYFUNCTION("GOOGLETRANSLATE($B642,""en"",U$3)"),"قوة ليست قيد التشغيل على هذا الجهاز")</f>
        <v>قوة ليست قيد التشغيل على هذا الجهاز</v>
      </c>
      <c r="V642" s="21" t="str">
        <f ca="1">IFERROR(__xludf.DUMMYFUNCTION("GOOGLETRANSLATE($B642,""en"",V$3)"),"Wytrzymała nie jest uruchomiony na tym komputerze")</f>
        <v>Wytrzymała nie jest uruchomiony na tym komputerze</v>
      </c>
      <c r="W642" s="21" t="str">
        <f ca="1">IFERROR(__xludf.DUMMYFUNCTION("GOOGLETRANSLATE($B642,""en"",W$3)"),"Robust не работает на этой машине")</f>
        <v>Robust не работает на этой машине</v>
      </c>
      <c r="X642" s="21" t="str">
        <f ca="1">IFERROR(__xludf.DUMMYFUNCTION("GOOGLETRANSLATE($B642,""en"",X$3)"),"Robusta no se está ejecutando en este equipo")</f>
        <v>Robusta no se está ejecutando en este equipo</v>
      </c>
      <c r="Y642" s="21"/>
      <c r="Z642" s="21"/>
    </row>
    <row r="643" spans="1:26" ht="32.25" customHeight="1" x14ac:dyDescent="0.2">
      <c r="A643" s="17" t="s">
        <v>1388</v>
      </c>
      <c r="B643" s="17" t="s">
        <v>1389</v>
      </c>
      <c r="C643" s="21" t="str">
        <f ca="1">IFERROR(__xludf.DUMMYFUNCTION("GOOGLETRANSLATE($B643,""en"",C$3)"),"Robust läuft")</f>
        <v>Robust läuft</v>
      </c>
      <c r="D643" s="21" t="str">
        <f ca="1">IFERROR(__xludf.DUMMYFUNCTION("GOOGLETRANSLATE($B643,""en"",D$3)"),"Robusta körs")</f>
        <v>Robusta körs</v>
      </c>
      <c r="E643" s="21" t="str">
        <f ca="1">IFERROR(__xludf.DUMMYFUNCTION("GOOGLETRANSLATE($B643,""en"",E$3)"),"é robusto que executam")</f>
        <v>é robusto que executam</v>
      </c>
      <c r="F643" s="21" t="str">
        <f ca="1">IFERROR(__xludf.DUMMYFUNCTION("GOOGLETRANSLATE($B643,""en"",F$3)"),"é robusto que executam")</f>
        <v>é robusto que executam</v>
      </c>
      <c r="G643" s="21" t="str">
        <f ca="1">IFERROR(__xludf.DUMMYFUNCTION("GOOGLETRANSLATE($B643,""en"",G$3)"),"Robuste est en cours d'exécution")</f>
        <v>Robuste est en cours d'exécution</v>
      </c>
      <c r="H643" s="21" t="str">
        <f ca="1">IFERROR(__xludf.DUMMYFUNCTION("GOOGLETRANSLATE($B643,""en"",H$3)"),"Sendoa da martxan")</f>
        <v>Sendoa da martxan</v>
      </c>
      <c r="I643" s="21" t="str">
        <f ca="1">IFERROR(__xludf.DUMMYFUNCTION("GOOGLETRANSLATE($B643,""en"",I$3)"),"és robust en execució")</f>
        <v>és robust en execució</v>
      </c>
      <c r="J643" s="21" t="str">
        <f ca="1">IFERROR(__xludf.DUMMYFUNCTION("GOOGLETRANSLATE($B643,""en"",J$3)"),"Robustní běží")</f>
        <v>Robustní běží</v>
      </c>
      <c r="K643" s="21" t="str">
        <f ca="1">IFERROR(__xludf.DUMMYFUNCTION("GOOGLETRANSLATE($B643,""en"",K$3)"),"健壮运行")</f>
        <v>健壮运行</v>
      </c>
      <c r="L643" s="21" t="str">
        <f ca="1">IFERROR(__xludf.DUMMYFUNCTION("GOOGLETRANSLATE($B643,""en"",L$3)"),"健壯運行")</f>
        <v>健壯運行</v>
      </c>
      <c r="M643" s="21" t="str">
        <f ca="1">IFERROR(__xludf.DUMMYFUNCTION("GOOGLETRANSLATE($B643,""en"",M$3)"),"Robuuste LOOPT")</f>
        <v>Robuuste LOOPT</v>
      </c>
      <c r="N643" s="21" t="str">
        <f ca="1">IFERROR(__xludf.DUMMYFUNCTION("GOOGLETRANSLATE($B643,""en"",N$3)"),"Ανθεκτική τρέχει")</f>
        <v>Ανθεκτική τρέχει</v>
      </c>
      <c r="O643" s="21" t="str">
        <f ca="1">IFERROR(__xludf.DUMMYFUNCTION("GOOGLETRANSLATE($B643,""en"",O$3)"),"Tukeva on käynnissä")</f>
        <v>Tukeva on käynnissä</v>
      </c>
      <c r="P643" s="21" t="str">
        <f ca="1">IFERROR(__xludf.DUMMYFUNCTION("GOOGLETRANSLATE($B643,""en"",P$3)"),"is é sin Láidir ag rith")</f>
        <v>is é sin Láidir ag rith</v>
      </c>
      <c r="Q643" s="21" t="str">
        <f ca="1">IFERROR(__xludf.DUMMYFUNCTION("GOOGLETRANSLATE($B643,""en"",Q$3)"),"است قوی در حال اجرا")</f>
        <v>است قوی در حال اجرا</v>
      </c>
      <c r="R643" s="21" t="str">
        <f ca="1">IFERROR(__xludf.DUMMYFUNCTION("GOOGLETRANSLATE($B643,""en"",R$3)"),"חזק הוא פועל")</f>
        <v>חזק הוא פועל</v>
      </c>
      <c r="S643" s="21" t="str">
        <f ca="1">IFERROR(__xludf.DUMMYFUNCTION("GOOGLETRANSLATE($B643,""en"",S$3)"),"Sterkur er í gangi")</f>
        <v>Sterkur er í gangi</v>
      </c>
      <c r="T643" s="21" t="str">
        <f ca="1">IFERROR(__xludf.DUMMYFUNCTION("GOOGLETRANSLATE($B643,""en"",T$3)"),"Robuste kjører")</f>
        <v>Robuste kjører</v>
      </c>
      <c r="U643" s="21" t="str">
        <f ca="1">IFERROR(__xludf.DUMMYFUNCTION("GOOGLETRANSLATE($B643,""en"",U$3)"),"قوية غير تشغيل")</f>
        <v>قوية غير تشغيل</v>
      </c>
      <c r="V643" s="21" t="str">
        <f ca="1">IFERROR(__xludf.DUMMYFUNCTION("GOOGLETRANSLATE($B643,""en"",V$3)"),"Solidne jest uruchomiony")</f>
        <v>Solidne jest uruchomiony</v>
      </c>
      <c r="W643" s="21" t="str">
        <f ca="1">IFERROR(__xludf.DUMMYFUNCTION("GOOGLETRANSLATE($B643,""en"",W$3)"),"Прочные работает под управлением")</f>
        <v>Прочные работает под управлением</v>
      </c>
      <c r="X643" s="21" t="str">
        <f ca="1">IFERROR(__xludf.DUMMYFUNCTION("GOOGLETRANSLATE($B643,""en"",X$3)"),"es robusto en ejecución")</f>
        <v>es robusto en ejecución</v>
      </c>
      <c r="Y643" s="21"/>
      <c r="Z643" s="21"/>
    </row>
    <row r="644" spans="1:26" ht="32.25" customHeight="1" x14ac:dyDescent="0.2">
      <c r="A644" s="17" t="s">
        <v>1390</v>
      </c>
      <c r="B644" s="17" t="s">
        <v>1391</v>
      </c>
      <c r="C644" s="21" t="str">
        <f ca="1">IFERROR(__xludf.DUMMYFUNCTION("GOOGLETRANSLATE($B644,""en"",C$3)"),"Robust")</f>
        <v>Robust</v>
      </c>
      <c r="D644" s="21" t="str">
        <f ca="1">IFERROR(__xludf.DUMMYFUNCTION("GOOGLETRANSLATE($B644,""en"",D$3)"),"Robust")</f>
        <v>Robust</v>
      </c>
      <c r="E644" s="21" t="str">
        <f ca="1">IFERROR(__xludf.DUMMYFUNCTION("GOOGLETRANSLATE($B644,""en"",E$3)"),"Robusto")</f>
        <v>Robusto</v>
      </c>
      <c r="F644" s="21" t="str">
        <f ca="1">IFERROR(__xludf.DUMMYFUNCTION("GOOGLETRANSLATE($B644,""en"",F$3)"),"Robusto")</f>
        <v>Robusto</v>
      </c>
      <c r="G644" s="21" t="str">
        <f ca="1">IFERROR(__xludf.DUMMYFUNCTION("GOOGLETRANSLATE($B644,""en"",G$3)"),"Robuste")</f>
        <v>Robuste</v>
      </c>
      <c r="H644" s="21" t="str">
        <f ca="1">IFERROR(__xludf.DUMMYFUNCTION("GOOGLETRANSLATE($B644,""en"",H$3)"),"sendoa")</f>
        <v>sendoa</v>
      </c>
      <c r="I644" s="21" t="str">
        <f ca="1">IFERROR(__xludf.DUMMYFUNCTION("GOOGLETRANSLATE($B644,""en"",I$3)"),"robust")</f>
        <v>robust</v>
      </c>
      <c r="J644" s="21" t="str">
        <f ca="1">IFERROR(__xludf.DUMMYFUNCTION("GOOGLETRANSLATE($B644,""en"",J$3)"),"Robustní")</f>
        <v>Robustní</v>
      </c>
      <c r="K644" s="21" t="str">
        <f ca="1">IFERROR(__xludf.DUMMYFUNCTION("GOOGLETRANSLATE($B644,""en"",K$3)"),"强大的")</f>
        <v>强大的</v>
      </c>
      <c r="L644" s="21" t="str">
        <f ca="1">IFERROR(__xludf.DUMMYFUNCTION("GOOGLETRANSLATE($B644,""en"",L$3)"),"強大的")</f>
        <v>強大的</v>
      </c>
      <c r="M644" s="21" t="str">
        <f ca="1">IFERROR(__xludf.DUMMYFUNCTION("GOOGLETRANSLATE($B644,""en"",M$3)"),"robuust")</f>
        <v>robuust</v>
      </c>
      <c r="N644" s="21" t="str">
        <f ca="1">IFERROR(__xludf.DUMMYFUNCTION("GOOGLETRANSLATE($B644,""en"",N$3)"),"Εύρωστος")</f>
        <v>Εύρωστος</v>
      </c>
      <c r="O644" s="21" t="str">
        <f ca="1">IFERROR(__xludf.DUMMYFUNCTION("GOOGLETRANSLATE($B644,""en"",O$3)"),"lujatekoinen")</f>
        <v>lujatekoinen</v>
      </c>
      <c r="P644" s="21" t="str">
        <f ca="1">IFERROR(__xludf.DUMMYFUNCTION("GOOGLETRANSLATE($B644,""en"",P$3)"),"láidir")</f>
        <v>láidir</v>
      </c>
      <c r="Q644" s="21" t="str">
        <f ca="1">IFERROR(__xludf.DUMMYFUNCTION("GOOGLETRANSLATE($B644,""en"",Q$3)"),"قدرتمند")</f>
        <v>قدرتمند</v>
      </c>
      <c r="R644" s="21" t="str">
        <f ca="1">IFERROR(__xludf.DUMMYFUNCTION("GOOGLETRANSLATE($B644,""en"",R$3)"),"חָסוֹן")</f>
        <v>חָסוֹן</v>
      </c>
      <c r="S644" s="21" t="str">
        <f ca="1">IFERROR(__xludf.DUMMYFUNCTION("GOOGLETRANSLATE($B644,""en"",S$3)"),"sterkur")</f>
        <v>sterkur</v>
      </c>
      <c r="T644" s="21" t="str">
        <f ca="1">IFERROR(__xludf.DUMMYFUNCTION("GOOGLETRANSLATE($B644,""en"",T$3)"),"robust")</f>
        <v>robust</v>
      </c>
      <c r="U644" s="21" t="str">
        <f ca="1">IFERROR(__xludf.DUMMYFUNCTION("GOOGLETRANSLATE($B644,""en"",U$3)"),"قوي")</f>
        <v>قوي</v>
      </c>
      <c r="V644" s="21" t="str">
        <f ca="1">IFERROR(__xludf.DUMMYFUNCTION("GOOGLETRANSLATE($B644,""en"",V$3)"),"Krzepki")</f>
        <v>Krzepki</v>
      </c>
      <c r="W644" s="21" t="str">
        <f ca="1">IFERROR(__xludf.DUMMYFUNCTION("GOOGLETRANSLATE($B644,""en"",W$3)"),"крепкий")</f>
        <v>крепкий</v>
      </c>
      <c r="X644" s="21" t="str">
        <f ca="1">IFERROR(__xludf.DUMMYFUNCTION("GOOGLETRANSLATE($B644,""en"",X$3)"),"Robusto")</f>
        <v>Robusto</v>
      </c>
      <c r="Y644" s="21"/>
      <c r="Z644" s="21"/>
    </row>
    <row r="645" spans="1:26" ht="32.25" customHeight="1" x14ac:dyDescent="0.2">
      <c r="A645" s="17" t="s">
        <v>1392</v>
      </c>
      <c r="B645" s="17" t="s">
        <v>1393</v>
      </c>
      <c r="C645" s="21" t="str">
        <f ca="1">IFERROR(__xludf.DUMMYFUNCTION("GOOGLETRANSLATE($B645,""en"",C$3)"),"Klicken Sie auf eine aktivierte Reihe zu starten oder die Region zu stoppen. Klicken Sie auf eine deaktivierte Zeile, um die Region zu bearbeiten.")</f>
        <v>Klicken Sie auf eine aktivierte Reihe zu starten oder die Region zu stoppen. Klicken Sie auf eine deaktivierte Zeile, um die Region zu bearbeiten.</v>
      </c>
      <c r="D645" s="21" t="str">
        <f ca="1">IFERROR(__xludf.DUMMYFUNCTION("GOOGLETRANSLATE($B645,""en"",D$3)"),"Klicka på en aktiverad rad för att starta eller stoppa regionen. Klicka en handikappad rad att redigera regionen.")</f>
        <v>Klicka på en aktiverad rad för att starta eller stoppa regionen. Klicka en handikappad rad att redigera regionen.</v>
      </c>
      <c r="E645" s="21" t="str">
        <f ca="1">IFERROR(__xludf.DUMMYFUNCTION("GOOGLETRANSLATE($B645,""en"",E$3)"),"Clique em uma linha habilitada para iniciar ou parar a região. Clique em uma linha desativada para editar a região.")</f>
        <v>Clique em uma linha habilitada para iniciar ou parar a região. Clique em uma linha desativada para editar a região.</v>
      </c>
      <c r="F645" s="21" t="str">
        <f ca="1">IFERROR(__xludf.DUMMYFUNCTION("GOOGLETRANSLATE($B645,""en"",F$3)"),"Clique em uma linha habilitada para iniciar ou parar a região. Clique em uma linha desativada para editar a região.")</f>
        <v>Clique em uma linha habilitada para iniciar ou parar a região. Clique em uma linha desativada para editar a região.</v>
      </c>
      <c r="G645" s="21" t="str">
        <f ca="1">IFERROR(__xludf.DUMMYFUNCTION("GOOGLETRANSLATE($B645,""en"",G$3)"),"Cliquez sur une ligne activée pour démarrer ou arrêter la région. Cliquez sur une ligne désactivée pour modifier la région.")</f>
        <v>Cliquez sur une ligne activée pour démarrer ou arrêter la région. Cliquez sur une ligne désactivée pour modifier la région.</v>
      </c>
      <c r="H645" s="21" t="str">
        <f ca="1">IFERROR(__xludf.DUMMYFUNCTION("GOOGLETRANSLATE($B645,""en"",H$3)"),"Klik hasteko edo eskualdeko gelditu gaituta ilara bat. Klik ezinduentzako ilara eskualdean editatzeko.")</f>
        <v>Klik hasteko edo eskualdeko gelditu gaituta ilara bat. Klik ezinduentzako ilara eskualdean editatzeko.</v>
      </c>
      <c r="I645" s="21" t="str">
        <f ca="1">IFERROR(__xludf.DUMMYFUNCTION("GOOGLETRANSLATE($B645,""en"",I$3)"),"Clic en una línia habilitada per iniciar o aturar la regió. Feu clic en una fila amb discapacitat per editar la regió.")</f>
        <v>Clic en una línia habilitada per iniciar o aturar la regió. Feu clic en una fila amb discapacitat per editar la regió.</v>
      </c>
      <c r="J645" s="21" t="str">
        <f ca="1">IFERROR(__xludf.DUMMYFUNCTION("GOOGLETRANSLATE($B645,""en"",J$3)"),"Po kliknutí na řádek povoleno spustit nebo zastavit region. Klepnutím na zakázané řádek upravit oblast.")</f>
        <v>Po kliknutí na řádek povoleno spustit nebo zastavit region. Klepnutím na zakázané řádek upravit oblast.</v>
      </c>
      <c r="K645" s="21" t="str">
        <f ca="1">IFERROR(__xludf.DUMMYFUNCTION("GOOGLETRANSLATE($B645,""en"",K$3)"),"点击实现的行启动或停止的区域。单击禁用行编辑区域。")</f>
        <v>点击实现的行启动或停止的区域。单击禁用行编辑区域。</v>
      </c>
      <c r="L645" s="21" t="str">
        <f ca="1">IFERROR(__xludf.DUMMYFUNCTION("GOOGLETRANSLATE($B645,""en"",L$3)"),"點擊實現的行啟動或停止的區域。單擊禁用行編輯區域。")</f>
        <v>點擊實現的行啟動或停止的區域。單擊禁用行編輯區域。</v>
      </c>
      <c r="M645" s="21" t="str">
        <f ca="1">IFERROR(__xludf.DUMMYFUNCTION("GOOGLETRANSLATE($B645,""en"",M$3)"),"Klik op een ingeschakelde rij te starten of te stoppen met de regio. Klik op een rij uitgeschakeld om de regio te bewerken.")</f>
        <v>Klik op een ingeschakelde rij te starten of te stoppen met de regio. Klik op een rij uitgeschakeld om de regio te bewerken.</v>
      </c>
      <c r="N645" s="21" t="str">
        <f ca="1">IFERROR(__xludf.DUMMYFUNCTION("GOOGLETRANSLATE($B645,""en"",N$3)"),"Κάντε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f>
        <v>Κάντε κλικ σε μια ενεργοποιημένη γραμμή για να αρχίσει ή να σταματήσει την περιοχή. Κάντε κλικ σε μια γραμμή με ειδικές ανάγκες για να επεξεργαστείτε την περιοχή.</v>
      </c>
      <c r="O645" s="21" t="str">
        <f ca="1">IFERROR(__xludf.DUMMYFUNCTION("GOOGLETRANSLATE($B645,""en"",O$3)"),"Napsauta käytössä rivin aloittaa tai lopettaa alueella. Klikkaa vammainen rivi muokata aluetta.")</f>
        <v>Napsauta käytössä rivin aloittaa tai lopettaa alueella. Klikkaa vammainen rivi muokata aluetta.</v>
      </c>
      <c r="P645" s="21" t="str">
        <f ca="1">IFERROR(__xludf.DUMMYFUNCTION("GOOGLETRANSLATE($B645,""en"",P$3)"),"Cliceáil ar a chéile ar chumas a thosú nó a stopadh leis an réigiún. Cliceáil a chéile faoi mhíchumas a chur in eagar ar an réigiún.")</f>
        <v>Cliceáil ar a chéile ar chumas a thosú nó a stopadh leis an réigiún. Cliceáil a chéile faoi mhíchumas a chur in eagar ar an réigiún.</v>
      </c>
      <c r="Q645" s="21" t="str">
        <f ca="1">IFERROR(__xludf.DUMMYFUNCTION("GOOGLETRANSLATE($B645,""en"",Q$3)"),"کلیک کنید یک ردیف را قادر به شروع و یا متوقف منطقه است. کلیک کنید یک ردیف معلول برای ویرایش این منطقه است.")</f>
        <v>کلیک کنید یک ردیف را قادر به شروع و یا متوقف منطقه است. کلیک کنید یک ردیف معلول برای ویرایش این منطقه است.</v>
      </c>
      <c r="R645" s="21" t="str">
        <f ca="1">IFERROR(__xludf.DUMMYFUNCTION("GOOGLETRANSLATE($B645,""en"",R$3)"),"לחץ על שורה אפשרה להתחיל או להפסיק את האזור. לחץ על שורת נכים לערוך באזור.")</f>
        <v>לחץ על שורה אפשרה להתחיל או להפסיק את האזור. לחץ על שורת נכים לערוך באזור.</v>
      </c>
      <c r="S645" s="21" t="str">
        <f ca="1">IFERROR(__xludf.DUMMYFUNCTION("GOOGLETRANSLATE($B645,""en"",S$3)"),"Smelltu á virkjað röð til að hefja eða stöðva á svæðinu. Smelltu fatlaður röð til að breyta svæðinu.")</f>
        <v>Smelltu á virkjað röð til að hefja eða stöðva á svæðinu. Smelltu fatlaður röð til að breyta svæðinu.</v>
      </c>
      <c r="T645" s="21" t="str">
        <f ca="1">IFERROR(__xludf.DUMMYFUNCTION("GOOGLETRANSLATE($B645,""en"",T$3)"),"Klikk på en aktivert rad for å starte eller stoppe regionen. Klikk på en funksjonshemmet rad for å redigere regionen.")</f>
        <v>Klikk på en aktivert rad for å starte eller stoppe regionen. Klikk på en funksjonshemmet rad for å redigere regionen.</v>
      </c>
      <c r="U645" s="21" t="str">
        <f ca="1">IFERROR(__xludf.DUMMYFUNCTION("GOOGLETRANSLATE($B645,""en"",U$3)"),"انقر فوق صف سكريبت لتشغيل أو إيقاف المنطقة. فوق صف تعطيل لتحرير المنطقة.")</f>
        <v>انقر فوق صف سكريبت لتشغيل أو إيقاف المنطقة. فوق صف تعطيل لتحرير المنطقة.</v>
      </c>
      <c r="V645" s="21" t="str">
        <f ca="1">IFERROR(__xludf.DUMMYFUNCTION("GOOGLETRANSLATE($B645,""en"",V$3)"),"Kliknij włączoną wiersz włączenie lub wyłączenie regionu. Kliknij niepełnosprawnego wiersz edytować region.")</f>
        <v>Kliknij włączoną wiersz włączenie lub wyłączenie regionu. Kliknij niepełnosprawnego wiersz edytować region.</v>
      </c>
      <c r="W645" s="21" t="str">
        <f ca="1">IFERROR(__xludf.DUMMYFUNCTION("GOOGLETRANSLATE($B645,""en"",W$3)"),"Нажмите на включенную строку, чтобы начать или остановить этот регион. Нажмите отключенную строку для редактирования региона.")</f>
        <v>Нажмите на включенную строку, чтобы начать или остановить этот регион. Нажмите отключенную строку для редактирования региона.</v>
      </c>
      <c r="X645" s="21" t="str">
        <f ca="1">IFERROR(__xludf.DUMMYFUNCTION("GOOGLETRANSLATE($B645,""en"",X$3)"),"Clic en una línea habilitada para iniciar o detener la región. Haga clic en una fila con discapacidad para editar la región.")</f>
        <v>Clic en una línea habilitada para iniciar o detener la región. Haga clic en una fila con discapacidad para editar la región.</v>
      </c>
      <c r="Y645" s="21"/>
      <c r="Z645" s="21"/>
    </row>
    <row r="646" spans="1:26" ht="32.25" customHeight="1" x14ac:dyDescent="0.2">
      <c r="A646" s="17" t="s">
        <v>1394</v>
      </c>
      <c r="B646" s="17" t="s">
        <v>1395</v>
      </c>
      <c r="C646" s="21" t="str">
        <f ca="1">IFERROR(__xludf.DUMMYFUNCTION("GOOGLETRANSLATE($B646,""en"",C$3)"),"Run All")</f>
        <v>Run All</v>
      </c>
      <c r="D646" s="21" t="str">
        <f ca="1">IFERROR(__xludf.DUMMYFUNCTION("GOOGLETRANSLATE($B646,""en"",D$3)"),"Kör All")</f>
        <v>Kör All</v>
      </c>
      <c r="E646" s="21" t="str">
        <f ca="1">IFERROR(__xludf.DUMMYFUNCTION("GOOGLETRANSLATE($B646,""en"",E$3)"),"Run All")</f>
        <v>Run All</v>
      </c>
      <c r="F646" s="21" t="str">
        <f ca="1">IFERROR(__xludf.DUMMYFUNCTION("GOOGLETRANSLATE($B646,""en"",F$3)"),"Run All")</f>
        <v>Run All</v>
      </c>
      <c r="G646" s="21" t="str">
        <f ca="1">IFERROR(__xludf.DUMMYFUNCTION("GOOGLETRANSLATE($B646,""en"",G$3)"),"Rassemblez tous les")</f>
        <v>Rassemblez tous les</v>
      </c>
      <c r="H646" s="21" t="str">
        <f ca="1">IFERROR(__xludf.DUMMYFUNCTION("GOOGLETRANSLATE($B646,""en"",H$3)"),"Run guztiak")</f>
        <v>Run guztiak</v>
      </c>
      <c r="I646" s="21" t="str">
        <f ca="1">IFERROR(__xludf.DUMMYFUNCTION("GOOGLETRANSLATE($B646,""en"",I$3)"),"executar tot")</f>
        <v>executar tot</v>
      </c>
      <c r="J646" s="21" t="str">
        <f ca="1">IFERROR(__xludf.DUMMYFUNCTION("GOOGLETRANSLATE($B646,""en"",J$3)"),"Run All")</f>
        <v>Run All</v>
      </c>
      <c r="K646" s="21" t="str">
        <f ca="1">IFERROR(__xludf.DUMMYFUNCTION("GOOGLETRANSLATE($B646,""en"",K$3)"),"所有运行")</f>
        <v>所有运行</v>
      </c>
      <c r="L646" s="21" t="str">
        <f ca="1">IFERROR(__xludf.DUMMYFUNCTION("GOOGLETRANSLATE($B646,""en"",L$3)"),"所有運行")</f>
        <v>所有運行</v>
      </c>
      <c r="M646" s="21" t="str">
        <f ca="1">IFERROR(__xludf.DUMMYFUNCTION("GOOGLETRANSLATE($B646,""en"",M$3)"),"Run Alle")</f>
        <v>Run Alle</v>
      </c>
      <c r="N646" s="21" t="str">
        <f ca="1">IFERROR(__xludf.DUMMYFUNCTION("GOOGLETRANSLATE($B646,""en"",N$3)"),"Εκτέλεση Όλα")</f>
        <v>Εκτέλεση Όλα</v>
      </c>
      <c r="O646" s="21" t="str">
        <f ca="1">IFERROR(__xludf.DUMMYFUNCTION("GOOGLETRANSLATE($B646,""en"",O$3)"),"run Kaikki")</f>
        <v>run Kaikki</v>
      </c>
      <c r="P646" s="21" t="str">
        <f ca="1">IFERROR(__xludf.DUMMYFUNCTION("GOOGLETRANSLATE($B646,""en"",P$3)"),"Rith Gach")</f>
        <v>Rith Gach</v>
      </c>
      <c r="Q646" s="21" t="str">
        <f ca="1">IFERROR(__xludf.DUMMYFUNCTION("GOOGLETRANSLATE($B646,""en"",Q$3)"),"اجرای همه")</f>
        <v>اجرای همه</v>
      </c>
      <c r="R646" s="21" t="str">
        <f ca="1">IFERROR(__xludf.DUMMYFUNCTION("GOOGLETRANSLATE($B646,""en"",R$3)"),"הפעל הכל")</f>
        <v>הפעל הכל</v>
      </c>
      <c r="S646" s="21" t="str">
        <f ca="1">IFERROR(__xludf.DUMMYFUNCTION("GOOGLETRANSLATE($B646,""en"",S$3)"),"Run All")</f>
        <v>Run All</v>
      </c>
      <c r="T646" s="21" t="str">
        <f ca="1">IFERROR(__xludf.DUMMYFUNCTION("GOOGLETRANSLATE($B646,""en"",T$3)"),"Kjør Alle")</f>
        <v>Kjør Alle</v>
      </c>
      <c r="U646" s="21" t="str">
        <f ca="1">IFERROR(__xludf.DUMMYFUNCTION("GOOGLETRANSLATE($B646,""en"",U$3)"),"تشغيل الكل")</f>
        <v>تشغيل الكل</v>
      </c>
      <c r="V646" s="21" t="str">
        <f ca="1">IFERROR(__xludf.DUMMYFUNCTION("GOOGLETRANSLATE($B646,""en"",V$3)"),"Run All")</f>
        <v>Run All</v>
      </c>
      <c r="W646" s="21" t="str">
        <f ca="1">IFERROR(__xludf.DUMMYFUNCTION("GOOGLETRANSLATE($B646,""en"",W$3)"),"Выполнить все")</f>
        <v>Выполнить все</v>
      </c>
      <c r="X646" s="21" t="str">
        <f ca="1">IFERROR(__xludf.DUMMYFUNCTION("GOOGLETRANSLATE($B646,""en"",X$3)"),"Ejecutar todo")</f>
        <v>Ejecutar todo</v>
      </c>
      <c r="Y646" s="21"/>
      <c r="Z646" s="21"/>
    </row>
    <row r="647" spans="1:26" ht="32.25" customHeight="1" x14ac:dyDescent="0.2">
      <c r="A647" s="17" t="s">
        <v>1396</v>
      </c>
      <c r="B647" s="17" t="s">
        <v>1397</v>
      </c>
      <c r="C647" s="18" t="s">
        <v>1398</v>
      </c>
      <c r="D647" s="12" t="str">
        <f ca="1">IFERROR(__xludf.DUMMYFUNCTION("GOOGLETRANSLATE($B646,""en"",D$3)"),"Kör All")</f>
        <v>Kör All</v>
      </c>
      <c r="E647" s="12" t="str">
        <f ca="1">IFERROR(__xludf.DUMMYFUNCTION("GOOGLETRANSLATE($B646,""en"",E$3)"),"Run All")</f>
        <v>Run All</v>
      </c>
      <c r="F647" s="12" t="str">
        <f ca="1">IFERROR(__xludf.DUMMYFUNCTION("GOOGLETRANSLATE($B646,""en"",F$3)"),"Run All")</f>
        <v>Run All</v>
      </c>
      <c r="G647" s="12" t="str">
        <f ca="1">IFERROR(__xludf.DUMMYFUNCTION("GOOGLETRANSLATE($B646,""en"",G$3)"),"Rassemblez tous les")</f>
        <v>Rassemblez tous les</v>
      </c>
      <c r="H647" s="12" t="str">
        <f ca="1">IFERROR(__xludf.DUMMYFUNCTION("GOOGLETRANSLATE($B646,""en"",H$3)"),"Run guztiak")</f>
        <v>Run guztiak</v>
      </c>
      <c r="I647" s="12" t="str">
        <f ca="1">IFERROR(__xludf.DUMMYFUNCTION("GOOGLETRANSLATE($B646,""en"",I$3)"),"executar tot")</f>
        <v>executar tot</v>
      </c>
      <c r="J647" s="12" t="str">
        <f ca="1">IFERROR(__xludf.DUMMYFUNCTION("GOOGLETRANSLATE($B646,""en"",J$3)"),"Run All")</f>
        <v>Run All</v>
      </c>
      <c r="K647" s="12" t="str">
        <f ca="1">IFERROR(__xludf.DUMMYFUNCTION("GOOGLETRANSLATE($B646,""en"",K$3)"),"所有运行")</f>
        <v>所有运行</v>
      </c>
      <c r="L647" s="12" t="str">
        <f ca="1">IFERROR(__xludf.DUMMYFUNCTION("GOOGLETRANSLATE($B646,""en"",L$3)"),"所有運行")</f>
        <v>所有運行</v>
      </c>
      <c r="M647" s="12" t="str">
        <f ca="1">IFERROR(__xludf.DUMMYFUNCTION("GOOGLETRANSLATE($B646,""en"",M$3)"),"Run Alle")</f>
        <v>Run Alle</v>
      </c>
      <c r="N647" s="12" t="str">
        <f ca="1">IFERROR(__xludf.DUMMYFUNCTION("GOOGLETRANSLATE($B646,""en"",N$3)"),"Εκτέλεση Όλα")</f>
        <v>Εκτέλεση Όλα</v>
      </c>
      <c r="O647" s="12" t="str">
        <f ca="1">IFERROR(__xludf.DUMMYFUNCTION("GOOGLETRANSLATE($B646,""en"",O$3)"),"run Kaikki")</f>
        <v>run Kaikki</v>
      </c>
      <c r="P647" s="12" t="str">
        <f ca="1">IFERROR(__xludf.DUMMYFUNCTION("GOOGLETRANSLATE($B646,""en"",P$3)"),"Rith Gach")</f>
        <v>Rith Gach</v>
      </c>
      <c r="Q647" s="12" t="str">
        <f ca="1">IFERROR(__xludf.DUMMYFUNCTION("GOOGLETRANSLATE($B646,""en"",Q$3)"),"اجرای همه")</f>
        <v>اجرای همه</v>
      </c>
      <c r="R647" s="12" t="str">
        <f ca="1">IFERROR(__xludf.DUMMYFUNCTION("GOOGLETRANSLATE($B646,""en"",R$3)"),"הפעל הכל")</f>
        <v>הפעל הכל</v>
      </c>
      <c r="S647" s="12" t="str">
        <f ca="1">IFERROR(__xludf.DUMMYFUNCTION("GOOGLETRANSLATE($B646,""en"",S$3)"),"Run All")</f>
        <v>Run All</v>
      </c>
      <c r="T647" s="12" t="str">
        <f ca="1">IFERROR(__xludf.DUMMYFUNCTION("GOOGLETRANSLATE($B646,""en"",T$3)"),"Kjør Alle")</f>
        <v>Kjør Alle</v>
      </c>
      <c r="U647" s="12" t="str">
        <f ca="1">IFERROR(__xludf.DUMMYFUNCTION("GOOGLETRANSLATE($B646,""en"",U$3)"),"تشغيل الكل")</f>
        <v>تشغيل الكل</v>
      </c>
      <c r="V647" s="12" t="str">
        <f ca="1">IFERROR(__xludf.DUMMYFUNCTION("GOOGLETRANSLATE($B646,""en"",V$3)"),"Run All")</f>
        <v>Run All</v>
      </c>
      <c r="W647" s="12" t="str">
        <f ca="1">IFERROR(__xludf.DUMMYFUNCTION("GOOGLETRANSLATE($B646,""en"",W$3)"),"Выполнить все")</f>
        <v>Выполнить все</v>
      </c>
      <c r="X647" s="12" t="str">
        <f ca="1">IFERROR(__xludf.DUMMYFUNCTION("GOOGLETRANSLATE($B646,""en"",X$3)"),"Ejecutar todo")</f>
        <v>Ejecutar todo</v>
      </c>
      <c r="Y647" s="12"/>
      <c r="Z647" s="12"/>
    </row>
    <row r="648" spans="1:26" ht="32.25" customHeight="1" x14ac:dyDescent="0.2">
      <c r="A648" s="10" t="s">
        <v>1399</v>
      </c>
      <c r="B648" s="10" t="s">
        <v>1400</v>
      </c>
      <c r="C648" s="21" t="str">
        <f ca="1">IFERROR(__xludf.DUMMYFUNCTION("GOOGLETRANSLATE($B648,""en"",C$3)"),"Die Ausführung als Region Server")</f>
        <v>Die Ausführung als Region Server</v>
      </c>
      <c r="D648" s="21" t="str">
        <f ca="1">IFERROR(__xludf.DUMMYFUNCTION("GOOGLETRANSLATE($B648,""en"",D$3)"),"Körs som en region Server")</f>
        <v>Körs som en region Server</v>
      </c>
      <c r="E648" s="21" t="str">
        <f ca="1">IFERROR(__xludf.DUMMYFUNCTION("GOOGLETRANSLATE($B648,""en"",E$3)"),"Executando como uma Região Servidor")</f>
        <v>Executando como uma Região Servidor</v>
      </c>
      <c r="F648" s="21" t="str">
        <f ca="1">IFERROR(__xludf.DUMMYFUNCTION("GOOGLETRANSLATE($B648,""en"",F$3)"),"Executando como uma Região Servidor")</f>
        <v>Executando como uma Região Servidor</v>
      </c>
      <c r="G648" s="21" t="str">
        <f ca="1">IFERROR(__xludf.DUMMYFUNCTION("GOOGLETRANSLATE($B648,""en"",G$3)"),"Exécution en tant que serveur Région")</f>
        <v>Exécution en tant que serveur Région</v>
      </c>
      <c r="H648" s="21" t="str">
        <f ca="1">IFERROR(__xludf.DUMMYFUNCTION("GOOGLETRANSLATE($B648,""en"",H$3)"),"Eskualde zerbitzari gisa exekutatzen")</f>
        <v>Eskualde zerbitzari gisa exekutatzen</v>
      </c>
      <c r="I648" s="21" t="str">
        <f ca="1">IFERROR(__xludf.DUMMYFUNCTION("GOOGLETRANSLATE($B648,""en"",I$3)"),"S'executa com un servidor de la regió")</f>
        <v>S'executa com un servidor de la regió</v>
      </c>
      <c r="J648" s="21" t="str">
        <f ca="1">IFERROR(__xludf.DUMMYFUNCTION("GOOGLETRANSLATE($B648,""en"",J$3)"),"Běží jako region Server")</f>
        <v>Běží jako region Server</v>
      </c>
      <c r="K648" s="21" t="str">
        <f ca="1">IFERROR(__xludf.DUMMYFUNCTION("GOOGLETRANSLATE($B648,""en"",K$3)"),"运行的地区服务器")</f>
        <v>运行的地区服务器</v>
      </c>
      <c r="L648" s="21" t="str">
        <f ca="1">IFERROR(__xludf.DUMMYFUNCTION("GOOGLETRANSLATE($B648,""en"",L$3)"),"運行的地區服務器")</f>
        <v>運行的地區服務器</v>
      </c>
      <c r="M648" s="21" t="str">
        <f ca="1">IFERROR(__xludf.DUMMYFUNCTION("GOOGLETRANSLATE($B648,""en"",M$3)"),"Uitgevoerd als een Region Server")</f>
        <v>Uitgevoerd als een Region Server</v>
      </c>
      <c r="N648" s="21" t="str">
        <f ca="1">IFERROR(__xludf.DUMMYFUNCTION("GOOGLETRANSLATE($B648,""en"",N$3)"),"Τρέξιμο ως Περιφέρεια διακομιστή")</f>
        <v>Τρέξιμο ως Περιφέρεια διακομιστή</v>
      </c>
      <c r="O648" s="21" t="str">
        <f ca="1">IFERROR(__xludf.DUMMYFUNCTION("GOOGLETRANSLATE($B648,""en"",O$3)"),"Running alueena Server")</f>
        <v>Running alueena Server</v>
      </c>
      <c r="P648" s="21" t="str">
        <f ca="1">IFERROR(__xludf.DUMMYFUNCTION("GOOGLETRANSLATE($B648,""en"",P$3)"),"Rith mar Fhreastalaí Réigiún")</f>
        <v>Rith mar Fhreastalaí Réigiún</v>
      </c>
      <c r="Q648" s="21" t="str">
        <f ca="1">IFERROR(__xludf.DUMMYFUNCTION("GOOGLETRANSLATE($B648,""en"",Q$3)"),"در حال اجرا به عنوان یک منطقه سرور")</f>
        <v>در حال اجرا به عنوان یک منطقه سرور</v>
      </c>
      <c r="R648" s="21" t="str">
        <f ca="1">IFERROR(__xludf.DUMMYFUNCTION("GOOGLETRANSLATE($B648,""en"",R$3)"),"Running כשרת אזור")</f>
        <v>Running כשרת אזור</v>
      </c>
      <c r="S648" s="21" t="str">
        <f ca="1">IFERROR(__xludf.DUMMYFUNCTION("GOOGLETRANSLATE($B648,""en"",S$3)"),"Gangi sem svæðið Server")</f>
        <v>Gangi sem svæðið Server</v>
      </c>
      <c r="T648" s="21" t="str">
        <f ca="1">IFERROR(__xludf.DUMMYFUNCTION("GOOGLETRANSLATE($B648,""en"",T$3)"),"Kjører som en region Server")</f>
        <v>Kjører som en region Server</v>
      </c>
      <c r="U648" s="21" t="str">
        <f ca="1">IFERROR(__xludf.DUMMYFUNCTION("GOOGLETRANSLATE($B648,""en"",U$3)"),"تشغيل كمنطقة خادم")</f>
        <v>تشغيل كمنطقة خادم</v>
      </c>
      <c r="V648" s="21" t="str">
        <f ca="1">IFERROR(__xludf.DUMMYFUNCTION("GOOGLETRANSLATE($B648,""en"",V$3)"),"Uruchamianie jako region Server")</f>
        <v>Uruchamianie jako region Server</v>
      </c>
      <c r="W648" s="21" t="str">
        <f ca="1">IFERROR(__xludf.DUMMYFUNCTION("GOOGLETRANSLATE($B648,""en"",W$3)"),"Запуск в области сервера")</f>
        <v>Запуск в области сервера</v>
      </c>
      <c r="X648" s="21" t="str">
        <f ca="1">IFERROR(__xludf.DUMMYFUNCTION("GOOGLETRANSLATE($B648,""en"",X$3)"),"Se ejecuta como un servidor de la región")</f>
        <v>Se ejecuta como un servidor de la región</v>
      </c>
      <c r="Y648" s="25"/>
      <c r="Z648" s="25"/>
    </row>
    <row r="649" spans="1:26" ht="32.25" customHeight="1" x14ac:dyDescent="0.2">
      <c r="A649" s="10" t="s">
        <v>1399</v>
      </c>
      <c r="B649" s="10" t="s">
        <v>1400</v>
      </c>
      <c r="C649" s="11" t="str">
        <f ca="1">IFERROR(__xludf.DUMMYFUNCTION("GOOGLETRANSLATE($B649,""en"",C$3)"),"Die Ausführung als Region Server")</f>
        <v>Die Ausführung als Region Server</v>
      </c>
      <c r="D649" s="11" t="str">
        <f ca="1">IFERROR(__xludf.DUMMYFUNCTION("GOOGLETRANSLATE($B649,""en"",D$3)"),"Körs som en region Server")</f>
        <v>Körs som en region Server</v>
      </c>
      <c r="E649" s="11" t="str">
        <f ca="1">IFERROR(__xludf.DUMMYFUNCTION("GOOGLETRANSLATE($B649,""en"",E$3)"),"Executando como uma Região Servidor")</f>
        <v>Executando como uma Região Servidor</v>
      </c>
      <c r="F649" s="11" t="str">
        <f ca="1">IFERROR(__xludf.DUMMYFUNCTION("GOOGLETRANSLATE($B649,""en"",F$3)"),"Executando como uma Região Servidor")</f>
        <v>Executando como uma Região Servidor</v>
      </c>
      <c r="G649" s="11" t="str">
        <f ca="1">IFERROR(__xludf.DUMMYFUNCTION("GOOGLETRANSLATE($B649,""en"",G$3)"),"Exécution en tant que serveur Région")</f>
        <v>Exécution en tant que serveur Région</v>
      </c>
      <c r="H649" s="11" t="str">
        <f ca="1">IFERROR(__xludf.DUMMYFUNCTION("GOOGLETRANSLATE($B649,""en"",H$3)"),"Eskualde zerbitzari gisa exekutatzen")</f>
        <v>Eskualde zerbitzari gisa exekutatzen</v>
      </c>
      <c r="I649" s="11" t="str">
        <f ca="1">IFERROR(__xludf.DUMMYFUNCTION("GOOGLETRANSLATE($B649,""en"",I$3)"),"S'executa com un servidor de la regió")</f>
        <v>S'executa com un servidor de la regió</v>
      </c>
      <c r="J649" s="11" t="str">
        <f ca="1">IFERROR(__xludf.DUMMYFUNCTION("GOOGLETRANSLATE($B649,""en"",J$3)"),"Běží jako region Server")</f>
        <v>Běží jako region Server</v>
      </c>
      <c r="K649" s="11" t="str">
        <f ca="1">IFERROR(__xludf.DUMMYFUNCTION("GOOGLETRANSLATE($B649,""en"",K$3)"),"运行的地区服务器")</f>
        <v>运行的地区服务器</v>
      </c>
      <c r="L649" s="11" t="str">
        <f ca="1">IFERROR(__xludf.DUMMYFUNCTION("GOOGLETRANSLATE($B649,""en"",L$3)"),"運行的地區服務器")</f>
        <v>運行的地區服務器</v>
      </c>
      <c r="M649" s="11" t="str">
        <f ca="1">IFERROR(__xludf.DUMMYFUNCTION("GOOGLETRANSLATE($B649,""en"",M$3)"),"Uitgevoerd als een Region Server")</f>
        <v>Uitgevoerd als een Region Server</v>
      </c>
      <c r="N649" s="11" t="str">
        <f ca="1">IFERROR(__xludf.DUMMYFUNCTION("GOOGLETRANSLATE($B649,""en"",N$3)"),"Τρέξιμο ως Περιφέρεια διακομιστή")</f>
        <v>Τρέξιμο ως Περιφέρεια διακομιστή</v>
      </c>
      <c r="O649" s="11" t="str">
        <f ca="1">IFERROR(__xludf.DUMMYFUNCTION("GOOGLETRANSLATE($B649,""en"",O$3)"),"Running alueena Server")</f>
        <v>Running alueena Server</v>
      </c>
      <c r="P649" s="11" t="str">
        <f ca="1">IFERROR(__xludf.DUMMYFUNCTION("GOOGLETRANSLATE($B649,""en"",P$3)"),"Rith mar Fhreastalaí Réigiún")</f>
        <v>Rith mar Fhreastalaí Réigiún</v>
      </c>
      <c r="Q649" s="11" t="str">
        <f ca="1">IFERROR(__xludf.DUMMYFUNCTION("GOOGLETRANSLATE($B649,""en"",Q$3)"),"در حال اجرا به عنوان یک منطقه سرور")</f>
        <v>در حال اجرا به عنوان یک منطقه سرور</v>
      </c>
      <c r="R649" s="11" t="str">
        <f ca="1">IFERROR(__xludf.DUMMYFUNCTION("GOOGLETRANSLATE($B649,""en"",R$3)"),"Running כשרת אזור")</f>
        <v>Running כשרת אזור</v>
      </c>
      <c r="S649" s="11" t="str">
        <f ca="1">IFERROR(__xludf.DUMMYFUNCTION("GOOGLETRANSLATE($B649,""en"",S$3)"),"Gangi sem svæðið Server")</f>
        <v>Gangi sem svæðið Server</v>
      </c>
      <c r="T649" s="11" t="str">
        <f ca="1">IFERROR(__xludf.DUMMYFUNCTION("GOOGLETRANSLATE($B649,""en"",T$3)"),"Kjører som en region Server")</f>
        <v>Kjører som en region Server</v>
      </c>
      <c r="U649" s="11" t="str">
        <f ca="1">IFERROR(__xludf.DUMMYFUNCTION("GOOGLETRANSLATE($B649,""en"",U$3)"),"تشغيل كمنطقة خادم")</f>
        <v>تشغيل كمنطقة خادم</v>
      </c>
      <c r="V649" s="11" t="str">
        <f ca="1">IFERROR(__xludf.DUMMYFUNCTION("GOOGLETRANSLATE($B649,""en"",V$3)"),"Uruchamianie jako region Server")</f>
        <v>Uruchamianie jako region Server</v>
      </c>
      <c r="W649" s="11" t="str">
        <f ca="1">IFERROR(__xludf.DUMMYFUNCTION("GOOGLETRANSLATE($B649,""en"",W$3)"),"Запуск в области сервера")</f>
        <v>Запуск в области сервера</v>
      </c>
      <c r="X649" s="11" t="str">
        <f ca="1">IFERROR(__xludf.DUMMYFUNCTION("GOOGLETRANSLATE($B649,""en"",X$3)"),"Se ejecuta como un servidor de la región")</f>
        <v>Se ejecuta como un servidor de la región</v>
      </c>
    </row>
    <row r="650" spans="1:26" ht="32.25" customHeight="1" x14ac:dyDescent="0.2">
      <c r="A650" s="10" t="s">
        <v>1401</v>
      </c>
      <c r="B650" s="10" t="s">
        <v>1402</v>
      </c>
      <c r="C650" s="21" t="str">
        <f ca="1">IFERROR(__xludf.DUMMYFUNCTION("GOOGLETRANSLATE($B650,""en"",C$3)"),"Ausführen von Netzwerkdiagnose")</f>
        <v>Ausführen von Netzwerkdiagnose</v>
      </c>
      <c r="D650" s="21" t="str">
        <f ca="1">IFERROR(__xludf.DUMMYFUNCTION("GOOGLETRANSLATE($B650,""en"",D$3)"),"Köra Nätverksdiagnostik")</f>
        <v>Köra Nätverksdiagnostik</v>
      </c>
      <c r="E650" s="21" t="str">
        <f ca="1">IFERROR(__xludf.DUMMYFUNCTION("GOOGLETRANSLATE($B650,""en"",E$3)"),"Executar diagnósticos de rede")</f>
        <v>Executar diagnósticos de rede</v>
      </c>
      <c r="F650" s="21" t="str">
        <f ca="1">IFERROR(__xludf.DUMMYFUNCTION("GOOGLETRANSLATE($B650,""en"",F$3)"),"Executar diagnósticos de rede")</f>
        <v>Executar diagnósticos de rede</v>
      </c>
      <c r="G650" s="21" t="str">
        <f ca="1">IFERROR(__xludf.DUMMYFUNCTION("GOOGLETRANSLATE($B650,""en"",G$3)"),"Diagnostics du réseau en cours d'exécution")</f>
        <v>Diagnostics du réseau en cours d'exécution</v>
      </c>
      <c r="H650" s="21" t="str">
        <f ca="1">IFERROR(__xludf.DUMMYFUNCTION("GOOGLETRANSLATE($B650,""en"",H$3)"),"Sare-diagnostikoak carrera")</f>
        <v>Sare-diagnostikoak carrera</v>
      </c>
      <c r="I650" s="21" t="str">
        <f ca="1">IFERROR(__xludf.DUMMYFUNCTION("GOOGLETRANSLATE($B650,""en"",I$3)"),"Execució dels diagnòstics de xarxa")</f>
        <v>Execució dels diagnòstics de xarxa</v>
      </c>
      <c r="J650" s="21" t="str">
        <f ca="1">IFERROR(__xludf.DUMMYFUNCTION("GOOGLETRANSLATE($B650,""en"",J$3)"),"Spuštění diagnostiky sítě")</f>
        <v>Spuštění diagnostiky sítě</v>
      </c>
      <c r="K650" s="21" t="str">
        <f ca="1">IFERROR(__xludf.DUMMYFUNCTION("GOOGLETRANSLATE($B650,""en"",K$3)"),"运行网络诊断")</f>
        <v>运行网络诊断</v>
      </c>
      <c r="L650" s="21" t="str">
        <f ca="1">IFERROR(__xludf.DUMMYFUNCTION("GOOGLETRANSLATE($B650,""en"",L$3)"),"運行網絡診斷")</f>
        <v>運行網絡診斷</v>
      </c>
      <c r="M650" s="21" t="str">
        <f ca="1">IFERROR(__xludf.DUMMYFUNCTION("GOOGLETRANSLATE($B650,""en"",M$3)"),"Running Network Diagnostics")</f>
        <v>Running Network Diagnostics</v>
      </c>
      <c r="N650" s="21" t="str">
        <f ca="1">IFERROR(__xludf.DUMMYFUNCTION("GOOGLETRANSLATE($B650,""en"",N$3)"),"Εκτέλεση διαγνωστικών δικτύου")</f>
        <v>Εκτέλεση διαγνωστικών δικτύου</v>
      </c>
      <c r="O650" s="21" t="str">
        <f ca="1">IFERROR(__xludf.DUMMYFUNCTION("GOOGLETRANSLATE($B650,""en"",O$3)"),"Running Verkkodiagnostiikka")</f>
        <v>Running Verkkodiagnostiikka</v>
      </c>
      <c r="P650" s="21" t="str">
        <f ca="1">IFERROR(__xludf.DUMMYFUNCTION("GOOGLETRANSLATE($B650,""en"",P$3)"),"Rith Diagnóisic Network")</f>
        <v>Rith Diagnóisic Network</v>
      </c>
      <c r="Q650" s="21" t="str">
        <f ca="1">IFERROR(__xludf.DUMMYFUNCTION("GOOGLETRANSLATE($B650,""en"",Q$3)"),"اجرای عیبیابی شبکه")</f>
        <v>اجرای عیبیابی شبکه</v>
      </c>
      <c r="R650" s="21" t="str">
        <f ca="1">IFERROR(__xludf.DUMMYFUNCTION("GOOGLETRANSLATE($B650,""en"",R$3)"),"הרצת אבחוני רשת")</f>
        <v>הרצת אבחוני רשת</v>
      </c>
      <c r="S650" s="21" t="str">
        <f ca="1">IFERROR(__xludf.DUMMYFUNCTION("GOOGLETRANSLATE($B650,""en"",S$3)"),"Running Network Diagnostics")</f>
        <v>Running Network Diagnostics</v>
      </c>
      <c r="T650" s="21" t="str">
        <f ca="1">IFERROR(__xludf.DUMMYFUNCTION("GOOGLETRANSLATE($B650,""en"",T$3)"),"Kjører Nettverksdiagnostikk")</f>
        <v>Kjører Nettverksdiagnostikk</v>
      </c>
      <c r="U650" s="21" t="str">
        <f ca="1">IFERROR(__xludf.DUMMYFUNCTION("GOOGLETRANSLATE($B650,""en"",U$3)"),"تشغيل تشخيص الشبكة")</f>
        <v>تشغيل تشخيص الشبكة</v>
      </c>
      <c r="V650" s="21" t="str">
        <f ca="1">IFERROR(__xludf.DUMMYFUNCTION("GOOGLETRANSLATE($B650,""en"",V$3)"),"Uruchamianie narzędzia Diagnostyka sieci")</f>
        <v>Uruchamianie narzędzia Diagnostyka sieci</v>
      </c>
      <c r="W650" s="21" t="str">
        <f ca="1">IFERROR(__xludf.DUMMYFUNCTION("GOOGLETRANSLATE($B650,""en"",W$3)"),"Выполнение диагностики сети")</f>
        <v>Выполнение диагностики сети</v>
      </c>
      <c r="X650" s="21" t="str">
        <f ca="1">IFERROR(__xludf.DUMMYFUNCTION("GOOGLETRANSLATE($B650,""en"",X$3)"),"Ejecución de los diagnósticos de red")</f>
        <v>Ejecución de los diagnósticos de red</v>
      </c>
      <c r="Y650" s="25"/>
      <c r="Z650" s="25"/>
    </row>
    <row r="651" spans="1:26" ht="32.25" customHeight="1" x14ac:dyDescent="0.2">
      <c r="A651" s="10" t="s">
        <v>1401</v>
      </c>
      <c r="B651" s="10" t="s">
        <v>1402</v>
      </c>
      <c r="C651" s="11" t="str">
        <f ca="1">IFERROR(__xludf.DUMMYFUNCTION("GOOGLETRANSLATE($B651,""en"",C$3)"),"Ausführen von Netzwerkdiagnose")</f>
        <v>Ausführen von Netzwerkdiagnose</v>
      </c>
      <c r="D651" s="11" t="str">
        <f ca="1">IFERROR(__xludf.DUMMYFUNCTION("GOOGLETRANSLATE($B651,""en"",D$3)"),"Köra Nätverksdiagnostik")</f>
        <v>Köra Nätverksdiagnostik</v>
      </c>
      <c r="E651" s="11" t="str">
        <f ca="1">IFERROR(__xludf.DUMMYFUNCTION("GOOGLETRANSLATE($B651,""en"",E$3)"),"Executar diagnósticos de rede")</f>
        <v>Executar diagnósticos de rede</v>
      </c>
      <c r="F651" s="11" t="str">
        <f ca="1">IFERROR(__xludf.DUMMYFUNCTION("GOOGLETRANSLATE($B651,""en"",F$3)"),"Executar diagnósticos de rede")</f>
        <v>Executar diagnósticos de rede</v>
      </c>
      <c r="G651" s="11" t="str">
        <f ca="1">IFERROR(__xludf.DUMMYFUNCTION("GOOGLETRANSLATE($B651,""en"",G$3)"),"Diagnostics du réseau en cours d'exécution")</f>
        <v>Diagnostics du réseau en cours d'exécution</v>
      </c>
      <c r="H651" s="11" t="str">
        <f ca="1">IFERROR(__xludf.DUMMYFUNCTION("GOOGLETRANSLATE($B651,""en"",H$3)"),"Sare-diagnostikoak carrera")</f>
        <v>Sare-diagnostikoak carrera</v>
      </c>
      <c r="I651" s="11" t="str">
        <f ca="1">IFERROR(__xludf.DUMMYFUNCTION("GOOGLETRANSLATE($B651,""en"",I$3)"),"Execució dels diagnòstics de xarxa")</f>
        <v>Execució dels diagnòstics de xarxa</v>
      </c>
      <c r="J651" s="11" t="str">
        <f ca="1">IFERROR(__xludf.DUMMYFUNCTION("GOOGLETRANSLATE($B651,""en"",J$3)"),"Spuštění diagnostiky sítě")</f>
        <v>Spuštění diagnostiky sítě</v>
      </c>
      <c r="K651" s="11" t="str">
        <f ca="1">IFERROR(__xludf.DUMMYFUNCTION("GOOGLETRANSLATE($B651,""en"",K$3)"),"运行网络诊断")</f>
        <v>运行网络诊断</v>
      </c>
      <c r="L651" s="11" t="str">
        <f ca="1">IFERROR(__xludf.DUMMYFUNCTION("GOOGLETRANSLATE($B651,""en"",L$3)"),"運行網絡診斷")</f>
        <v>運行網絡診斷</v>
      </c>
      <c r="M651" s="11" t="str">
        <f ca="1">IFERROR(__xludf.DUMMYFUNCTION("GOOGLETRANSLATE($B651,""en"",M$3)"),"Running Network Diagnostics")</f>
        <v>Running Network Diagnostics</v>
      </c>
      <c r="N651" s="11" t="str">
        <f ca="1">IFERROR(__xludf.DUMMYFUNCTION("GOOGLETRANSLATE($B651,""en"",N$3)"),"Εκτέλεση διαγνωστικών δικτύου")</f>
        <v>Εκτέλεση διαγνωστικών δικτύου</v>
      </c>
      <c r="O651" s="11" t="str">
        <f ca="1">IFERROR(__xludf.DUMMYFUNCTION("GOOGLETRANSLATE($B651,""en"",O$3)"),"Running Verkkodiagnostiikka")</f>
        <v>Running Verkkodiagnostiikka</v>
      </c>
      <c r="P651" s="11" t="str">
        <f ca="1">IFERROR(__xludf.DUMMYFUNCTION("GOOGLETRANSLATE($B651,""en"",P$3)"),"Rith Diagnóisic Network")</f>
        <v>Rith Diagnóisic Network</v>
      </c>
      <c r="Q651" s="11" t="str">
        <f ca="1">IFERROR(__xludf.DUMMYFUNCTION("GOOGLETRANSLATE($B651,""en"",Q$3)"),"اجرای عیبیابی شبکه")</f>
        <v>اجرای عیبیابی شبکه</v>
      </c>
      <c r="R651" s="11" t="str">
        <f ca="1">IFERROR(__xludf.DUMMYFUNCTION("GOOGLETRANSLATE($B651,""en"",R$3)"),"הרצת אבחוני רשת")</f>
        <v>הרצת אבחוני רשת</v>
      </c>
      <c r="S651" s="11" t="str">
        <f ca="1">IFERROR(__xludf.DUMMYFUNCTION("GOOGLETRANSLATE($B651,""en"",S$3)"),"Running Network Diagnostics")</f>
        <v>Running Network Diagnostics</v>
      </c>
      <c r="T651" s="11" t="str">
        <f ca="1">IFERROR(__xludf.DUMMYFUNCTION("GOOGLETRANSLATE($B651,""en"",T$3)"),"Kjører Nettverksdiagnostikk")</f>
        <v>Kjører Nettverksdiagnostikk</v>
      </c>
      <c r="U651" s="11" t="str">
        <f ca="1">IFERROR(__xludf.DUMMYFUNCTION("GOOGLETRANSLATE($B651,""en"",U$3)"),"تشغيل تشخيص الشبكة")</f>
        <v>تشغيل تشخيص الشبكة</v>
      </c>
      <c r="V651" s="11" t="str">
        <f ca="1">IFERROR(__xludf.DUMMYFUNCTION("GOOGLETRANSLATE($B651,""en"",V$3)"),"Uruchamianie narzędzia Diagnostyka sieci")</f>
        <v>Uruchamianie narzędzia Diagnostyka sieci</v>
      </c>
      <c r="W651" s="11" t="str">
        <f ca="1">IFERROR(__xludf.DUMMYFUNCTION("GOOGLETRANSLATE($B651,""en"",W$3)"),"Выполнение диагностики сети")</f>
        <v>Выполнение диагностики сети</v>
      </c>
      <c r="X651" s="11" t="str">
        <f ca="1">IFERROR(__xludf.DUMMYFUNCTION("GOOGLETRANSLATE($B651,""en"",X$3)"),"Ejecución de los diagnósticos de red")</f>
        <v>Ejecución de los diagnósticos de red</v>
      </c>
    </row>
    <row r="652" spans="1:26" ht="32.25" customHeight="1" x14ac:dyDescent="0.2">
      <c r="A652" s="17" t="s">
        <v>1403</v>
      </c>
      <c r="B652" s="17" t="s">
        <v>1404</v>
      </c>
      <c r="C652" s="18" t="s">
        <v>1405</v>
      </c>
      <c r="D652" s="12" t="str">
        <f ca="1">IFERROR(__xludf.DUMMYFUNCTION("GOOGLETRANSLATE($B649,""en"",D$3)"),"Körs som en region Server")</f>
        <v>Körs som en region Server</v>
      </c>
      <c r="E652" s="12" t="str">
        <f ca="1">IFERROR(__xludf.DUMMYFUNCTION("GOOGLETRANSLATE($B649,""en"",E$3)"),"Executando como uma Região Servidor")</f>
        <v>Executando como uma Região Servidor</v>
      </c>
      <c r="F652" s="12" t="str">
        <f ca="1">IFERROR(__xludf.DUMMYFUNCTION("GOOGLETRANSLATE($B649,""en"",F$3)"),"Executando como uma Região Servidor")</f>
        <v>Executando como uma Região Servidor</v>
      </c>
      <c r="G652" s="12" t="str">
        <f ca="1">IFERROR(__xludf.DUMMYFUNCTION("GOOGLETRANSLATE($B649,""en"",G$3)"),"Exécution en tant que serveur Région")</f>
        <v>Exécution en tant que serveur Région</v>
      </c>
      <c r="H652" s="12" t="str">
        <f ca="1">IFERROR(__xludf.DUMMYFUNCTION("GOOGLETRANSLATE($B649,""en"",H$3)"),"Eskualde zerbitzari gisa exekutatzen")</f>
        <v>Eskualde zerbitzari gisa exekutatzen</v>
      </c>
      <c r="I652" s="12" t="str">
        <f ca="1">IFERROR(__xludf.DUMMYFUNCTION("GOOGLETRANSLATE($B649,""en"",I$3)"),"S'executa com un servidor de la regió")</f>
        <v>S'executa com un servidor de la regió</v>
      </c>
      <c r="J652" s="12" t="str">
        <f ca="1">IFERROR(__xludf.DUMMYFUNCTION("GOOGLETRANSLATE($B649,""en"",J$3)"),"Běží jako region Server")</f>
        <v>Běží jako region Server</v>
      </c>
      <c r="K652" s="12" t="str">
        <f ca="1">IFERROR(__xludf.DUMMYFUNCTION("GOOGLETRANSLATE($B649,""en"",K$3)"),"运行的地区服务器")</f>
        <v>运行的地区服务器</v>
      </c>
      <c r="L652" s="12" t="str">
        <f ca="1">IFERROR(__xludf.DUMMYFUNCTION("GOOGLETRANSLATE($B649,""en"",L$3)"),"運行的地區服務器")</f>
        <v>運行的地區服務器</v>
      </c>
      <c r="M652" s="12" t="str">
        <f ca="1">IFERROR(__xludf.DUMMYFUNCTION("GOOGLETRANSLATE($B649,""en"",M$3)"),"Uitgevoerd als een Region Server")</f>
        <v>Uitgevoerd als een Region Server</v>
      </c>
      <c r="N652" s="12" t="str">
        <f ca="1">IFERROR(__xludf.DUMMYFUNCTION("GOOGLETRANSLATE($B649,""en"",N$3)"),"Τρέξιμο ως Περιφέρεια διακομιστή")</f>
        <v>Τρέξιμο ως Περιφέρεια διακομιστή</v>
      </c>
      <c r="O652" s="12" t="str">
        <f ca="1">IFERROR(__xludf.DUMMYFUNCTION("GOOGLETRANSLATE($B649,""en"",O$3)"),"Running alueena Server")</f>
        <v>Running alueena Server</v>
      </c>
      <c r="P652" s="12" t="str">
        <f ca="1">IFERROR(__xludf.DUMMYFUNCTION("GOOGLETRANSLATE($B649,""en"",P$3)"),"Rith mar Fhreastalaí Réigiún")</f>
        <v>Rith mar Fhreastalaí Réigiún</v>
      </c>
      <c r="Q652" s="12" t="str">
        <f ca="1">IFERROR(__xludf.DUMMYFUNCTION("GOOGLETRANSLATE($B649,""en"",Q$3)"),"در حال اجرا به عنوان یک منطقه سرور")</f>
        <v>در حال اجرا به عنوان یک منطقه سرور</v>
      </c>
      <c r="R652" s="12" t="str">
        <f ca="1">IFERROR(__xludf.DUMMYFUNCTION("GOOGLETRANSLATE($B649,""en"",R$3)"),"Running כשרת אזור")</f>
        <v>Running כשרת אזור</v>
      </c>
      <c r="S652" s="12" t="str">
        <f ca="1">IFERROR(__xludf.DUMMYFUNCTION("GOOGLETRANSLATE($B649,""en"",S$3)"),"Gangi sem svæðið Server")</f>
        <v>Gangi sem svæðið Server</v>
      </c>
      <c r="T652" s="12" t="str">
        <f ca="1">IFERROR(__xludf.DUMMYFUNCTION("GOOGLETRANSLATE($B649,""en"",T$3)"),"Kjører som en region Server")</f>
        <v>Kjører som en region Server</v>
      </c>
      <c r="U652" s="12" t="str">
        <f ca="1">IFERROR(__xludf.DUMMYFUNCTION("GOOGLETRANSLATE($B649,""en"",U$3)"),"تشغيل كمنطقة خادم")</f>
        <v>تشغيل كمنطقة خادم</v>
      </c>
      <c r="V652" s="12" t="str">
        <f ca="1">IFERROR(__xludf.DUMMYFUNCTION("GOOGLETRANSLATE($B649,""en"",V$3)"),"Uruchamianie jako region Server")</f>
        <v>Uruchamianie jako region Server</v>
      </c>
      <c r="W652" s="12" t="str">
        <f ca="1">IFERROR(__xludf.DUMMYFUNCTION("GOOGLETRANSLATE($B649,""en"",W$3)"),"Запуск в области сервера")</f>
        <v>Запуск в области сервера</v>
      </c>
      <c r="X652" s="12" t="str">
        <f ca="1">IFERROR(__xludf.DUMMYFUNCTION("GOOGLETRANSLATE($B649,""en"",X$3)"),"Se ejecuta como un servidor de la región")</f>
        <v>Se ejecuta como un servidor de la región</v>
      </c>
      <c r="Y652" s="12"/>
      <c r="Z652" s="12"/>
    </row>
    <row r="653" spans="1:26" ht="32.25" customHeight="1" x14ac:dyDescent="0.2">
      <c r="A653" s="10" t="s">
        <v>21</v>
      </c>
      <c r="B653" s="10" t="s">
        <v>21</v>
      </c>
      <c r="C653" s="11" t="str">
        <f ca="1">IFERROR(__xludf.DUMMYFUNCTION("GOOGLETRANSLATE($B653,""en"",C$3)"),"Russisch")</f>
        <v>Russisch</v>
      </c>
      <c r="D653" s="11" t="str">
        <f ca="1">IFERROR(__xludf.DUMMYFUNCTION("GOOGLETRANSLATE($B653,""en"",D$3)"),"ryska")</f>
        <v>ryska</v>
      </c>
      <c r="E653" s="11" t="str">
        <f ca="1">IFERROR(__xludf.DUMMYFUNCTION("GOOGLETRANSLATE($B653,""en"",E$3)"),"russo")</f>
        <v>russo</v>
      </c>
      <c r="F653" s="11" t="str">
        <f ca="1">IFERROR(__xludf.DUMMYFUNCTION("GOOGLETRANSLATE($B653,""en"",F$3)"),"russo")</f>
        <v>russo</v>
      </c>
      <c r="G653" s="11" t="str">
        <f ca="1">IFERROR(__xludf.DUMMYFUNCTION("GOOGLETRANSLATE($B653,""en"",G$3)"),"russe")</f>
        <v>russe</v>
      </c>
      <c r="H653" s="11" t="str">
        <f ca="1">IFERROR(__xludf.DUMMYFUNCTION("GOOGLETRANSLATE($B653,""en"",H$3)"),"Errusiako")</f>
        <v>Errusiako</v>
      </c>
      <c r="I653" s="11" t="str">
        <f ca="1">IFERROR(__xludf.DUMMYFUNCTION("GOOGLETRANSLATE($B653,""en"",I$3)"),"rus")</f>
        <v>rus</v>
      </c>
      <c r="J653" s="11" t="str">
        <f ca="1">IFERROR(__xludf.DUMMYFUNCTION("GOOGLETRANSLATE($B653,""en"",J$3)"),"ruština")</f>
        <v>ruština</v>
      </c>
      <c r="K653" s="11" t="str">
        <f ca="1">IFERROR(__xludf.DUMMYFUNCTION("GOOGLETRANSLATE($B653,""en"",K$3)"),"俄语")</f>
        <v>俄语</v>
      </c>
      <c r="L653" s="11" t="str">
        <f ca="1">IFERROR(__xludf.DUMMYFUNCTION("GOOGLETRANSLATE($B653,""en"",L$3)"),"俄語")</f>
        <v>俄語</v>
      </c>
      <c r="M653" s="11" t="str">
        <f ca="1">IFERROR(__xludf.DUMMYFUNCTION("GOOGLETRANSLATE($B653,""en"",M$3)"),"Russisch")</f>
        <v>Russisch</v>
      </c>
      <c r="N653" s="11" t="str">
        <f ca="1">IFERROR(__xludf.DUMMYFUNCTION("GOOGLETRANSLATE($B653,""en"",N$3)"),"Ρωσική")</f>
        <v>Ρωσική</v>
      </c>
      <c r="O653" s="11" t="str">
        <f ca="1">IFERROR(__xludf.DUMMYFUNCTION("GOOGLETRANSLATE($B653,""en"",O$3)"),"Venäjän kieli")</f>
        <v>Venäjän kieli</v>
      </c>
      <c r="P653" s="11" t="str">
        <f ca="1">IFERROR(__xludf.DUMMYFUNCTION("GOOGLETRANSLATE($B653,""en"",P$3)"),"Rúisis")</f>
        <v>Rúisis</v>
      </c>
      <c r="Q653" s="11" t="str">
        <f ca="1">IFERROR(__xludf.DUMMYFUNCTION("GOOGLETRANSLATE($B653,""en"",Q$3)"),"روسی")</f>
        <v>روسی</v>
      </c>
      <c r="R653" s="11" t="str">
        <f ca="1">IFERROR(__xludf.DUMMYFUNCTION("GOOGLETRANSLATE($B653,""en"",R$3)"),"רוּסִי")</f>
        <v>רוּסִי</v>
      </c>
      <c r="S653" s="11" t="str">
        <f ca="1">IFERROR(__xludf.DUMMYFUNCTION("GOOGLETRANSLATE($B653,""en"",S$3)"),"Rússneskt")</f>
        <v>Rússneskt</v>
      </c>
      <c r="T653" s="11" t="str">
        <f ca="1">IFERROR(__xludf.DUMMYFUNCTION("GOOGLETRANSLATE($B653,""en"",T$3)"),"russisk")</f>
        <v>russisk</v>
      </c>
      <c r="U653" s="11" t="str">
        <f ca="1">IFERROR(__xludf.DUMMYFUNCTION("GOOGLETRANSLATE($B653,""en"",U$3)"),"الروسية")</f>
        <v>الروسية</v>
      </c>
      <c r="V653" s="11" t="str">
        <f ca="1">IFERROR(__xludf.DUMMYFUNCTION("GOOGLETRANSLATE($B653,""en"",V$3)"),"Rosyjski")</f>
        <v>Rosyjski</v>
      </c>
      <c r="W653" s="11" t="str">
        <f ca="1">IFERROR(__xludf.DUMMYFUNCTION("GOOGLETRANSLATE($B653,""en"",W$3)"),"русский")</f>
        <v>русский</v>
      </c>
      <c r="X653" s="11" t="str">
        <f ca="1">IFERROR(__xludf.DUMMYFUNCTION("GOOGLETRANSLATE($B653,""en"",X$3)"),"ruso")</f>
        <v>ruso</v>
      </c>
    </row>
    <row r="654" spans="1:26" ht="32.25" customHeight="1" x14ac:dyDescent="0.2">
      <c r="A654" s="10" t="s">
        <v>1406</v>
      </c>
      <c r="B654" s="10" t="s">
        <v>1407</v>
      </c>
      <c r="C654" s="21" t="str">
        <f ca="1">IFERROR(__xludf.DUMMYFUNCTION("GOOGLETRANSLATE($B654,""en"",C$3)"),"Sandbox-Modus")</f>
        <v>Sandbox-Modus</v>
      </c>
      <c r="D654" s="21" t="str">
        <f ca="1">IFERROR(__xludf.DUMMYFUNCTION("GOOGLETRANSLATE($B654,""en"",D$3)"),"sandlådeläge")</f>
        <v>sandlådeläge</v>
      </c>
      <c r="E654" s="21" t="str">
        <f ca="1">IFERROR(__xludf.DUMMYFUNCTION("GOOGLETRANSLATE($B654,""en"",E$3)"),"modo caixa de areia")</f>
        <v>modo caixa de areia</v>
      </c>
      <c r="F654" s="21" t="str">
        <f ca="1">IFERROR(__xludf.DUMMYFUNCTION("GOOGLETRANSLATE($B654,""en"",F$3)"),"modo caixa de areia")</f>
        <v>modo caixa de areia</v>
      </c>
      <c r="G654" s="21" t="str">
        <f ca="1">IFERROR(__xludf.DUMMYFUNCTION("GOOGLETRANSLATE($B654,""en"",G$3)"),"Mode bac à sable")</f>
        <v>Mode bac à sable</v>
      </c>
      <c r="H654" s="21" t="str">
        <f ca="1">IFERROR(__xludf.DUMMYFUNCTION("GOOGLETRANSLATE($B654,""en"",H$3)"),"Sandbox modua")</f>
        <v>Sandbox modua</v>
      </c>
      <c r="I654" s="21" t="str">
        <f ca="1">IFERROR(__xludf.DUMMYFUNCTION("GOOGLETRANSLATE($B654,""en"",I$3)"),"La manera recinte")</f>
        <v>La manera recinte</v>
      </c>
      <c r="J654" s="21" t="str">
        <f ca="1">IFERROR(__xludf.DUMMYFUNCTION("GOOGLETRANSLATE($B654,""en"",J$3)"),"Režim pískoviště")</f>
        <v>Režim pískoviště</v>
      </c>
      <c r="K654" s="21" t="str">
        <f ca="1">IFERROR(__xludf.DUMMYFUNCTION("GOOGLETRANSLATE($B654,""en"",K$3)"),"沙盒模式")</f>
        <v>沙盒模式</v>
      </c>
      <c r="L654" s="21" t="str">
        <f ca="1">IFERROR(__xludf.DUMMYFUNCTION("GOOGLETRANSLATE($B654,""en"",L$3)"),"沙盒模式")</f>
        <v>沙盒模式</v>
      </c>
      <c r="M654" s="21" t="str">
        <f ca="1">IFERROR(__xludf.DUMMYFUNCTION("GOOGLETRANSLATE($B654,""en"",M$3)"),"sandbox-modus")</f>
        <v>sandbox-modus</v>
      </c>
      <c r="N654" s="21" t="str">
        <f ca="1">IFERROR(__xludf.DUMMYFUNCTION("GOOGLETRANSLATE($B654,""en"",N$3)"),"Λειτουργία Sandbox")</f>
        <v>Λειτουργία Sandbox</v>
      </c>
      <c r="O654" s="21" t="str">
        <f ca="1">IFERROR(__xludf.DUMMYFUNCTION("GOOGLETRANSLATE($B654,""en"",O$3)"),"Hiekkalaatikko tila")</f>
        <v>Hiekkalaatikko tila</v>
      </c>
      <c r="P654" s="21" t="str">
        <f ca="1">IFERROR(__xludf.DUMMYFUNCTION("GOOGLETRANSLATE($B654,""en"",P$3)"),"Bosca gainimh Mód")</f>
        <v>Bosca gainimh Mód</v>
      </c>
      <c r="Q654" s="21" t="str">
        <f ca="1">IFERROR(__xludf.DUMMYFUNCTION("GOOGLETRANSLATE($B654,""en"",Q$3)"),"حالت گودال ماسهبازی")</f>
        <v>حالت گودال ماسهبازی</v>
      </c>
      <c r="R654" s="21" t="str">
        <f ca="1">IFERROR(__xludf.DUMMYFUNCTION("GOOGLETRANSLATE($B654,""en"",R$3)"),"מצב ארגז חול")</f>
        <v>מצב ארגז חול</v>
      </c>
      <c r="S654" s="21" t="str">
        <f ca="1">IFERROR(__xludf.DUMMYFUNCTION("GOOGLETRANSLATE($B654,""en"",S$3)"),"sandkassi Mode")</f>
        <v>sandkassi Mode</v>
      </c>
      <c r="T654" s="21" t="str">
        <f ca="1">IFERROR(__xludf.DUMMYFUNCTION("GOOGLETRANSLATE($B654,""en"",T$3)"),"sandkasse modus")</f>
        <v>sandkasse modus</v>
      </c>
      <c r="U654" s="21" t="str">
        <f ca="1">IFERROR(__xludf.DUMMYFUNCTION("GOOGLETRANSLATE($B654,""en"",U$3)"),"وضع الحماية")</f>
        <v>وضع الحماية</v>
      </c>
      <c r="V654" s="21" t="str">
        <f ca="1">IFERROR(__xludf.DUMMYFUNCTION("GOOGLETRANSLATE($B654,""en"",V$3)"),"Tryb piaskownicy")</f>
        <v>Tryb piaskownicy</v>
      </c>
      <c r="W654" s="21" t="str">
        <f ca="1">IFERROR(__xludf.DUMMYFUNCTION("GOOGLETRANSLATE($B654,""en"",W$3)"),"Режим песочницы")</f>
        <v>Режим песочницы</v>
      </c>
      <c r="X654" s="21" t="str">
        <f ca="1">IFERROR(__xludf.DUMMYFUNCTION("GOOGLETRANSLATE($B654,""en"",X$3)"),"modo sandbox")</f>
        <v>modo sandbox</v>
      </c>
      <c r="Y654" s="21"/>
      <c r="Z654" s="21"/>
    </row>
    <row r="655" spans="1:26" ht="32.25" customHeight="1" x14ac:dyDescent="0.2">
      <c r="A655" s="17" t="s">
        <v>1408</v>
      </c>
      <c r="B655" s="17" t="s">
        <v>1409</v>
      </c>
      <c r="C655" s="21" t="str">
        <f ca="1">IFERROR(__xludf.DUMMYFUNCTION("GOOGLETRANSLATE($B655,""en"",C$3)"),"Speichern Sie alle laufenden Regions OARS")</f>
        <v>Speichern Sie alle laufenden Regions OARS</v>
      </c>
      <c r="D655" s="21" t="str">
        <f ca="1">IFERROR(__xludf.DUMMYFUNCTION("GOOGLETRANSLATE($B655,""en"",D$3)"),"Spara alla kör Region åror")</f>
        <v>Spara alla kör Region åror</v>
      </c>
      <c r="E655" s="21" t="str">
        <f ca="1">IFERROR(__xludf.DUMMYFUNCTION("GOOGLETRANSLATE($B655,""en"",E$3)"),"Salvar Tudo que funciona Regiões a remos")</f>
        <v>Salvar Tudo que funciona Regiões a remos</v>
      </c>
      <c r="F655" s="21" t="str">
        <f ca="1">IFERROR(__xludf.DUMMYFUNCTION("GOOGLETRANSLATE($B655,""en"",F$3)"),"Salvar Tudo que funciona Regiões a remos")</f>
        <v>Salvar Tudo que funciona Regiões a remos</v>
      </c>
      <c r="G655" s="21" t="str">
        <f ca="1">IFERROR(__xludf.DUMMYFUNCTION("GOOGLETRANSLATE($B655,""en"",G$3)"),"Enregistrer tout Courir Régions à OARs")</f>
        <v>Enregistrer tout Courir Régions à OARs</v>
      </c>
      <c r="H655" s="21" t="str">
        <f ca="1">IFERROR(__xludf.DUMMYFUNCTION("GOOGLETRANSLATE($B655,""en"",H$3)"),"Save All carrera Eskualde arraunak to")</f>
        <v>Save All carrera Eskualde arraunak to</v>
      </c>
      <c r="I655" s="21" t="str">
        <f ca="1">IFERROR(__xludf.DUMMYFUNCTION("GOOGLETRANSLATE($B655,""en"",I$3)"),"Guardar tota l'Execució de Regions d'RTO")</f>
        <v>Guardar tota l'Execució de Regions d'RTO</v>
      </c>
      <c r="J655" s="21" t="str">
        <f ca="1">IFERROR(__xludf.DUMMYFUNCTION("GOOGLETRANSLATE($B655,""en"",J$3)"),"Save All Běh regiony, aby vesel")</f>
        <v>Save All Běh regiony, aby vesel</v>
      </c>
      <c r="K655" s="21" t="str">
        <f ca="1">IFERROR(__xludf.DUMMYFUNCTION("GOOGLETRANSLATE($B655,""en"",K$3)"),"保存所有正在运行区域危及器官")</f>
        <v>保存所有正在运行区域危及器官</v>
      </c>
      <c r="L655" s="21" t="str">
        <f ca="1">IFERROR(__xludf.DUMMYFUNCTION("GOOGLETRANSLATE($B655,""en"",L$3)"),"保存所有正在運行區域危及器官")</f>
        <v>保存所有正在運行區域危及器官</v>
      </c>
      <c r="M655" s="21" t="str">
        <f ca="1">IFERROR(__xludf.DUMMYFUNCTION("GOOGLETRANSLATE($B655,""en"",M$3)"),"Alles opslaan Running Regio's OAR")</f>
        <v>Alles opslaan Running Regio's OAR</v>
      </c>
      <c r="N655" s="21" t="str">
        <f ca="1">IFERROR(__xludf.DUMMYFUNCTION("GOOGLETRANSLATE($B655,""en"",N$3)"),"Αποθήκευση όλων Τρέξιμο Περιφερειών OARs")</f>
        <v>Αποθήκευση όλων Τρέξιμο Περιφερειών OARs</v>
      </c>
      <c r="O655" s="21" t="str">
        <f ca="1">IFERROR(__xludf.DUMMYFUNCTION("GOOGLETRANSLATE($B655,""en"",O$3)"),"Tallenna kaikki käynnissä olevat alueiden Airot")</f>
        <v>Tallenna kaikki käynnissä olevat alueiden Airot</v>
      </c>
      <c r="P655" s="21" t="str">
        <f ca="1">IFERROR(__xludf.DUMMYFUNCTION("GOOGLETRANSLATE($B655,""en"",P$3)"),"Sábháil ar gach Réigiúin Rith le maidí rámha")</f>
        <v>Sábháil ar gach Réigiúin Rith le maidí rámha</v>
      </c>
      <c r="Q655" s="21" t="str">
        <f ca="1">IFERROR(__xludf.DUMMYFUNCTION("GOOGLETRANSLATE($B655,""en"",Q$3)"),"ذخیره همه در حال اجرا مناطق به بدلس")</f>
        <v>ذخیره همه در حال اجرا مناطق به بدلس</v>
      </c>
      <c r="R655" s="21" t="str">
        <f ca="1">IFERROR(__xludf.DUMMYFUNCTION("GOOGLETRANSLATE($B655,""en"",R$3)"),"שמור כל ריצה אזורים כדי משוטים")</f>
        <v>שמור כל ריצה אזורים כדי משוטים</v>
      </c>
      <c r="S655" s="21" t="str">
        <f ca="1">IFERROR(__xludf.DUMMYFUNCTION("GOOGLETRANSLATE($B655,""en"",S$3)"),"Vista öll Running Svæði til árar")</f>
        <v>Vista öll Running Svæði til árar</v>
      </c>
      <c r="T655" s="21" t="str">
        <f ca="1">IFERROR(__xludf.DUMMYFUNCTION("GOOGLETRANSLATE($B655,""en"",T$3)"),"Lagre alle kjører Regioner å Årer")</f>
        <v>Lagre alle kjører Regioner å Årer</v>
      </c>
      <c r="U655" s="21" t="str">
        <f ca="1">IFERROR(__xludf.DUMMYFUNCTION("GOOGLETRANSLATE($B655,""en"",U$3)"),"حفظ جميع المناطق الجري لمجذاف")</f>
        <v>حفظ جميع المناطق الجري لمجذاف</v>
      </c>
      <c r="V655" s="21" t="str">
        <f ca="1">IFERROR(__xludf.DUMMYFUNCTION("GOOGLETRANSLATE($B655,""en"",V$3)"),"Zapisz wszystkie uruchomione Regions do wioseł")</f>
        <v>Zapisz wszystkie uruchomione Regions do wioseł</v>
      </c>
      <c r="W655" s="21" t="str">
        <f ca="1">IFERROR(__xludf.DUMMYFUNCTION("GOOGLETRANSLATE($B655,""en"",W$3)"),"Сохранить все регионы Работа для весел")</f>
        <v>Сохранить все регионы Работа для весел</v>
      </c>
      <c r="X655" s="21" t="str">
        <f ca="1">IFERROR(__xludf.DUMMYFUNCTION("GOOGLETRANSLATE($B655,""en"",X$3)"),"Guardar toda la Ejecución de Regiones de RTO")</f>
        <v>Guardar toda la Ejecución de Regiones de RTO</v>
      </c>
      <c r="Y655" s="25"/>
      <c r="Z655" s="25"/>
    </row>
    <row r="656" spans="1:26" ht="32.25" customHeight="1" x14ac:dyDescent="0.2">
      <c r="A656" s="17" t="s">
        <v>1410</v>
      </c>
      <c r="B656" s="17" t="s">
        <v>1411</v>
      </c>
      <c r="C656" s="21" t="str">
        <f ca="1">IFERROR(__xludf.DUMMYFUNCTION("GOOGLETRANSLATE($B656,""en"",C$3)"),"Änderungen speichern?")</f>
        <v>Änderungen speichern?</v>
      </c>
      <c r="D656" s="21" t="str">
        <f ca="1">IFERROR(__xludf.DUMMYFUNCTION("GOOGLETRANSLATE($B656,""en"",D$3)"),"Spara ändringar?")</f>
        <v>Spara ändringar?</v>
      </c>
      <c r="E656" s="21" t="str">
        <f ca="1">IFERROR(__xludf.DUMMYFUNCTION("GOOGLETRANSLATE($B656,""en"",E$3)"),"Salvar alterações?")</f>
        <v>Salvar alterações?</v>
      </c>
      <c r="F656" s="21" t="str">
        <f ca="1">IFERROR(__xludf.DUMMYFUNCTION("GOOGLETRANSLATE($B656,""en"",F$3)"),"Salvar alterações?")</f>
        <v>Salvar alterações?</v>
      </c>
      <c r="G656" s="21" t="str">
        <f ca="1">IFERROR(__xludf.DUMMYFUNCTION("GOOGLETRANSLATE($B656,""en"",G$3)"),"Sauvegarder les modifications?")</f>
        <v>Sauvegarder les modifications?</v>
      </c>
      <c r="H656" s="21" t="str">
        <f ca="1">IFERROR(__xludf.DUMMYFUNCTION("GOOGLETRANSLATE($B656,""en"",H$3)"),"Aldaketak gorde?")</f>
        <v>Aldaketak gorde?</v>
      </c>
      <c r="I656" s="21" t="str">
        <f ca="1">IFERROR(__xludf.DUMMYFUNCTION("GOOGLETRANSLATE($B656,""en"",I$3)"),"Guardar canvis?")</f>
        <v>Guardar canvis?</v>
      </c>
      <c r="J656" s="21" t="str">
        <f ca="1">IFERROR(__xludf.DUMMYFUNCTION("GOOGLETRANSLATE($B656,""en"",J$3)"),"Uložit změny?")</f>
        <v>Uložit změny?</v>
      </c>
      <c r="K656" s="21" t="str">
        <f ca="1">IFERROR(__xludf.DUMMYFUNCTION("GOOGLETRANSLATE($B656,""en"",K$3)"),"保存更改？")</f>
        <v>保存更改？</v>
      </c>
      <c r="L656" s="21" t="str">
        <f ca="1">IFERROR(__xludf.DUMMYFUNCTION("GOOGLETRANSLATE($B656,""en"",L$3)"),"保存更改？")</f>
        <v>保存更改？</v>
      </c>
      <c r="M656" s="21" t="str">
        <f ca="1">IFERROR(__xludf.DUMMYFUNCTION("GOOGLETRANSLATE($B656,""en"",M$3)"),"Wijzigingen opslaan?")</f>
        <v>Wijzigingen opslaan?</v>
      </c>
      <c r="N656" s="21" t="str">
        <f ca="1">IFERROR(__xludf.DUMMYFUNCTION("GOOGLETRANSLATE($B656,""en"",N$3)"),"Αποθήκευσε τις αλλαγές?")</f>
        <v>Αποθήκευσε τις αλλαγές?</v>
      </c>
      <c r="O656" s="21" t="str">
        <f ca="1">IFERROR(__xludf.DUMMYFUNCTION("GOOGLETRANSLATE($B656,""en"",O$3)"),"Tallenna muutokset?")</f>
        <v>Tallenna muutokset?</v>
      </c>
      <c r="P656" s="21" t="str">
        <f ca="1">IFERROR(__xludf.DUMMYFUNCTION("GOOGLETRANSLATE($B656,""en"",P$3)"),"Sabháil na hathruithe?")</f>
        <v>Sabháil na hathruithe?</v>
      </c>
      <c r="Q656" s="21" t="str">
        <f ca="1">IFERROR(__xludf.DUMMYFUNCTION("GOOGLETRANSLATE($B656,""en"",Q$3)"),"ذخیره تغییرات؟")</f>
        <v>ذخیره تغییرات؟</v>
      </c>
      <c r="R656" s="21" t="str">
        <f ca="1">IFERROR(__xludf.DUMMYFUNCTION("GOOGLETRANSLATE($B656,""en"",R$3)"),"שמור שינויים?")</f>
        <v>שמור שינויים?</v>
      </c>
      <c r="S656" s="21" t="str">
        <f ca="1">IFERROR(__xludf.DUMMYFUNCTION("GOOGLETRANSLATE($B656,""en"",S$3)"),"Vista breytingar?")</f>
        <v>Vista breytingar?</v>
      </c>
      <c r="T656" s="21" t="str">
        <f ca="1">IFERROR(__xludf.DUMMYFUNCTION("GOOGLETRANSLATE($B656,""en"",T$3)"),"Lagre endringer?")</f>
        <v>Lagre endringer?</v>
      </c>
      <c r="U656" s="21" t="str">
        <f ca="1">IFERROR(__xludf.DUMMYFUNCTION("GOOGLETRANSLATE($B656,""en"",U$3)"),"حفظ التغييرات؟")</f>
        <v>حفظ التغييرات؟</v>
      </c>
      <c r="V656" s="21" t="str">
        <f ca="1">IFERROR(__xludf.DUMMYFUNCTION("GOOGLETRANSLATE($B656,""en"",V$3)"),"Zapisz zmiany?")</f>
        <v>Zapisz zmiany?</v>
      </c>
      <c r="W656" s="21" t="str">
        <f ca="1">IFERROR(__xludf.DUMMYFUNCTION("GOOGLETRANSLATE($B656,""en"",W$3)"),"Сохранить изменения?")</f>
        <v>Сохранить изменения?</v>
      </c>
      <c r="X656" s="21" t="str">
        <f ca="1">IFERROR(__xludf.DUMMYFUNCTION("GOOGLETRANSLATE($B656,""en"",X$3)"),"¿Guardar cambios?")</f>
        <v>¿Guardar cambios?</v>
      </c>
      <c r="Y656" s="25"/>
      <c r="Z656" s="25"/>
    </row>
    <row r="657" spans="1:26" ht="32.25" customHeight="1" x14ac:dyDescent="0.2">
      <c r="A657" s="17" t="s">
        <v>1412</v>
      </c>
      <c r="B657" s="17" t="s">
        <v>1413</v>
      </c>
      <c r="C657" s="21" t="str">
        <f ca="1">IFERROR(__xludf.DUMMYFUNCTION("GOOGLETRANSLATE($B657,""en"",C$3)"),"Speichern IAR")</f>
        <v>Speichern IAR</v>
      </c>
      <c r="D657" s="21" t="str">
        <f ca="1">IFERROR(__xludf.DUMMYFUNCTION("GOOGLETRANSLATE($B657,""en"",D$3)"),"Spara IAR")</f>
        <v>Spara IAR</v>
      </c>
      <c r="E657" s="21" t="str">
        <f ca="1">IFERROR(__xludf.DUMMYFUNCTION("GOOGLETRANSLATE($B657,""en"",E$3)"),"Salvar IAR")</f>
        <v>Salvar IAR</v>
      </c>
      <c r="F657" s="21" t="str">
        <f ca="1">IFERROR(__xludf.DUMMYFUNCTION("GOOGLETRANSLATE($B657,""en"",F$3)"),"Salvar IAR")</f>
        <v>Salvar IAR</v>
      </c>
      <c r="G657" s="21" t="str">
        <f ca="1">IFERROR(__xludf.DUMMYFUNCTION("GOOGLETRANSLATE($B657,""en"",G$3)"),"Enregistrer IAR")</f>
        <v>Enregistrer IAR</v>
      </c>
      <c r="H657" s="21" t="str">
        <f ca="1">IFERROR(__xludf.DUMMYFUNCTION("GOOGLETRANSLATE($B657,""en"",H$3)"),"Save iar")</f>
        <v>Save iar</v>
      </c>
      <c r="I657" s="21" t="str">
        <f ca="1">IFERROR(__xludf.DUMMYFUNCTION("GOOGLETRANSLATE($B657,""en"",I$3)"),"Desar IAR")</f>
        <v>Desar IAR</v>
      </c>
      <c r="J657" s="21" t="str">
        <f ca="1">IFERROR(__xludf.DUMMYFUNCTION("GOOGLETRANSLATE($B657,""en"",J$3)"),"Save IAR")</f>
        <v>Save IAR</v>
      </c>
      <c r="K657" s="21" t="str">
        <f ca="1">IFERROR(__xludf.DUMMYFUNCTION("GOOGLETRANSLATE($B657,""en"",K$3)"),"保存IAR")</f>
        <v>保存IAR</v>
      </c>
      <c r="L657" s="21" t="str">
        <f ca="1">IFERROR(__xludf.DUMMYFUNCTION("GOOGLETRANSLATE($B657,""en"",L$3)"),"保存IAR")</f>
        <v>保存IAR</v>
      </c>
      <c r="M657" s="21" t="str">
        <f ca="1">IFERROR(__xludf.DUMMYFUNCTION("GOOGLETRANSLATE($B657,""en"",M$3)"),"Save IAR")</f>
        <v>Save IAR</v>
      </c>
      <c r="N657" s="21" t="str">
        <f ca="1">IFERROR(__xludf.DUMMYFUNCTION("GOOGLETRANSLATE($B657,""en"",N$3)"),"Αποθήκευση IAR")</f>
        <v>Αποθήκευση IAR</v>
      </c>
      <c r="O657" s="21" t="str">
        <f ca="1">IFERROR(__xludf.DUMMYFUNCTION("GOOGLETRANSLATE($B657,""en"",O$3)"),"Tallenna IAR")</f>
        <v>Tallenna IAR</v>
      </c>
      <c r="P657" s="21" t="str">
        <f ca="1">IFERROR(__xludf.DUMMYFUNCTION("GOOGLETRANSLATE($B657,""en"",P$3)"),"Sábháil IAR")</f>
        <v>Sábháil IAR</v>
      </c>
      <c r="Q657" s="21" t="str">
        <f ca="1">IFERROR(__xludf.DUMMYFUNCTION("GOOGLETRANSLATE($B657,""en"",Q$3)"),"ذخیره IAR")</f>
        <v>ذخیره IAR</v>
      </c>
      <c r="R657" s="21" t="str">
        <f ca="1">IFERROR(__xludf.DUMMYFUNCTION("GOOGLETRANSLATE($B657,""en"",R$3)"),"שמור IAR")</f>
        <v>שמור IAR</v>
      </c>
      <c r="S657" s="21" t="str">
        <f ca="1">IFERROR(__xludf.DUMMYFUNCTION("GOOGLETRANSLATE($B657,""en"",S$3)"),"Vista IAR")</f>
        <v>Vista IAR</v>
      </c>
      <c r="T657" s="21" t="str">
        <f ca="1">IFERROR(__xludf.DUMMYFUNCTION("GOOGLETRANSLATE($B657,""en"",T$3)"),"Lagre IAR")</f>
        <v>Lagre IAR</v>
      </c>
      <c r="U657" s="21" t="str">
        <f ca="1">IFERROR(__xludf.DUMMYFUNCTION("GOOGLETRANSLATE($B657,""en"",U$3)"),"حفظ IAR")</f>
        <v>حفظ IAR</v>
      </c>
      <c r="V657" s="21" t="str">
        <f ca="1">IFERROR(__xludf.DUMMYFUNCTION("GOOGLETRANSLATE($B657,""en"",V$3)"),"Zapisz IAR")</f>
        <v>Zapisz IAR</v>
      </c>
      <c r="W657" s="21" t="str">
        <f ca="1">IFERROR(__xludf.DUMMYFUNCTION("GOOGLETRANSLATE($B657,""en"",W$3)"),"Сохранить IAR")</f>
        <v>Сохранить IAR</v>
      </c>
      <c r="X657" s="21" t="str">
        <f ca="1">IFERROR(__xludf.DUMMYFUNCTION("GOOGLETRANSLATE($B657,""en"",X$3)"),"Guardar IAR")</f>
        <v>Guardar IAR</v>
      </c>
      <c r="Y657" s="25"/>
      <c r="Z657" s="25"/>
    </row>
    <row r="658" spans="1:26" ht="32.25" customHeight="1" x14ac:dyDescent="0.2">
      <c r="A658" s="17" t="s">
        <v>1414</v>
      </c>
      <c r="B658" s="17" t="s">
        <v>1415</v>
      </c>
      <c r="C658" s="21" t="str">
        <f ca="1">IFERROR(__xludf.DUMMYFUNCTION("GOOGLETRANSLATE($B658,""en"",C$3)"),"Speichern Inventar IAR")</f>
        <v>Speichern Inventar IAR</v>
      </c>
      <c r="D658" s="21" t="str">
        <f ca="1">IFERROR(__xludf.DUMMYFUNCTION("GOOGLETRANSLATE($B658,""en"",D$3)"),"Spara Inventory IAR")</f>
        <v>Spara Inventory IAR</v>
      </c>
      <c r="E658" s="21" t="str">
        <f ca="1">IFERROR(__xludf.DUMMYFUNCTION("GOOGLETRANSLATE($B658,""en"",E$3)"),"Salvar Inventory IAR")</f>
        <v>Salvar Inventory IAR</v>
      </c>
      <c r="F658" s="21" t="str">
        <f ca="1">IFERROR(__xludf.DUMMYFUNCTION("GOOGLETRANSLATE($B658,""en"",F$3)"),"Salvar Inventory IAR")</f>
        <v>Salvar Inventory IAR</v>
      </c>
      <c r="G658" s="21" t="str">
        <f ca="1">IFERROR(__xludf.DUMMYFUNCTION("GOOGLETRANSLATE($B658,""en"",G$3)"),"Enregistrer l'inventaire IAR")</f>
        <v>Enregistrer l'inventaire IAR</v>
      </c>
      <c r="H658" s="21" t="str">
        <f ca="1">IFERROR(__xludf.DUMMYFUNCTION("GOOGLETRANSLATE($B658,""en"",H$3)"),"Save inbentarioa iar")</f>
        <v>Save inbentarioa iar</v>
      </c>
      <c r="I658" s="21" t="str">
        <f ca="1">IFERROR(__xludf.DUMMYFUNCTION("GOOGLETRANSLATE($B658,""en"",I$3)"),"Desar Inventari IAR")</f>
        <v>Desar Inventari IAR</v>
      </c>
      <c r="J658" s="21" t="str">
        <f ca="1">IFERROR(__xludf.DUMMYFUNCTION("GOOGLETRANSLATE($B658,""en"",J$3)"),"Save Inventory IAR")</f>
        <v>Save Inventory IAR</v>
      </c>
      <c r="K658" s="21" t="str">
        <f ca="1">IFERROR(__xludf.DUMMYFUNCTION("GOOGLETRANSLATE($B658,""en"",K$3)"),"保存库存IAR")</f>
        <v>保存库存IAR</v>
      </c>
      <c r="L658" s="21" t="str">
        <f ca="1">IFERROR(__xludf.DUMMYFUNCTION("GOOGLETRANSLATE($B658,""en"",L$3)"),"保存庫存IAR")</f>
        <v>保存庫存IAR</v>
      </c>
      <c r="M658" s="21" t="str">
        <f ca="1">IFERROR(__xludf.DUMMYFUNCTION("GOOGLETRANSLATE($B658,""en"",M$3)"),"Save Inventory IAR")</f>
        <v>Save Inventory IAR</v>
      </c>
      <c r="N658" s="21" t="str">
        <f ca="1">IFERROR(__xludf.DUMMYFUNCTION("GOOGLETRANSLATE($B658,""en"",N$3)"),"Αποθήκευση Απογραφή IAR")</f>
        <v>Αποθήκευση Απογραφή IAR</v>
      </c>
      <c r="O658" s="21" t="str">
        <f ca="1">IFERROR(__xludf.DUMMYFUNCTION("GOOGLETRANSLATE($B658,""en"",O$3)"),"Tallenna Inventory IAR")</f>
        <v>Tallenna Inventory IAR</v>
      </c>
      <c r="P658" s="21" t="str">
        <f ca="1">IFERROR(__xludf.DUMMYFUNCTION("GOOGLETRANSLATE($B658,""en"",P$3)"),"Sábháil Fardal IAR")</f>
        <v>Sábháil Fardal IAR</v>
      </c>
      <c r="Q658" s="21" t="str">
        <f ca="1">IFERROR(__xludf.DUMMYFUNCTION("GOOGLETRANSLATE($B658,""en"",Q$3)"),"صرفه جویی در موجودی IAR")</f>
        <v>صرفه جویی در موجودی IAR</v>
      </c>
      <c r="R658" s="21" t="str">
        <f ca="1">IFERROR(__xludf.DUMMYFUNCTION("GOOGLETRANSLATE($B658,""en"",R$3)"),"שמור המלאה IAR")</f>
        <v>שמור המלאה IAR</v>
      </c>
      <c r="S658" s="21" t="str">
        <f ca="1">IFERROR(__xludf.DUMMYFUNCTION("GOOGLETRANSLATE($B658,""en"",S$3)"),"Vista Skrá IAR")</f>
        <v>Vista Skrá IAR</v>
      </c>
      <c r="T658" s="21" t="str">
        <f ca="1">IFERROR(__xludf.DUMMYFUNCTION("GOOGLETRANSLATE($B658,""en"",T$3)"),"Lagre Lager IAR")</f>
        <v>Lagre Lager IAR</v>
      </c>
      <c r="U658" s="21" t="str">
        <f ca="1">IFERROR(__xludf.DUMMYFUNCTION("GOOGLETRANSLATE($B658,""en"",U$3)"),"حفظ المخزون IAR")</f>
        <v>حفظ المخزون IAR</v>
      </c>
      <c r="V658" s="21" t="str">
        <f ca="1">IFERROR(__xludf.DUMMYFUNCTION("GOOGLETRANSLATE($B658,""en"",V$3)"),"Zapisz Inventory IAR")</f>
        <v>Zapisz Inventory IAR</v>
      </c>
      <c r="W658" s="21" t="str">
        <f ca="1">IFERROR(__xludf.DUMMYFUNCTION("GOOGLETRANSLATE($B658,""en"",W$3)"),"Сохранить Inventory IAR")</f>
        <v>Сохранить Inventory IAR</v>
      </c>
      <c r="X658" s="21" t="str">
        <f ca="1">IFERROR(__xludf.DUMMYFUNCTION("GOOGLETRANSLATE($B658,""en"",X$3)"),"Guardar Inventario IAR")</f>
        <v>Guardar Inventario IAR</v>
      </c>
      <c r="Y658" s="25"/>
      <c r="Z658" s="25"/>
    </row>
    <row r="659" spans="1:26" ht="32.25" customHeight="1" x14ac:dyDescent="0.2">
      <c r="A659" s="17" t="s">
        <v>1416</v>
      </c>
      <c r="B659" s="17" t="s">
        <v>1417</v>
      </c>
      <c r="C659" s="21" t="str">
        <f ca="1">IFERROR(__xludf.DUMMYFUNCTION("GOOGLETRANSLATE($B659,""en"",C$3)"),"Speichern Region OAR")</f>
        <v>Speichern Region OAR</v>
      </c>
      <c r="D659" s="21" t="str">
        <f ca="1">IFERROR(__xludf.DUMMYFUNCTION("GOOGLETRANSLATE($B659,""en"",D$3)"),"Spara Region OAR")</f>
        <v>Spara Region OAR</v>
      </c>
      <c r="E659" s="21" t="str">
        <f ca="1">IFERROR(__xludf.DUMMYFUNCTION("GOOGLETRANSLATE($B659,""en"",E$3)"),"Salvar Região OAR")</f>
        <v>Salvar Região OAR</v>
      </c>
      <c r="F659" s="21" t="str">
        <f ca="1">IFERROR(__xludf.DUMMYFUNCTION("GOOGLETRANSLATE($B659,""en"",F$3)"),"Salvar Região OAR")</f>
        <v>Salvar Região OAR</v>
      </c>
      <c r="G659" s="21" t="str">
        <f ca="1">IFERROR(__xludf.DUMMYFUNCTION("GOOGLETRANSLATE($B659,""en"",G$3)"),"Enregistrer région OAR")</f>
        <v>Enregistrer région OAR</v>
      </c>
      <c r="H659" s="21" t="str">
        <f ca="1">IFERROR(__xludf.DUMMYFUNCTION("GOOGLETRANSLATE($B659,""en"",H$3)"),"Save eskualdea OAR")</f>
        <v>Save eskualdea OAR</v>
      </c>
      <c r="I659" s="21" t="str">
        <f ca="1">IFERROR(__xludf.DUMMYFUNCTION("GOOGLETRANSLATE($B659,""en"",I$3)"),"Desar regió OAR")</f>
        <v>Desar regió OAR</v>
      </c>
      <c r="J659" s="21" t="str">
        <f ca="1">IFERROR(__xludf.DUMMYFUNCTION("GOOGLETRANSLATE($B659,""en"",J$3)"),"Save Region OAR")</f>
        <v>Save Region OAR</v>
      </c>
      <c r="K659" s="21" t="str">
        <f ca="1">IFERROR(__xludf.DUMMYFUNCTION("GOOGLETRANSLATE($B659,""en"",K$3)"),"保存区OAR")</f>
        <v>保存区OAR</v>
      </c>
      <c r="L659" s="21" t="str">
        <f ca="1">IFERROR(__xludf.DUMMYFUNCTION("GOOGLETRANSLATE($B659,""en"",L$3)"),"保存區OAR")</f>
        <v>保存區OAR</v>
      </c>
      <c r="M659" s="21" t="str">
        <f ca="1">IFERROR(__xludf.DUMMYFUNCTION("GOOGLETRANSLATE($B659,""en"",M$3)"),"Save Region OAR")</f>
        <v>Save Region OAR</v>
      </c>
      <c r="N659" s="21" t="str">
        <f ca="1">IFERROR(__xludf.DUMMYFUNCTION("GOOGLETRANSLATE($B659,""en"",N$3)"),"Αποθήκευση Περιφέρεια OAR")</f>
        <v>Αποθήκευση Περιφέρεια OAR</v>
      </c>
      <c r="O659" s="21" t="str">
        <f ca="1">IFERROR(__xludf.DUMMYFUNCTION("GOOGLETRANSLATE($B659,""en"",O$3)"),"Tallenna Region OAR")</f>
        <v>Tallenna Region OAR</v>
      </c>
      <c r="P659" s="21" t="str">
        <f ca="1">IFERROR(__xludf.DUMMYFUNCTION("GOOGLETRANSLATE($B659,""en"",P$3)"),"Sábháil Réigiún OAR")</f>
        <v>Sábháil Réigiún OAR</v>
      </c>
      <c r="Q659" s="21" t="str">
        <f ca="1">IFERROR(__xludf.DUMMYFUNCTION("GOOGLETRANSLATE($B659,""en"",Q$3)"),"ذخیره منطقه پارو")</f>
        <v>ذخیره منطقه پارو</v>
      </c>
      <c r="R659" s="21" t="str">
        <f ca="1">IFERROR(__xludf.DUMMYFUNCTION("GOOGLETRANSLATE($B659,""en"",R$3)"),"שמור אזור משוט")</f>
        <v>שמור אזור משוט</v>
      </c>
      <c r="S659" s="21" t="str">
        <f ca="1">IFERROR(__xludf.DUMMYFUNCTION("GOOGLETRANSLATE($B659,""en"",S$3)"),"Vista Region OAR")</f>
        <v>Vista Region OAR</v>
      </c>
      <c r="T659" s="21" t="str">
        <f ca="1">IFERROR(__xludf.DUMMYFUNCTION("GOOGLETRANSLATE($B659,""en"",T$3)"),"Lagre Region OAR")</f>
        <v>Lagre Region OAR</v>
      </c>
      <c r="U659" s="21" t="str">
        <f ca="1">IFERROR(__xludf.DUMMYFUNCTION("GOOGLETRANSLATE($B659,""en"",U$3)"),"حفظ منطقة OAR")</f>
        <v>حفظ منطقة OAR</v>
      </c>
      <c r="V659" s="21" t="str">
        <f ca="1">IFERROR(__xludf.DUMMYFUNCTION("GOOGLETRANSLATE($B659,""en"",V$3)"),"Zapisz Region OAR")</f>
        <v>Zapisz Region OAR</v>
      </c>
      <c r="W659" s="21" t="str">
        <f ca="1">IFERROR(__xludf.DUMMYFUNCTION("GOOGLETRANSLATE($B659,""en"",W$3)"),"Сохранить Регион ОАР")</f>
        <v>Сохранить Регион ОАР</v>
      </c>
      <c r="X659" s="21" t="str">
        <f ca="1">IFERROR(__xludf.DUMMYFUNCTION("GOOGLETRANSLATE($B659,""en"",X$3)"),"Guardar región OAR")</f>
        <v>Guardar región OAR</v>
      </c>
      <c r="Y659" s="25"/>
      <c r="Z659" s="25"/>
    </row>
    <row r="660" spans="1:26" ht="32.25" customHeight="1" x14ac:dyDescent="0.2">
      <c r="A660" s="17" t="s">
        <v>1418</v>
      </c>
      <c r="B660" s="17" t="s">
        <v>1419</v>
      </c>
      <c r="C660" s="21" t="str">
        <f ca="1">IFERROR(__xludf.DUMMYFUNCTION("GOOGLETRANSLATE($B660,""en"",C$3)"),"sparen")</f>
        <v>sparen</v>
      </c>
      <c r="D660" s="21" t="str">
        <f ca="1">IFERROR(__xludf.DUMMYFUNCTION("GOOGLETRANSLATE($B660,""en"",D$3)"),"Spara")</f>
        <v>Spara</v>
      </c>
      <c r="E660" s="21" t="str">
        <f ca="1">IFERROR(__xludf.DUMMYFUNCTION("GOOGLETRANSLATE($B660,""en"",E$3)"),"Salve ")</f>
        <v>Salve </v>
      </c>
      <c r="F660" s="21" t="str">
        <f ca="1">IFERROR(__xludf.DUMMYFUNCTION("GOOGLETRANSLATE($B660,""en"",F$3)"),"Salve ")</f>
        <v>Salve </v>
      </c>
      <c r="G660" s="21" t="str">
        <f ca="1">IFERROR(__xludf.DUMMYFUNCTION("GOOGLETRANSLATE($B660,""en"",G$3)"),"sauver")</f>
        <v>sauver</v>
      </c>
      <c r="H660" s="21" t="str">
        <f ca="1">IFERROR(__xludf.DUMMYFUNCTION("GOOGLETRANSLATE($B660,""en"",H$3)"),"Save")</f>
        <v>Save</v>
      </c>
      <c r="I660" s="21" t="str">
        <f ca="1">IFERROR(__xludf.DUMMYFUNCTION("GOOGLETRANSLATE($B660,""en"",I$3)"),"Desar")</f>
        <v>Desar</v>
      </c>
      <c r="J660" s="21" t="str">
        <f ca="1">IFERROR(__xludf.DUMMYFUNCTION("GOOGLETRANSLATE($B660,""en"",J$3)"),"Uložit")</f>
        <v>Uložit</v>
      </c>
      <c r="K660" s="21" t="str">
        <f ca="1">IFERROR(__xludf.DUMMYFUNCTION("GOOGLETRANSLATE($B660,""en"",K$3)"),"保存")</f>
        <v>保存</v>
      </c>
      <c r="L660" s="21" t="str">
        <f ca="1">IFERROR(__xludf.DUMMYFUNCTION("GOOGLETRANSLATE($B660,""en"",L$3)"),"保存")</f>
        <v>保存</v>
      </c>
      <c r="M660" s="21" t="str">
        <f ca="1">IFERROR(__xludf.DUMMYFUNCTION("GOOGLETRANSLATE($B660,""en"",M$3)"),"Sparen")</f>
        <v>Sparen</v>
      </c>
      <c r="N660" s="21" t="str">
        <f ca="1">IFERROR(__xludf.DUMMYFUNCTION("GOOGLETRANSLATE($B660,""en"",N$3)"),"Αποθηκεύσετε")</f>
        <v>Αποθηκεύσετε</v>
      </c>
      <c r="O660" s="21" t="str">
        <f ca="1">IFERROR(__xludf.DUMMYFUNCTION("GOOGLETRANSLATE($B660,""en"",O$3)"),"Tallentaa")</f>
        <v>Tallentaa</v>
      </c>
      <c r="P660" s="21" t="str">
        <f ca="1">IFERROR(__xludf.DUMMYFUNCTION("GOOGLETRANSLATE($B660,""en"",P$3)"),"Sábháil")</f>
        <v>Sábháil</v>
      </c>
      <c r="Q660" s="21" t="str">
        <f ca="1">IFERROR(__xludf.DUMMYFUNCTION("GOOGLETRANSLATE($B660,""en"",Q$3)"),"صرفه جویی")</f>
        <v>صرفه جویی</v>
      </c>
      <c r="R660" s="21" t="str">
        <f ca="1">IFERROR(__xludf.DUMMYFUNCTION("GOOGLETRANSLATE($B660,""en"",R$3)"),"לשמור")</f>
        <v>לשמור</v>
      </c>
      <c r="S660" s="21" t="str">
        <f ca="1">IFERROR(__xludf.DUMMYFUNCTION("GOOGLETRANSLATE($B660,""en"",S$3)"),"Vista")</f>
        <v>Vista</v>
      </c>
      <c r="T660" s="21" t="str">
        <f ca="1">IFERROR(__xludf.DUMMYFUNCTION("GOOGLETRANSLATE($B660,""en"",T$3)"),"Lagre")</f>
        <v>Lagre</v>
      </c>
      <c r="U660" s="21" t="str">
        <f ca="1">IFERROR(__xludf.DUMMYFUNCTION("GOOGLETRANSLATE($B660,""en"",U$3)"),"حفظ")</f>
        <v>حفظ</v>
      </c>
      <c r="V660" s="21" t="str">
        <f ca="1">IFERROR(__xludf.DUMMYFUNCTION("GOOGLETRANSLATE($B660,""en"",V$3)"),"Zapisać")</f>
        <v>Zapisać</v>
      </c>
      <c r="W660" s="21" t="str">
        <f ca="1">IFERROR(__xludf.DUMMYFUNCTION("GOOGLETRANSLATE($B660,""en"",W$3)"),"Сохранить")</f>
        <v>Сохранить</v>
      </c>
      <c r="X660" s="21" t="str">
        <f ca="1">IFERROR(__xludf.DUMMYFUNCTION("GOOGLETRANSLATE($B660,""en"",X$3)"),"Salvar")</f>
        <v>Salvar</v>
      </c>
      <c r="Y660" s="25"/>
      <c r="Z660" s="25"/>
    </row>
    <row r="661" spans="1:26" ht="32.25" customHeight="1" x14ac:dyDescent="0.2">
      <c r="A661" s="17" t="s">
        <v>1420</v>
      </c>
      <c r="B661" s="17" t="s">
        <v>1421</v>
      </c>
      <c r="C661" s="21" t="str">
        <f ca="1">IFERROR(__xludf.DUMMYFUNCTION("GOOGLETRANSLATE($B661,""en"",C$3)"),"Saving")</f>
        <v>Saving</v>
      </c>
      <c r="D661" s="21" t="str">
        <f ca="1">IFERROR(__xludf.DUMMYFUNCTION("GOOGLETRANSLATE($B661,""en"",D$3)"),"Sparande")</f>
        <v>Sparande</v>
      </c>
      <c r="E661" s="21" t="str">
        <f ca="1">IFERROR(__xludf.DUMMYFUNCTION("GOOGLETRANSLATE($B661,""en"",E$3)"),"Saving")</f>
        <v>Saving</v>
      </c>
      <c r="F661" s="21" t="str">
        <f ca="1">IFERROR(__xludf.DUMMYFUNCTION("GOOGLETRANSLATE($B661,""en"",F$3)"),"Saving")</f>
        <v>Saving</v>
      </c>
      <c r="G661" s="21" t="str">
        <f ca="1">IFERROR(__xludf.DUMMYFUNCTION("GOOGLETRANSLATE($B661,""en"",G$3)"),"Économie")</f>
        <v>Économie</v>
      </c>
      <c r="H661" s="21" t="str">
        <f ca="1">IFERROR(__xludf.DUMMYFUNCTION("GOOGLETRANSLATE($B661,""en"",H$3)"),"Aurrezteko")</f>
        <v>Aurrezteko</v>
      </c>
      <c r="I661" s="21" t="str">
        <f ca="1">IFERROR(__xludf.DUMMYFUNCTION("GOOGLETRANSLATE($B661,""en"",I$3)"),"estalvi")</f>
        <v>estalvi</v>
      </c>
      <c r="J661" s="21" t="str">
        <f ca="1">IFERROR(__xludf.DUMMYFUNCTION("GOOGLETRANSLATE($B661,""en"",J$3)"),"Ukládání")</f>
        <v>Ukládání</v>
      </c>
      <c r="K661" s="21" t="str">
        <f ca="1">IFERROR(__xludf.DUMMYFUNCTION("GOOGLETRANSLATE($B661,""en"",K$3)"),"保存")</f>
        <v>保存</v>
      </c>
      <c r="L661" s="21" t="str">
        <f ca="1">IFERROR(__xludf.DUMMYFUNCTION("GOOGLETRANSLATE($B661,""en"",L$3)"),"保存")</f>
        <v>保存</v>
      </c>
      <c r="M661" s="21" t="str">
        <f ca="1">IFERROR(__xludf.DUMMYFUNCTION("GOOGLETRANSLATE($B661,""en"",M$3)"),"Besparing")</f>
        <v>Besparing</v>
      </c>
      <c r="N661" s="21" t="str">
        <f ca="1">IFERROR(__xludf.DUMMYFUNCTION("GOOGLETRANSLATE($B661,""en"",N$3)"),"Οικονομία")</f>
        <v>Οικονομία</v>
      </c>
      <c r="O661" s="21" t="str">
        <f ca="1">IFERROR(__xludf.DUMMYFUNCTION("GOOGLETRANSLATE($B661,""en"",O$3)"),"Tallentaa")</f>
        <v>Tallentaa</v>
      </c>
      <c r="P661" s="21" t="str">
        <f ca="1">IFERROR(__xludf.DUMMYFUNCTION("GOOGLETRANSLATE($B661,""en"",P$3)"),"Shábháil")</f>
        <v>Shábháil</v>
      </c>
      <c r="Q661" s="21" t="str">
        <f ca="1">IFERROR(__xludf.DUMMYFUNCTION("GOOGLETRANSLATE($B661,""en"",Q$3)"),"صرفه جویی در")</f>
        <v>صرفه جویی در</v>
      </c>
      <c r="R661" s="21" t="str">
        <f ca="1">IFERROR(__xludf.DUMMYFUNCTION("GOOGLETRANSLATE($B661,""en"",R$3)"),"חִסָכוֹן")</f>
        <v>חִסָכוֹן</v>
      </c>
      <c r="S661" s="21" t="str">
        <f ca="1">IFERROR(__xludf.DUMMYFUNCTION("GOOGLETRANSLATE($B661,""en"",S$3)"),"Saving")</f>
        <v>Saving</v>
      </c>
      <c r="T661" s="21" t="str">
        <f ca="1">IFERROR(__xludf.DUMMYFUNCTION("GOOGLETRANSLATE($B661,""en"",T$3)"),"Saving")</f>
        <v>Saving</v>
      </c>
      <c r="U661" s="21" t="str">
        <f ca="1">IFERROR(__xludf.DUMMYFUNCTION("GOOGLETRANSLATE($B661,""en"",U$3)"),"إنقاذ")</f>
        <v>إنقاذ</v>
      </c>
      <c r="V661" s="21" t="str">
        <f ca="1">IFERROR(__xludf.DUMMYFUNCTION("GOOGLETRANSLATE($B661,""en"",V$3)"),"Oszczędność")</f>
        <v>Oszczędność</v>
      </c>
      <c r="W661" s="21" t="str">
        <f ca="1">IFERROR(__xludf.DUMMYFUNCTION("GOOGLETRANSLATE($B661,""en"",W$3)"),"Сохранение")</f>
        <v>Сохранение</v>
      </c>
      <c r="X661" s="21" t="str">
        <f ca="1">IFERROR(__xludf.DUMMYFUNCTION("GOOGLETRANSLATE($B661,""en"",X$3)"),"Ahorro")</f>
        <v>Ahorro</v>
      </c>
      <c r="Y661" s="25"/>
      <c r="Z661" s="25"/>
    </row>
    <row r="662" spans="1:26" ht="32.25" customHeight="1" x14ac:dyDescent="0.2">
      <c r="A662" s="17" t="s">
        <v>1422</v>
      </c>
      <c r="B662" s="17" t="s">
        <v>1423</v>
      </c>
      <c r="C662" s="21" t="str">
        <f ca="1">IFERROR(__xludf.DUMMYFUNCTION("GOOGLETRANSLATE($B662,""en"",C$3)"),"Script-Cache")</f>
        <v>Script-Cache</v>
      </c>
      <c r="D662" s="21" t="str">
        <f ca="1">IFERROR(__xludf.DUMMYFUNCTION("GOOGLETRANSLATE($B662,""en"",D$3)"),"script cache")</f>
        <v>script cache</v>
      </c>
      <c r="E662" s="21" t="str">
        <f ca="1">IFERROR(__xludf.DUMMYFUNCTION("GOOGLETRANSLATE($B662,""en"",E$3)"),"Cache de script")</f>
        <v>Cache de script</v>
      </c>
      <c r="F662" s="21" t="str">
        <f ca="1">IFERROR(__xludf.DUMMYFUNCTION("GOOGLETRANSLATE($B662,""en"",F$3)"),"Cache de script")</f>
        <v>Cache de script</v>
      </c>
      <c r="G662" s="21" t="str">
        <f ca="1">IFERROR(__xludf.DUMMYFUNCTION("GOOGLETRANSLATE($B662,""en"",G$3)"),"cache Script")</f>
        <v>cache Script</v>
      </c>
      <c r="H662" s="21" t="str">
        <f ca="1">IFERROR(__xludf.DUMMYFUNCTION("GOOGLETRANSLATE($B662,""en"",H$3)"),"Gidoi cache")</f>
        <v>Gidoi cache</v>
      </c>
      <c r="I662" s="21" t="str">
        <f ca="1">IFERROR(__xludf.DUMMYFUNCTION("GOOGLETRANSLATE($B662,""en"",I$3)"),"cau de l'escriptura")</f>
        <v>cau de l'escriptura</v>
      </c>
      <c r="J662" s="21" t="str">
        <f ca="1">IFERROR(__xludf.DUMMYFUNCTION("GOOGLETRANSLATE($B662,""en"",J$3)"),"mezipaměť skript")</f>
        <v>mezipaměť skript</v>
      </c>
      <c r="K662" s="21" t="str">
        <f ca="1">IFERROR(__xludf.DUMMYFUNCTION("GOOGLETRANSLATE($B662,""en"",K$3)"),"脚本缓存")</f>
        <v>脚本缓存</v>
      </c>
      <c r="L662" s="21" t="str">
        <f ca="1">IFERROR(__xludf.DUMMYFUNCTION("GOOGLETRANSLATE($B662,""en"",L$3)"),"腳本緩存")</f>
        <v>腳本緩存</v>
      </c>
      <c r="M662" s="21" t="str">
        <f ca="1">IFERROR(__xludf.DUMMYFUNCTION("GOOGLETRANSLATE($B662,""en"",M$3)"),"script in cachegeheugen")</f>
        <v>script in cachegeheugen</v>
      </c>
      <c r="N662" s="21" t="str">
        <f ca="1">IFERROR(__xludf.DUMMYFUNCTION("GOOGLETRANSLATE($B662,""en"",N$3)"),"Προσωρινή μνήμη σεναρίου")</f>
        <v>Προσωρινή μνήμη σεναρίου</v>
      </c>
      <c r="O662" s="21" t="str">
        <f ca="1">IFERROR(__xludf.DUMMYFUNCTION("GOOGLETRANSLATE($B662,""en"",O$3)"),"Ohjelmavälimuisti")</f>
        <v>Ohjelmavälimuisti</v>
      </c>
      <c r="P662" s="21" t="str">
        <f ca="1">IFERROR(__xludf.DUMMYFUNCTION("GOOGLETRANSLATE($B662,""en"",P$3)"),"script taisce")</f>
        <v>script taisce</v>
      </c>
      <c r="Q662" s="21" t="str">
        <f ca="1">IFERROR(__xludf.DUMMYFUNCTION("GOOGLETRANSLATE($B662,""en"",Q$3)"),"حافظه پنهان اسکریپت")</f>
        <v>حافظه پنهان اسکریپت</v>
      </c>
      <c r="R662" s="21" t="str">
        <f ca="1">IFERROR(__xludf.DUMMYFUNCTION("GOOGLETRANSLATE($B662,""en"",R$3)"),"קובץ סקריפט שמור")</f>
        <v>קובץ סקריפט שמור</v>
      </c>
      <c r="S662" s="21" t="str">
        <f ca="1">IFERROR(__xludf.DUMMYFUNCTION("GOOGLETRANSLATE($B662,""en"",S$3)"),"Script skyndiminni")</f>
        <v>Script skyndiminni</v>
      </c>
      <c r="T662" s="21" t="str">
        <f ca="1">IFERROR(__xludf.DUMMYFUNCTION("GOOGLETRANSLATE($B662,""en"",T$3)"),"Skriptbuffer")</f>
        <v>Skriptbuffer</v>
      </c>
      <c r="U662" s="21" t="str">
        <f ca="1">IFERROR(__xludf.DUMMYFUNCTION("GOOGLETRANSLATE($B662,""en"",U$3)"),"مخبأ النصي")</f>
        <v>مخبأ النصي</v>
      </c>
      <c r="V662" s="21" t="str">
        <f ca="1">IFERROR(__xludf.DUMMYFUNCTION("GOOGLETRANSLATE($B662,""en"",V$3)"),"cache script")</f>
        <v>cache script</v>
      </c>
      <c r="W662" s="21" t="str">
        <f ca="1">IFERROR(__xludf.DUMMYFUNCTION("GOOGLETRANSLATE($B662,""en"",W$3)"),"кэш скрипта")</f>
        <v>кэш скрипта</v>
      </c>
      <c r="X662" s="21" t="str">
        <f ca="1">IFERROR(__xludf.DUMMYFUNCTION("GOOGLETRANSLATE($B662,""en"",X$3)"),"caché de la escritura")</f>
        <v>caché de la escritura</v>
      </c>
      <c r="Y662" s="25"/>
      <c r="Z662" s="25"/>
    </row>
    <row r="663" spans="1:26" ht="32.25" customHeight="1" x14ac:dyDescent="0.2">
      <c r="A663" s="10" t="s">
        <v>1424</v>
      </c>
      <c r="B663" s="10" t="s">
        <v>1425</v>
      </c>
      <c r="C663" s="11" t="str">
        <f ca="1">IFERROR(__xludf.DUMMYFUNCTION("GOOGLETRANSLATE($B663,""en"",C$3)"),"Script Engine")</f>
        <v>Script Engine</v>
      </c>
      <c r="D663" s="11" t="str">
        <f ca="1">IFERROR(__xludf.DUMMYFUNCTION("GOOGLETRANSLATE($B663,""en"",D$3)"),"script Engine")</f>
        <v>script Engine</v>
      </c>
      <c r="E663" s="11" t="str">
        <f ca="1">IFERROR(__xludf.DUMMYFUNCTION("GOOGLETRANSLATE($B663,""en"",E$3)"),"Script Engine")</f>
        <v>Script Engine</v>
      </c>
      <c r="F663" s="11" t="str">
        <f ca="1">IFERROR(__xludf.DUMMYFUNCTION("GOOGLETRANSLATE($B663,""en"",F$3)"),"Script Engine")</f>
        <v>Script Engine</v>
      </c>
      <c r="G663" s="11" t="str">
        <f ca="1">IFERROR(__xludf.DUMMYFUNCTION("GOOGLETRANSLATE($B663,""en"",G$3)"),"Script Engine")</f>
        <v>Script Engine</v>
      </c>
      <c r="H663" s="11" t="str">
        <f ca="1">IFERROR(__xludf.DUMMYFUNCTION("GOOGLETRANSLATE($B663,""en"",H$3)"),"Gidoi motorra")</f>
        <v>Gidoi motorra</v>
      </c>
      <c r="I663" s="11" t="str">
        <f ca="1">IFERROR(__xludf.DUMMYFUNCTION("GOOGLETRANSLATE($B663,""en"",I$3)"),"de l'motor de guions")</f>
        <v>de l'motor de guions</v>
      </c>
      <c r="J663" s="11" t="str">
        <f ca="1">IFERROR(__xludf.DUMMYFUNCTION("GOOGLETRANSLATE($B663,""en"",J$3)"),"Script Engine")</f>
        <v>Script Engine</v>
      </c>
      <c r="K663" s="11" t="str">
        <f ca="1">IFERROR(__xludf.DUMMYFUNCTION("GOOGLETRANSLATE($B663,""en"",K$3)"),"脚本引擎")</f>
        <v>脚本引擎</v>
      </c>
      <c r="L663" s="11" t="str">
        <f ca="1">IFERROR(__xludf.DUMMYFUNCTION("GOOGLETRANSLATE($B663,""en"",L$3)"),"腳本引擎")</f>
        <v>腳本引擎</v>
      </c>
      <c r="M663" s="11" t="str">
        <f ca="1">IFERROR(__xludf.DUMMYFUNCTION("GOOGLETRANSLATE($B663,""en"",M$3)"),"script Engine")</f>
        <v>script Engine</v>
      </c>
      <c r="N663" s="11" t="str">
        <f ca="1">IFERROR(__xludf.DUMMYFUNCTION("GOOGLETRANSLATE($B663,""en"",N$3)"),"script Engine")</f>
        <v>script Engine</v>
      </c>
      <c r="O663" s="11" t="str">
        <f ca="1">IFERROR(__xludf.DUMMYFUNCTION("GOOGLETRANSLATE($B663,""en"",O$3)"),"komentosarjamoduulin")</f>
        <v>komentosarjamoduulin</v>
      </c>
      <c r="P663" s="11" t="str">
        <f ca="1">IFERROR(__xludf.DUMMYFUNCTION("GOOGLETRANSLATE($B663,""en"",P$3)"),"script Inneall")</f>
        <v>script Inneall</v>
      </c>
      <c r="Q663" s="11" t="str">
        <f ca="1">IFERROR(__xludf.DUMMYFUNCTION("GOOGLETRANSLATE($B663,""en"",Q$3)"),"موتور اسکریپت")</f>
        <v>موتور اسکریپت</v>
      </c>
      <c r="R663" s="11" t="str">
        <f ca="1">IFERROR(__xludf.DUMMYFUNCTION("GOOGLETRANSLATE($B663,""en"",R$3)"),"מנוע סקריפט")</f>
        <v>מנוע סקריפט</v>
      </c>
      <c r="S663" s="11" t="str">
        <f ca="1">IFERROR(__xludf.DUMMYFUNCTION("GOOGLETRANSLATE($B663,""en"",S$3)"),"Script Engine")</f>
        <v>Script Engine</v>
      </c>
      <c r="T663" s="11" t="str">
        <f ca="1">IFERROR(__xludf.DUMMYFUNCTION("GOOGLETRANSLATE($B663,""en"",T$3)"),"script Engine")</f>
        <v>script Engine</v>
      </c>
      <c r="U663" s="11" t="str">
        <f ca="1">IFERROR(__xludf.DUMMYFUNCTION("GOOGLETRANSLATE($B663,""en"",U$3)"),"السيناريو المحرك")</f>
        <v>السيناريو المحرك</v>
      </c>
      <c r="V663" s="11" t="str">
        <f ca="1">IFERROR(__xludf.DUMMYFUNCTION("GOOGLETRANSLATE($B663,""en"",V$3)"),"skrypt Silnik")</f>
        <v>skrypt Silnik</v>
      </c>
      <c r="W663" s="11" t="str">
        <f ca="1">IFERROR(__xludf.DUMMYFUNCTION("GOOGLETRANSLATE($B663,""en"",W$3)"),"Сценарий двигателя")</f>
        <v>Сценарий двигателя</v>
      </c>
      <c r="X663" s="11" t="str">
        <f ca="1">IFERROR(__xludf.DUMMYFUNCTION("GOOGLETRANSLATE($B663,""en"",X$3)"),"del motor de guiones")</f>
        <v>del motor de guiones</v>
      </c>
    </row>
    <row r="664" spans="1:26" ht="32.25" customHeight="1" x14ac:dyDescent="0.2">
      <c r="A664" s="17" t="s">
        <v>1426</v>
      </c>
      <c r="B664" s="17" t="s">
        <v>1427</v>
      </c>
      <c r="C664" s="21" t="str">
        <f ca="1">IFERROR(__xludf.DUMMYFUNCTION("GOOGLETRANSLATE($B664,""en"",C$3)"),"Script bewerten")</f>
        <v>Script bewerten</v>
      </c>
      <c r="D664" s="21" t="str">
        <f ca="1">IFERROR(__xludf.DUMMYFUNCTION("GOOGLETRANSLATE($B664,""en"",D$3)"),"script Rate")</f>
        <v>script Rate</v>
      </c>
      <c r="E664" s="21" t="str">
        <f ca="1">IFERROR(__xludf.DUMMYFUNCTION("GOOGLETRANSLATE($B664,""en"",E$3)"),"Script Taxa")</f>
        <v>Script Taxa</v>
      </c>
      <c r="F664" s="21" t="str">
        <f ca="1">IFERROR(__xludf.DUMMYFUNCTION("GOOGLETRANSLATE($B664,""en"",F$3)"),"Script Taxa")</f>
        <v>Script Taxa</v>
      </c>
      <c r="G664" s="21" t="str">
        <f ca="1">IFERROR(__xludf.DUMMYFUNCTION("GOOGLETRANSLATE($B664,""en"",G$3)"),"Script Taux")</f>
        <v>Script Taux</v>
      </c>
      <c r="H664" s="21" t="str">
        <f ca="1">IFERROR(__xludf.DUMMYFUNCTION("GOOGLETRANSLATE($B664,""en"",H$3)"),"Gidoi baloratu")</f>
        <v>Gidoi baloratu</v>
      </c>
      <c r="I664" s="21" t="str">
        <f ca="1">IFERROR(__xludf.DUMMYFUNCTION("GOOGLETRANSLATE($B664,""en"",I$3)"),"Taxa de seqüència de comandaments")</f>
        <v>Taxa de seqüència de comandaments</v>
      </c>
      <c r="J664" s="21" t="str">
        <f ca="1">IFERROR(__xludf.DUMMYFUNCTION("GOOGLETRANSLATE($B664,""en"",J$3)"),"Script Rate")</f>
        <v>Script Rate</v>
      </c>
      <c r="K664" s="21" t="str">
        <f ca="1">IFERROR(__xludf.DUMMYFUNCTION("GOOGLETRANSLATE($B664,""en"",K$3)"),"脚本率")</f>
        <v>脚本率</v>
      </c>
      <c r="L664" s="21" t="str">
        <f ca="1">IFERROR(__xludf.DUMMYFUNCTION("GOOGLETRANSLATE($B664,""en"",L$3)"),"腳本率")</f>
        <v>腳本率</v>
      </c>
      <c r="M664" s="21" t="str">
        <f ca="1">IFERROR(__xludf.DUMMYFUNCTION("GOOGLETRANSLATE($B664,""en"",M$3)"),"script Rate")</f>
        <v>script Rate</v>
      </c>
      <c r="N664" s="21" t="str">
        <f ca="1">IFERROR(__xludf.DUMMYFUNCTION("GOOGLETRANSLATE($B664,""en"",N$3)"),"σενάριο Τιμή")</f>
        <v>σενάριο Τιμή</v>
      </c>
      <c r="O664" s="21" t="str">
        <f ca="1">IFERROR(__xludf.DUMMYFUNCTION("GOOGLETRANSLATE($B664,""en"",O$3)"),"script Hinta")</f>
        <v>script Hinta</v>
      </c>
      <c r="P664" s="21" t="str">
        <f ca="1">IFERROR(__xludf.DUMMYFUNCTION("GOOGLETRANSLATE($B664,""en"",P$3)"),"Ráta Script")</f>
        <v>Ráta Script</v>
      </c>
      <c r="Q664" s="21" t="str">
        <f ca="1">IFERROR(__xludf.DUMMYFUNCTION("GOOGLETRANSLATE($B664,""en"",Q$3)"),"اسکریپت نرخ")</f>
        <v>اسکریپت نرخ</v>
      </c>
      <c r="R664" s="21" t="str">
        <f ca="1">IFERROR(__xludf.DUMMYFUNCTION("GOOGLETRANSLATE($B664,""en"",R$3)"),"שערי סקריפט")</f>
        <v>שערי סקריפט</v>
      </c>
      <c r="S664" s="21" t="str">
        <f ca="1">IFERROR(__xludf.DUMMYFUNCTION("GOOGLETRANSLATE($B664,""en"",S$3)"),"Script Rate")</f>
        <v>Script Rate</v>
      </c>
      <c r="T664" s="21" t="str">
        <f ca="1">IFERROR(__xludf.DUMMYFUNCTION("GOOGLETRANSLATE($B664,""en"",T$3)"),"script Ranger")</f>
        <v>script Ranger</v>
      </c>
      <c r="U664" s="21" t="str">
        <f ca="1">IFERROR(__xludf.DUMMYFUNCTION("GOOGLETRANSLATE($B664,""en"",U$3)"),"النصي تقييم")</f>
        <v>النصي تقييم</v>
      </c>
      <c r="V664" s="21" t="str">
        <f ca="1">IFERROR(__xludf.DUMMYFUNCTION("GOOGLETRANSLATE($B664,""en"",V$3)"),"Oceń script")</f>
        <v>Oceń script</v>
      </c>
      <c r="W664" s="21" t="str">
        <f ca="1">IFERROR(__xludf.DUMMYFUNCTION("GOOGLETRANSLATE($B664,""en"",W$3)"),"Оценить Script")</f>
        <v>Оценить Script</v>
      </c>
      <c r="X664" s="21" t="str">
        <f ca="1">IFERROR(__xludf.DUMMYFUNCTION("GOOGLETRANSLATE($B664,""en"",X$3)"),"Tasa de secuencia de comandos")</f>
        <v>Tasa de secuencia de comandos</v>
      </c>
      <c r="Y664" s="21"/>
      <c r="Z664" s="21"/>
    </row>
    <row r="665" spans="1:26" ht="32.25" customHeight="1" x14ac:dyDescent="0.2">
      <c r="A665" s="17" t="s">
        <v>1428</v>
      </c>
      <c r="B665" s="17" t="s">
        <v>1429</v>
      </c>
      <c r="C665" s="21" t="str">
        <f ca="1">IFERROR(__xludf.DUMMYFUNCTION("GOOGLETRANSLATE($B665,""en"",C$3)"),"Script Timer Rate (0,0909)")</f>
        <v>Script Timer Rate (0,0909)</v>
      </c>
      <c r="D665" s="21" t="str">
        <f ca="1">IFERROR(__xludf.DUMMYFUNCTION("GOOGLETRANSLATE($B665,""en"",D$3)"),"Script Timer Rate (0,0909)")</f>
        <v>Script Timer Rate (0,0909)</v>
      </c>
      <c r="E665" s="21" t="str">
        <f ca="1">IFERROR(__xludf.DUMMYFUNCTION("GOOGLETRANSLATE($B665,""en"",E$3)"),"Script Temporizador Rate (0,0909)")</f>
        <v>Script Temporizador Rate (0,0909)</v>
      </c>
      <c r="F665" s="21" t="str">
        <f ca="1">IFERROR(__xludf.DUMMYFUNCTION("GOOGLETRANSLATE($B665,""en"",F$3)"),"Script Temporizador Rate (0,0909)")</f>
        <v>Script Temporizador Rate (0,0909)</v>
      </c>
      <c r="G665" s="21" t="str">
        <f ca="1">IFERROR(__xludf.DUMMYFUNCTION("GOOGLETRANSLATE($B665,""en"",G$3)"),"Script Taux minuterie (0,0909)")</f>
        <v>Script Taux minuterie (0,0909)</v>
      </c>
      <c r="H665" s="21" t="str">
        <f ca="1">IFERROR(__xludf.DUMMYFUNCTION("GOOGLETRANSLATE($B665,""en"",H$3)"),"Gidoi Timer tasa (0.0909)")</f>
        <v>Gidoi Timer tasa (0.0909)</v>
      </c>
      <c r="I665" s="21" t="str">
        <f ca="1">IFERROR(__xludf.DUMMYFUNCTION("GOOGLETRANSLATE($B665,""en"",I$3)"),"Guió temporitzador Rate (0,0909)")</f>
        <v>Guió temporitzador Rate (0,0909)</v>
      </c>
      <c r="J665" s="21" t="str">
        <f ca="1">IFERROR(__xludf.DUMMYFUNCTION("GOOGLETRANSLATE($B665,""en"",J$3)"),"Script Timer Rate (0,0909)")</f>
        <v>Script Timer Rate (0,0909)</v>
      </c>
      <c r="K665" s="21" t="str">
        <f ca="1">IFERROR(__xludf.DUMMYFUNCTION("GOOGLETRANSLATE($B665,""en"",K$3)"),"脚本计时器频率（0.0909）")</f>
        <v>脚本计时器频率（0.0909）</v>
      </c>
      <c r="L665" s="21" t="str">
        <f ca="1">IFERROR(__xludf.DUMMYFUNCTION("GOOGLETRANSLATE($B665,""en"",L$3)"),"腳本計時器頻率（0.0909）")</f>
        <v>腳本計時器頻率（0.0909）</v>
      </c>
      <c r="M665" s="21" t="str">
        <f ca="1">IFERROR(__xludf.DUMMYFUNCTION("GOOGLETRANSLATE($B665,""en"",M$3)"),"Script Timer Rate (0,0909)")</f>
        <v>Script Timer Rate (0,0909)</v>
      </c>
      <c r="N665" s="21" t="str">
        <f ca="1">IFERROR(__xludf.DUMMYFUNCTION("GOOGLETRANSLATE($B665,""en"",N$3)"),"Σενάριο χρονοδιακόπτη Τιμή (0,0909)")</f>
        <v>Σενάριο χρονοδιακόπτη Τιμή (0,0909)</v>
      </c>
      <c r="O665" s="21" t="str">
        <f ca="1">IFERROR(__xludf.DUMMYFUNCTION("GOOGLETRANSLATE($B665,""en"",O$3)"),"Script Timer Hinta (0,0909)")</f>
        <v>Script Timer Hinta (0,0909)</v>
      </c>
      <c r="P665" s="21" t="str">
        <f ca="1">IFERROR(__xludf.DUMMYFUNCTION("GOOGLETRANSLATE($B665,""en"",P$3)"),"Script Timer Ráta (0.0909)")</f>
        <v>Script Timer Ráta (0.0909)</v>
      </c>
      <c r="Q665" s="21" t="str">
        <f ca="1">IFERROR(__xludf.DUMMYFUNCTION("GOOGLETRANSLATE($B665,""en"",Q$3)"),"اسکریپت تایمر نرخ (0.0909)")</f>
        <v>اسکریپت تایمر نرخ (0.0909)</v>
      </c>
      <c r="R665" s="21" t="str">
        <f ca="1">IFERROR(__xludf.DUMMYFUNCTION("GOOGLETRANSLATE($B665,""en"",R$3)"),"שערי טיימר סקריפט (0.0909)")</f>
        <v>שערי טיימר סקריפט (0.0909)</v>
      </c>
      <c r="S665" s="21" t="str">
        <f ca="1">IFERROR(__xludf.DUMMYFUNCTION("GOOGLETRANSLATE($B665,""en"",S$3)"),"Script Timer Rate (0,0909)")</f>
        <v>Script Timer Rate (0,0909)</v>
      </c>
      <c r="T665" s="21" t="str">
        <f ca="1">IFERROR(__xludf.DUMMYFUNCTION("GOOGLETRANSLATE($B665,""en"",T$3)"),"Script Timer Rate (0,0909)")</f>
        <v>Script Timer Rate (0,0909)</v>
      </c>
      <c r="U665" s="21" t="str">
        <f ca="1">IFERROR(__xludf.DUMMYFUNCTION("GOOGLETRANSLATE($B665,""en"",U$3)"),"النصي الموقت معدل (0.0909)")</f>
        <v>النصي الموقت معدل (0.0909)</v>
      </c>
      <c r="V665" s="21" t="str">
        <f ca="1">IFERROR(__xludf.DUMMYFUNCTION("GOOGLETRANSLATE($B665,""en"",V$3)"),"Skrypt czasowy Rate (0,0909)")</f>
        <v>Skrypt czasowy Rate (0,0909)</v>
      </c>
      <c r="W665" s="21" t="str">
        <f ca="1">IFERROR(__xludf.DUMMYFUNCTION("GOOGLETRANSLATE($B665,""en"",W$3)"),"Script Timer Rate (0,0909)")</f>
        <v>Script Timer Rate (0,0909)</v>
      </c>
      <c r="X665" s="21" t="str">
        <f ca="1">IFERROR(__xludf.DUMMYFUNCTION("GOOGLETRANSLATE($B665,""en"",X$3)"),"Guión temporizador Rate (0.0909)")</f>
        <v>Guión temporizador Rate (0.0909)</v>
      </c>
      <c r="Y665" s="21"/>
      <c r="Z665" s="21"/>
    </row>
    <row r="666" spans="1:26" ht="32.25" customHeight="1" x14ac:dyDescent="0.2">
      <c r="A666" s="17" t="s">
        <v>1430</v>
      </c>
      <c r="B666" s="17" t="s">
        <v>1431</v>
      </c>
      <c r="C666" s="21" t="str">
        <f ca="1">IFERROR(__xludf.DUMMYFUNCTION("GOOGLETRANSLATE($B666,""en"",C$3)"),"Script-Timer Geschwindigkeitseinstellung. 1/11 Sekunde ist default (0,0909)")</f>
        <v>Script-Timer Geschwindigkeitseinstellung. 1/11 Sekunde ist default (0,0909)</v>
      </c>
      <c r="D666" s="21" t="str">
        <f ca="1">IFERROR(__xludf.DUMMYFUNCTION("GOOGLETRANSLATE($B666,""en"",D$3)"),"Script timer hastighetsinställning. 1/11 sekund är standard (0,0909)")</f>
        <v>Script timer hastighetsinställning. 1/11 sekund är standard (0,0909)</v>
      </c>
      <c r="E666" s="21" t="str">
        <f ca="1">IFERROR(__xludf.DUMMYFUNCTION("GOOGLETRANSLATE($B666,""en"",E$3)"),"Script configuração de velocidade temporizador. 1/11 segundo é padrão (0,0909)")</f>
        <v>Script configuração de velocidade temporizador. 1/11 segundo é padrão (0,0909)</v>
      </c>
      <c r="F666" s="21" t="str">
        <f ca="1">IFERROR(__xludf.DUMMYFUNCTION("GOOGLETRANSLATE($B666,""en"",F$3)"),"Script configuração de velocidade temporizador. 1/11 segundo é padrão (0,0909)")</f>
        <v>Script configuração de velocidade temporizador. 1/11 segundo é padrão (0,0909)</v>
      </c>
      <c r="G666" s="21" t="str">
        <f ca="1">IFERROR(__xludf.DUMMYFUNCTION("GOOGLETRANSLATE($B666,""en"",G$3)"),"Script réglage de la vitesse de la minuterie. 1/11 secondes est par défaut (0,0909)")</f>
        <v>Script réglage de la vitesse de la minuterie. 1/11 secondes est par défaut (0,0909)</v>
      </c>
      <c r="H666" s="21" t="str">
        <f ca="1">IFERROR(__xludf.DUMMYFUNCTION("GOOGLETRANSLATE($B666,""en"",H$3)"),"Gidoi tenporizadorea abiadura ezarpena. 1/11 segundoko lehenetsia (0.0909)")</f>
        <v>Gidoi tenporizadorea abiadura ezarpena. 1/11 segundoko lehenetsia (0.0909)</v>
      </c>
      <c r="I666" s="21" t="str">
        <f ca="1">IFERROR(__xludf.DUMMYFUNCTION("GOOGLETRANSLATE($B666,""en"",I$3)"),"ajust de velocitat temporitzador guió. 1/11 segons és defecte (0,0909)")</f>
        <v>ajust de velocitat temporitzador guió. 1/11 segons és defecte (0,0909)</v>
      </c>
      <c r="J666" s="21" t="str">
        <f ca="1">IFERROR(__xludf.DUMMYFUNCTION("GOOGLETRANSLATE($B666,""en"",J$3)"),"Nastavení rychlosti časovače Script. 1/11 druhý je výchozí (0,0909)")</f>
        <v>Nastavení rychlosti časovače Script. 1/11 druhý je výchozí (0,0909)</v>
      </c>
      <c r="K666" s="21" t="str">
        <f ca="1">IFERROR(__xludf.DUMMYFUNCTION("GOOGLETRANSLATE($B666,""en"",K$3)"),"脚本计时器速度设定。 1/11秒是默认值（0.0909）")</f>
        <v>脚本计时器速度设定。 1/11秒是默认值（0.0909）</v>
      </c>
      <c r="L666" s="21" t="str">
        <f ca="1">IFERROR(__xludf.DUMMYFUNCTION("GOOGLETRANSLATE($B666,""en"",L$3)"),"腳本計時器速度設定。 1/11秒是默認值（0.0909）")</f>
        <v>腳本計時器速度設定。 1/11秒是默認值（0.0909）</v>
      </c>
      <c r="M666" s="21" t="str">
        <f ca="1">IFERROR(__xludf.DUMMYFUNCTION("GOOGLETRANSLATE($B666,""en"",M$3)"),"Script timer snelheid. 1/11 seconde is standaard (0,0909)")</f>
        <v>Script timer snelheid. 1/11 seconde is standaard (0,0909)</v>
      </c>
      <c r="N666" s="21" t="str">
        <f ca="1">IFERROR(__xludf.DUMMYFUNCTION("GOOGLETRANSLATE($B666,""en"",N$3)"),"Σενάριο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O666" s="21" t="str">
        <f ca="1">IFERROR(__xludf.DUMMYFUNCTION("GOOGLETRANSLATE($B666,""en"",O$3)"),"Script ajastimen nopeusasetus. 1/11 Toinen on oletusarvo (0,0909)")</f>
        <v>Script ajastimen nopeusasetus. 1/11 Toinen on oletusarvo (0,0909)</v>
      </c>
      <c r="P666" s="21" t="str">
        <f ca="1">IFERROR(__xludf.DUMMYFUNCTION("GOOGLETRANSLATE($B666,""en"",P$3)"),"Script suíomh luas uaineadóir. Is 11/01 dara default (0.0909)")</f>
        <v>Script suíomh luas uaineadóir. Is 11/01 dara default (0.0909)</v>
      </c>
      <c r="Q666" s="21" t="str">
        <f ca="1">IFERROR(__xludf.DUMMYFUNCTION("GOOGLETRANSLATE($B666,""en"",Q$3)"),"اسکریپت تنظیم سرعت تایمر. 1/11 دوم به طور پیش فرض است (0.0909)")</f>
        <v>اسکریپت تنظیم سرعت تایمر. 1/11 دوم به طور پیش فرض است (0.0909)</v>
      </c>
      <c r="R666" s="21" t="str">
        <f ca="1">IFERROR(__xludf.DUMMYFUNCTION("GOOGLETRANSLATE($B666,""en"",R$3)"),"הגדרת מהירות טיימר סקריפט. השני 1/11 הוא ברירת מחדל (0.0909)")</f>
        <v>הגדרת מהירות טיימר סקריפט. השני 1/11 הוא ברירת מחדל (0.0909)</v>
      </c>
      <c r="S666" s="21" t="str">
        <f ca="1">IFERROR(__xludf.DUMMYFUNCTION("GOOGLETRANSLATE($B666,""en"",S$3)"),"Script myndatöku hraða stilling. 11/01 Annað er sjálfgefið (0,0909)")</f>
        <v>Script myndatöku hraða stilling. 11/01 Annað er sjálfgefið (0,0909)</v>
      </c>
      <c r="T666" s="21" t="str">
        <f ca="1">IFERROR(__xludf.DUMMYFUNCTION("GOOGLETRANSLATE($B666,""en"",T$3)"),"Script timer hastighetsinnstilling. 1/11 sekund er standard (0,0909)")</f>
        <v>Script timer hastighetsinnstilling. 1/11 sekund er standard (0,0909)</v>
      </c>
      <c r="U666" s="21" t="str">
        <f ca="1">IFERROR(__xludf.DUMMYFUNCTION("GOOGLETRANSLATE($B666,""en"",U$3)"),"النصي تحديد السرعة الموقت. 1/11 الثاني هو الافتراضي (0.0909)")</f>
        <v>النصي تحديد السرعة الموقت. 1/11 الثاني هو الافتراضي (0.0909)</v>
      </c>
      <c r="V666" s="21" t="str">
        <f ca="1">IFERROR(__xludf.DUMMYFUNCTION("GOOGLETRANSLATE($B666,""en"",V$3)"),"Skrypt ustawienie prędkości timera. 1/11 sekundy jest domyślna (0,0909)")</f>
        <v>Skrypt ustawienie prędkości timera. 1/11 sekundy jest domyślna (0,0909)</v>
      </c>
      <c r="W666" s="21" t="str">
        <f ca="1">IFERROR(__xludf.DUMMYFUNCTION("GOOGLETRANSLATE($B666,""en"",W$3)"),"Сценарий настройки скорости таймера. 1/11 второй по умолчанию (0,0909)")</f>
        <v>Сценарий настройки скорости таймера. 1/11 второй по умолчанию (0,0909)</v>
      </c>
      <c r="X666" s="21" t="str">
        <f ca="1">IFERROR(__xludf.DUMMYFUNCTION("GOOGLETRANSLATE($B666,""en"",X$3)"),"ajuste de velocidad temporizador guión. 1/11 segundos es predeterminada (0.0909)")</f>
        <v>ajuste de velocidad temporizador guión. 1/11 segundos es predeterminada (0.0909)</v>
      </c>
      <c r="Y666" s="21"/>
      <c r="Z666" s="21"/>
    </row>
    <row r="667" spans="1:26" ht="32.25" customHeight="1" x14ac:dyDescent="0.2">
      <c r="A667" s="17" t="s">
        <v>1432</v>
      </c>
      <c r="B667" s="17" t="s">
        <v>1433</v>
      </c>
      <c r="C667" s="21" t="str">
        <f ca="1">IFERROR(__xludf.DUMMYFUNCTION("GOOGLETRANSLATE($B667,""en"",C$3)"),"Scripts Lebenslauf")</f>
        <v>Scripts Lebenslauf</v>
      </c>
      <c r="D667" s="21" t="str">
        <f ca="1">IFERROR(__xludf.DUMMYFUNCTION("GOOGLETRANSLATE($B667,""en"",D$3)"),"skript Återuppta")</f>
        <v>skript Återuppta</v>
      </c>
      <c r="E667" s="21" t="str">
        <f ca="1">IFERROR(__xludf.DUMMYFUNCTION("GOOGLETRANSLATE($B667,""en"",E$3)"),"Scripts Resume")</f>
        <v>Scripts Resume</v>
      </c>
      <c r="F667" s="21" t="str">
        <f ca="1">IFERROR(__xludf.DUMMYFUNCTION("GOOGLETRANSLATE($B667,""en"",F$3)"),"Scripts Resume")</f>
        <v>Scripts Resume</v>
      </c>
      <c r="G667" s="21" t="str">
        <f ca="1">IFERROR(__xludf.DUMMYFUNCTION("GOOGLETRANSLATE($B667,""en"",G$3)"),"scripts CV")</f>
        <v>scripts CV</v>
      </c>
      <c r="H667" s="21" t="str">
        <f ca="1">IFERROR(__xludf.DUMMYFUNCTION("GOOGLETRANSLATE($B667,""en"",H$3)"),"Scripts Curriculum")</f>
        <v>Scripts Curriculum</v>
      </c>
      <c r="I667" s="21" t="str">
        <f ca="1">IFERROR(__xludf.DUMMYFUNCTION("GOOGLETRANSLATE($B667,""en"",I$3)"),"Reprendre les seqüències d'ordres")</f>
        <v>Reprendre les seqüències d'ordres</v>
      </c>
      <c r="J667" s="21" t="str">
        <f ca="1">IFERROR(__xludf.DUMMYFUNCTION("GOOGLETRANSLATE($B667,""en"",J$3)"),"skripty Resume")</f>
        <v>skripty Resume</v>
      </c>
      <c r="K667" s="21" t="str">
        <f ca="1">IFERROR(__xludf.DUMMYFUNCTION("GOOGLETRANSLATE($B667,""en"",K$3)"),"脚本简历")</f>
        <v>脚本简历</v>
      </c>
      <c r="L667" s="21" t="str">
        <f ca="1">IFERROR(__xludf.DUMMYFUNCTION("GOOGLETRANSLATE($B667,""en"",L$3)"),"腳本簡歷")</f>
        <v>腳本簡歷</v>
      </c>
      <c r="M667" s="21" t="str">
        <f ca="1">IFERROR(__xludf.DUMMYFUNCTION("GOOGLETRANSLATE($B667,""en"",M$3)"),"scripts Resume")</f>
        <v>scripts Resume</v>
      </c>
      <c r="N667" s="21" t="str">
        <f ca="1">IFERROR(__xludf.DUMMYFUNCTION("GOOGLETRANSLATE($B667,""en"",N$3)"),"σενάρια συνέχισης")</f>
        <v>σενάρια συνέχισης</v>
      </c>
      <c r="O667" s="21" t="str">
        <f ca="1">IFERROR(__xludf.DUMMYFUNCTION("GOOGLETRANSLATE($B667,""en"",O$3)"),"skriptejä Jatka")</f>
        <v>skriptejä Jatka</v>
      </c>
      <c r="P667" s="21" t="str">
        <f ca="1">IFERROR(__xludf.DUMMYFUNCTION("GOOGLETRANSLATE($B667,""en"",P$3)"),"scripteanna Lean")</f>
        <v>scripteanna Lean</v>
      </c>
      <c r="Q667" s="21" t="str">
        <f ca="1">IFERROR(__xludf.DUMMYFUNCTION("GOOGLETRANSLATE($B667,""en"",Q$3)"),"اسکریپت رزومه")</f>
        <v>اسکریپت رزومه</v>
      </c>
      <c r="R667" s="21" t="str">
        <f ca="1">IFERROR(__xludf.DUMMYFUNCTION("GOOGLETRANSLATE($B667,""en"",R$3)"),"קורות חיים סקריפטים")</f>
        <v>קורות חיים סקריפטים</v>
      </c>
      <c r="S667" s="21" t="str">
        <f ca="1">IFERROR(__xludf.DUMMYFUNCTION("GOOGLETRANSLATE($B667,""en"",S$3)"),"Scripts Halda")</f>
        <v>Scripts Halda</v>
      </c>
      <c r="T667" s="21" t="str">
        <f ca="1">IFERROR(__xludf.DUMMYFUNCTION("GOOGLETRANSLATE($B667,""en"",T$3)"),"scripts Resume")</f>
        <v>scripts Resume</v>
      </c>
      <c r="U667" s="21" t="str">
        <f ca="1">IFERROR(__xludf.DUMMYFUNCTION("GOOGLETRANSLATE($B667,""en"",U$3)"),"مخطوطات استئناف")</f>
        <v>مخطوطات استئناف</v>
      </c>
      <c r="V667" s="21" t="str">
        <f ca="1">IFERROR(__xludf.DUMMYFUNCTION("GOOGLETRANSLATE($B667,""en"",V$3)"),"skrypty skrócie")</f>
        <v>skrypty skrócie</v>
      </c>
      <c r="W667" s="21" t="str">
        <f ca="1">IFERROR(__xludf.DUMMYFUNCTION("GOOGLETRANSLATE($B667,""en"",W$3)"),"Сценарии резюме")</f>
        <v>Сценарии резюме</v>
      </c>
      <c r="X667" s="21" t="str">
        <f ca="1">IFERROR(__xludf.DUMMYFUNCTION("GOOGLETRANSLATE($B667,""en"",X$3)"),"Reanudar las secuencias de comandos")</f>
        <v>Reanudar las secuencias de comandos</v>
      </c>
      <c r="Y667" s="21"/>
      <c r="Z667" s="21"/>
    </row>
    <row r="668" spans="1:26" ht="32.25" customHeight="1" x14ac:dyDescent="0.2">
      <c r="A668" s="17" t="s">
        <v>1434</v>
      </c>
      <c r="B668" s="17" t="s">
        <v>1435</v>
      </c>
      <c r="C668" s="21" t="str">
        <f ca="1">IFERROR(__xludf.DUMMYFUNCTION("GOOGLETRANSLATE($B668,""en"",C$3)"),"Scripts starten")</f>
        <v>Scripts starten</v>
      </c>
      <c r="D668" s="21" t="str">
        <f ca="1">IFERROR(__xludf.DUMMYFUNCTION("GOOGLETRANSLATE($B668,""en"",D$3)"),"skript Start")</f>
        <v>skript Start</v>
      </c>
      <c r="E668" s="21" t="str">
        <f ca="1">IFERROR(__xludf.DUMMYFUNCTION("GOOGLETRANSLATE($B668,""en"",E$3)"),"Scripts Iniciar")</f>
        <v>Scripts Iniciar</v>
      </c>
      <c r="F668" s="21" t="str">
        <f ca="1">IFERROR(__xludf.DUMMYFUNCTION("GOOGLETRANSLATE($B668,""en"",F$3)"),"Scripts Iniciar")</f>
        <v>Scripts Iniciar</v>
      </c>
      <c r="G668" s="21" t="str">
        <f ca="1">IFERROR(__xludf.DUMMYFUNCTION("GOOGLETRANSLATE($B668,""en"",G$3)"),"scripts de démarrage")</f>
        <v>scripts de démarrage</v>
      </c>
      <c r="H668" s="21" t="str">
        <f ca="1">IFERROR(__xludf.DUMMYFUNCTION("GOOGLETRANSLATE($B668,""en"",H$3)"),"Scripts Start")</f>
        <v>Scripts Start</v>
      </c>
      <c r="I668" s="21" t="str">
        <f ca="1">IFERROR(__xludf.DUMMYFUNCTION("GOOGLETRANSLATE($B668,""en"",I$3)"),"Els scripts d'inici")</f>
        <v>Els scripts d'inici</v>
      </c>
      <c r="J668" s="21" t="str">
        <f ca="1">IFERROR(__xludf.DUMMYFUNCTION("GOOGLETRANSLATE($B668,""en"",J$3)"),"skripty start")</f>
        <v>skripty start</v>
      </c>
      <c r="K668" s="21" t="str">
        <f ca="1">IFERROR(__xludf.DUMMYFUNCTION("GOOGLETRANSLATE($B668,""en"",K$3)"),"脚本启动")</f>
        <v>脚本启动</v>
      </c>
      <c r="L668" s="21" t="str">
        <f ca="1">IFERROR(__xludf.DUMMYFUNCTION("GOOGLETRANSLATE($B668,""en"",L$3)"),"腳本啟動")</f>
        <v>腳本啟動</v>
      </c>
      <c r="M668" s="21" t="str">
        <f ca="1">IFERROR(__xludf.DUMMYFUNCTION("GOOGLETRANSLATE($B668,""en"",M$3)"),"scripts Start")</f>
        <v>scripts Start</v>
      </c>
      <c r="N668" s="21" t="str">
        <f ca="1">IFERROR(__xludf.DUMMYFUNCTION("GOOGLETRANSLATE($B668,""en"",N$3)"),"σενάρια Έναρξη")</f>
        <v>σενάρια Έναρξη</v>
      </c>
      <c r="O668" s="21" t="str">
        <f ca="1">IFERROR(__xludf.DUMMYFUNCTION("GOOGLETRANSLATE($B668,""en"",O$3)"),"skriptejä Start")</f>
        <v>skriptejä Start</v>
      </c>
      <c r="P668" s="21" t="str">
        <f ca="1">IFERROR(__xludf.DUMMYFUNCTION("GOOGLETRANSLATE($B668,""en"",P$3)"),"scripteanna Tosaigh")</f>
        <v>scripteanna Tosaigh</v>
      </c>
      <c r="Q668" s="21" t="str">
        <f ca="1">IFERROR(__xludf.DUMMYFUNCTION("GOOGLETRANSLATE($B668,""en"",Q$3)"),"اسکریپت شروع")</f>
        <v>اسکریپت شروع</v>
      </c>
      <c r="R668" s="21" t="str">
        <f ca="1">IFERROR(__xludf.DUMMYFUNCTION("GOOGLETRANSLATE($B668,""en"",R$3)"),"סקריפטים התחילו")</f>
        <v>סקריפטים התחילו</v>
      </c>
      <c r="S668" s="21" t="str">
        <f ca="1">IFERROR(__xludf.DUMMYFUNCTION("GOOGLETRANSLATE($B668,""en"",S$3)"),"Scripts Start")</f>
        <v>Scripts Start</v>
      </c>
      <c r="T668" s="21" t="str">
        <f ca="1">IFERROR(__xludf.DUMMYFUNCTION("GOOGLETRANSLATE($B668,""en"",T$3)"),"skript start")</f>
        <v>skript start</v>
      </c>
      <c r="U668" s="21" t="str">
        <f ca="1">IFERROR(__xludf.DUMMYFUNCTION("GOOGLETRANSLATE($B668,""en"",U$3)"),"مخطوطات البداية")</f>
        <v>مخطوطات البداية</v>
      </c>
      <c r="V668" s="21" t="str">
        <f ca="1">IFERROR(__xludf.DUMMYFUNCTION("GOOGLETRANSLATE($B668,""en"",V$3)"),"skrypty start")</f>
        <v>skrypty start</v>
      </c>
      <c r="W668" s="21" t="str">
        <f ca="1">IFERROR(__xludf.DUMMYFUNCTION("GOOGLETRANSLATE($B668,""en"",W$3)"),"Сценарии Start")</f>
        <v>Сценарии Start</v>
      </c>
      <c r="X668" s="21" t="str">
        <f ca="1">IFERROR(__xludf.DUMMYFUNCTION("GOOGLETRANSLATE($B668,""en"",X$3)"),"Los scripts de inicio")</f>
        <v>Los scripts de inicio</v>
      </c>
      <c r="Y668" s="21"/>
      <c r="Z668" s="21"/>
    </row>
    <row r="669" spans="1:26" ht="32.25" customHeight="1" x14ac:dyDescent="0.2">
      <c r="A669" s="17" t="s">
        <v>1436</v>
      </c>
      <c r="B669" s="17" t="s">
        <v>1437</v>
      </c>
      <c r="C669" s="21" t="str">
        <f ca="1">IFERROR(__xludf.DUMMYFUNCTION("GOOGLETRANSLATE($B669,""en"",C$3)"),"Scripts Stopp")</f>
        <v>Scripts Stopp</v>
      </c>
      <c r="D669" s="21" t="str">
        <f ca="1">IFERROR(__xludf.DUMMYFUNCTION("GOOGLETRANSLATE($B669,""en"",D$3)"),"skript Stopp")</f>
        <v>skript Stopp</v>
      </c>
      <c r="E669" s="21" t="str">
        <f ca="1">IFERROR(__xludf.DUMMYFUNCTION("GOOGLETRANSLATE($B669,""en"",E$3)"),"Scripts Parar")</f>
        <v>Scripts Parar</v>
      </c>
      <c r="F669" s="21" t="str">
        <f ca="1">IFERROR(__xludf.DUMMYFUNCTION("GOOGLETRANSLATE($B669,""en"",F$3)"),"Scripts Parar")</f>
        <v>Scripts Parar</v>
      </c>
      <c r="G669" s="21" t="str">
        <f ca="1">IFERROR(__xludf.DUMMYFUNCTION("GOOGLETRANSLATE($B669,""en"",G$3)"),"scripts d'arrêt")</f>
        <v>scripts d'arrêt</v>
      </c>
      <c r="H669" s="21" t="str">
        <f ca="1">IFERROR(__xludf.DUMMYFUNCTION("GOOGLETRANSLATE($B669,""en"",H$3)"),"Scripts Stop")</f>
        <v>Scripts Stop</v>
      </c>
      <c r="I669" s="21" t="str">
        <f ca="1">IFERROR(__xludf.DUMMYFUNCTION("GOOGLETRANSLATE($B669,""en"",I$3)"),"scripts de parada")</f>
        <v>scripts de parada</v>
      </c>
      <c r="J669" s="21" t="str">
        <f ca="1">IFERROR(__xludf.DUMMYFUNCTION("GOOGLETRANSLATE($B669,""en"",J$3)"),"skripty Zastavit")</f>
        <v>skripty Zastavit</v>
      </c>
      <c r="K669" s="21" t="str">
        <f ca="1">IFERROR(__xludf.DUMMYFUNCTION("GOOGLETRANSLATE($B669,""en"",K$3)"),"停止脚本")</f>
        <v>停止脚本</v>
      </c>
      <c r="L669" s="21" t="str">
        <f ca="1">IFERROR(__xludf.DUMMYFUNCTION("GOOGLETRANSLATE($B669,""en"",L$3)"),"停止腳本")</f>
        <v>停止腳本</v>
      </c>
      <c r="M669" s="21" t="str">
        <f ca="1">IFERROR(__xludf.DUMMYFUNCTION("GOOGLETRANSLATE($B669,""en"",M$3)"),"scripts Stop")</f>
        <v>scripts Stop</v>
      </c>
      <c r="N669" s="21" t="str">
        <f ca="1">IFERROR(__xludf.DUMMYFUNCTION("GOOGLETRANSLATE($B669,""en"",N$3)"),"σενάρια Διακοπή")</f>
        <v>σενάρια Διακοπή</v>
      </c>
      <c r="O669" s="21" t="str">
        <f ca="1">IFERROR(__xludf.DUMMYFUNCTION("GOOGLETRANSLATE($B669,""en"",O$3)"),"skriptejä Lopeta")</f>
        <v>skriptejä Lopeta</v>
      </c>
      <c r="P669" s="21" t="str">
        <f ca="1">IFERROR(__xludf.DUMMYFUNCTION("GOOGLETRANSLATE($B669,""en"",P$3)"),"scripteanna Stop")</f>
        <v>scripteanna Stop</v>
      </c>
      <c r="Q669" s="21" t="str">
        <f ca="1">IFERROR(__xludf.DUMMYFUNCTION("GOOGLETRANSLATE($B669,""en"",Q$3)"),"اسکریپت توقف")</f>
        <v>اسکریپت توقف</v>
      </c>
      <c r="R669" s="21" t="str">
        <f ca="1">IFERROR(__xludf.DUMMYFUNCTION("GOOGLETRANSLATE($B669,""en"",R$3)"),"סקריפטים Stop")</f>
        <v>סקריפטים Stop</v>
      </c>
      <c r="S669" s="21" t="str">
        <f ca="1">IFERROR(__xludf.DUMMYFUNCTION("GOOGLETRANSLATE($B669,""en"",S$3)"),"Scripts Stöðva")</f>
        <v>Scripts Stöðva</v>
      </c>
      <c r="T669" s="21" t="str">
        <f ca="1">IFERROR(__xludf.DUMMYFUNCTION("GOOGLETRANSLATE($B669,""en"",T$3)"),"scripts Stop")</f>
        <v>scripts Stop</v>
      </c>
      <c r="U669" s="21" t="str">
        <f ca="1">IFERROR(__xludf.DUMMYFUNCTION("GOOGLETRANSLATE($B669,""en"",U$3)"),"مخطوطات توقف")</f>
        <v>مخطوطات توقف</v>
      </c>
      <c r="V669" s="21" t="str">
        <f ca="1">IFERROR(__xludf.DUMMYFUNCTION("GOOGLETRANSLATE($B669,""en"",V$3)"),"Zatrzymaj skrypty")</f>
        <v>Zatrzymaj skrypty</v>
      </c>
      <c r="W669" s="21" t="str">
        <f ca="1">IFERROR(__xludf.DUMMYFUNCTION("GOOGLETRANSLATE($B669,""en"",W$3)"),"Сценарии Stop")</f>
        <v>Сценарии Stop</v>
      </c>
      <c r="X669" s="21" t="str">
        <f ca="1">IFERROR(__xludf.DUMMYFUNCTION("GOOGLETRANSLATE($B669,""en"",X$3)"),"scripts de parada")</f>
        <v>scripts de parada</v>
      </c>
      <c r="Y669" s="21"/>
      <c r="Z669" s="21"/>
    </row>
    <row r="670" spans="1:26" ht="32.25" customHeight="1" x14ac:dyDescent="0.2">
      <c r="A670" s="17" t="s">
        <v>1438</v>
      </c>
      <c r="B670" s="17" t="s">
        <v>1439</v>
      </c>
      <c r="C670" s="21" t="str">
        <f ca="1">IFERROR(__xludf.DUMMYFUNCTION("GOOGLETRANSLATE($B670,""en"",C$3)"),"Scripts Suspend")</f>
        <v>Scripts Suspend</v>
      </c>
      <c r="D670" s="21" t="str">
        <f ca="1">IFERROR(__xludf.DUMMYFUNCTION("GOOGLETRANSLATE($B670,""en"",D$3)"),"skript Häng")</f>
        <v>skript Häng</v>
      </c>
      <c r="E670" s="21" t="str">
        <f ca="1">IFERROR(__xludf.DUMMYFUNCTION("GOOGLETRANSLATE($B670,""en"",E$3)"),"Scripts Suspender")</f>
        <v>Scripts Suspender</v>
      </c>
      <c r="F670" s="21" t="str">
        <f ca="1">IFERROR(__xludf.DUMMYFUNCTION("GOOGLETRANSLATE($B670,""en"",F$3)"),"Scripts Suspender")</f>
        <v>Scripts Suspender</v>
      </c>
      <c r="G670" s="21" t="str">
        <f ca="1">IFERROR(__xludf.DUMMYFUNCTION("GOOGLETRANSLATE($B670,""en"",G$3)"),"scripts Suspend")</f>
        <v>scripts Suspend</v>
      </c>
      <c r="H670" s="21" t="str">
        <f ca="1">IFERROR(__xludf.DUMMYFUNCTION("GOOGLETRANSLATE($B670,""en"",H$3)"),"Scripts Eten")</f>
        <v>Scripts Eten</v>
      </c>
      <c r="I670" s="21" t="str">
        <f ca="1">IFERROR(__xludf.DUMMYFUNCTION("GOOGLETRANSLATE($B670,""en"",I$3)"),"Suspendre els scripts")</f>
        <v>Suspendre els scripts</v>
      </c>
      <c r="J670" s="21" t="str">
        <f ca="1">IFERROR(__xludf.DUMMYFUNCTION("GOOGLETRANSLATE($B670,""en"",J$3)"),"skripty spánku")</f>
        <v>skripty spánku</v>
      </c>
      <c r="K670" s="21" t="str">
        <f ca="1">IFERROR(__xludf.DUMMYFUNCTION("GOOGLETRANSLATE($B670,""en"",K$3)"),"脚本暂停")</f>
        <v>脚本暂停</v>
      </c>
      <c r="L670" s="21" t="str">
        <f ca="1">IFERROR(__xludf.DUMMYFUNCTION("GOOGLETRANSLATE($B670,""en"",L$3)"),"腳本暫停")</f>
        <v>腳本暫停</v>
      </c>
      <c r="M670" s="21" t="str">
        <f ca="1">IFERROR(__xludf.DUMMYFUNCTION("GOOGLETRANSLATE($B670,""en"",M$3)"),"scripts opschorten")</f>
        <v>scripts opschorten</v>
      </c>
      <c r="N670" s="21" t="str">
        <f ca="1">IFERROR(__xludf.DUMMYFUNCTION("GOOGLETRANSLATE($B670,""en"",N$3)"),"σενάρια Αναστολή")</f>
        <v>σενάρια Αναστολή</v>
      </c>
      <c r="O670" s="21" t="str">
        <f ca="1">IFERROR(__xludf.DUMMYFUNCTION("GOOGLETRANSLATE($B670,""en"",O$3)"),"skriptejä Keskeytä")</f>
        <v>skriptejä Keskeytä</v>
      </c>
      <c r="P670" s="21" t="str">
        <f ca="1">IFERROR(__xludf.DUMMYFUNCTION("GOOGLETRANSLATE($B670,""en"",P$3)"),"scripteanna fionraí")</f>
        <v>scripteanna fionraí</v>
      </c>
      <c r="Q670" s="21" t="str">
        <f ca="1">IFERROR(__xludf.DUMMYFUNCTION("GOOGLETRANSLATE($B670,""en"",Q$3)"),"اسکریپت تعلیق")</f>
        <v>اسکریپت تعلیق</v>
      </c>
      <c r="R670" s="21" t="str">
        <f ca="1">IFERROR(__xludf.DUMMYFUNCTION("GOOGLETRANSLATE($B670,""en"",R$3)"),"סקריפטים להשעות")</f>
        <v>סקריפטים להשעות</v>
      </c>
      <c r="S670" s="21" t="str">
        <f ca="1">IFERROR(__xludf.DUMMYFUNCTION("GOOGLETRANSLATE($B670,""en"",S$3)"),"Scripts fresta")</f>
        <v>Scripts fresta</v>
      </c>
      <c r="T670" s="21" t="str">
        <f ca="1">IFERROR(__xludf.DUMMYFUNCTION("GOOGLETRANSLATE($B670,""en"",T$3)"),"scripts Suspend")</f>
        <v>scripts Suspend</v>
      </c>
      <c r="U670" s="21" t="str">
        <f ca="1">IFERROR(__xludf.DUMMYFUNCTION("GOOGLETRANSLATE($B670,""en"",U$3)"),"مخطوطات تعليق")</f>
        <v>مخطوطات تعليق</v>
      </c>
      <c r="V670" s="21" t="str">
        <f ca="1">IFERROR(__xludf.DUMMYFUNCTION("GOOGLETRANSLATE($B670,""en"",V$3)"),"skrypty Zawiesić")</f>
        <v>skrypty Zawiesić</v>
      </c>
      <c r="W670" s="21" t="str">
        <f ca="1">IFERROR(__xludf.DUMMYFUNCTION("GOOGLETRANSLATE($B670,""en"",W$3)"),"Сценарии Приостановить")</f>
        <v>Сценарии Приостановить</v>
      </c>
      <c r="X670" s="21" t="str">
        <f ca="1">IFERROR(__xludf.DUMMYFUNCTION("GOOGLETRANSLATE($B670,""en"",X$3)"),"Suspender los scripts")</f>
        <v>Suspender los scripts</v>
      </c>
      <c r="Y670" s="21"/>
      <c r="Z670" s="21"/>
    </row>
    <row r="671" spans="1:26" ht="32.25" customHeight="1" x14ac:dyDescent="0.2">
      <c r="A671" s="17" t="s">
        <v>1440</v>
      </c>
      <c r="B671" s="17" t="s">
        <v>1441</v>
      </c>
      <c r="C671" s="21" t="str">
        <f ca="1">IFERROR(__xludf.DUMMYFUNCTION("GOOGLETRANSLATE($B671,""en"",C$3)"),"Scripts")</f>
        <v>Scripts</v>
      </c>
      <c r="D671" s="21" t="str">
        <f ca="1">IFERROR(__xludf.DUMMYFUNCTION("GOOGLETRANSLATE($B671,""en"",D$3)"),"skript")</f>
        <v>skript</v>
      </c>
      <c r="E671" s="21" t="str">
        <f ca="1">IFERROR(__xludf.DUMMYFUNCTION("GOOGLETRANSLATE($B671,""en"",E$3)"),"Scripts")</f>
        <v>Scripts</v>
      </c>
      <c r="F671" s="21" t="str">
        <f ca="1">IFERROR(__xludf.DUMMYFUNCTION("GOOGLETRANSLATE($B671,""en"",F$3)"),"Scripts")</f>
        <v>Scripts</v>
      </c>
      <c r="G671" s="21" t="str">
        <f ca="1">IFERROR(__xludf.DUMMYFUNCTION("GOOGLETRANSLATE($B671,""en"",G$3)"),"scripts")</f>
        <v>scripts</v>
      </c>
      <c r="H671" s="21" t="str">
        <f ca="1">IFERROR(__xludf.DUMMYFUNCTION("GOOGLETRANSLATE($B671,""en"",H$3)"),"Scripts")</f>
        <v>Scripts</v>
      </c>
      <c r="I671" s="21" t="str">
        <f ca="1">IFERROR(__xludf.DUMMYFUNCTION("GOOGLETRANSLATE($B671,""en"",I$3)"),"scripts")</f>
        <v>scripts</v>
      </c>
      <c r="J671" s="21" t="str">
        <f ca="1">IFERROR(__xludf.DUMMYFUNCTION("GOOGLETRANSLATE($B671,""en"",J$3)"),"skripty")</f>
        <v>skripty</v>
      </c>
      <c r="K671" s="21" t="str">
        <f ca="1">IFERROR(__xludf.DUMMYFUNCTION("GOOGLETRANSLATE($B671,""en"",K$3)"),"脚本")</f>
        <v>脚本</v>
      </c>
      <c r="L671" s="21" t="str">
        <f ca="1">IFERROR(__xludf.DUMMYFUNCTION("GOOGLETRANSLATE($B671,""en"",L$3)"),"腳本")</f>
        <v>腳本</v>
      </c>
      <c r="M671" s="21" t="str">
        <f ca="1">IFERROR(__xludf.DUMMYFUNCTION("GOOGLETRANSLATE($B671,""en"",M$3)"),"scripts")</f>
        <v>scripts</v>
      </c>
      <c r="N671" s="21" t="str">
        <f ca="1">IFERROR(__xludf.DUMMYFUNCTION("GOOGLETRANSLATE($B671,""en"",N$3)"),"σενάρια")</f>
        <v>σενάρια</v>
      </c>
      <c r="O671" s="21" t="str">
        <f ca="1">IFERROR(__xludf.DUMMYFUNCTION("GOOGLETRANSLATE($B671,""en"",O$3)"),"skriptejä")</f>
        <v>skriptejä</v>
      </c>
      <c r="P671" s="21" t="str">
        <f ca="1">IFERROR(__xludf.DUMMYFUNCTION("GOOGLETRANSLATE($B671,""en"",P$3)"),"scripteanna")</f>
        <v>scripteanna</v>
      </c>
      <c r="Q671" s="21" t="str">
        <f ca="1">IFERROR(__xludf.DUMMYFUNCTION("GOOGLETRANSLATE($B671,""en"",Q$3)"),"اسکریپت")</f>
        <v>اسکریپت</v>
      </c>
      <c r="R671" s="21" t="str">
        <f ca="1">IFERROR(__xludf.DUMMYFUNCTION("GOOGLETRANSLATE($B671,""en"",R$3)"),"סקריפטים")</f>
        <v>סקריפטים</v>
      </c>
      <c r="S671" s="21" t="str">
        <f ca="1">IFERROR(__xludf.DUMMYFUNCTION("GOOGLETRANSLATE($B671,""en"",S$3)"),"Scripts")</f>
        <v>Scripts</v>
      </c>
      <c r="T671" s="21" t="str">
        <f ca="1">IFERROR(__xludf.DUMMYFUNCTION("GOOGLETRANSLATE($B671,""en"",T$3)"),"scripts")</f>
        <v>scripts</v>
      </c>
      <c r="U671" s="21" t="str">
        <f ca="1">IFERROR(__xludf.DUMMYFUNCTION("GOOGLETRANSLATE($B671,""en"",U$3)"),"نصوص")</f>
        <v>نصوص</v>
      </c>
      <c r="V671" s="21" t="str">
        <f ca="1">IFERROR(__xludf.DUMMYFUNCTION("GOOGLETRANSLATE($B671,""en"",V$3)"),"skrypty")</f>
        <v>skrypty</v>
      </c>
      <c r="W671" s="21" t="str">
        <f ca="1">IFERROR(__xludf.DUMMYFUNCTION("GOOGLETRANSLATE($B671,""en"",W$3)"),"Сценарии")</f>
        <v>Сценарии</v>
      </c>
      <c r="X671" s="21" t="str">
        <f ca="1">IFERROR(__xludf.DUMMYFUNCTION("GOOGLETRANSLATE($B671,""en"",X$3)"),"Guiones")</f>
        <v>Guiones</v>
      </c>
      <c r="Y671" s="21"/>
      <c r="Z671" s="21"/>
    </row>
    <row r="672" spans="1:26" ht="32.25" customHeight="1" x14ac:dyDescent="0.2">
      <c r="A672" s="17" t="s">
        <v>1442</v>
      </c>
      <c r="B672" s="17" t="s">
        <v>1443</v>
      </c>
      <c r="C672" s="21" t="str">
        <f ca="1">IFERROR(__xludf.DUMMYFUNCTION("GOOGLETRANSLATE($B672,""en"",C$3)"),"Suchen Alle Grids")</f>
        <v>Suchen Alle Grids</v>
      </c>
      <c r="D672" s="21" t="str">
        <f ca="1">IFERROR(__xludf.DUMMYFUNCTION("GOOGLETRANSLATE($B672,""en"",D$3)"),"Sök alla Galler")</f>
        <v>Sök alla Galler</v>
      </c>
      <c r="E672" s="21" t="str">
        <f ca="1">IFERROR(__xludf.DUMMYFUNCTION("GOOGLETRANSLATE($B672,""en"",E$3)"),"Procurar Todos Grids")</f>
        <v>Procurar Todos Grids</v>
      </c>
      <c r="F672" s="21" t="str">
        <f ca="1">IFERROR(__xludf.DUMMYFUNCTION("GOOGLETRANSLATE($B672,""en"",F$3)"),"Procurar Todos Grids")</f>
        <v>Procurar Todos Grids</v>
      </c>
      <c r="G672" s="21" t="str">
        <f ca="1">IFERROR(__xludf.DUMMYFUNCTION("GOOGLETRANSLATE($B672,""en"",G$3)"),"Recherche Tous Grids")</f>
        <v>Recherche Tous Grids</v>
      </c>
      <c r="H672" s="21" t="str">
        <f ca="1">IFERROR(__xludf.DUMMYFUNCTION("GOOGLETRANSLATE($B672,""en"",H$3)"),"Search All Grids")</f>
        <v>Search All Grids</v>
      </c>
      <c r="I672" s="21" t="str">
        <f ca="1">IFERROR(__xludf.DUMMYFUNCTION("GOOGLETRANSLATE($B672,""en"",I$3)"),"Cercar totes les reixetes")</f>
        <v>Cercar totes les reixetes</v>
      </c>
      <c r="J672" s="21" t="str">
        <f ca="1">IFERROR(__xludf.DUMMYFUNCTION("GOOGLETRANSLATE($B672,""en"",J$3)"),"Hledat všude pletivem")</f>
        <v>Hledat všude pletivem</v>
      </c>
      <c r="K672" s="21" t="str">
        <f ca="1">IFERROR(__xludf.DUMMYFUNCTION("GOOGLETRANSLATE($B672,""en"",K$3)"),"搜索所有网格")</f>
        <v>搜索所有网格</v>
      </c>
      <c r="L672" s="21" t="str">
        <f ca="1">IFERROR(__xludf.DUMMYFUNCTION("GOOGLETRANSLATE($B672,""en"",L$3)"),"搜索所有網格")</f>
        <v>搜索所有網格</v>
      </c>
      <c r="M672" s="21" t="str">
        <f ca="1">IFERROR(__xludf.DUMMYFUNCTION("GOOGLETRANSLATE($B672,""en"",M$3)"),"Zoeken Alles Grids")</f>
        <v>Zoeken Alles Grids</v>
      </c>
      <c r="N672" s="21" t="str">
        <f ca="1">IFERROR(__xludf.DUMMYFUNCTION("GOOGLETRANSLATE($B672,""en"",N$3)"),"Αναζήτηση Όλα τα πλέγματα")</f>
        <v>Αναζήτηση Όλα τα πλέγματα</v>
      </c>
      <c r="O672" s="21" t="str">
        <f ca="1">IFERROR(__xludf.DUMMYFUNCTION("GOOGLETRANSLATE($B672,""en"",O$3)"),"Haku Kaikki Ristikot")</f>
        <v>Haku Kaikki Ristikot</v>
      </c>
      <c r="P672" s="21" t="str">
        <f ca="1">IFERROR(__xludf.DUMMYFUNCTION("GOOGLETRANSLATE($B672,""en"",P$3)"),"Cuardaigh Gach Greillí")</f>
        <v>Cuardaigh Gach Greillí</v>
      </c>
      <c r="Q672" s="21" t="str">
        <f ca="1">IFERROR(__xludf.DUMMYFUNCTION("GOOGLETRANSLATE($B672,""en"",Q$3)"),"جستجو همه شبکه های")</f>
        <v>جستجو همه شبکه های</v>
      </c>
      <c r="R672" s="21" t="str">
        <f ca="1">IFERROR(__xludf.DUMMYFUNCTION("GOOGLETRANSLATE($B672,""en"",R$3)"),"חפש בכל רשתות")</f>
        <v>חפש בכל רשתות</v>
      </c>
      <c r="S672" s="21" t="str">
        <f ca="1">IFERROR(__xludf.DUMMYFUNCTION("GOOGLETRANSLATE($B672,""en"",S$3)"),"Leita All grids")</f>
        <v>Leita All grids</v>
      </c>
      <c r="T672" s="21" t="str">
        <f ca="1">IFERROR(__xludf.DUMMYFUNCTION("GOOGLETRANSLATE($B672,""en"",T$3)"),"Søk Alle Rister")</f>
        <v>Søk Alle Rister</v>
      </c>
      <c r="U672" s="21" t="str">
        <f ca="1">IFERROR(__xludf.DUMMYFUNCTION("GOOGLETRANSLATE($B672,""en"",U$3)"),"بحث جميع الشبكات")</f>
        <v>بحث جميع الشبكات</v>
      </c>
      <c r="V672" s="21" t="str">
        <f ca="1">IFERROR(__xludf.DUMMYFUNCTION("GOOGLETRANSLATE($B672,""en"",V$3)"),"Szukaj Wszystkie Siatki")</f>
        <v>Szukaj Wszystkie Siatki</v>
      </c>
      <c r="W672" s="21" t="str">
        <f ca="1">IFERROR(__xludf.DUMMYFUNCTION("GOOGLETRANSLATE($B672,""en"",W$3)"),"Поиск Все Сетки")</f>
        <v>Поиск Все Сетки</v>
      </c>
      <c r="X672" s="21" t="str">
        <f ca="1">IFERROR(__xludf.DUMMYFUNCTION("GOOGLETRANSLATE($B672,""en"",X$3)"),"Buscar todas las rejillas")</f>
        <v>Buscar todas las rejillas</v>
      </c>
      <c r="Y672" s="21"/>
      <c r="Z672" s="21"/>
    </row>
    <row r="673" spans="1:26" ht="32.25" customHeight="1" x14ac:dyDescent="0.2">
      <c r="A673" s="17" t="s">
        <v>1444</v>
      </c>
      <c r="B673" s="17" t="s">
        <v>1445</v>
      </c>
      <c r="C673" s="21" t="str">
        <f ca="1">IFERROR(__xludf.DUMMYFUNCTION("GOOGLETRANSLATE($B673,""en"",C$3)"),"Es konnte keine Verbindung Datenbank durchsuchen")</f>
        <v>Es konnte keine Verbindung Datenbank durchsuchen</v>
      </c>
      <c r="D673" s="21" t="str">
        <f ca="1">IFERROR(__xludf.DUMMYFUNCTION("GOOGLETRANSLATE($B673,""en"",D$3)"),"Misslyckades med att ansluta till Sök databas")</f>
        <v>Misslyckades med att ansluta till Sök databas</v>
      </c>
      <c r="E673" s="21" t="str">
        <f ca="1">IFERROR(__xludf.DUMMYFUNCTION("GOOGLETRANSLATE($B673,""en"",E$3)"),"Falha ao conectar a pesquisa Base de dados")</f>
        <v>Falha ao conectar a pesquisa Base de dados</v>
      </c>
      <c r="F673" s="21" t="str">
        <f ca="1">IFERROR(__xludf.DUMMYFUNCTION("GOOGLETRANSLATE($B673,""en"",F$3)"),"Falha ao conectar a pesquisa Base de dados")</f>
        <v>Falha ao conectar a pesquisa Base de dados</v>
      </c>
      <c r="G673" s="21" t="str">
        <f ca="1">IFERROR(__xludf.DUMMYFUNCTION("GOOGLETRANSLATE($B673,""en"",G$3)"),"Impossible de se connecter à la base de données Recherche")</f>
        <v>Impossible de se connecter à la base de données Recherche</v>
      </c>
      <c r="H673" s="21" t="str">
        <f ca="1">IFERROR(__xludf.DUMMYFUNCTION("GOOGLETRANSLATE($B673,""en"",H$3)"),"Konektatu Huts basearen Search")</f>
        <v>Konektatu Huts basearen Search</v>
      </c>
      <c r="I673" s="21" t="str">
        <f ca="1">IFERROR(__xludf.DUMMYFUNCTION("GOOGLETRANSLATE($B673,""en"",I$3)"),"No s'ha pogut connectar a la base de dades de recerca")</f>
        <v>No s'ha pogut connectar a la base de dades de recerca</v>
      </c>
      <c r="J673" s="21" t="str">
        <f ca="1">IFERROR(__xludf.DUMMYFUNCTION("GOOGLETRANSLATE($B673,""en"",J$3)"),"Nepodařilo se připojit k vyhledávání v databázi")</f>
        <v>Nepodařilo se připojit k vyhledávání v databázi</v>
      </c>
      <c r="K673" s="21" t="str">
        <f ca="1">IFERROR(__xludf.DUMMYFUNCTION("GOOGLETRANSLATE($B673,""en"",K$3)"),"无法连接到搜索数据库")</f>
        <v>无法连接到搜索数据库</v>
      </c>
      <c r="L673" s="21" t="str">
        <f ca="1">IFERROR(__xludf.DUMMYFUNCTION("GOOGLETRANSLATE($B673,""en"",L$3)"),"無法連接到搜索數據庫")</f>
        <v>無法連接到搜索數據庫</v>
      </c>
      <c r="M673" s="21" t="str">
        <f ca="1">IFERROR(__xludf.DUMMYFUNCTION("GOOGLETRANSLATE($B673,""en"",M$3)"),"Kan geen verbinding maken zoekdatabase")</f>
        <v>Kan geen verbinding maken zoekdatabase</v>
      </c>
      <c r="N673" s="21" t="str">
        <f ca="1">IFERROR(__xludf.DUMMYFUNCTION("GOOGLETRANSLATE($B673,""en"",N$3)"),"Αποτυχία σύνδεσης στην αναζήτηση Βάση Δεδομένων")</f>
        <v>Αποτυχία σύνδεσης στην αναζήτηση Βάση Δεδομένων</v>
      </c>
      <c r="O673" s="21" t="str">
        <f ca="1">IFERROR(__xludf.DUMMYFUNCTION("GOOGLETRANSLATE($B673,""en"",O$3)"),"Yhdistäminen epäonnistui search")</f>
        <v>Yhdistäminen epäonnistui search</v>
      </c>
      <c r="P673" s="21" t="str">
        <f ca="1">IFERROR(__xludf.DUMMYFUNCTION("GOOGLETRANSLATE($B673,""en"",P$3)"),"Theip ar Ceangail Bunachar go dtí an Cuardach")</f>
        <v>Theip ar Ceangail Bunachar go dtí an Cuardach</v>
      </c>
      <c r="Q673" s="21" t="str">
        <f ca="1">IFERROR(__xludf.DUMMYFUNCTION("GOOGLETRANSLATE($B673,""en"",Q$3)"),"اتصال انجام نشد به جستجو پایگاه")</f>
        <v>اتصال انجام نشد به جستجو پایگاه</v>
      </c>
      <c r="R673" s="21" t="str">
        <f ca="1">IFERROR(__xludf.DUMMYFUNCTION("GOOGLETRANSLATE($B673,""en"",R$3)"),"לא הצליח להתחבר חפש במסד")</f>
        <v>לא הצליח להתחבר חפש במסד</v>
      </c>
      <c r="S673" s="21" t="str">
        <f ca="1">IFERROR(__xludf.DUMMYFUNCTION("GOOGLETRANSLATE($B673,""en"",S$3)"),"Ekki tókst að tengjast Leit Database")</f>
        <v>Ekki tókst að tengjast Leit Database</v>
      </c>
      <c r="T673" s="21" t="str">
        <f ca="1">IFERROR(__xludf.DUMMYFUNCTION("GOOGLETRANSLATE($B673,""en"",T$3)"),"Kunne ikke koble til søkedatabasen")</f>
        <v>Kunne ikke koble til søkedatabasen</v>
      </c>
      <c r="U673" s="21" t="str">
        <f ca="1">IFERROR(__xludf.DUMMYFUNCTION("GOOGLETRANSLATE($B673,""en"",U$3)"),"فشل الاتصال بحث قاعدة البيانات")</f>
        <v>فشل الاتصال بحث قاعدة البيانات</v>
      </c>
      <c r="V673" s="21" t="str">
        <f ca="1">IFERROR(__xludf.DUMMYFUNCTION("GOOGLETRANSLATE($B673,""en"",V$3)"),"Nie udało się połączyć szukać baza")</f>
        <v>Nie udało się połączyć szukać baza</v>
      </c>
      <c r="W673" s="21" t="str">
        <f ca="1">IFERROR(__xludf.DUMMYFUNCTION("GOOGLETRANSLATE($B673,""en"",W$3)"),"Не удалось подключиться к базе данных Поиск")</f>
        <v>Не удалось подключиться к базе данных Поиск</v>
      </c>
      <c r="X673" s="21" t="str">
        <f ca="1">IFERROR(__xludf.DUMMYFUNCTION("GOOGLETRANSLATE($B673,""en"",X$3)"),"No se pudo conectar a la base de datos de búsqueda")</f>
        <v>No se pudo conectar a la base de datos de búsqueda</v>
      </c>
      <c r="Y673" s="21"/>
      <c r="Z673" s="21"/>
    </row>
    <row r="674" spans="1:26" ht="32.25" customHeight="1" x14ac:dyDescent="0.2">
      <c r="A674" s="17" t="s">
        <v>1446</v>
      </c>
      <c r="B674" s="17" t="s">
        <v>1447</v>
      </c>
      <c r="C674" s="21" t="str">
        <f ca="1">IFERROR(__xludf.DUMMYFUNCTION("GOOGLETRANSLATE($B674,""en"",C$3)"),"Suche")</f>
        <v>Suche</v>
      </c>
      <c r="D674" s="21" t="str">
        <f ca="1">IFERROR(__xludf.DUMMYFUNCTION("GOOGLETRANSLATE($B674,""en"",D$3)"),"Sök")</f>
        <v>Sök</v>
      </c>
      <c r="E674" s="21" t="str">
        <f ca="1">IFERROR(__xludf.DUMMYFUNCTION("GOOGLETRANSLATE($B674,""en"",E$3)"),"Procurar")</f>
        <v>Procurar</v>
      </c>
      <c r="F674" s="21" t="str">
        <f ca="1">IFERROR(__xludf.DUMMYFUNCTION("GOOGLETRANSLATE($B674,""en"",F$3)"),"Procurar")</f>
        <v>Procurar</v>
      </c>
      <c r="G674" s="21" t="str">
        <f ca="1">IFERROR(__xludf.DUMMYFUNCTION("GOOGLETRANSLATE($B674,""en"",G$3)"),"Chercher")</f>
        <v>Chercher</v>
      </c>
      <c r="H674" s="21" t="str">
        <f ca="1">IFERROR(__xludf.DUMMYFUNCTION("GOOGLETRANSLATE($B674,""en"",H$3)"),"Search")</f>
        <v>Search</v>
      </c>
      <c r="I674" s="21" t="str">
        <f ca="1">IFERROR(__xludf.DUMMYFUNCTION("GOOGLETRANSLATE($B674,""en"",I$3)"),"Cerca")</f>
        <v>Cerca</v>
      </c>
      <c r="J674" s="21" t="str">
        <f ca="1">IFERROR(__xludf.DUMMYFUNCTION("GOOGLETRANSLATE($B674,""en"",J$3)"),"Vyhledávání")</f>
        <v>Vyhledávání</v>
      </c>
      <c r="K674" s="21" t="str">
        <f ca="1">IFERROR(__xludf.DUMMYFUNCTION("GOOGLETRANSLATE($B674,""en"",K$3)"),"搜索")</f>
        <v>搜索</v>
      </c>
      <c r="L674" s="21" t="str">
        <f ca="1">IFERROR(__xludf.DUMMYFUNCTION("GOOGLETRANSLATE($B674,""en"",L$3)"),"搜索")</f>
        <v>搜索</v>
      </c>
      <c r="M674" s="21" t="str">
        <f ca="1">IFERROR(__xludf.DUMMYFUNCTION("GOOGLETRANSLATE($B674,""en"",M$3)"),"Zoeken")</f>
        <v>Zoeken</v>
      </c>
      <c r="N674" s="21" t="str">
        <f ca="1">IFERROR(__xludf.DUMMYFUNCTION("GOOGLETRANSLATE($B674,""en"",N$3)"),"Αναζήτηση")</f>
        <v>Αναζήτηση</v>
      </c>
      <c r="O674" s="21" t="str">
        <f ca="1">IFERROR(__xludf.DUMMYFUNCTION("GOOGLETRANSLATE($B674,""en"",O$3)"),"Hae")</f>
        <v>Hae</v>
      </c>
      <c r="P674" s="21" t="str">
        <f ca="1">IFERROR(__xludf.DUMMYFUNCTION("GOOGLETRANSLATE($B674,""en"",P$3)"),"Cuardaigh")</f>
        <v>Cuardaigh</v>
      </c>
      <c r="Q674" s="21" t="str">
        <f ca="1">IFERROR(__xludf.DUMMYFUNCTION("GOOGLETRANSLATE($B674,""en"",Q$3)"),"جستجو کردن")</f>
        <v>جستجو کردن</v>
      </c>
      <c r="R674" s="21" t="str">
        <f ca="1">IFERROR(__xludf.DUMMYFUNCTION("GOOGLETRANSLATE($B674,""en"",R$3)"),"לחפש")</f>
        <v>לחפש</v>
      </c>
      <c r="S674" s="21" t="str">
        <f ca="1">IFERROR(__xludf.DUMMYFUNCTION("GOOGLETRANSLATE($B674,""en"",S$3)"),"leita")</f>
        <v>leita</v>
      </c>
      <c r="T674" s="21" t="str">
        <f ca="1">IFERROR(__xludf.DUMMYFUNCTION("GOOGLETRANSLATE($B674,""en"",T$3)"),"Søk")</f>
        <v>Søk</v>
      </c>
      <c r="U674" s="21" t="str">
        <f ca="1">IFERROR(__xludf.DUMMYFUNCTION("GOOGLETRANSLATE($B674,""en"",U$3)"),"بحث")</f>
        <v>بحث</v>
      </c>
      <c r="V674" s="21" t="str">
        <f ca="1">IFERROR(__xludf.DUMMYFUNCTION("GOOGLETRANSLATE($B674,""en"",V$3)"),"Szukaj")</f>
        <v>Szukaj</v>
      </c>
      <c r="W674" s="21" t="str">
        <f ca="1">IFERROR(__xludf.DUMMYFUNCTION("GOOGLETRANSLATE($B674,""en"",W$3)"),"Поиск")</f>
        <v>Поиск</v>
      </c>
      <c r="X674" s="21" t="str">
        <f ca="1">IFERROR(__xludf.DUMMYFUNCTION("GOOGLETRANSLATE($B674,""en"",X$3)"),"Buscar")</f>
        <v>Buscar</v>
      </c>
      <c r="Y674" s="21"/>
      <c r="Z674" s="21"/>
    </row>
    <row r="675" spans="1:26" ht="32.25" customHeight="1" x14ac:dyDescent="0.2">
      <c r="A675" s="17" t="s">
        <v>1448</v>
      </c>
      <c r="B675" s="17" t="s">
        <v>1449</v>
      </c>
      <c r="C675" s="21" t="str">
        <f ca="1">IFERROR(__xludf.DUMMYFUNCTION("GOOGLETRANSLATE($B675,""en"",C$3)"),"Geheimnis")</f>
        <v>Geheimnis</v>
      </c>
      <c r="D675" s="21" t="str">
        <f ca="1">IFERROR(__xludf.DUMMYFUNCTION("GOOGLETRANSLATE($B675,""en"",D$3)"),"Hemlighet")</f>
        <v>Hemlighet</v>
      </c>
      <c r="E675" s="21" t="str">
        <f ca="1">IFERROR(__xludf.DUMMYFUNCTION("GOOGLETRANSLATE($B675,""en"",E$3)"),"Segredo")</f>
        <v>Segredo</v>
      </c>
      <c r="F675" s="21" t="str">
        <f ca="1">IFERROR(__xludf.DUMMYFUNCTION("GOOGLETRANSLATE($B675,""en"",F$3)"),"Segredo")</f>
        <v>Segredo</v>
      </c>
      <c r="G675" s="21" t="str">
        <f ca="1">IFERROR(__xludf.DUMMYFUNCTION("GOOGLETRANSLATE($B675,""en"",G$3)"),"Secret")</f>
        <v>Secret</v>
      </c>
      <c r="H675" s="21" t="str">
        <f ca="1">IFERROR(__xludf.DUMMYFUNCTION("GOOGLETRANSLATE($B675,""en"",H$3)"),"Secret")</f>
        <v>Secret</v>
      </c>
      <c r="I675" s="21" t="str">
        <f ca="1">IFERROR(__xludf.DUMMYFUNCTION("GOOGLETRANSLATE($B675,""en"",I$3)"),"secret")</f>
        <v>secret</v>
      </c>
      <c r="J675" s="21" t="str">
        <f ca="1">IFERROR(__xludf.DUMMYFUNCTION("GOOGLETRANSLATE($B675,""en"",J$3)"),"Tajný")</f>
        <v>Tajný</v>
      </c>
      <c r="K675" s="21" t="str">
        <f ca="1">IFERROR(__xludf.DUMMYFUNCTION("GOOGLETRANSLATE($B675,""en"",K$3)"),"秘密")</f>
        <v>秘密</v>
      </c>
      <c r="L675" s="21" t="str">
        <f ca="1">IFERROR(__xludf.DUMMYFUNCTION("GOOGLETRANSLATE($B675,""en"",L$3)"),"秘密")</f>
        <v>秘密</v>
      </c>
      <c r="M675" s="21" t="str">
        <f ca="1">IFERROR(__xludf.DUMMYFUNCTION("GOOGLETRANSLATE($B675,""en"",M$3)"),"Geheim")</f>
        <v>Geheim</v>
      </c>
      <c r="N675" s="21" t="str">
        <f ca="1">IFERROR(__xludf.DUMMYFUNCTION("GOOGLETRANSLATE($B675,""en"",N$3)"),"Μυστικό")</f>
        <v>Μυστικό</v>
      </c>
      <c r="O675" s="21" t="str">
        <f ca="1">IFERROR(__xludf.DUMMYFUNCTION("GOOGLETRANSLATE($B675,""en"",O$3)"),"Salaisuus")</f>
        <v>Salaisuus</v>
      </c>
      <c r="P675" s="21" t="str">
        <f ca="1">IFERROR(__xludf.DUMMYFUNCTION("GOOGLETRANSLATE($B675,""en"",P$3)"),"rúnda")</f>
        <v>rúnda</v>
      </c>
      <c r="Q675" s="21" t="str">
        <f ca="1">IFERROR(__xludf.DUMMYFUNCTION("GOOGLETRANSLATE($B675,""en"",Q$3)"),"راز")</f>
        <v>راز</v>
      </c>
      <c r="R675" s="21" t="str">
        <f ca="1">IFERROR(__xludf.DUMMYFUNCTION("GOOGLETRANSLATE($B675,""en"",R$3)"),"סוֹד")</f>
        <v>סוֹד</v>
      </c>
      <c r="S675" s="21" t="str">
        <f ca="1">IFERROR(__xludf.DUMMYFUNCTION("GOOGLETRANSLATE($B675,""en"",S$3)"),"Secret")</f>
        <v>Secret</v>
      </c>
      <c r="T675" s="21" t="str">
        <f ca="1">IFERROR(__xludf.DUMMYFUNCTION("GOOGLETRANSLATE($B675,""en"",T$3)"),"Hemmelig")</f>
        <v>Hemmelig</v>
      </c>
      <c r="U675" s="21" t="str">
        <f ca="1">IFERROR(__xludf.DUMMYFUNCTION("GOOGLETRANSLATE($B675,""en"",U$3)"),"سر")</f>
        <v>سر</v>
      </c>
      <c r="V675" s="21" t="str">
        <f ca="1">IFERROR(__xludf.DUMMYFUNCTION("GOOGLETRANSLATE($B675,""en"",V$3)"),"Sekret")</f>
        <v>Sekret</v>
      </c>
      <c r="W675" s="21" t="str">
        <f ca="1">IFERROR(__xludf.DUMMYFUNCTION("GOOGLETRANSLATE($B675,""en"",W$3)"),"секрет")</f>
        <v>секрет</v>
      </c>
      <c r="X675" s="21" t="str">
        <f ca="1">IFERROR(__xludf.DUMMYFUNCTION("GOOGLETRANSLATE($B675,""en"",X$3)"),"Secreto")</f>
        <v>Secreto</v>
      </c>
      <c r="Y675" s="21"/>
      <c r="Z675" s="21"/>
    </row>
    <row r="676" spans="1:26" ht="32.25" customHeight="1" x14ac:dyDescent="0.2">
      <c r="A676" s="17" t="s">
        <v>1450</v>
      </c>
      <c r="B676" s="17" t="s">
        <v>1451</v>
      </c>
      <c r="C676" s="21" t="str">
        <f ca="1">IFERROR(__xludf.DUMMYFUNCTION("GOOGLETRANSLATE($B676,""en"",C$3)"),"Wollen Sie die Log-Datei sehen?")</f>
        <v>Wollen Sie die Log-Datei sehen?</v>
      </c>
      <c r="D676" s="21" t="str">
        <f ca="1">IFERROR(__xludf.DUMMYFUNCTION("GOOGLETRANSLATE($B676,""en"",D$3)"),"Vill du se loggfilen?")</f>
        <v>Vill du se loggfilen?</v>
      </c>
      <c r="E676" s="21" t="str">
        <f ca="1">IFERROR(__xludf.DUMMYFUNCTION("GOOGLETRANSLATE($B676,""en"",E$3)"),"Você quer ver o arquivo de log?")</f>
        <v>Você quer ver o arquivo de log?</v>
      </c>
      <c r="F676" s="21" t="str">
        <f ca="1">IFERROR(__xludf.DUMMYFUNCTION("GOOGLETRANSLATE($B676,""en"",F$3)"),"Você quer ver o arquivo de log?")</f>
        <v>Você quer ver o arquivo de log?</v>
      </c>
      <c r="G676" s="21" t="str">
        <f ca="1">IFERROR(__xludf.DUMMYFUNCTION("GOOGLETRANSLATE($B676,""en"",G$3)"),"Voulez-vous voir le fichier journal?")</f>
        <v>Voulez-vous voir le fichier journal?</v>
      </c>
      <c r="H676" s="21" t="str">
        <f ca="1">IFERROR(__xludf.DUMMYFUNCTION("GOOGLETRANSLATE($B676,""en"",H$3)"),"Ez log fitxategia ikusi nahi al duzu?")</f>
        <v>Ez log fitxategia ikusi nahi al duzu?</v>
      </c>
      <c r="I676" s="21" t="str">
        <f ca="1">IFERROR(__xludf.DUMMYFUNCTION("GOOGLETRANSLATE($B676,""en"",I$3)"),"Vols veure el fitxer de registre?")</f>
        <v>Vols veure el fitxer de registre?</v>
      </c>
      <c r="J676" s="21" t="str">
        <f ca="1">IFERROR(__xludf.DUMMYFUNCTION("GOOGLETRANSLATE($B676,""en"",J$3)"),"Chcete vidět log soubor?")</f>
        <v>Chcete vidět log soubor?</v>
      </c>
      <c r="K676" s="21" t="str">
        <f ca="1">IFERROR(__xludf.DUMMYFUNCTION("GOOGLETRANSLATE($B676,""en"",K$3)"),"你想看到的日志文件？")</f>
        <v>你想看到的日志文件？</v>
      </c>
      <c r="L676" s="21" t="str">
        <f ca="1">IFERROR(__xludf.DUMMYFUNCTION("GOOGLETRANSLATE($B676,""en"",L$3)"),"你想看到的日誌文件？")</f>
        <v>你想看到的日誌文件？</v>
      </c>
      <c r="M676" s="21" t="str">
        <f ca="1">IFERROR(__xludf.DUMMYFUNCTION("GOOGLETRANSLATE($B676,""en"",M$3)"),"Wilt u het logbestand zien?")</f>
        <v>Wilt u het logbestand zien?</v>
      </c>
      <c r="N676" s="21" t="str">
        <f ca="1">IFERROR(__xludf.DUMMYFUNCTION("GOOGLETRANSLATE($B676,""en"",N$3)"),"Θέλετε να δείτε το αρχείο καταγραφής;")</f>
        <v>Θέλετε να δείτε το αρχείο καταγραφής;</v>
      </c>
      <c r="O676" s="21" t="str">
        <f ca="1">IFERROR(__xludf.DUMMYFUNCTION("GOOGLETRANSLATE($B676,""en"",O$3)"),"Haluatko nähdä lokitiedoston?")</f>
        <v>Haluatko nähdä lokitiedoston?</v>
      </c>
      <c r="P676" s="21" t="str">
        <f ca="1">IFERROR(__xludf.DUMMYFUNCTION("GOOGLETRANSLATE($B676,""en"",P$3)"),"Ar mhaith leat a fheiceáil ar an comhad a logáil?")</f>
        <v>Ar mhaith leat a fheiceáil ar an comhad a logáil?</v>
      </c>
      <c r="Q676" s="21" t="str">
        <f ca="1">IFERROR(__xludf.DUMMYFUNCTION("GOOGLETRANSLATE($B676,""en"",Q$3)"),"آیا شما می خواهید برای دیدن فایل ورود به سیستم؟")</f>
        <v>آیا شما می خواهید برای دیدن فایل ورود به سیستم؟</v>
      </c>
      <c r="R676" s="21" t="str">
        <f ca="1">IFERROR(__xludf.DUMMYFUNCTION("GOOGLETRANSLATE($B676,""en"",R$3)"),"האם אתה רוצה לראות את קובץ היומן?")</f>
        <v>האם אתה רוצה לראות את קובץ היומן?</v>
      </c>
      <c r="S676" s="21" t="str">
        <f ca="1">IFERROR(__xludf.DUMMYFUNCTION("GOOGLETRANSLATE($B676,""en"",S$3)"),"Viltu sjá annálinn?")</f>
        <v>Viltu sjá annálinn?</v>
      </c>
      <c r="T676" s="21" t="str">
        <f ca="1">IFERROR(__xludf.DUMMYFUNCTION("GOOGLETRANSLATE($B676,""en"",T$3)"),"Ønsker du å se loggfilen?")</f>
        <v>Ønsker du å se loggfilen?</v>
      </c>
      <c r="U676" s="21" t="str">
        <f ca="1">IFERROR(__xludf.DUMMYFUNCTION("GOOGLETRANSLATE($B676,""en"",U$3)"),"هل تريد أن ترى ملف السجل؟")</f>
        <v>هل تريد أن ترى ملف السجل؟</v>
      </c>
      <c r="V676" s="21" t="str">
        <f ca="1">IFERROR(__xludf.DUMMYFUNCTION("GOOGLETRANSLATE($B676,""en"",V$3)"),"Chcesz zobaczyć plik dziennika?")</f>
        <v>Chcesz zobaczyć plik dziennika?</v>
      </c>
      <c r="W676" s="21" t="str">
        <f ca="1">IFERROR(__xludf.DUMMYFUNCTION("GOOGLETRANSLATE($B676,""en"",W$3)"),"Вы хотите, чтобы увидеть файл журнала?")</f>
        <v>Вы хотите, чтобы увидеть файл журнала?</v>
      </c>
      <c r="X676" s="21" t="str">
        <f ca="1">IFERROR(__xludf.DUMMYFUNCTION("GOOGLETRANSLATE($B676,""en"",X$3)"),"¿Quieres ver el archivo de registro?")</f>
        <v>¿Quieres ver el archivo de registro?</v>
      </c>
      <c r="Y676" s="21"/>
      <c r="Z676" s="21"/>
    </row>
    <row r="677" spans="1:26" ht="32.25" customHeight="1" x14ac:dyDescent="0.2">
      <c r="A677" s="17" t="s">
        <v>1452</v>
      </c>
      <c r="B677" s="17" t="s">
        <v>1453</v>
      </c>
      <c r="C677" s="21" t="str">
        <f ca="1">IFERROR(__xludf.DUMMYFUNCTION("GOOGLETRANSLATE($B677,""en"",C$3)"),"Siehe Ports im Einsatz")</f>
        <v>Siehe Ports im Einsatz</v>
      </c>
      <c r="D677" s="21" t="str">
        <f ca="1">IFERROR(__xludf.DUMMYFUNCTION("GOOGLETRANSLATE($B677,""en"",D$3)"),"Se hamnar i användning")</f>
        <v>Se hamnar i användning</v>
      </c>
      <c r="E677" s="21" t="str">
        <f ca="1">IFERROR(__xludf.DUMMYFUNCTION("GOOGLETRANSLATE($B677,""en"",E$3)"),"Veja portas em uso")</f>
        <v>Veja portas em uso</v>
      </c>
      <c r="F677" s="21" t="str">
        <f ca="1">IFERROR(__xludf.DUMMYFUNCTION("GOOGLETRANSLATE($B677,""en"",F$3)"),"Veja portas em uso")</f>
        <v>Veja portas em uso</v>
      </c>
      <c r="G677" s="21" t="str">
        <f ca="1">IFERROR(__xludf.DUMMYFUNCTION("GOOGLETRANSLATE($B677,""en"",G$3)"),"Voir ports utilisés")</f>
        <v>Voir ports utilisés</v>
      </c>
      <c r="H677" s="21" t="str">
        <f ca="1">IFERROR(__xludf.DUMMYFUNCTION("GOOGLETRANSLATE($B677,""en"",H$3)"),"Ikusi Portuen erabilia")</f>
        <v>Ikusi Portuen erabilia</v>
      </c>
      <c r="I677" s="21" t="str">
        <f ca="1">IFERROR(__xludf.DUMMYFUNCTION("GOOGLETRANSLATE($B677,""en"",I$3)"),"Veure ports en ús")</f>
        <v>Veure ports en ús</v>
      </c>
      <c r="J677" s="21" t="str">
        <f ca="1">IFERROR(__xludf.DUMMYFUNCTION("GOOGLETRANSLATE($B677,""en"",J$3)"),"Viz přístavů v provozu")</f>
        <v>Viz přístavů v provozu</v>
      </c>
      <c r="K677" s="21" t="str">
        <f ca="1">IFERROR(__xludf.DUMMYFUNCTION("GOOGLETRANSLATE($B677,""en"",K$3)"),"请参阅使用端口")</f>
        <v>请参阅使用端口</v>
      </c>
      <c r="L677" s="21" t="str">
        <f ca="1">IFERROR(__xludf.DUMMYFUNCTION("GOOGLETRANSLATE($B677,""en"",L$3)"),"請參閱使用端口")</f>
        <v>請參閱使用端口</v>
      </c>
      <c r="M677" s="21" t="str">
        <f ca="1">IFERROR(__xludf.DUMMYFUNCTION("GOOGLETRANSLATE($B677,""en"",M$3)"),"Zie gebruikte poorten")</f>
        <v>Zie gebruikte poorten</v>
      </c>
      <c r="N677" s="21" t="str">
        <f ca="1">IFERROR(__xludf.DUMMYFUNCTION("GOOGLETRANSLATE($B677,""en"",N$3)"),"Δείτε Ports Σε Χρήση")</f>
        <v>Δείτε Ports Σε Χρήση</v>
      </c>
      <c r="O677" s="21" t="str">
        <f ca="1">IFERROR(__xludf.DUMMYFUNCTION("GOOGLETRANSLATE($B677,""en"",O$3)"),"Katso Ports Käytössä")</f>
        <v>Katso Ports Käytössä</v>
      </c>
      <c r="P677" s="21" t="str">
        <f ca="1">IFERROR(__xludf.DUMMYFUNCTION("GOOGLETRANSLATE($B677,""en"",P$3)"),"Féach Calafoirt I Úsáid")</f>
        <v>Féach Calafoirt I Úsáid</v>
      </c>
      <c r="Q677" s="21" t="str">
        <f ca="1">IFERROR(__xludf.DUMMYFUNCTION("GOOGLETRANSLATE($B677,""en"",Q$3)"),"مشاهده بنادر استفاده می شود")</f>
        <v>مشاهده بنادر استفاده می شود</v>
      </c>
      <c r="R677" s="21" t="str">
        <f ca="1">IFERROR(__xludf.DUMMYFUNCTION("GOOGLETRANSLATE($B677,""en"",R$3)"),"ראה יציאות שנמצאים בשימוש")</f>
        <v>ראה יציאות שנמצאים בשימוש</v>
      </c>
      <c r="S677" s="21" t="str">
        <f ca="1">IFERROR(__xludf.DUMMYFUNCTION("GOOGLETRANSLATE($B677,""en"",S$3)"),"Sjá Hafnir í notkun")</f>
        <v>Sjá Hafnir í notkun</v>
      </c>
      <c r="T677" s="21" t="str">
        <f ca="1">IFERROR(__xludf.DUMMYFUNCTION("GOOGLETRANSLATE($B677,""en"",T$3)"),"Se havner i bruk")</f>
        <v>Se havner i bruk</v>
      </c>
      <c r="U677" s="21" t="str">
        <f ca="1">IFERROR(__xludf.DUMMYFUNCTION("GOOGLETRANSLATE($B677,""en"",U$3)"),"انظر الموانئ في استخدام")</f>
        <v>انظر الموانئ في استخدام</v>
      </c>
      <c r="V677" s="21" t="str">
        <f ca="1">IFERROR(__xludf.DUMMYFUNCTION("GOOGLETRANSLATE($B677,""en"",V$3)"),"Zobacz Porty w użyciu")</f>
        <v>Zobacz Porty w użyciu</v>
      </c>
      <c r="W677" s="21" t="str">
        <f ca="1">IFERROR(__xludf.DUMMYFUNCTION("GOOGLETRANSLATE($B677,""en"",W$3)"),"См порты в использовании")</f>
        <v>См порты в использовании</v>
      </c>
      <c r="X677" s="21" t="str">
        <f ca="1">IFERROR(__xludf.DUMMYFUNCTION("GOOGLETRANSLATE($B677,""en"",X$3)"),"Ver puertos en uso")</f>
        <v>Ver puertos en uso</v>
      </c>
      <c r="Y677" s="21"/>
      <c r="Z677" s="21"/>
    </row>
    <row r="678" spans="1:26" ht="32.25" customHeight="1" x14ac:dyDescent="0.2">
      <c r="A678" s="17" t="s">
        <v>1454</v>
      </c>
      <c r="B678" s="17" t="s">
        <v>1455</v>
      </c>
      <c r="C678" s="21" t="str">
        <f ca="1">IFERROR(__xludf.DUMMYFUNCTION("GOOGLETRANSLATE($B678,""en"",C$3)"),"Ich werde dich wieder sehen, wenn ich alles frisch und neu aufwachen!")</f>
        <v>Ich werde dich wieder sehen, wenn ich alles frisch und neu aufwachen!</v>
      </c>
      <c r="D678" s="21" t="str">
        <f ca="1">IFERROR(__xludf.DUMMYFUNCTION("GOOGLETRANSLATE($B678,""en"",D$3)"),"Jag ser du igen när jag vaknar allt färskt och nytt!")</f>
        <v>Jag ser du igen när jag vaknar allt färskt och nytt!</v>
      </c>
      <c r="E678" s="21" t="str">
        <f ca="1">IFERROR(__xludf.DUMMYFUNCTION("GOOGLETRANSLATE($B678,""en"",E$3)"),"Eu vou vê-lo novamente quando eu acordar tudo fresco e novo!")</f>
        <v>Eu vou vê-lo novamente quando eu acordar tudo fresco e novo!</v>
      </c>
      <c r="F678" s="21" t="str">
        <f ca="1">IFERROR(__xludf.DUMMYFUNCTION("GOOGLETRANSLATE($B678,""en"",F$3)"),"Eu vou vê-lo novamente quando eu acordar tudo fresco e novo!")</f>
        <v>Eu vou vê-lo novamente quando eu acordar tudo fresco e novo!</v>
      </c>
      <c r="G678" s="21" t="str">
        <f ca="1">IFERROR(__xludf.DUMMYFUNCTION("GOOGLETRANSLATE($B678,""en"",G$3)"),"Je vous verrai à nouveau quand je me réveille tous les frais et nouveau!")</f>
        <v>Je vous verrai à nouveau quand je me réveille tous les frais et nouveau!</v>
      </c>
      <c r="H678" s="21" t="str">
        <f ca="1">IFERROR(__xludf.DUMMYFUNCTION("GOOGLETRANSLATE($B678,""en"",H$3)"),"duzu berriro ikusiko dut esnatu I freskoa guztiak eta berria!")</f>
        <v>duzu berriro ikusiko dut esnatu I freskoa guztiak eta berria!</v>
      </c>
      <c r="I678" s="21" t="str">
        <f ca="1">IFERROR(__xludf.DUMMYFUNCTION("GOOGLETRANSLATE($B678,""en"",I$3)"),"Ens veurem de nou quan em desperto tot fresc i nou!")</f>
        <v>Ens veurem de nou quan em desperto tot fresc i nou!</v>
      </c>
      <c r="J678" s="21" t="str">
        <f ca="1">IFERROR(__xludf.DUMMYFUNCTION("GOOGLETRANSLATE($B678,""en"",J$3)"),"Já tě zase vidím, když se probudím, všechno čerstvé a nové!")</f>
        <v>Já tě zase vidím, když se probudím, všechno čerstvé a nové!</v>
      </c>
      <c r="K678" s="21" t="str">
        <f ca="1">IFERROR(__xludf.DUMMYFUNCTION("GOOGLETRANSLATE($B678,""en"",K$3)"),"我会再见到你，当我醒来所有耳目一新！")</f>
        <v>我会再见到你，当我醒来所有耳目一新！</v>
      </c>
      <c r="L678" s="21" t="str">
        <f ca="1">IFERROR(__xludf.DUMMYFUNCTION("GOOGLETRANSLATE($B678,""en"",L$3)"),"我會再見到你，當我醒來所有耳目一新！")</f>
        <v>我會再見到你，當我醒來所有耳目一新！</v>
      </c>
      <c r="M678" s="21" t="str">
        <f ca="1">IFERROR(__xludf.DUMMYFUNCTION("GOOGLETRANSLATE($B678,""en"",M$3)"),"Ik zal je weer te zien als ik wakker word allemaal fris en nieuw!")</f>
        <v>Ik zal je weer te zien als ik wakker word allemaal fris en nieuw!</v>
      </c>
      <c r="N678" s="21" t="str">
        <f ca="1">IFERROR(__xludf.DUMMYFUNCTION("GOOGLETRANSLATE($B678,""en"",N$3)"),"Θα σε δω ξανά, όταν ξυπνάω όλα φρέσκα και νέα!")</f>
        <v>Θα σε δω ξανά, όταν ξυπνάω όλα φρέσκα και νέα!</v>
      </c>
      <c r="O678" s="21" t="str">
        <f ca="1">IFERROR(__xludf.DUMMYFUNCTION("GOOGLETRANSLATE($B678,""en"",O$3)"),"Nähdään taas kun herään kaikki uutta ja tuoretta!")</f>
        <v>Nähdään taas kun herään kaikki uutta ja tuoretta!</v>
      </c>
      <c r="P678" s="21" t="str">
        <f ca="1">IFERROR(__xludf.DUMMYFUNCTION("GOOGLETRANSLATE($B678,""en"",P$3)"),"Chífidh mé tú arís nuair a dúisigh mé suas go léir úr agus nua!")</f>
        <v>Chífidh mé tú arís nuair a dúisigh mé suas go léir úr agus nua!</v>
      </c>
      <c r="Q678" s="21" t="str">
        <f ca="1">IFERROR(__xludf.DUMMYFUNCTION("GOOGLETRANSLATE($B678,""en"",Q$3)"),"من شما را دوباره ببینید که زمانی که از خواب بیدار همه تازه و جدید!")</f>
        <v>من شما را دوباره ببینید که زمانی که از خواب بیدار همه تازه و جدید!</v>
      </c>
      <c r="R678" s="21" t="str">
        <f ca="1">IFERROR(__xludf.DUMMYFUNCTION("GOOGLETRANSLATE($B678,""en"",R$3)"),"אני אראה אותך שוב כשאני מתעורר כל חדש ורענן!")</f>
        <v>אני אראה אותך שוב כשאני מתעורר כל חדש ורענן!</v>
      </c>
      <c r="S678" s="21" t="str">
        <f ca="1">IFERROR(__xludf.DUMMYFUNCTION("GOOGLETRANSLATE($B678,""en"",S$3)"),"Ég sé þig aftur þegar ég vakna allt ferskt og nýtt!")</f>
        <v>Ég sé þig aftur þegar ég vakna allt ferskt og nýtt!</v>
      </c>
      <c r="T678" s="21" t="str">
        <f ca="1">IFERROR(__xludf.DUMMYFUNCTION("GOOGLETRANSLATE($B678,""en"",T$3)"),"Jeg ser deg igjen når jeg våkner opp frisk og nye!")</f>
        <v>Jeg ser deg igjen når jeg våkner opp frisk og nye!</v>
      </c>
      <c r="U678" s="21" t="str">
        <f ca="1">IFERROR(__xludf.DUMMYFUNCTION("GOOGLETRANSLATE($B678,""en"",U$3)"),"أنا أراكم مرة أخرى عندما استيقظ كل جديد والجديد!")</f>
        <v>أنا أراكم مرة أخرى عندما استيقظ كل جديد والجديد!</v>
      </c>
      <c r="V678" s="21" t="str">
        <f ca="1">IFERROR(__xludf.DUMMYFUNCTION("GOOGLETRANSLATE($B678,""en"",V$3)"),"Zobaczymy się ponownie, gdy budzę się wszystko świeże i nowe!")</f>
        <v>Zobaczymy się ponownie, gdy budzę się wszystko świeże i nowe!</v>
      </c>
      <c r="W678" s="21" t="str">
        <f ca="1">IFERROR(__xludf.DUMMYFUNCTION("GOOGLETRANSLATE($B678,""en"",W$3)"),"Увидимся снова, когда я просыпаюсь, все свежее и новое!")</f>
        <v>Увидимся снова, когда я просыпаюсь, все свежее и новое!</v>
      </c>
      <c r="X678" s="21" t="str">
        <f ca="1">IFERROR(__xludf.DUMMYFUNCTION("GOOGLETRANSLATE($B678,""en"",X$3)"),"Nos veremos de nuevo cuando me despierto todo fresco y nuevo!")</f>
        <v>Nos veremos de nuevo cuando me despierto todo fresco y nuevo!</v>
      </c>
      <c r="Y678" s="21"/>
      <c r="Z678" s="21"/>
    </row>
    <row r="679" spans="1:26" ht="32.25" customHeight="1" x14ac:dyDescent="0.2">
      <c r="A679" s="17" t="s">
        <v>1456</v>
      </c>
      <c r="B679" s="17" t="s">
        <v>1457</v>
      </c>
      <c r="C679" s="18" t="s">
        <v>1458</v>
      </c>
      <c r="D679" s="12" t="str">
        <f ca="1">IFERROR(__xludf.DUMMYFUNCTION("GOOGLETRANSLATE($B678,""en"",D$3)"),"Jag ser du igen när jag vaknar allt färskt och nytt!")</f>
        <v>Jag ser du igen när jag vaknar allt färskt och nytt!</v>
      </c>
      <c r="E679" s="12" t="str">
        <f ca="1">IFERROR(__xludf.DUMMYFUNCTION("GOOGLETRANSLATE($B678,""en"",E$3)"),"Eu vou vê-lo novamente quando eu acordar tudo fresco e novo!")</f>
        <v>Eu vou vê-lo novamente quando eu acordar tudo fresco e novo!</v>
      </c>
      <c r="F679" s="12" t="str">
        <f ca="1">IFERROR(__xludf.DUMMYFUNCTION("GOOGLETRANSLATE($B678,""en"",F$3)"),"Eu vou vê-lo novamente quando eu acordar tudo fresco e novo!")</f>
        <v>Eu vou vê-lo novamente quando eu acordar tudo fresco e novo!</v>
      </c>
      <c r="G679" s="12" t="str">
        <f ca="1">IFERROR(__xludf.DUMMYFUNCTION("GOOGLETRANSLATE($B678,""en"",G$3)"),"Je vous verrai à nouveau quand je me réveille tous les frais et nouveau!")</f>
        <v>Je vous verrai à nouveau quand je me réveille tous les frais et nouveau!</v>
      </c>
      <c r="H679" s="12" t="str">
        <f ca="1">IFERROR(__xludf.DUMMYFUNCTION("GOOGLETRANSLATE($B678,""en"",H$3)"),"duzu berriro ikusiko dut esnatu I freskoa guztiak eta berria!")</f>
        <v>duzu berriro ikusiko dut esnatu I freskoa guztiak eta berria!</v>
      </c>
      <c r="I679" s="12" t="str">
        <f ca="1">IFERROR(__xludf.DUMMYFUNCTION("GOOGLETRANSLATE($B678,""en"",I$3)"),"Ens veurem de nou quan em desperto tot fresc i nou!")</f>
        <v>Ens veurem de nou quan em desperto tot fresc i nou!</v>
      </c>
      <c r="J679" s="12" t="str">
        <f ca="1">IFERROR(__xludf.DUMMYFUNCTION("GOOGLETRANSLATE($B678,""en"",J$3)"),"Já tě zase vidím, když se probudím, všechno čerstvé a nové!")</f>
        <v>Já tě zase vidím, když se probudím, všechno čerstvé a nové!</v>
      </c>
      <c r="K679" s="12" t="str">
        <f ca="1">IFERROR(__xludf.DUMMYFUNCTION("GOOGLETRANSLATE($B678,""en"",K$3)"),"我会再见到你，当我醒来所有耳目一新！")</f>
        <v>我会再见到你，当我醒来所有耳目一新！</v>
      </c>
      <c r="L679" s="12" t="str">
        <f ca="1">IFERROR(__xludf.DUMMYFUNCTION("GOOGLETRANSLATE($B678,""en"",L$3)"),"我會再見到你，當我醒來所有耳目一新！")</f>
        <v>我會再見到你，當我醒來所有耳目一新！</v>
      </c>
      <c r="M679" s="12" t="str">
        <f ca="1">IFERROR(__xludf.DUMMYFUNCTION("GOOGLETRANSLATE($B678,""en"",M$3)"),"Ik zal je weer te zien als ik wakker word allemaal fris en nieuw!")</f>
        <v>Ik zal je weer te zien als ik wakker word allemaal fris en nieuw!</v>
      </c>
      <c r="N679" s="12" t="str">
        <f ca="1">IFERROR(__xludf.DUMMYFUNCTION("GOOGLETRANSLATE($B678,""en"",N$3)"),"Θα σε δω ξανά, όταν ξυπνάω όλα φρέσκα και νέα!")</f>
        <v>Θα σε δω ξανά, όταν ξυπνάω όλα φρέσκα και νέα!</v>
      </c>
      <c r="O679" s="12" t="str">
        <f ca="1">IFERROR(__xludf.DUMMYFUNCTION("GOOGLETRANSLATE($B678,""en"",O$3)"),"Nähdään taas kun herään kaikki uutta ja tuoretta!")</f>
        <v>Nähdään taas kun herään kaikki uutta ja tuoretta!</v>
      </c>
      <c r="P679" s="12" t="str">
        <f ca="1">IFERROR(__xludf.DUMMYFUNCTION("GOOGLETRANSLATE($B678,""en"",P$3)"),"Chífidh mé tú arís nuair a dúisigh mé suas go léir úr agus nua!")</f>
        <v>Chífidh mé tú arís nuair a dúisigh mé suas go léir úr agus nua!</v>
      </c>
      <c r="Q679" s="12" t="str">
        <f ca="1">IFERROR(__xludf.DUMMYFUNCTION("GOOGLETRANSLATE($B678,""en"",Q$3)"),"من شما را دوباره ببینید که زمانی که از خواب بیدار همه تازه و جدید!")</f>
        <v>من شما را دوباره ببینید که زمانی که از خواب بیدار همه تازه و جدید!</v>
      </c>
      <c r="R679" s="12" t="str">
        <f ca="1">IFERROR(__xludf.DUMMYFUNCTION("GOOGLETRANSLATE($B678,""en"",R$3)"),"אני אראה אותך שוב כשאני מתעורר כל חדש ורענן!")</f>
        <v>אני אראה אותך שוב כשאני מתעורר כל חדש ורענן!</v>
      </c>
      <c r="S679" s="12" t="str">
        <f ca="1">IFERROR(__xludf.DUMMYFUNCTION("GOOGLETRANSLATE($B678,""en"",S$3)"),"Ég sé þig aftur þegar ég vakna allt ferskt og nýtt!")</f>
        <v>Ég sé þig aftur þegar ég vakna allt ferskt og nýtt!</v>
      </c>
      <c r="T679" s="12" t="str">
        <f ca="1">IFERROR(__xludf.DUMMYFUNCTION("GOOGLETRANSLATE($B678,""en"",T$3)"),"Jeg ser deg igjen når jeg våkner opp frisk og nye!")</f>
        <v>Jeg ser deg igjen når jeg våkner opp frisk og nye!</v>
      </c>
      <c r="U679" s="12" t="str">
        <f ca="1">IFERROR(__xludf.DUMMYFUNCTION("GOOGLETRANSLATE($B678,""en"",U$3)"),"أنا أراكم مرة أخرى عندما استيقظ كل جديد والجديد!")</f>
        <v>أنا أراكم مرة أخرى عندما استيقظ كل جديد والجديد!</v>
      </c>
      <c r="V679" s="12" t="str">
        <f ca="1">IFERROR(__xludf.DUMMYFUNCTION("GOOGLETRANSLATE($B678,""en"",V$3)"),"Zobaczymy się ponownie, gdy budzę się wszystko świeże i nowe!")</f>
        <v>Zobaczymy się ponownie, gdy budzę się wszystko świeże i nowe!</v>
      </c>
      <c r="W679" s="12" t="str">
        <f ca="1">IFERROR(__xludf.DUMMYFUNCTION("GOOGLETRANSLATE($B678,""en"",W$3)"),"Увидимся снова, когда я просыпаюсь, все свежее и новое!")</f>
        <v>Увидимся снова, когда я просыпаюсь, все свежее и новое!</v>
      </c>
      <c r="X679" s="12" t="str">
        <f ca="1">IFERROR(__xludf.DUMMYFUNCTION("GOOGLETRANSLATE($B678,""en"",X$3)"),"Nos veremos de nuevo cuando me despierto todo fresco y nuevo!")</f>
        <v>Nos veremos de nuevo cuando me despierto todo fresco y nuevo!</v>
      </c>
      <c r="Y679" s="12"/>
      <c r="Z679" s="12"/>
    </row>
    <row r="680" spans="1:26" ht="32.25" customHeight="1" x14ac:dyDescent="0.2">
      <c r="A680" s="17" t="s">
        <v>1459</v>
      </c>
      <c r="B680" s="17" t="s">
        <v>1460</v>
      </c>
      <c r="C680" s="21" t="str">
        <f ca="1">IFERROR(__xludf.DUMMYFUNCTION("GOOGLETRANSLATE($B680,""en"",C$3)"),"Wählt alle oder keine der Kontrollkästchen")</f>
        <v>Wählt alle oder keine der Kontrollkästchen</v>
      </c>
      <c r="D680" s="21" t="str">
        <f ca="1">IFERROR(__xludf.DUMMYFUNCTION("GOOGLETRANSLATE($B680,""en"",D$3)"),"Väljer alla eller ingen av kryssrutorna")</f>
        <v>Väljer alla eller ingen av kryssrutorna</v>
      </c>
      <c r="E680" s="21" t="str">
        <f ca="1">IFERROR(__xludf.DUMMYFUNCTION("GOOGLETRANSLATE($B680,""en"",E$3)"),"Seleciona todas ou nenhuma das caixas de seleção")</f>
        <v>Seleciona todas ou nenhuma das caixas de seleção</v>
      </c>
      <c r="F680" s="21" t="str">
        <f ca="1">IFERROR(__xludf.DUMMYFUNCTION("GOOGLETRANSLATE($B680,""en"",F$3)"),"Seleciona todas ou nenhuma das caixas de seleção")</f>
        <v>Seleciona todas ou nenhuma das caixas de seleção</v>
      </c>
      <c r="G680" s="21" t="str">
        <f ca="1">IFERROR(__xludf.DUMMYFUNCTION("GOOGLETRANSLATE($B680,""en"",G$3)"),"Sélectionne tout ou rien des cases à cocher")</f>
        <v>Sélectionne tout ou rien des cases à cocher</v>
      </c>
      <c r="H680" s="21" t="str">
        <f ca="1">IFERROR(__xludf.DUMMYFUNCTION("GOOGLETRANSLATE($B680,""en"",H$3)"),"Hautatzen guztiak edo bat ere ez karratuak of")</f>
        <v>Hautatzen guztiak edo bat ere ez karratuak of</v>
      </c>
      <c r="I680" s="21" t="str">
        <f ca="1">IFERROR(__xludf.DUMMYFUNCTION("GOOGLETRANSLATE($B680,""en"",I$3)"),"Selecciona totes o cap de les caselles de verificació")</f>
        <v>Selecciona totes o cap de les caselles de verificació</v>
      </c>
      <c r="J680" s="21" t="str">
        <f ca="1">IFERROR(__xludf.DUMMYFUNCTION("GOOGLETRANSLATE($B680,""en"",J$3)"),"Vybere všechny nebo žádné z políček")</f>
        <v>Vybere všechny nebo žádné z políček</v>
      </c>
      <c r="K680" s="21" t="str">
        <f ca="1">IFERROR(__xludf.DUMMYFUNCTION("GOOGLETRANSLATE($B680,""en"",K$3)"),"选择复选框的全或无")</f>
        <v>选择复选框的全或无</v>
      </c>
      <c r="L680" s="21" t="str">
        <f ca="1">IFERROR(__xludf.DUMMYFUNCTION("GOOGLETRANSLATE($B680,""en"",L$3)"),"選擇複選框的全或無")</f>
        <v>選擇複選框的全或無</v>
      </c>
      <c r="M680" s="21" t="str">
        <f ca="1">IFERROR(__xludf.DUMMYFUNCTION("GOOGLETRANSLATE($B680,""en"",M$3)"),"Selecteert alle of geen van de selectievakjes")</f>
        <v>Selecteert alle of geen van de selectievakjes</v>
      </c>
      <c r="N680" s="21" t="str">
        <f ca="1">IFERROR(__xludf.DUMMYFUNCTION("GOOGLETRANSLATE($B680,""en"",N$3)"),"Επιλέγει όλα ή κανένα από τα πλαίσια ελέγχου")</f>
        <v>Επιλέγει όλα ή κανένα από τα πλαίσια ελέγχου</v>
      </c>
      <c r="O680" s="21" t="str">
        <f ca="1">IFERROR(__xludf.DUMMYFUNCTION("GOOGLETRANSLATE($B680,""en"",O$3)"),"Valitsee kaikki tai ei mitään ruudusta")</f>
        <v>Valitsee kaikki tai ei mitään ruudusta</v>
      </c>
      <c r="P680" s="21" t="str">
        <f ca="1">IFERROR(__xludf.DUMMYFUNCTION("GOOGLETRANSLATE($B680,""en"",P$3)"),"Roghnaíonn an uile nó aon cheann de na ticbhoscaí")</f>
        <v>Roghnaíonn an uile nó aon cheann de na ticbhoscaí</v>
      </c>
      <c r="Q680" s="21" t="str">
        <f ca="1">IFERROR(__xludf.DUMMYFUNCTION("GOOGLETRANSLATE($B680,""en"",Q$3)"),"انتخاب همه یا هیچ یک از چک باکس")</f>
        <v>انتخاب همه یا هیچ یک از چک باکس</v>
      </c>
      <c r="R680" s="21" t="str">
        <f ca="1">IFERROR(__xludf.DUMMYFUNCTION("GOOGLETRANSLATE($B680,""en"",R$3)"),"בוחר את כל או אף אחד התיבות")</f>
        <v>בוחר את כל או אף אחד התיבות</v>
      </c>
      <c r="S680" s="21" t="str">
        <f ca="1">IFERROR(__xludf.DUMMYFUNCTION("GOOGLETRANSLATE($B680,""en"",S$3)"),"Velur allar eða enginn gátreitunum")</f>
        <v>Velur allar eða enginn gátreitunum</v>
      </c>
      <c r="T680" s="21" t="str">
        <f ca="1">IFERROR(__xludf.DUMMYFUNCTION("GOOGLETRANSLATE($B680,""en"",T$3)"),"Velger alle eller ingen av boksene")</f>
        <v>Velger alle eller ingen av boksene</v>
      </c>
      <c r="U680" s="21" t="str">
        <f ca="1">IFERROR(__xludf.DUMMYFUNCTION("GOOGLETRANSLATE($B680,""en"",U$3)"),"يختار كل أو أي من خانات")</f>
        <v>يختار كل أو أي من خانات</v>
      </c>
      <c r="V680" s="21" t="str">
        <f ca="1">IFERROR(__xludf.DUMMYFUNCTION("GOOGLETRANSLATE($B680,""en"",V$3)"),"Wybiera wszystkie albo żaden z wyboru")</f>
        <v>Wybiera wszystkie albo żaden z wyboru</v>
      </c>
      <c r="W680" s="21" t="str">
        <f ca="1">IFERROR(__xludf.DUMMYFUNCTION("GOOGLETRANSLATE($B680,""en"",W$3)"),"Выбирает все или ни один из флажков")</f>
        <v>Выбирает все или ни один из флажков</v>
      </c>
      <c r="X680" s="21" t="str">
        <f ca="1">IFERROR(__xludf.DUMMYFUNCTION("GOOGLETRANSLATE($B680,""en"",X$3)"),"Selecciona todas o ninguna de las casillas de verificación")</f>
        <v>Selecciona todas o ninguna de las casillas de verificación</v>
      </c>
      <c r="Y680" s="21"/>
      <c r="Z680" s="21"/>
    </row>
    <row r="681" spans="1:26" ht="32.25" customHeight="1" x14ac:dyDescent="0.2">
      <c r="A681" s="17" t="s">
        <v>1461</v>
      </c>
      <c r="B681" s="17" t="s">
        <v>1462</v>
      </c>
      <c r="C681" s="21" t="str">
        <f ca="1">IFERROR(__xludf.DUMMYFUNCTION("GOOGLETRANSLATE($B681,""en"",C$3)"),"Senden Warnmeldung")</f>
        <v>Senden Warnmeldung</v>
      </c>
      <c r="D681" s="21" t="str">
        <f ca="1">IFERROR(__xludf.DUMMYFUNCTION("GOOGLETRANSLATE($B681,""en"",D$3)"),"Skicka Alert meddelande")</f>
        <v>Skicka Alert meddelande</v>
      </c>
      <c r="E681" s="21" t="str">
        <f ca="1">IFERROR(__xludf.DUMMYFUNCTION("GOOGLETRANSLATE($B681,""en"",E$3)"),"Enviar Alerta Mensagem")</f>
        <v>Enviar Alerta Mensagem</v>
      </c>
      <c r="F681" s="21" t="str">
        <f ca="1">IFERROR(__xludf.DUMMYFUNCTION("GOOGLETRANSLATE($B681,""en"",F$3)"),"Enviar Alerta Mensagem")</f>
        <v>Enviar Alerta Mensagem</v>
      </c>
      <c r="G681" s="21" t="str">
        <f ca="1">IFERROR(__xludf.DUMMYFUNCTION("GOOGLETRANSLATE($B681,""en"",G$3)"),"Envoyer un message d'alerte")</f>
        <v>Envoyer un message d'alerte</v>
      </c>
      <c r="H681" s="21" t="str">
        <f ca="1">IFERROR(__xludf.DUMMYFUNCTION("GOOGLETRANSLATE($B681,""en"",H$3)"),"Bidali Alerta Mezua")</f>
        <v>Bidali Alerta Mezua</v>
      </c>
      <c r="I681" s="21" t="str">
        <f ca="1">IFERROR(__xludf.DUMMYFUNCTION("GOOGLETRANSLATE($B681,""en"",I$3)"),"Enviar missatge d'alerta")</f>
        <v>Enviar missatge d'alerta</v>
      </c>
      <c r="J681" s="21" t="str">
        <f ca="1">IFERROR(__xludf.DUMMYFUNCTION("GOOGLETRANSLATE($B681,""en"",J$3)"),"Poslat varovnou zprávu")</f>
        <v>Poslat varovnou zprávu</v>
      </c>
      <c r="K681" s="21" t="str">
        <f ca="1">IFERROR(__xludf.DUMMYFUNCTION("GOOGLETRANSLATE($B681,""en"",K$3)"),"发送警报信息")</f>
        <v>发送警报信息</v>
      </c>
      <c r="L681" s="21" t="str">
        <f ca="1">IFERROR(__xludf.DUMMYFUNCTION("GOOGLETRANSLATE($B681,""en"",L$3)"),"發送警報信息")</f>
        <v>發送警報信息</v>
      </c>
      <c r="M681" s="21" t="str">
        <f ca="1">IFERROR(__xludf.DUMMYFUNCTION("GOOGLETRANSLATE($B681,""en"",M$3)"),"Stuur Alert Message")</f>
        <v>Stuur Alert Message</v>
      </c>
      <c r="N681" s="21" t="str">
        <f ca="1">IFERROR(__xludf.DUMMYFUNCTION("GOOGLETRANSLATE($B681,""en"",N$3)"),"Αποστολή μηνύματος ειδοποίησης")</f>
        <v>Αποστολή μηνύματος ειδοποίησης</v>
      </c>
      <c r="O681" s="21" t="str">
        <f ca="1">IFERROR(__xludf.DUMMYFUNCTION("GOOGLETRANSLATE($B681,""en"",O$3)"),"Send Alert Message")</f>
        <v>Send Alert Message</v>
      </c>
      <c r="P681" s="21" t="str">
        <f ca="1">IFERROR(__xludf.DUMMYFUNCTION("GOOGLETRANSLATE($B681,""en"",P$3)"),"Seol Teachtaireacht Alert")</f>
        <v>Seol Teachtaireacht Alert</v>
      </c>
      <c r="Q681" s="21" t="str">
        <f ca="1">IFERROR(__xludf.DUMMYFUNCTION("GOOGLETRANSLATE($B681,""en"",Q$3)"),"ارسال هشدار پیام")</f>
        <v>ارسال هشدار پیام</v>
      </c>
      <c r="R681" s="21" t="str">
        <f ca="1">IFERROR(__xludf.DUMMYFUNCTION("GOOGLETRANSLATE($B681,""en"",R$3)"),"שלח הודעת התראה")</f>
        <v>שלח הודעת התראה</v>
      </c>
      <c r="S681" s="21" t="str">
        <f ca="1">IFERROR(__xludf.DUMMYFUNCTION("GOOGLETRANSLATE($B681,""en"",S$3)"),"Senda skilaboðunum")</f>
        <v>Senda skilaboðunum</v>
      </c>
      <c r="T681" s="21" t="str">
        <f ca="1">IFERROR(__xludf.DUMMYFUNCTION("GOOGLETRANSLATE($B681,""en"",T$3)"),"Send Alert Message")</f>
        <v>Send Alert Message</v>
      </c>
      <c r="U681" s="21" t="str">
        <f ca="1">IFERROR(__xludf.DUMMYFUNCTION("GOOGLETRANSLATE($B681,""en"",U$3)"),"إرسال رسالة تنبيه")</f>
        <v>إرسال رسالة تنبيه</v>
      </c>
      <c r="V681" s="21" t="str">
        <f ca="1">IFERROR(__xludf.DUMMYFUNCTION("GOOGLETRANSLATE($B681,""en"",V$3)"),"Wyślij komunikat ostrzegawczy")</f>
        <v>Wyślij komunikat ostrzegawczy</v>
      </c>
      <c r="W681" s="21" t="str">
        <f ca="1">IFERROR(__xludf.DUMMYFUNCTION("GOOGLETRANSLATE($B681,""en"",W$3)"),"Отправить сообщение оповещения")</f>
        <v>Отправить сообщение оповещения</v>
      </c>
      <c r="X681" s="21" t="str">
        <f ca="1">IFERROR(__xludf.DUMMYFUNCTION("GOOGLETRANSLATE($B681,""en"",X$3)"),"Enviar mensaje de alerta")</f>
        <v>Enviar mensaje de alerta</v>
      </c>
      <c r="Y681" s="21"/>
      <c r="Z681" s="21"/>
    </row>
    <row r="682" spans="1:26" ht="32.25" customHeight="1" x14ac:dyDescent="0.2">
      <c r="A682" s="17" t="s">
        <v>1463</v>
      </c>
      <c r="B682" s="17" t="s">
        <v>1464</v>
      </c>
      <c r="C682" s="21" t="str">
        <f ca="1">IFERROR(__xludf.DUMMYFUNCTION("GOOGLETRANSLATE($B682,""en"",C$3)"),"Senden Debug Info zu Console")</f>
        <v>Senden Debug Info zu Console</v>
      </c>
      <c r="D682" s="21" t="str">
        <f ca="1">IFERROR(__xludf.DUMMYFUNCTION("GOOGLETRANSLATE($B682,""en"",D$3)"),"Skicka Debug Info till konsolen")</f>
        <v>Skicka Debug Info till konsolen</v>
      </c>
      <c r="E682" s="21" t="str">
        <f ca="1">IFERROR(__xludf.DUMMYFUNCTION("GOOGLETRANSLATE($B682,""en"",E$3)"),"Enviar informações de depuração Para Console")</f>
        <v>Enviar informações de depuração Para Console</v>
      </c>
      <c r="F682" s="21" t="str">
        <f ca="1">IFERROR(__xludf.DUMMYFUNCTION("GOOGLETRANSLATE($B682,""en"",F$3)"),"Enviar informações de depuração Para Console")</f>
        <v>Enviar informações de depuração Para Console</v>
      </c>
      <c r="G682" s="21" t="str">
        <f ca="1">IFERROR(__xludf.DUMMYFUNCTION("GOOGLETRANSLATE($B682,""en"",G$3)"),"Envoyer les informations de débogage à la console")</f>
        <v>Envoyer les informations de débogage à la console</v>
      </c>
      <c r="H682" s="21" t="str">
        <f ca="1">IFERROR(__xludf.DUMMYFUNCTION("GOOGLETRANSLATE($B682,""en"",H$3)"),"Bidali Debug Info kontsola")</f>
        <v>Bidali Debug Info kontsola</v>
      </c>
      <c r="I682" s="21" t="str">
        <f ca="1">IFERROR(__xludf.DUMMYFUNCTION("GOOGLETRANSLATE($B682,""en"",I$3)"),"Enviar informació de depuració a la consola")</f>
        <v>Enviar informació de depuració a la consola</v>
      </c>
      <c r="J682" s="21" t="str">
        <f ca="1">IFERROR(__xludf.DUMMYFUNCTION("GOOGLETRANSLATE($B682,""en"",J$3)"),"Odeslat informace o ladění do konzole")</f>
        <v>Odeslat informace o ladění do konzole</v>
      </c>
      <c r="K682" s="21" t="str">
        <f ca="1">IFERROR(__xludf.DUMMYFUNCTION("GOOGLETRANSLATE($B682,""en"",K$3)"),"发送调试信息到控制台")</f>
        <v>发送调试信息到控制台</v>
      </c>
      <c r="L682" s="21" t="str">
        <f ca="1">IFERROR(__xludf.DUMMYFUNCTION("GOOGLETRANSLATE($B682,""en"",L$3)"),"發送調試信息到控制台")</f>
        <v>發送調試信息到控制台</v>
      </c>
      <c r="M682" s="21" t="str">
        <f ca="1">IFERROR(__xludf.DUMMYFUNCTION("GOOGLETRANSLATE($B682,""en"",M$3)"),"Stuur Debug Info To Console")</f>
        <v>Stuur Debug Info To Console</v>
      </c>
      <c r="N682" s="21" t="str">
        <f ca="1">IFERROR(__xludf.DUMMYFUNCTION("GOOGLETRANSLATE($B682,""en"",N$3)"),"Αποστολή εντοπισμού σφαλμάτων Πληροφορίες Για Console")</f>
        <v>Αποστολή εντοπισμού σφαλμάτων Πληροφορίες Για Console</v>
      </c>
      <c r="O682" s="21" t="str">
        <f ca="1">IFERROR(__xludf.DUMMYFUNCTION("GOOGLETRANSLATE($B682,""en"",O$3)"),"Send Virheenkorjaustiedot konsoliin")</f>
        <v>Send Virheenkorjaustiedot konsoliin</v>
      </c>
      <c r="P682" s="21" t="str">
        <f ca="1">IFERROR(__xludf.DUMMYFUNCTION("GOOGLETRANSLATE($B682,""en"",P$3)"),"Seol Debug Info Go Console")</f>
        <v>Seol Debug Info Go Console</v>
      </c>
      <c r="Q682" s="21" t="str">
        <f ca="1">IFERROR(__xludf.DUMMYFUNCTION("GOOGLETRANSLATE($B682,""en"",Q$3)"),"ارسال اطلاعات اشکالزدایی برای کنسول")</f>
        <v>ارسال اطلاعات اشکالزدایی برای کنسول</v>
      </c>
      <c r="R682" s="21" t="str">
        <f ca="1">IFERROR(__xludf.DUMMYFUNCTION("GOOGLETRANSLATE($B682,""en"",R$3)"),"שלח Console כדי מידע Debug")</f>
        <v>שלח Console כדי מידע Debug</v>
      </c>
      <c r="S682" s="21" t="str">
        <f ca="1">IFERROR(__xludf.DUMMYFUNCTION("GOOGLETRANSLATE($B682,""en"",S$3)"),"Senda kembingar til að hugga")</f>
        <v>Senda kembingar til að hugga</v>
      </c>
      <c r="T682" s="21" t="str">
        <f ca="1">IFERROR(__xludf.DUMMYFUNCTION("GOOGLETRANSLATE($B682,""en"",T$3)"),"Send Debug Info til konsoll")</f>
        <v>Send Debug Info til konsoll</v>
      </c>
      <c r="U682" s="21" t="str">
        <f ca="1">IFERROR(__xludf.DUMMYFUNCTION("GOOGLETRANSLATE($B682,""en"",U$3)"),"إرسال معلومات التصحيح إلى وحدة التحكم")</f>
        <v>إرسال معلومات التصحيح إلى وحدة التحكم</v>
      </c>
      <c r="V682" s="21" t="str">
        <f ca="1">IFERROR(__xludf.DUMMYFUNCTION("GOOGLETRANSLATE($B682,""en"",V$3)"),"Wyślij Debug Info pocieszyć")</f>
        <v>Wyślij Debug Info pocieszyć</v>
      </c>
      <c r="W682" s="21" t="str">
        <f ca="1">IFERROR(__xludf.DUMMYFUNCTION("GOOGLETRANSLATE($B682,""en"",W$3)"),"Отправить Debug Info утешать")</f>
        <v>Отправить Debug Info утешать</v>
      </c>
      <c r="X682" s="21" t="str">
        <f ca="1">IFERROR(__xludf.DUMMYFUNCTION("GOOGLETRANSLATE($B682,""en"",X$3)"),"Enviar información de depuración a la consola")</f>
        <v>Enviar información de depuración a la consola</v>
      </c>
      <c r="Y682" s="21"/>
      <c r="Z682" s="21"/>
    </row>
    <row r="683" spans="1:26" ht="32.25" customHeight="1" x14ac:dyDescent="0.2">
      <c r="A683" s="17" t="s">
        <v>1465</v>
      </c>
      <c r="B683" s="17" t="s">
        <v>552</v>
      </c>
      <c r="C683" s="21" t="str">
        <f ca="1">IFERROR(__xludf.DUMMYFUNCTION("GOOGLETRANSLATE($B683,""en"",C$3)"),"Gewünschte Trennung (default = 5.0)")</f>
        <v>Gewünschte Trennung (default = 5.0)</v>
      </c>
      <c r="D683" s="21" t="str">
        <f ca="1">IFERROR(__xludf.DUMMYFUNCTION("GOOGLETRANSLATE($B683,""en"",D$3)"),"Önskade Separation (default = 5,0)")</f>
        <v>Önskade Separation (default = 5,0)</v>
      </c>
      <c r="E683" s="21" t="str">
        <f ca="1">IFERROR(__xludf.DUMMYFUNCTION("GOOGLETRANSLATE($B683,""en"",E$3)"),"Separação desejado (default = 5.0)")</f>
        <v>Separação desejado (default = 5.0)</v>
      </c>
      <c r="F683" s="21" t="str">
        <f ca="1">IFERROR(__xludf.DUMMYFUNCTION("GOOGLETRANSLATE($B683,""en"",F$3)"),"Separação desejado (default = 5.0)")</f>
        <v>Separação desejado (default = 5.0)</v>
      </c>
      <c r="G683" s="21" t="str">
        <f ca="1">IFERROR(__xludf.DUMMYFUNCTION("GOOGLETRANSLATE($B683,""en"",G$3)"),"Séparation souhaitée (par défaut = 5,0)")</f>
        <v>Séparation souhaitée (par défaut = 5,0)</v>
      </c>
      <c r="H683" s="21" t="str">
        <f ca="1">IFERROR(__xludf.DUMMYFUNCTION("GOOGLETRANSLATE($B683,""en"",H$3)"),"Nahi den Separation (lehenetsia = 5,0)")</f>
        <v>Nahi den Separation (lehenetsia = 5,0)</v>
      </c>
      <c r="I683" s="21" t="str">
        <f ca="1">IFERROR(__xludf.DUMMYFUNCTION("GOOGLETRANSLATE($B683,""en"",I$3)"),"Separació desitjada (per defecte = 5,0)")</f>
        <v>Separació desitjada (per defecte = 5,0)</v>
      </c>
      <c r="J683" s="21" t="str">
        <f ca="1">IFERROR(__xludf.DUMMYFUNCTION("GOOGLETRANSLATE($B683,""en"",J$3)"),"Požadované separace (default = 5.0)")</f>
        <v>Požadované separace (default = 5.0)</v>
      </c>
      <c r="K683" s="21" t="str">
        <f ca="1">IFERROR(__xludf.DUMMYFUNCTION("GOOGLETRANSLATE($B683,""en"",K$3)"),"所需的分离（缺省值= 5.0）")</f>
        <v>所需的分离（缺省值= 5.0）</v>
      </c>
      <c r="L683" s="21" t="str">
        <f ca="1">IFERROR(__xludf.DUMMYFUNCTION("GOOGLETRANSLATE($B683,""en"",L$3)"),"所需的分離（缺省值= 5.0）")</f>
        <v>所需的分離（缺省值= 5.0）</v>
      </c>
      <c r="M683" s="21" t="str">
        <f ca="1">IFERROR(__xludf.DUMMYFUNCTION("GOOGLETRANSLATE($B683,""en"",M$3)"),"Gewenste scheiding (standaard = 5,0)")</f>
        <v>Gewenste scheiding (standaard = 5,0)</v>
      </c>
      <c r="N683" s="21" t="str">
        <f ca="1">IFERROR(__xludf.DUMMYFUNCTION("GOOGLETRANSLATE($B683,""en"",N$3)"),"Επιθυμητός διαχωρισμός (προεπιλογή = 5,0)")</f>
        <v>Επιθυμητός διαχωρισμός (προεπιλογή = 5,0)</v>
      </c>
      <c r="O683" s="21" t="str">
        <f ca="1">IFERROR(__xludf.DUMMYFUNCTION("GOOGLETRANSLATE($B683,""en"",O$3)"),"Haluttu erottaminen (oletusarvo = 5,0)")</f>
        <v>Haluttu erottaminen (oletusarvo = 5,0)</v>
      </c>
      <c r="P683" s="21" t="str">
        <f ca="1">IFERROR(__xludf.DUMMYFUNCTION("GOOGLETRANSLATE($B683,""en"",P$3)"),"Scaradh Inmhianaithe (réamhshocrú = 5.0)")</f>
        <v>Scaradh Inmhianaithe (réamhshocrú = 5.0)</v>
      </c>
      <c r="Q683" s="21" t="str">
        <f ca="1">IFERROR(__xludf.DUMMYFUNCTION("GOOGLETRANSLATE($B683,""en"",Q$3)"),"جدایی مورد نظر (به طور پیش فرض = 5.0)")</f>
        <v>جدایی مورد نظر (به طور پیش فرض = 5.0)</v>
      </c>
      <c r="R683" s="21" t="str">
        <f ca="1">IFERROR(__xludf.DUMMYFUNCTION("GOOGLETRANSLATE($B683,""en"",R$3)"),"הפרדה רצוי (ברירת מחדל = 5.0)")</f>
        <v>הפרדה רצוי (ברירת מחדל = 5.0)</v>
      </c>
      <c r="S683" s="21" t="str">
        <f ca="1">IFERROR(__xludf.DUMMYFUNCTION("GOOGLETRANSLATE($B683,""en"",S$3)"),"Óskað Aðskilnaður (sjálfgefið = 5,0)")</f>
        <v>Óskað Aðskilnaður (sjálfgefið = 5,0)</v>
      </c>
      <c r="T683" s="21" t="str">
        <f ca="1">IFERROR(__xludf.DUMMYFUNCTION("GOOGLETRANSLATE($B683,""en"",T$3)"),"Ønsket Separasjon (standard = 5,0)")</f>
        <v>Ønsket Separasjon (standard = 5,0)</v>
      </c>
      <c r="U683" s="21" t="str">
        <f ca="1">IFERROR(__xludf.DUMMYFUNCTION("GOOGLETRANSLATE($B683,""en"",U$3)"),"المطلوب الفصل (الافتراضي = 5.0)")</f>
        <v>المطلوب الفصل (الافتراضي = 5.0)</v>
      </c>
      <c r="V683" s="21" t="str">
        <f ca="1">IFERROR(__xludf.DUMMYFUNCTION("GOOGLETRANSLATE($B683,""en"",V$3)"),"Pożądane rozdzielenie (standard = 5,0)")</f>
        <v>Pożądane rozdzielenie (standard = 5,0)</v>
      </c>
      <c r="W683" s="21" t="str">
        <f ca="1">IFERROR(__xludf.DUMMYFUNCTION("GOOGLETRANSLATE($B683,""en"",W$3)"),"Желаемое Разделение (по умолчанию = 5.0)")</f>
        <v>Желаемое Разделение (по умолчанию = 5.0)</v>
      </c>
      <c r="X683" s="21" t="str">
        <f ca="1">IFERROR(__xludf.DUMMYFUNCTION("GOOGLETRANSLATE($B683,""en"",X$3)"),"Separación deseada (por defecto = 5,0)")</f>
        <v>Separación deseada (por defecto = 5,0)</v>
      </c>
      <c r="Y683" s="21"/>
      <c r="Z683" s="21"/>
    </row>
    <row r="684" spans="1:26" ht="32.25" customHeight="1" x14ac:dyDescent="0.2">
      <c r="A684" s="17" t="s">
        <v>1466</v>
      </c>
      <c r="B684" s="17" t="s">
        <v>1467</v>
      </c>
      <c r="C684" s="21" t="str">
        <f ca="1">IFERROR(__xludf.DUMMYFUNCTION("GOOGLETRANSLATE($B684,""en"",C$3)"),"Jede Region beginnt erst, wenn der Stand der Region geladen")</f>
        <v>Jede Region beginnt erst, wenn der Stand der Region geladen</v>
      </c>
      <c r="D684" s="21" t="str">
        <f ca="1">IFERROR(__xludf.DUMMYFUNCTION("GOOGLETRANSLATE($B684,""en"",D$3)"),"Varje region kommer att starta först när tidigare region har laddats")</f>
        <v>Varje region kommer att starta först när tidigare region har laddats</v>
      </c>
      <c r="E684" s="21" t="str">
        <f ca="1">IFERROR(__xludf.DUMMYFUNCTION("GOOGLETRANSLATE($B684,""en"",E$3)"),"Cada região só começa depois da região anterior foi carregado")</f>
        <v>Cada região só começa depois da região anterior foi carregado</v>
      </c>
      <c r="F684" s="21" t="str">
        <f ca="1">IFERROR(__xludf.DUMMYFUNCTION("GOOGLETRANSLATE($B684,""en"",F$3)"),"Cada região só começa depois da região anterior foi carregado")</f>
        <v>Cada região só começa depois da região anterior foi carregado</v>
      </c>
      <c r="G684" s="21" t="str">
        <f ca="1">IFERROR(__xludf.DUMMYFUNCTION("GOOGLETRANSLATE($B684,""en"",G$3)"),"Chaque région commencera seulement après la région préalable chargée")</f>
        <v>Chaque région commencera seulement après la région préalable chargée</v>
      </c>
      <c r="H684" s="21" t="str">
        <f ca="1">IFERROR(__xludf.DUMMYFUNCTION("GOOGLETRANSLATE($B684,""en"",H$3)"),"Eskualde bakoitzak aurretik eskualdean ondoren bakarrik kargatu hasiko da")</f>
        <v>Eskualde bakoitzak aurretik eskualdean ondoren bakarrik kargatu hasiko da</v>
      </c>
      <c r="I684" s="21" t="str">
        <f ca="1">IFERROR(__xludf.DUMMYFUNCTION("GOOGLETRANSLATE($B684,""en"",I$3)"),"Cada regió començarà només després de la regió abans s'ha carregat")</f>
        <v>Cada regió començarà només després de la regió abans s'ha carregat</v>
      </c>
      <c r="J684" s="21" t="str">
        <f ca="1">IFERROR(__xludf.DUMMYFUNCTION("GOOGLETRANSLATE($B684,""en"",J$3)"),"Každá oblast se spustí pouze po předchozí oblast načtení")</f>
        <v>Každá oblast se spustí pouze po předchozí oblast načtení</v>
      </c>
      <c r="K684" s="21" t="str">
        <f ca="1">IFERROR(__xludf.DUMMYFUNCTION("GOOGLETRANSLATE($B684,""en"",K$3)"),"每个地区将开始在前面的区域已加载之后才")</f>
        <v>每个地区将开始在前面的区域已加载之后才</v>
      </c>
      <c r="L684" s="21" t="str">
        <f ca="1">IFERROR(__xludf.DUMMYFUNCTION("GOOGLETRANSLATE($B684,""en"",L$3)"),"每個地區將開始在前面的區域已加載之後才")</f>
        <v>每個地區將開始在前面的區域已加載之後才</v>
      </c>
      <c r="M684" s="21" t="str">
        <f ca="1">IFERROR(__xludf.DUMMYFUNCTION("GOOGLETRANSLATE($B684,""en"",M$3)"),"Elke regio begint nadat de voorafgaande regio geladen")</f>
        <v>Elke regio begint nadat de voorafgaande regio geladen</v>
      </c>
      <c r="N684" s="21" t="str">
        <f ca="1">IFERROR(__xludf.DUMMYFUNCTION("GOOGLETRANSLATE($B684,""en"",N$3)"),"Κάθε περιοχή θα ξεκινήσει μόνο αφού φορτωθεί η προηγούμενη περιοχή")</f>
        <v>Κάθε περιοχή θα ξεκινήσει μόνο αφού φορτωθεί η προηγούμενη περιοχή</v>
      </c>
      <c r="O684" s="21" t="str">
        <f ca="1">IFERROR(__xludf.DUMMYFUNCTION("GOOGLETRANSLATE($B684,""en"",O$3)"),"Jokainen alue alkaa vasta sen jälkeen, kun ennen alue on ladattu")</f>
        <v>Jokainen alue alkaa vasta sen jälkeen, kun ennen alue on ladattu</v>
      </c>
      <c r="P684" s="21" t="str">
        <f ca="1">IFERROR(__xludf.DUMMYFUNCTION("GOOGLETRANSLATE($B684,""en"",P$3)"),"Beidh gach réigiún tosú ach amháin tar éis an réigiún roimh ré luchtaithe")</f>
        <v>Beidh gach réigiún tosú ach amháin tar éis an réigiún roimh ré luchtaithe</v>
      </c>
      <c r="Q684" s="21" t="str">
        <f ca="1">IFERROR(__xludf.DUMMYFUNCTION("GOOGLETRANSLATE($B684,""en"",Q$3)"),"هر منطقه شروع خواهد شد تنها پس از منطقه قبل لود شده است")</f>
        <v>هر منطقه شروع خواهد شد تنها پس از منطقه قبل لود شده است</v>
      </c>
      <c r="R684" s="21" t="str">
        <f ca="1">IFERROR(__xludf.DUMMYFUNCTION("GOOGLETRANSLATE($B684,""en"",R$3)"),"כל אזור יתחיל רק לאחר באזור לפני נטען")</f>
        <v>כל אזור יתחיל רק לאחר באזור לפני נטען</v>
      </c>
      <c r="S684" s="21" t="str">
        <f ca="1">IFERROR(__xludf.DUMMYFUNCTION("GOOGLETRANSLATE($B684,""en"",S$3)"),"Hvert svæði munu byrja fyrr en áður hefur svæðið hlaðinn")</f>
        <v>Hvert svæði munu byrja fyrr en áður hefur svæðið hlaðinn</v>
      </c>
      <c r="T684" s="21" t="str">
        <f ca="1">IFERROR(__xludf.DUMMYFUNCTION("GOOGLETRANSLATE($B684,""en"",T$3)"),"Hver region først starter når den tidligere region er lastet")</f>
        <v>Hver region først starter når den tidligere region er lastet</v>
      </c>
      <c r="U684" s="21" t="str">
        <f ca="1">IFERROR(__xludf.DUMMYFUNCTION("GOOGLETRANSLATE($B684,""en"",U$3)"),"وسوف تبدأ كل منطقة إلا بعد تحميلها المنطقة السابقة")</f>
        <v>وسوف تبدأ كل منطقة إلا بعد تحميلها المنطقة السابقة</v>
      </c>
      <c r="V684" s="21" t="str">
        <f ca="1">IFERROR(__xludf.DUMMYFUNCTION("GOOGLETRANSLATE($B684,""en"",V$3)"),"Każdy region rozpocznie się dopiero po uprzednim załadowaniu regionu")</f>
        <v>Każdy region rozpocznie się dopiero po uprzednim załadowaniu regionu</v>
      </c>
      <c r="W684" s="21" t="str">
        <f ca="1">IFERROR(__xludf.DUMMYFUNCTION("GOOGLETRANSLATE($B684,""en"",W$3)"),"Каждая область будет начинаться только после загрузки до области")</f>
        <v>Каждая область будет начинаться только после загрузки до области</v>
      </c>
      <c r="X684" s="21" t="str">
        <f ca="1">IFERROR(__xludf.DUMMYFUNCTION("GOOGLETRANSLATE($B684,""en"",X$3)"),"Cada región comenzará sólo después de la región antes se ha cargado")</f>
        <v>Cada región comenzará sólo después de la región antes se ha cargado</v>
      </c>
      <c r="Y684" s="21"/>
      <c r="Z684" s="21"/>
    </row>
    <row r="685" spans="1:26" ht="32.25" customHeight="1" x14ac:dyDescent="0.2">
      <c r="A685" s="17" t="s">
        <v>1468</v>
      </c>
      <c r="B685" s="17" t="s">
        <v>1469</v>
      </c>
      <c r="C685" s="21" t="str">
        <f ca="1">IFERROR(__xludf.DUMMYFUNCTION("GOOGLETRANSLATE($B685,""en"",C$3)"),"Server-Typ ist")</f>
        <v>Server-Typ ist</v>
      </c>
      <c r="D685" s="21" t="str">
        <f ca="1">IFERROR(__xludf.DUMMYFUNCTION("GOOGLETRANSLATE($B685,""en"",D$3)"),"Server Type är")</f>
        <v>Server Type är</v>
      </c>
      <c r="E685" s="21" t="str">
        <f ca="1">IFERROR(__xludf.DUMMYFUNCTION("GOOGLETRANSLATE($B685,""en"",E$3)"),"Tipo de servidor é")</f>
        <v>Tipo de servidor é</v>
      </c>
      <c r="F685" s="21" t="str">
        <f ca="1">IFERROR(__xludf.DUMMYFUNCTION("GOOGLETRANSLATE($B685,""en"",F$3)"),"Tipo de servidor é")</f>
        <v>Tipo de servidor é</v>
      </c>
      <c r="G685" s="21" t="str">
        <f ca="1">IFERROR(__xludf.DUMMYFUNCTION("GOOGLETRANSLATE($B685,""en"",G$3)"),"Type de serveur")</f>
        <v>Type de serveur</v>
      </c>
      <c r="H685" s="21" t="str">
        <f ca="1">IFERROR(__xludf.DUMMYFUNCTION("GOOGLETRANSLATE($B685,""en"",H$3)"),"Zerbitzari mota da")</f>
        <v>Zerbitzari mota da</v>
      </c>
      <c r="I685" s="21" t="str">
        <f ca="1">IFERROR(__xludf.DUMMYFUNCTION("GOOGLETRANSLATE($B685,""en"",I$3)"),"Tipus de servidor és")</f>
        <v>Tipus de servidor és</v>
      </c>
      <c r="J685" s="21" t="str">
        <f ca="1">IFERROR(__xludf.DUMMYFUNCTION("GOOGLETRANSLATE($B685,""en"",J$3)"),"Server je typ")</f>
        <v>Server je typ</v>
      </c>
      <c r="K685" s="21" t="str">
        <f ca="1">IFERROR(__xludf.DUMMYFUNCTION("GOOGLETRANSLATE($B685,""en"",K$3)"),"服务器类型为")</f>
        <v>服务器类型为</v>
      </c>
      <c r="L685" s="21" t="str">
        <f ca="1">IFERROR(__xludf.DUMMYFUNCTION("GOOGLETRANSLATE($B685,""en"",L$3)"),"服務器類型為")</f>
        <v>服務器類型為</v>
      </c>
      <c r="M685" s="21" t="str">
        <f ca="1">IFERROR(__xludf.DUMMYFUNCTION("GOOGLETRANSLATE($B685,""en"",M$3)"),"Server type is")</f>
        <v>Server type is</v>
      </c>
      <c r="N685" s="21" t="str">
        <f ca="1">IFERROR(__xludf.DUMMYFUNCTION("GOOGLETRANSLATE($B685,""en"",N$3)"),"Διακομιστή Ο τύπος είναι")</f>
        <v>Διακομιστή Ο τύπος είναι</v>
      </c>
      <c r="O685" s="21" t="str">
        <f ca="1">IFERROR(__xludf.DUMMYFUNCTION("GOOGLETRANSLATE($B685,""en"",O$3)"),"Palvelimen tyyppi on")</f>
        <v>Palvelimen tyyppi on</v>
      </c>
      <c r="P685" s="21" t="str">
        <f ca="1">IFERROR(__xludf.DUMMYFUNCTION("GOOGLETRANSLATE($B685,""en"",P$3)"),"Is freastalaí Cineál")</f>
        <v>Is freastalaí Cineál</v>
      </c>
      <c r="Q685" s="21" t="str">
        <f ca="1">IFERROR(__xludf.DUMMYFUNCTION("GOOGLETRANSLATE($B685,""en"",Q$3)"),"نوع سرور است")</f>
        <v>نوع سرور است</v>
      </c>
      <c r="R685" s="21" t="str">
        <f ca="1">IFERROR(__xludf.DUMMYFUNCTION("GOOGLETRANSLATE($B685,""en"",R$3)"),"סוג השרת הוא")</f>
        <v>סוג השרת הוא</v>
      </c>
      <c r="S685" s="21" t="str">
        <f ca="1">IFERROR(__xludf.DUMMYFUNCTION("GOOGLETRANSLATE($B685,""en"",S$3)"),"Server Type er")</f>
        <v>Server Type er</v>
      </c>
      <c r="T685" s="21" t="str">
        <f ca="1">IFERROR(__xludf.DUMMYFUNCTION("GOOGLETRANSLATE($B685,""en"",T$3)"),"Servertype er")</f>
        <v>Servertype er</v>
      </c>
      <c r="U685" s="21" t="str">
        <f ca="1">IFERROR(__xludf.DUMMYFUNCTION("GOOGLETRANSLATE($B685,""en"",U$3)"),"خادم نوع غير")</f>
        <v>خادم نوع غير</v>
      </c>
      <c r="V685" s="21" t="str">
        <f ca="1">IFERROR(__xludf.DUMMYFUNCTION("GOOGLETRANSLATE($B685,""en"",V$3)"),"Server Type jest")</f>
        <v>Server Type jest</v>
      </c>
      <c r="W685" s="21" t="str">
        <f ca="1">IFERROR(__xludf.DUMMYFUNCTION("GOOGLETRANSLATE($B685,""en"",W$3)"),"Тип сервера является")</f>
        <v>Тип сервера является</v>
      </c>
      <c r="X685" s="21" t="str">
        <f ca="1">IFERROR(__xludf.DUMMYFUNCTION("GOOGLETRANSLATE($B685,""en"",X$3)"),"Tipo de servidor es")</f>
        <v>Tipo de servidor es</v>
      </c>
      <c r="Y685" s="21"/>
      <c r="Z685" s="21"/>
    </row>
    <row r="686" spans="1:26" ht="32.25" customHeight="1" x14ac:dyDescent="0.2">
      <c r="A686" s="17" t="s">
        <v>1470</v>
      </c>
      <c r="B686" s="17" t="s">
        <v>1471</v>
      </c>
      <c r="C686" s="21" t="str">
        <f ca="1">IFERROR(__xludf.DUMMYFUNCTION("GOOGLETRANSLATE($B686,""en"",C$3)"),"Server Typ")</f>
        <v>Server Typ</v>
      </c>
      <c r="D686" s="21" t="str">
        <f ca="1">IFERROR(__xludf.DUMMYFUNCTION("GOOGLETRANSLATE($B686,""en"",D$3)"),"servertyp")</f>
        <v>servertyp</v>
      </c>
      <c r="E686" s="21" t="str">
        <f ca="1">IFERROR(__xludf.DUMMYFUNCTION("GOOGLETRANSLATE($B686,""en"",E$3)"),"Tipo de servidor")</f>
        <v>Tipo de servidor</v>
      </c>
      <c r="F686" s="21" t="str">
        <f ca="1">IFERROR(__xludf.DUMMYFUNCTION("GOOGLETRANSLATE($B686,""en"",F$3)"),"Tipo de servidor")</f>
        <v>Tipo de servidor</v>
      </c>
      <c r="G686" s="21" t="str">
        <f ca="1">IFERROR(__xludf.DUMMYFUNCTION("GOOGLETRANSLATE($B686,""en"",G$3)"),"Type de serveur")</f>
        <v>Type de serveur</v>
      </c>
      <c r="H686" s="21" t="str">
        <f ca="1">IFERROR(__xludf.DUMMYFUNCTION("GOOGLETRANSLATE($B686,""en"",H$3)"),"Zerbitzari mota")</f>
        <v>Zerbitzari mota</v>
      </c>
      <c r="I686" s="21" t="str">
        <f ca="1">IFERROR(__xludf.DUMMYFUNCTION("GOOGLETRANSLATE($B686,""en"",I$3)"),"Tipus de servidor")</f>
        <v>Tipus de servidor</v>
      </c>
      <c r="J686" s="21" t="str">
        <f ca="1">IFERROR(__xludf.DUMMYFUNCTION("GOOGLETRANSLATE($B686,""en"",J$3)"),"Typ serveru")</f>
        <v>Typ serveru</v>
      </c>
      <c r="K686" s="21" t="str">
        <f ca="1">IFERROR(__xludf.DUMMYFUNCTION("GOOGLETRANSLATE($B686,""en"",K$3)"),"服务器类型")</f>
        <v>服务器类型</v>
      </c>
      <c r="L686" s="21" t="str">
        <f ca="1">IFERROR(__xludf.DUMMYFUNCTION("GOOGLETRANSLATE($B686,""en"",L$3)"),"服務器類型")</f>
        <v>服務器類型</v>
      </c>
      <c r="M686" s="21" t="str">
        <f ca="1">IFERROR(__xludf.DUMMYFUNCTION("GOOGLETRANSLATE($B686,""en"",M$3)"),"server type")</f>
        <v>server type</v>
      </c>
      <c r="N686" s="21" t="str">
        <f ca="1">IFERROR(__xludf.DUMMYFUNCTION("GOOGLETRANSLATE($B686,""en"",N$3)"),"Τύπος διακομιστή")</f>
        <v>Τύπος διακομιστή</v>
      </c>
      <c r="O686" s="21" t="str">
        <f ca="1">IFERROR(__xludf.DUMMYFUNCTION("GOOGLETRANSLATE($B686,""en"",O$3)"),"palvelimen tyyppi")</f>
        <v>palvelimen tyyppi</v>
      </c>
      <c r="P686" s="21" t="str">
        <f ca="1">IFERROR(__xludf.DUMMYFUNCTION("GOOGLETRANSLATE($B686,""en"",P$3)"),"Cineál Freastalaí")</f>
        <v>Cineál Freastalaí</v>
      </c>
      <c r="Q686" s="21" t="str">
        <f ca="1">IFERROR(__xludf.DUMMYFUNCTION("GOOGLETRANSLATE($B686,""en"",Q$3)"),"نوع سرور")</f>
        <v>نوع سرور</v>
      </c>
      <c r="R686" s="21" t="str">
        <f ca="1">IFERROR(__xludf.DUMMYFUNCTION("GOOGLETRANSLATE($B686,""en"",R$3)"),"סוג השרת")</f>
        <v>סוג השרת</v>
      </c>
      <c r="S686" s="21" t="str">
        <f ca="1">IFERROR(__xludf.DUMMYFUNCTION("GOOGLETRANSLATE($B686,""en"",S$3)"),"Gerð miðlara")</f>
        <v>Gerð miðlara</v>
      </c>
      <c r="T686" s="21" t="str">
        <f ca="1">IFERROR(__xludf.DUMMYFUNCTION("GOOGLETRANSLATE($B686,""en"",T$3)"),"Servertype")</f>
        <v>Servertype</v>
      </c>
      <c r="U686" s="21" t="str">
        <f ca="1">IFERROR(__xludf.DUMMYFUNCTION("GOOGLETRANSLATE($B686,""en"",U$3)"),"نوع الخادم")</f>
        <v>نوع الخادم</v>
      </c>
      <c r="V686" s="21" t="str">
        <f ca="1">IFERROR(__xludf.DUMMYFUNCTION("GOOGLETRANSLATE($B686,""en"",V$3)"),"Rodzaj serwera")</f>
        <v>Rodzaj serwera</v>
      </c>
      <c r="W686" s="21" t="str">
        <f ca="1">IFERROR(__xludf.DUMMYFUNCTION("GOOGLETRANSLATE($B686,""en"",W$3)"),"Тип сервера")</f>
        <v>Тип сервера</v>
      </c>
      <c r="X686" s="21" t="str">
        <f ca="1">IFERROR(__xludf.DUMMYFUNCTION("GOOGLETRANSLATE($B686,""en"",X$3)"),"Tipo de servidor")</f>
        <v>Tipo de servidor</v>
      </c>
      <c r="Y686" s="21"/>
      <c r="Z686" s="21"/>
    </row>
    <row r="687" spans="1:26" ht="32.25" customHeight="1" x14ac:dyDescent="0.2">
      <c r="A687" s="17" t="s">
        <v>1472</v>
      </c>
      <c r="B687" s="17" t="s">
        <v>1473</v>
      </c>
      <c r="C687" s="21" t="str">
        <f ca="1">IFERROR(__xludf.DUMMYFUNCTION("GOOGLETRANSLATE($B687,""en"",C$3)"),"Set-Debug-Level")</f>
        <v>Set-Debug-Level</v>
      </c>
      <c r="D687" s="21" t="str">
        <f ca="1">IFERROR(__xludf.DUMMYFUNCTION("GOOGLETRANSLATE($B687,""en"",D$3)"),"Set Debug nivå")</f>
        <v>Set Debug nivå</v>
      </c>
      <c r="E687" s="21" t="str">
        <f ca="1">IFERROR(__xludf.DUMMYFUNCTION("GOOGLETRANSLATE($B687,""en"",E$3)"),"Definir Nível de depuração")</f>
        <v>Definir Nível de depuração</v>
      </c>
      <c r="F687" s="21" t="str">
        <f ca="1">IFERROR(__xludf.DUMMYFUNCTION("GOOGLETRANSLATE($B687,""en"",F$3)"),"Definir Nível de depuração")</f>
        <v>Definir Nível de depuração</v>
      </c>
      <c r="G687" s="21" t="str">
        <f ca="1">IFERROR(__xludf.DUMMYFUNCTION("GOOGLETRANSLATE($B687,""en"",G$3)"),"Définir le niveau de débogage")</f>
        <v>Définir le niveau de débogage</v>
      </c>
      <c r="H687" s="21" t="str">
        <f ca="1">IFERROR(__xludf.DUMMYFUNCTION("GOOGLETRANSLATE($B687,""en"",H$3)"),"Ezarri arazketa-maila")</f>
        <v>Ezarri arazketa-maila</v>
      </c>
      <c r="I687" s="21" t="str">
        <f ca="1">IFERROR(__xludf.DUMMYFUNCTION("GOOGLETRANSLATE($B687,""en"",I$3)"),"Conjunt nivell de depuració")</f>
        <v>Conjunt nivell de depuració</v>
      </c>
      <c r="J687" s="21" t="str">
        <f ca="1">IFERROR(__xludf.DUMMYFUNCTION("GOOGLETRANSLATE($B687,""en"",J$3)"),"Set Level Debug")</f>
        <v>Set Level Debug</v>
      </c>
      <c r="K687" s="21" t="str">
        <f ca="1">IFERROR(__xludf.DUMMYFUNCTION("GOOGLETRANSLATE($B687,""en"",K$3)"),"设置调试级别")</f>
        <v>设置调试级别</v>
      </c>
      <c r="L687" s="21" t="str">
        <f ca="1">IFERROR(__xludf.DUMMYFUNCTION("GOOGLETRANSLATE($B687,""en"",L$3)"),"設置調試級別")</f>
        <v>設置調試級別</v>
      </c>
      <c r="M687" s="21" t="str">
        <f ca="1">IFERROR(__xludf.DUMMYFUNCTION("GOOGLETRANSLATE($B687,""en"",M$3)"),"Set Debug Level")</f>
        <v>Set Debug Level</v>
      </c>
      <c r="N687" s="21" t="str">
        <f ca="1">IFERROR(__xludf.DUMMYFUNCTION("GOOGLETRANSLATE($B687,""en"",N$3)"),"Ρύθμιση επιπέδου εντοπισμού σφαλμάτων")</f>
        <v>Ρύθμιση επιπέδου εντοπισμού σφαλμάτων</v>
      </c>
      <c r="O687" s="21" t="str">
        <f ca="1">IFERROR(__xludf.DUMMYFUNCTION("GOOGLETRANSLATE($B687,""en"",O$3)"),"Set Debug Level")</f>
        <v>Set Debug Level</v>
      </c>
      <c r="P687" s="21" t="str">
        <f ca="1">IFERROR(__xludf.DUMMYFUNCTION("GOOGLETRANSLATE($B687,""en"",P$3)"),"Socraigh Debug Leibhéal")</f>
        <v>Socraigh Debug Leibhéal</v>
      </c>
      <c r="Q687" s="21" t="str">
        <f ca="1">IFERROR(__xludf.DUMMYFUNCTION("GOOGLETRANSLATE($B687,""en"",Q$3)"),"تنظیم سطح اشکال زدایی")</f>
        <v>تنظیم سطح اشکال زدایی</v>
      </c>
      <c r="R687" s="21" t="str">
        <f ca="1">IFERROR(__xludf.DUMMYFUNCTION("GOOGLETRANSLATE($B687,""en"",R$3)"),"סט Debug רמה")</f>
        <v>סט Debug רמה</v>
      </c>
      <c r="S687" s="21" t="str">
        <f ca="1">IFERROR(__xludf.DUMMYFUNCTION("GOOGLETRANSLATE($B687,""en"",S$3)"),"Setja Kemba Level")</f>
        <v>Setja Kemba Level</v>
      </c>
      <c r="T687" s="21" t="str">
        <f ca="1">IFERROR(__xludf.DUMMYFUNCTION("GOOGLETRANSLATE($B687,""en"",T$3)"),"Set Debug nivå")</f>
        <v>Set Debug nivå</v>
      </c>
      <c r="U687" s="21" t="str">
        <f ca="1">IFERROR(__xludf.DUMMYFUNCTION("GOOGLETRANSLATE($B687,""en"",U$3)"),"مجموعة مستوى التصحيح")</f>
        <v>مجموعة مستوى التصحيح</v>
      </c>
      <c r="V687" s="21" t="str">
        <f ca="1">IFERROR(__xludf.DUMMYFUNCTION("GOOGLETRANSLATE($B687,""en"",V$3)"),"Set Debug Level")</f>
        <v>Set Debug Level</v>
      </c>
      <c r="W687" s="21" t="str">
        <f ca="1">IFERROR(__xludf.DUMMYFUNCTION("GOOGLETRANSLATE($B687,""en"",W$3)"),"Установить уровень отладки")</f>
        <v>Установить уровень отладки</v>
      </c>
      <c r="X687" s="21" t="str">
        <f ca="1">IFERROR(__xludf.DUMMYFUNCTION("GOOGLETRANSLATE($B687,""en"",X$3)"),"Conjunto nivel de depuración")</f>
        <v>Conjunto nivel de depuración</v>
      </c>
      <c r="Y687" s="21"/>
      <c r="Z687" s="21"/>
    </row>
    <row r="688" spans="1:26" ht="32.25" customHeight="1" x14ac:dyDescent="0.2">
      <c r="A688" s="17" t="s">
        <v>1474</v>
      </c>
      <c r="B688" s="17" t="s">
        <v>1475</v>
      </c>
      <c r="C688" s="18" t="s">
        <v>1476</v>
      </c>
      <c r="D688" s="12" t="str">
        <f ca="1">IFERROR(__xludf.DUMMYFUNCTION("GOOGLETRANSLATE($B687,""en"",D$3)"),"Set Debug nivå")</f>
        <v>Set Debug nivå</v>
      </c>
      <c r="E688" s="12" t="str">
        <f ca="1">IFERROR(__xludf.DUMMYFUNCTION("GOOGLETRANSLATE($B687,""en"",E$3)"),"Definir Nível de depuração")</f>
        <v>Definir Nível de depuração</v>
      </c>
      <c r="F688" s="12" t="str">
        <f ca="1">IFERROR(__xludf.DUMMYFUNCTION("GOOGLETRANSLATE($B687,""en"",F$3)"),"Definir Nível de depuração")</f>
        <v>Definir Nível de depuração</v>
      </c>
      <c r="G688" s="12" t="str">
        <f ca="1">IFERROR(__xludf.DUMMYFUNCTION("GOOGLETRANSLATE($B687,""en"",G$3)"),"Définir le niveau de débogage")</f>
        <v>Définir le niveau de débogage</v>
      </c>
      <c r="H688" s="12" t="str">
        <f ca="1">IFERROR(__xludf.DUMMYFUNCTION("GOOGLETRANSLATE($B687,""en"",H$3)"),"Ezarri arazketa-maila")</f>
        <v>Ezarri arazketa-maila</v>
      </c>
      <c r="I688" s="12" t="str">
        <f ca="1">IFERROR(__xludf.DUMMYFUNCTION("GOOGLETRANSLATE($B687,""en"",I$3)"),"Conjunt nivell de depuració")</f>
        <v>Conjunt nivell de depuració</v>
      </c>
      <c r="J688" s="12" t="str">
        <f ca="1">IFERROR(__xludf.DUMMYFUNCTION("GOOGLETRANSLATE($B687,""en"",J$3)"),"Set Level Debug")</f>
        <v>Set Level Debug</v>
      </c>
      <c r="K688" s="12" t="str">
        <f ca="1">IFERROR(__xludf.DUMMYFUNCTION("GOOGLETRANSLATE($B687,""en"",K$3)"),"设置调试级别")</f>
        <v>设置调试级别</v>
      </c>
      <c r="L688" s="12" t="str">
        <f ca="1">IFERROR(__xludf.DUMMYFUNCTION("GOOGLETRANSLATE($B687,""en"",L$3)"),"設置調試級別")</f>
        <v>設置調試級別</v>
      </c>
      <c r="M688" s="12" t="str">
        <f ca="1">IFERROR(__xludf.DUMMYFUNCTION("GOOGLETRANSLATE($B687,""en"",M$3)"),"Set Debug Level")</f>
        <v>Set Debug Level</v>
      </c>
      <c r="N688" s="12" t="str">
        <f ca="1">IFERROR(__xludf.DUMMYFUNCTION("GOOGLETRANSLATE($B687,""en"",N$3)"),"Ρύθμιση επιπέδου εντοπισμού σφαλμάτων")</f>
        <v>Ρύθμιση επιπέδου εντοπισμού σφαλμάτων</v>
      </c>
      <c r="O688" s="12" t="str">
        <f ca="1">IFERROR(__xludf.DUMMYFUNCTION("GOOGLETRANSLATE($B687,""en"",O$3)"),"Set Debug Level")</f>
        <v>Set Debug Level</v>
      </c>
      <c r="P688" s="12" t="str">
        <f ca="1">IFERROR(__xludf.DUMMYFUNCTION("GOOGLETRANSLATE($B687,""en"",P$3)"),"Socraigh Debug Leibhéal")</f>
        <v>Socraigh Debug Leibhéal</v>
      </c>
      <c r="Q688" s="12" t="str">
        <f ca="1">IFERROR(__xludf.DUMMYFUNCTION("GOOGLETRANSLATE($B687,""en"",Q$3)"),"تنظیم سطح اشکال زدایی")</f>
        <v>تنظیم سطح اشکال زدایی</v>
      </c>
      <c r="R688" s="12" t="str">
        <f ca="1">IFERROR(__xludf.DUMMYFUNCTION("GOOGLETRANSLATE($B687,""en"",R$3)"),"סט Debug רמה")</f>
        <v>סט Debug רמה</v>
      </c>
      <c r="S688" s="12" t="str">
        <f ca="1">IFERROR(__xludf.DUMMYFUNCTION("GOOGLETRANSLATE($B687,""en"",S$3)"),"Setja Kemba Level")</f>
        <v>Setja Kemba Level</v>
      </c>
      <c r="T688" s="12" t="str">
        <f ca="1">IFERROR(__xludf.DUMMYFUNCTION("GOOGLETRANSLATE($B687,""en"",T$3)"),"Set Debug nivå")</f>
        <v>Set Debug nivå</v>
      </c>
      <c r="U688" s="12" t="str">
        <f ca="1">IFERROR(__xludf.DUMMYFUNCTION("GOOGLETRANSLATE($B687,""en"",U$3)"),"مجموعة مستوى التصحيح")</f>
        <v>مجموعة مستوى التصحيح</v>
      </c>
      <c r="V688" s="12" t="str">
        <f ca="1">IFERROR(__xludf.DUMMYFUNCTION("GOOGLETRANSLATE($B687,""en"",V$3)"),"Set Debug Level")</f>
        <v>Set Debug Level</v>
      </c>
      <c r="W688" s="12" t="str">
        <f ca="1">IFERROR(__xludf.DUMMYFUNCTION("GOOGLETRANSLATE($B687,""en"",W$3)"),"Установить уровень отладки")</f>
        <v>Установить уровень отладки</v>
      </c>
      <c r="X688" s="12" t="str">
        <f ca="1">IFERROR(__xludf.DUMMYFUNCTION("GOOGLETRANSLATE($B687,""en"",X$3)"),"Conjunto nivel de depuración")</f>
        <v>Conjunto nivel de depuración</v>
      </c>
      <c r="Y688" s="12"/>
      <c r="Z688" s="12"/>
    </row>
    <row r="689" spans="1:26" ht="32.25" customHeight="1" x14ac:dyDescent="0.2">
      <c r="A689" s="17" t="s">
        <v>1477</v>
      </c>
      <c r="B689" s="17" t="s">
        <v>1478</v>
      </c>
      <c r="C689" s="18" t="s">
        <v>1479</v>
      </c>
      <c r="D689" s="12" t="str">
        <f ca="1">IFERROR(__xludf.DUMMYFUNCTION("GOOGLETRANSLATE($B688,""en"",D$3)"),"set Owner")</f>
        <v>set Owner</v>
      </c>
      <c r="E689" s="12" t="str">
        <f ca="1">IFERROR(__xludf.DUMMYFUNCTION("GOOGLETRANSLATE($B688,""en"",E$3)"),"Set Owner")</f>
        <v>Set Owner</v>
      </c>
      <c r="F689" s="12" t="str">
        <f ca="1">IFERROR(__xludf.DUMMYFUNCTION("GOOGLETRANSLATE($B688,""en"",F$3)"),"Set Owner")</f>
        <v>Set Owner</v>
      </c>
      <c r="G689" s="12" t="str">
        <f ca="1">IFERROR(__xludf.DUMMYFUNCTION("GOOGLETRANSLATE($B688,""en"",G$3)"),"Set propriétaire")</f>
        <v>Set propriétaire</v>
      </c>
      <c r="H689" s="12" t="str">
        <f ca="1">IFERROR(__xludf.DUMMYFUNCTION("GOOGLETRANSLATE($B688,""en"",H$3)"),"ezarri Titularra")</f>
        <v>ezarri Titularra</v>
      </c>
      <c r="I689" s="12" t="str">
        <f ca="1">IFERROR(__xludf.DUMMYFUNCTION("GOOGLETRANSLATE($B688,""en"",I$3)"),"Definir propietari")</f>
        <v>Definir propietari</v>
      </c>
      <c r="J689" s="12" t="str">
        <f ca="1">IFERROR(__xludf.DUMMYFUNCTION("GOOGLETRANSLATE($B688,""en"",J$3)"),"Určit vlastníka")</f>
        <v>Určit vlastníka</v>
      </c>
      <c r="K689" s="12" t="str">
        <f ca="1">IFERROR(__xludf.DUMMYFUNCTION("GOOGLETRANSLATE($B688,""en"",K$3)"),"设置所有者")</f>
        <v>设置所有者</v>
      </c>
      <c r="L689" s="12" t="str">
        <f ca="1">IFERROR(__xludf.DUMMYFUNCTION("GOOGLETRANSLATE($B688,""en"",L$3)"),"設置所有者")</f>
        <v>設置所有者</v>
      </c>
      <c r="M689" s="12" t="str">
        <f ca="1">IFERROR(__xludf.DUMMYFUNCTION("GOOGLETRANSLATE($B688,""en"",M$3)"),"set Owner")</f>
        <v>set Owner</v>
      </c>
      <c r="N689" s="12" t="str">
        <f ca="1">IFERROR(__xludf.DUMMYFUNCTION("GOOGLETRANSLATE($B688,""en"",N$3)"),"Σετ Ιδιοκτήτης")</f>
        <v>Σετ Ιδιοκτήτης</v>
      </c>
      <c r="O689" s="12" t="str">
        <f ca="1">IFERROR(__xludf.DUMMYFUNCTION("GOOGLETRANSLATE($B688,""en"",O$3)"),"Aseta omistaja")</f>
        <v>Aseta omistaja</v>
      </c>
      <c r="P689" s="12" t="str">
        <f ca="1">IFERROR(__xludf.DUMMYFUNCTION("GOOGLETRANSLATE($B688,""en"",P$3)"),"Socraigh Úinéir")</f>
        <v>Socraigh Úinéir</v>
      </c>
      <c r="Q689" s="12" t="str">
        <f ca="1">IFERROR(__xludf.DUMMYFUNCTION("GOOGLETRANSLATE($B688,""en"",Q$3)"),"مجموعه ای مالک")</f>
        <v>مجموعه ای مالک</v>
      </c>
      <c r="R689" s="12" t="str">
        <f ca="1">IFERROR(__xludf.DUMMYFUNCTION("GOOGLETRANSLATE($B688,""en"",R$3)"),"בעלים שהוגדר")</f>
        <v>בעלים שהוגדר</v>
      </c>
      <c r="S689" s="12" t="str">
        <f ca="1">IFERROR(__xludf.DUMMYFUNCTION("GOOGLETRANSLATE($B688,""en"",S$3)"),"setja Eigandi")</f>
        <v>setja Eigandi</v>
      </c>
      <c r="T689" s="12" t="str">
        <f ca="1">IFERROR(__xludf.DUMMYFUNCTION("GOOGLETRANSLATE($B688,""en"",T$3)"),"Still inn eier")</f>
        <v>Still inn eier</v>
      </c>
      <c r="U689" s="12" t="str">
        <f ca="1">IFERROR(__xludf.DUMMYFUNCTION("GOOGLETRANSLATE($B688,""en"",U$3)"),"مجموعة المالك")</f>
        <v>مجموعة المالك</v>
      </c>
      <c r="V689" s="12" t="str">
        <f ca="1">IFERROR(__xludf.DUMMYFUNCTION("GOOGLETRANSLATE($B688,""en"",V$3)"),"Set Owner")</f>
        <v>Set Owner</v>
      </c>
      <c r="W689" s="12" t="str">
        <f ca="1">IFERROR(__xludf.DUMMYFUNCTION("GOOGLETRANSLATE($B688,""en"",W$3)"),"Установить владельца")</f>
        <v>Установить владельца</v>
      </c>
      <c r="X689" s="12" t="str">
        <f ca="1">IFERROR(__xludf.DUMMYFUNCTION("GOOGLETRANSLATE($B688,""en"",X$3)"),"Establecer propietario")</f>
        <v>Establecer propietario</v>
      </c>
      <c r="Y689" s="12"/>
      <c r="Z689" s="12"/>
    </row>
    <row r="690" spans="1:26" ht="32.25" customHeight="1" x14ac:dyDescent="0.2">
      <c r="A690" s="17" t="s">
        <v>1480</v>
      </c>
      <c r="B690" s="17" t="s">
        <v>1481</v>
      </c>
      <c r="C690" s="21" t="str">
        <f ca="1">IFERROR(__xludf.DUMMYFUNCTION("GOOGLETRANSLATE($B690,""en"",C$3)"),"die Einstellungen")</f>
        <v>die Einstellungen</v>
      </c>
      <c r="D690" s="21" t="str">
        <f ca="1">IFERROR(__xludf.DUMMYFUNCTION("GOOGLETRANSLATE($B690,""en"",D$3)"),"inställningar")</f>
        <v>inställningar</v>
      </c>
      <c r="E690" s="21" t="str">
        <f ca="1">IFERROR(__xludf.DUMMYFUNCTION("GOOGLETRANSLATE($B690,""en"",E$3)"),"Configurações")</f>
        <v>Configurações</v>
      </c>
      <c r="F690" s="21" t="str">
        <f ca="1">IFERROR(__xludf.DUMMYFUNCTION("GOOGLETRANSLATE($B690,""en"",F$3)"),"Configurações")</f>
        <v>Configurações</v>
      </c>
      <c r="G690" s="21" t="str">
        <f ca="1">IFERROR(__xludf.DUMMYFUNCTION("GOOGLETRANSLATE($B690,""en"",G$3)"),"Paramètres")</f>
        <v>Paramètres</v>
      </c>
      <c r="H690" s="21" t="str">
        <f ca="1">IFERROR(__xludf.DUMMYFUNCTION("GOOGLETRANSLATE($B690,""en"",H$3)"),"ezarpenak")</f>
        <v>ezarpenak</v>
      </c>
      <c r="I690" s="21" t="str">
        <f ca="1">IFERROR(__xludf.DUMMYFUNCTION("GOOGLETRANSLATE($B690,""en"",I$3)"),"ajustos")</f>
        <v>ajustos</v>
      </c>
      <c r="J690" s="21" t="str">
        <f ca="1">IFERROR(__xludf.DUMMYFUNCTION("GOOGLETRANSLATE($B690,""en"",J$3)"),"Nastavení")</f>
        <v>Nastavení</v>
      </c>
      <c r="K690" s="21" t="str">
        <f ca="1">IFERROR(__xludf.DUMMYFUNCTION("GOOGLETRANSLATE($B690,""en"",K$3)"),"设置")</f>
        <v>设置</v>
      </c>
      <c r="L690" s="21" t="str">
        <f ca="1">IFERROR(__xludf.DUMMYFUNCTION("GOOGLETRANSLATE($B690,""en"",L$3)"),"設置")</f>
        <v>設置</v>
      </c>
      <c r="M690" s="21" t="str">
        <f ca="1">IFERROR(__xludf.DUMMYFUNCTION("GOOGLETRANSLATE($B690,""en"",M$3)"),"instellingen")</f>
        <v>instellingen</v>
      </c>
      <c r="N690" s="21" t="str">
        <f ca="1">IFERROR(__xludf.DUMMYFUNCTION("GOOGLETRANSLATE($B690,""en"",N$3)"),"Ρυθμίσεις")</f>
        <v>Ρυθμίσεις</v>
      </c>
      <c r="O690" s="21" t="str">
        <f ca="1">IFERROR(__xludf.DUMMYFUNCTION("GOOGLETRANSLATE($B690,""en"",O$3)"),"asetukset")</f>
        <v>asetukset</v>
      </c>
      <c r="P690" s="21" t="str">
        <f ca="1">IFERROR(__xludf.DUMMYFUNCTION("GOOGLETRANSLATE($B690,""en"",P$3)"),"Socruithe")</f>
        <v>Socruithe</v>
      </c>
      <c r="Q690" s="21" t="str">
        <f ca="1">IFERROR(__xludf.DUMMYFUNCTION("GOOGLETRANSLATE($B690,""en"",Q$3)"),"تنظیمات")</f>
        <v>تنظیمات</v>
      </c>
      <c r="R690" s="21" t="str">
        <f ca="1">IFERROR(__xludf.DUMMYFUNCTION("GOOGLETRANSLATE($B690,""en"",R$3)"),"הגדרות")</f>
        <v>הגדרות</v>
      </c>
      <c r="S690" s="21" t="str">
        <f ca="1">IFERROR(__xludf.DUMMYFUNCTION("GOOGLETRANSLATE($B690,""en"",S$3)"),"Stillingar")</f>
        <v>Stillingar</v>
      </c>
      <c r="T690" s="21" t="str">
        <f ca="1">IFERROR(__xludf.DUMMYFUNCTION("GOOGLETRANSLATE($B690,""en"",T$3)"),"innstillinger")</f>
        <v>innstillinger</v>
      </c>
      <c r="U690" s="21" t="str">
        <f ca="1">IFERROR(__xludf.DUMMYFUNCTION("GOOGLETRANSLATE($B690,""en"",U$3)"),"الإعدادات")</f>
        <v>الإعدادات</v>
      </c>
      <c r="V690" s="21" t="str">
        <f ca="1">IFERROR(__xludf.DUMMYFUNCTION("GOOGLETRANSLATE($B690,""en"",V$3)"),"Ustawienia")</f>
        <v>Ustawienia</v>
      </c>
      <c r="W690" s="21" t="str">
        <f ca="1">IFERROR(__xludf.DUMMYFUNCTION("GOOGLETRANSLATE($B690,""en"",W$3)"),"настройки")</f>
        <v>настройки</v>
      </c>
      <c r="X690" s="21" t="str">
        <f ca="1">IFERROR(__xludf.DUMMYFUNCTION("GOOGLETRANSLATE($B690,""en"",X$3)"),"ajustes")</f>
        <v>ajustes</v>
      </c>
      <c r="Y690" s="21"/>
      <c r="Z690" s="21"/>
    </row>
    <row r="691" spans="1:26" ht="32.25" customHeight="1" x14ac:dyDescent="0.2">
      <c r="A691" s="17" t="s">
        <v>1482</v>
      </c>
      <c r="B691" s="17" t="s">
        <v>1483</v>
      </c>
      <c r="C691" s="21" t="str">
        <f ca="1">IFERROR(__xludf.DUMMYFUNCTION("GOOGLETRANSLATE($B691,""en"",C$3)"),"Setup-Firewall")</f>
        <v>Setup-Firewall</v>
      </c>
      <c r="D691" s="21" t="str">
        <f ca="1">IFERROR(__xludf.DUMMYFUNCTION("GOOGLETRANSLATE($B691,""en"",D$3)"),"Inställning Firewall")</f>
        <v>Inställning Firewall</v>
      </c>
      <c r="E691" s="21" t="str">
        <f ca="1">IFERROR(__xludf.DUMMYFUNCTION("GOOGLETRANSLATE($B691,""en"",E$3)"),"Setup Firewall")</f>
        <v>Setup Firewall</v>
      </c>
      <c r="F691" s="21" t="str">
        <f ca="1">IFERROR(__xludf.DUMMYFUNCTION("GOOGLETRANSLATE($B691,""en"",F$3)"),"Setup Firewall")</f>
        <v>Setup Firewall</v>
      </c>
      <c r="G691" s="21" t="str">
        <f ca="1">IFERROR(__xludf.DUMMYFUNCTION("GOOGLETRANSLATE($B691,""en"",G$3)"),"Pare-feu de configuration")</f>
        <v>Pare-feu de configuration</v>
      </c>
      <c r="H691" s="21" t="str">
        <f ca="1">IFERROR(__xludf.DUMMYFUNCTION("GOOGLETRANSLATE($B691,""en"",H$3)"),"konfigurazioa Firewall")</f>
        <v>konfigurazioa Firewall</v>
      </c>
      <c r="I691" s="21" t="str">
        <f ca="1">IFERROR(__xludf.DUMMYFUNCTION("GOOGLETRANSLATE($B691,""en"",I$3)"),"configuració de l'tallafocs")</f>
        <v>configuració de l'tallafocs</v>
      </c>
      <c r="J691" s="21" t="str">
        <f ca="1">IFERROR(__xludf.DUMMYFUNCTION("GOOGLETRANSLATE($B691,""en"",J$3)"),"Nastavení Firewall")</f>
        <v>Nastavení Firewall</v>
      </c>
      <c r="K691" s="21" t="str">
        <f ca="1">IFERROR(__xludf.DUMMYFUNCTION("GOOGLETRANSLATE($B691,""en"",K$3)"),"设置防火墙")</f>
        <v>设置防火墙</v>
      </c>
      <c r="L691" s="21" t="str">
        <f ca="1">IFERROR(__xludf.DUMMYFUNCTION("GOOGLETRANSLATE($B691,""en"",L$3)"),"設置防火牆")</f>
        <v>設置防火牆</v>
      </c>
      <c r="M691" s="21" t="str">
        <f ca="1">IFERROR(__xludf.DUMMYFUNCTION("GOOGLETRANSLATE($B691,""en"",M$3)"),"Setup Firewall")</f>
        <v>Setup Firewall</v>
      </c>
      <c r="N691" s="21" t="str">
        <f ca="1">IFERROR(__xludf.DUMMYFUNCTION("GOOGLETRANSLATE($B691,""en"",N$3)"),"Ρύθμιση Τείχος προστασίας")</f>
        <v>Ρύθμιση Τείχος προστασίας</v>
      </c>
      <c r="O691" s="21" t="str">
        <f ca="1">IFERROR(__xludf.DUMMYFUNCTION("GOOGLETRANSLATE($B691,""en"",O$3)"),"setup palomuuri")</f>
        <v>setup palomuuri</v>
      </c>
      <c r="P691" s="21" t="str">
        <f ca="1">IFERROR(__xludf.DUMMYFUNCTION("GOOGLETRANSLATE($B691,""en"",P$3)"),"Socrú Firewall")</f>
        <v>Socrú Firewall</v>
      </c>
      <c r="Q691" s="21" t="str">
        <f ca="1">IFERROR(__xludf.DUMMYFUNCTION("GOOGLETRANSLATE($B691,""en"",Q$3)"),"راه اندازی فایروال")</f>
        <v>راه اندازی فایروال</v>
      </c>
      <c r="R691" s="21" t="str">
        <f ca="1">IFERROR(__xludf.DUMMYFUNCTION("GOOGLETRANSLATE($B691,""en"",R$3)"),"Firewall Setup")</f>
        <v>Firewall Setup</v>
      </c>
      <c r="S691" s="21" t="str">
        <f ca="1">IFERROR(__xludf.DUMMYFUNCTION("GOOGLETRANSLATE($B691,""en"",S$3)"),"skipulag Firewall")</f>
        <v>skipulag Firewall</v>
      </c>
      <c r="T691" s="21" t="str">
        <f ca="1">IFERROR(__xludf.DUMMYFUNCTION("GOOGLETRANSLATE($B691,""en"",T$3)"),"oppsett brannmur")</f>
        <v>oppsett brannmur</v>
      </c>
      <c r="U691" s="21" t="str">
        <f ca="1">IFERROR(__xludf.DUMMYFUNCTION("GOOGLETRANSLATE($B691,""en"",U$3)"),"جدار حماية الإعداد")</f>
        <v>جدار حماية الإعداد</v>
      </c>
      <c r="V691" s="21" t="str">
        <f ca="1">IFERROR(__xludf.DUMMYFUNCTION("GOOGLETRANSLATE($B691,""en"",V$3)"),"Konfiguracja Firewall")</f>
        <v>Konfiguracja Firewall</v>
      </c>
      <c r="W691" s="21" t="str">
        <f ca="1">IFERROR(__xludf.DUMMYFUNCTION("GOOGLETRANSLATE($B691,""en"",W$3)"),"Настройка брандмауэра")</f>
        <v>Настройка брандмауэра</v>
      </c>
      <c r="X691" s="21" t="str">
        <f ca="1">IFERROR(__xludf.DUMMYFUNCTION("GOOGLETRANSLATE($B691,""en"",X$3)"),"configuración del cortafuegos")</f>
        <v>configuración del cortafuegos</v>
      </c>
      <c r="Y691" s="21"/>
      <c r="Z691" s="21"/>
    </row>
    <row r="692" spans="1:26" ht="32.25" customHeight="1" x14ac:dyDescent="0.2">
      <c r="A692" s="17" t="s">
        <v>1484</v>
      </c>
      <c r="B692" s="17" t="s">
        <v>1485</v>
      </c>
      <c r="C692" s="21" t="str">
        <f ca="1">IFERROR(__xludf.DUMMYFUNCTION("GOOGLETRANSLATE($B692,""en"",C$3)"),"Setup-Graphs")</f>
        <v>Setup-Graphs</v>
      </c>
      <c r="D692" s="21" t="str">
        <f ca="1">IFERROR(__xludf.DUMMYFUNCTION("GOOGLETRANSLATE($B692,""en"",D$3)"),"Setup Grafer")</f>
        <v>Setup Grafer</v>
      </c>
      <c r="E692" s="21" t="str">
        <f ca="1">IFERROR(__xludf.DUMMYFUNCTION("GOOGLETRANSLATE($B692,""en"",E$3)"),"Gráficos de configuração")</f>
        <v>Gráficos de configuração</v>
      </c>
      <c r="F692" s="21" t="str">
        <f ca="1">IFERROR(__xludf.DUMMYFUNCTION("GOOGLETRANSLATE($B692,""en"",F$3)"),"Gráficos de configuração")</f>
        <v>Gráficos de configuração</v>
      </c>
      <c r="G692" s="21" t="str">
        <f ca="1">IFERROR(__xludf.DUMMYFUNCTION("GOOGLETRANSLATE($B692,""en"",G$3)"),"Graphiques de configuration")</f>
        <v>Graphiques de configuration</v>
      </c>
      <c r="H692" s="21" t="str">
        <f ca="1">IFERROR(__xludf.DUMMYFUNCTION("GOOGLETRANSLATE($B692,""en"",H$3)"),"Setup grafikoak")</f>
        <v>Setup grafikoak</v>
      </c>
      <c r="I692" s="21" t="str">
        <f ca="1">IFERROR(__xludf.DUMMYFUNCTION("GOOGLETRANSLATE($B692,""en"",I$3)"),"Els gràfics de configuració")</f>
        <v>Els gràfics de configuració</v>
      </c>
      <c r="J692" s="21" t="str">
        <f ca="1">IFERROR(__xludf.DUMMYFUNCTION("GOOGLETRANSLATE($B692,""en"",J$3)"),"nastavení Grafy")</f>
        <v>nastavení Grafy</v>
      </c>
      <c r="K692" s="21" t="str">
        <f ca="1">IFERROR(__xludf.DUMMYFUNCTION("GOOGLETRANSLATE($B692,""en"",K$3)"),"安装图表")</f>
        <v>安装图表</v>
      </c>
      <c r="L692" s="21" t="str">
        <f ca="1">IFERROR(__xludf.DUMMYFUNCTION("GOOGLETRANSLATE($B692,""en"",L$3)"),"安裝圖表")</f>
        <v>安裝圖表</v>
      </c>
      <c r="M692" s="21" t="str">
        <f ca="1">IFERROR(__xludf.DUMMYFUNCTION("GOOGLETRANSLATE($B692,""en"",M$3)"),"Setup Grafieken")</f>
        <v>Setup Grafieken</v>
      </c>
      <c r="N692" s="21" t="str">
        <f ca="1">IFERROR(__xludf.DUMMYFUNCTION("GOOGLETRANSLATE($B692,""en"",N$3)"),"Γραφήματα Ρύθμιση")</f>
        <v>Γραφήματα Ρύθμιση</v>
      </c>
      <c r="O692" s="21" t="str">
        <f ca="1">IFERROR(__xludf.DUMMYFUNCTION("GOOGLETRANSLATE($B692,""en"",O$3)"),"setup Kuvaajat")</f>
        <v>setup Kuvaajat</v>
      </c>
      <c r="P692" s="21" t="str">
        <f ca="1">IFERROR(__xludf.DUMMYFUNCTION("GOOGLETRANSLATE($B692,""en"",P$3)"),"Graif Socrú")</f>
        <v>Graif Socrú</v>
      </c>
      <c r="Q692" s="21" t="str">
        <f ca="1">IFERROR(__xludf.DUMMYFUNCTION("GOOGLETRANSLATE($B692,""en"",Q$3)"),"نمودارهای راه اندازی")</f>
        <v>نمودارهای راه اندازی</v>
      </c>
      <c r="R692" s="21" t="str">
        <f ca="1">IFERROR(__xludf.DUMMYFUNCTION("GOOGLETRANSLATE($B692,""en"",R$3)"),"גרפי Setup")</f>
        <v>גרפי Setup</v>
      </c>
      <c r="S692" s="21" t="str">
        <f ca="1">IFERROR(__xludf.DUMMYFUNCTION("GOOGLETRANSLATE($B692,""en"",S$3)"),"skipulag Gröf")</f>
        <v>skipulag Gröf</v>
      </c>
      <c r="T692" s="21" t="str">
        <f ca="1">IFERROR(__xludf.DUMMYFUNCTION("GOOGLETRANSLATE($B692,""en"",T$3)"),"Oppsett Grafer")</f>
        <v>Oppsett Grafer</v>
      </c>
      <c r="U692" s="21" t="str">
        <f ca="1">IFERROR(__xludf.DUMMYFUNCTION("GOOGLETRANSLATE($B692,""en"",U$3)"),"الرسوم البيانية الإعداد")</f>
        <v>الرسوم البيانية الإعداد</v>
      </c>
      <c r="V692" s="21" t="str">
        <f ca="1">IFERROR(__xludf.DUMMYFUNCTION("GOOGLETRANSLATE($B692,""en"",V$3)"),"Wykresy instalacyjne")</f>
        <v>Wykresy instalacyjne</v>
      </c>
      <c r="W692" s="21" t="str">
        <f ca="1">IFERROR(__xludf.DUMMYFUNCTION("GOOGLETRANSLATE($B692,""en"",W$3)"),"Графики настройки")</f>
        <v>Графики настройки</v>
      </c>
      <c r="X692" s="21" t="str">
        <f ca="1">IFERROR(__xludf.DUMMYFUNCTION("GOOGLETRANSLATE($B692,""en"",X$3)"),"Los gráficos de configuración")</f>
        <v>Los gráficos de configuración</v>
      </c>
      <c r="Y692" s="21"/>
      <c r="Z692" s="21"/>
    </row>
    <row r="693" spans="1:26" ht="32.25" customHeight="1" x14ac:dyDescent="0.2">
      <c r="A693" s="17" t="s">
        <v>1486</v>
      </c>
      <c r="B693" s="17" t="s">
        <v>1487</v>
      </c>
      <c r="C693" s="21" t="str">
        <f ca="1">IFERROR(__xludf.DUMMYFUNCTION("GOOGLETRANSLATE($B693,""en"",C$3)"),"Einrichten des Netzwerkes")</f>
        <v>Einrichten des Netzwerkes</v>
      </c>
      <c r="D693" s="21" t="str">
        <f ca="1">IFERROR(__xludf.DUMMYFUNCTION("GOOGLETRANSLATE($B693,""en"",D$3)"),"Ställa in nätverk")</f>
        <v>Ställa in nätverk</v>
      </c>
      <c r="E693" s="21" t="str">
        <f ca="1">IFERROR(__xludf.DUMMYFUNCTION("GOOGLETRANSLATE($B693,""en"",E$3)"),"Configurando de rede")</f>
        <v>Configurando de rede</v>
      </c>
      <c r="F693" s="21" t="str">
        <f ca="1">IFERROR(__xludf.DUMMYFUNCTION("GOOGLETRANSLATE($B693,""en"",F$3)"),"Configurando de rede")</f>
        <v>Configurando de rede</v>
      </c>
      <c r="G693" s="21" t="str">
        <f ca="1">IFERROR(__xludf.DUMMYFUNCTION("GOOGLETRANSLATE($B693,""en"",G$3)"),"Mise en place du réseau")</f>
        <v>Mise en place du réseau</v>
      </c>
      <c r="H693" s="21" t="str">
        <f ca="1">IFERROR(__xludf.DUMMYFUNCTION("GOOGLETRANSLATE($B693,""en"",H$3)"),"Konfiguratzen Network")</f>
        <v>Konfiguratzen Network</v>
      </c>
      <c r="I693" s="21" t="str">
        <f ca="1">IFERROR(__xludf.DUMMYFUNCTION("GOOGLETRANSLATE($B693,""en"",I$3)"),"La creació de la Xarxa")</f>
        <v>La creació de la Xarxa</v>
      </c>
      <c r="J693" s="21" t="str">
        <f ca="1">IFERROR(__xludf.DUMMYFUNCTION("GOOGLETRANSLATE($B693,""en"",J$3)"),"Nastavení sítě")</f>
        <v>Nastavení sítě</v>
      </c>
      <c r="K693" s="21" t="str">
        <f ca="1">IFERROR(__xludf.DUMMYFUNCTION("GOOGLETRANSLATE($B693,""en"",K$3)"),"设置网络")</f>
        <v>设置网络</v>
      </c>
      <c r="L693" s="21" t="str">
        <f ca="1">IFERROR(__xludf.DUMMYFUNCTION("GOOGLETRANSLATE($B693,""en"",L$3)"),"設置網絡")</f>
        <v>設置網絡</v>
      </c>
      <c r="M693" s="21" t="str">
        <f ca="1">IFERROR(__xludf.DUMMYFUNCTION("GOOGLETRANSLATE($B693,""en"",M$3)"),"Het opzetten van het netwerk")</f>
        <v>Het opzetten van het netwerk</v>
      </c>
      <c r="N693" s="21" t="str">
        <f ca="1">IFERROR(__xludf.DUMMYFUNCTION("GOOGLETRANSLATE($B693,""en"",N$3)"),"Ρύθμιση Δικτύου")</f>
        <v>Ρύθμιση Δικτύου</v>
      </c>
      <c r="O693" s="21" t="str">
        <f ca="1">IFERROR(__xludf.DUMMYFUNCTION("GOOGLETRANSLATE($B693,""en"",O$3)"),"Perustamalla Verkon")</f>
        <v>Perustamalla Verkon</v>
      </c>
      <c r="P693" s="21" t="str">
        <f ca="1">IFERROR(__xludf.DUMMYFUNCTION("GOOGLETRANSLATE($B693,""en"",P$3)"),"A chur ar bun Líonra")</f>
        <v>A chur ar bun Líonra</v>
      </c>
      <c r="Q693" s="21" t="str">
        <f ca="1">IFERROR(__xludf.DUMMYFUNCTION("GOOGLETRANSLATE($B693,""en"",Q$3)"),"راه اندازی شبکه")</f>
        <v>راه اندازی شبکه</v>
      </c>
      <c r="R693" s="21" t="str">
        <f ca="1">IFERROR(__xludf.DUMMYFUNCTION("GOOGLETRANSLATE($B693,""en"",R$3)"),"הגדרת רשת")</f>
        <v>הגדרת רשת</v>
      </c>
      <c r="S693" s="21" t="str">
        <f ca="1">IFERROR(__xludf.DUMMYFUNCTION("GOOGLETRANSLATE($B693,""en"",S$3)"),"Setja upp Network")</f>
        <v>Setja upp Network</v>
      </c>
      <c r="T693" s="21" t="str">
        <f ca="1">IFERROR(__xludf.DUMMYFUNCTION("GOOGLETRANSLATE($B693,""en"",T$3)"),"Sette opp nettverket")</f>
        <v>Sette opp nettverket</v>
      </c>
      <c r="U693" s="21" t="str">
        <f ca="1">IFERROR(__xludf.DUMMYFUNCTION("GOOGLETRANSLATE($B693,""en"",U$3)"),"إنشاء شبكة")</f>
        <v>إنشاء شبكة</v>
      </c>
      <c r="V693" s="21" t="str">
        <f ca="1">IFERROR(__xludf.DUMMYFUNCTION("GOOGLETRANSLATE($B693,""en"",V$3)"),"Konfiguracja sieci")</f>
        <v>Konfiguracja sieci</v>
      </c>
      <c r="W693" s="21" t="str">
        <f ca="1">IFERROR(__xludf.DUMMYFUNCTION("GOOGLETRANSLATE($B693,""en"",W$3)"),"Настройка сети")</f>
        <v>Настройка сети</v>
      </c>
      <c r="X693" s="21" t="str">
        <f ca="1">IFERROR(__xludf.DUMMYFUNCTION("GOOGLETRANSLATE($B693,""en"",X$3)"),"La creación de la Red")</f>
        <v>La creación de la Red</v>
      </c>
      <c r="Y693" s="21"/>
      <c r="Z693" s="21"/>
    </row>
    <row r="694" spans="1:26" ht="32.25" customHeight="1" x14ac:dyDescent="0.2">
      <c r="A694" s="17" t="s">
        <v>1488</v>
      </c>
      <c r="B694" s="17" t="s">
        <v>1489</v>
      </c>
      <c r="C694" s="21" t="str">
        <f ca="1">IFERROR(__xludf.DUMMYFUNCTION("GOOGLETRANSLATE($B694,""en"",C$3)"),"Setup-Ports")</f>
        <v>Setup-Ports</v>
      </c>
      <c r="D694" s="21" t="str">
        <f ca="1">IFERROR(__xludf.DUMMYFUNCTION("GOOGLETRANSLATE($B694,""en"",D$3)"),"Setup Ports")</f>
        <v>Setup Ports</v>
      </c>
      <c r="E694" s="21" t="str">
        <f ca="1">IFERROR(__xludf.DUMMYFUNCTION("GOOGLETRANSLATE($B694,""en"",E$3)"),"Portas de configuração")</f>
        <v>Portas de configuração</v>
      </c>
      <c r="F694" s="21" t="str">
        <f ca="1">IFERROR(__xludf.DUMMYFUNCTION("GOOGLETRANSLATE($B694,""en"",F$3)"),"Portas de configuração")</f>
        <v>Portas de configuração</v>
      </c>
      <c r="G694" s="21" t="str">
        <f ca="1">IFERROR(__xludf.DUMMYFUNCTION("GOOGLETRANSLATE($B694,""en"",G$3)"),"Ports de configuration")</f>
        <v>Ports de configuration</v>
      </c>
      <c r="H694" s="21" t="str">
        <f ca="1">IFERROR(__xludf.DUMMYFUNCTION("GOOGLETRANSLATE($B694,""en"",H$3)"),"Setup Portuak")</f>
        <v>Setup Portuak</v>
      </c>
      <c r="I694" s="21" t="str">
        <f ca="1">IFERROR(__xludf.DUMMYFUNCTION("GOOGLETRANSLATE($B694,""en"",I$3)"),"Ports de configuració")</f>
        <v>Ports de configuració</v>
      </c>
      <c r="J694" s="21" t="str">
        <f ca="1">IFERROR(__xludf.DUMMYFUNCTION("GOOGLETRANSLATE($B694,""en"",J$3)"),"nastavení portů")</f>
        <v>nastavení portů</v>
      </c>
      <c r="K694" s="21" t="str">
        <f ca="1">IFERROR(__xludf.DUMMYFUNCTION("GOOGLETRANSLATE($B694,""en"",K$3)"),"设置端口")</f>
        <v>设置端口</v>
      </c>
      <c r="L694" s="21" t="str">
        <f ca="1">IFERROR(__xludf.DUMMYFUNCTION("GOOGLETRANSLATE($B694,""en"",L$3)"),"設置端口")</f>
        <v>設置端口</v>
      </c>
      <c r="M694" s="21" t="str">
        <f ca="1">IFERROR(__xludf.DUMMYFUNCTION("GOOGLETRANSLATE($B694,""en"",M$3)"),"Setup Ports")</f>
        <v>Setup Ports</v>
      </c>
      <c r="N694" s="21" t="str">
        <f ca="1">IFERROR(__xludf.DUMMYFUNCTION("GOOGLETRANSLATE($B694,""en"",N$3)"),"Λιμάνια Ρύθμιση")</f>
        <v>Λιμάνια Ρύθμιση</v>
      </c>
      <c r="O694" s="21" t="str">
        <f ca="1">IFERROR(__xludf.DUMMYFUNCTION("GOOGLETRANSLATE($B694,""en"",O$3)"),"setup Portit")</f>
        <v>setup Portit</v>
      </c>
      <c r="P694" s="21" t="str">
        <f ca="1">IFERROR(__xludf.DUMMYFUNCTION("GOOGLETRANSLATE($B694,""en"",P$3)"),"Calafoirt Socrú")</f>
        <v>Calafoirt Socrú</v>
      </c>
      <c r="Q694" s="21" t="str">
        <f ca="1">IFERROR(__xludf.DUMMYFUNCTION("GOOGLETRANSLATE($B694,""en"",Q$3)"),"بنادر راه اندازی")</f>
        <v>بنادر راه اندازی</v>
      </c>
      <c r="R694" s="21" t="str">
        <f ca="1">IFERROR(__xludf.DUMMYFUNCTION("GOOGLETRANSLATE($B694,""en"",R$3)"),"יציאות Setup")</f>
        <v>יציאות Setup</v>
      </c>
      <c r="S694" s="21" t="str">
        <f ca="1">IFERROR(__xludf.DUMMYFUNCTION("GOOGLETRANSLATE($B694,""en"",S$3)"),"skipulag Hafnir")</f>
        <v>skipulag Hafnir</v>
      </c>
      <c r="T694" s="21" t="str">
        <f ca="1">IFERROR(__xludf.DUMMYFUNCTION("GOOGLETRANSLATE($B694,""en"",T$3)"),"Oppsett Ports")</f>
        <v>Oppsett Ports</v>
      </c>
      <c r="U694" s="21" t="str">
        <f ca="1">IFERROR(__xludf.DUMMYFUNCTION("GOOGLETRANSLATE($B694,""en"",U$3)"),"موانئ الإعداد")</f>
        <v>موانئ الإعداد</v>
      </c>
      <c r="V694" s="21" t="str">
        <f ca="1">IFERROR(__xludf.DUMMYFUNCTION("GOOGLETRANSLATE($B694,""en"",V$3)"),"Porty konfiguracji")</f>
        <v>Porty konfiguracji</v>
      </c>
      <c r="W694" s="21" t="str">
        <f ca="1">IFERROR(__xludf.DUMMYFUNCTION("GOOGLETRANSLATE($B694,""en"",W$3)"),"Порты установки")</f>
        <v>Порты установки</v>
      </c>
      <c r="X694" s="21" t="str">
        <f ca="1">IFERROR(__xludf.DUMMYFUNCTION("GOOGLETRANSLATE($B694,""en"",X$3)"),"Puertos de configuración")</f>
        <v>Puertos de configuración</v>
      </c>
      <c r="Y694" s="21"/>
      <c r="Z694" s="21"/>
    </row>
    <row r="695" spans="1:26" ht="32.25" customHeight="1" x14ac:dyDescent="0.2">
      <c r="A695" s="17" t="s">
        <v>1490</v>
      </c>
      <c r="B695" s="17" t="s">
        <v>1491</v>
      </c>
      <c r="C695" s="21" t="str">
        <f ca="1">IFERROR(__xludf.DUMMYFUNCTION("GOOGLETRANSLATE($B695,""en"",C$3)"),"Setup-Suchdatenbank")</f>
        <v>Setup-Suchdatenbank</v>
      </c>
      <c r="D695" s="21" t="str">
        <f ca="1">IFERROR(__xludf.DUMMYFUNCTION("GOOGLETRANSLATE($B695,""en"",D$3)"),"Setup sökdatabas")</f>
        <v>Setup sökdatabas</v>
      </c>
      <c r="E695" s="21" t="str">
        <f ca="1">IFERROR(__xludf.DUMMYFUNCTION("GOOGLETRANSLATE($B695,""en"",E$3)"),"banco de dados de pesquisa Setup")</f>
        <v>banco de dados de pesquisa Setup</v>
      </c>
      <c r="F695" s="21" t="str">
        <f ca="1">IFERROR(__xludf.DUMMYFUNCTION("GOOGLETRANSLATE($B695,""en"",F$3)"),"banco de dados de pesquisa Setup")</f>
        <v>banco de dados de pesquisa Setup</v>
      </c>
      <c r="G695" s="21" t="str">
        <f ca="1">IFERROR(__xludf.DUMMYFUNCTION("GOOGLETRANSLATE($B695,""en"",G$3)"),"Configuration base de données de recherche")</f>
        <v>Configuration base de données de recherche</v>
      </c>
      <c r="H695" s="21" t="str">
        <f ca="1">IFERROR(__xludf.DUMMYFUNCTION("GOOGLETRANSLATE($B695,""en"",H$3)"),"Setup bilaketa datu-basea")</f>
        <v>Setup bilaketa datu-basea</v>
      </c>
      <c r="I695" s="21" t="str">
        <f ca="1">IFERROR(__xludf.DUMMYFUNCTION("GOOGLETRANSLATE($B695,""en"",I$3)"),"base de dades de configuració de cerca")</f>
        <v>base de dades de configuració de cerca</v>
      </c>
      <c r="J695" s="21" t="str">
        <f ca="1">IFERROR(__xludf.DUMMYFUNCTION("GOOGLETRANSLATE($B695,""en"",J$3)"),"Databáze vyhledávání Setup")</f>
        <v>Databáze vyhledávání Setup</v>
      </c>
      <c r="K695" s="21" t="str">
        <f ca="1">IFERROR(__xludf.DUMMYFUNCTION("GOOGLETRANSLATE($B695,""en"",K$3)"),"设置搜索数据库")</f>
        <v>设置搜索数据库</v>
      </c>
      <c r="L695" s="21" t="str">
        <f ca="1">IFERROR(__xludf.DUMMYFUNCTION("GOOGLETRANSLATE($B695,""en"",L$3)"),"設置搜索數據庫")</f>
        <v>設置搜索數據庫</v>
      </c>
      <c r="M695" s="21" t="str">
        <f ca="1">IFERROR(__xludf.DUMMYFUNCTION("GOOGLETRANSLATE($B695,""en"",M$3)"),"Setup zoek database")</f>
        <v>Setup zoek database</v>
      </c>
      <c r="N695" s="21" t="str">
        <f ca="1">IFERROR(__xludf.DUMMYFUNCTION("GOOGLETRANSLATE($B695,""en"",N$3)"),"βάση δεδομένων αναζήτησης Ρύθμιση")</f>
        <v>βάση δεδομένων αναζήτησης Ρύθμιση</v>
      </c>
      <c r="O695" s="21" t="str">
        <f ca="1">IFERROR(__xludf.DUMMYFUNCTION("GOOGLETRANSLATE($B695,""en"",O$3)"),"Setup search")</f>
        <v>Setup search</v>
      </c>
      <c r="P695" s="21" t="str">
        <f ca="1">IFERROR(__xludf.DUMMYFUNCTION("GOOGLETRANSLATE($B695,""en"",P$3)"),"bunachar cuardaigh Socrú")</f>
        <v>bunachar cuardaigh Socrú</v>
      </c>
      <c r="Q695" s="21" t="str">
        <f ca="1">IFERROR(__xludf.DUMMYFUNCTION("GOOGLETRANSLATE($B695,""en"",Q$3)"),"پایگاه داده جستجو راه اندازی")</f>
        <v>پایگاه داده جستجو راه اندازی</v>
      </c>
      <c r="R695" s="21" t="str">
        <f ca="1">IFERROR(__xludf.DUMMYFUNCTION("GOOGLETRANSLATE($B695,""en"",R$3)"),"מסד חיפוש Setup")</f>
        <v>מסד חיפוש Setup</v>
      </c>
      <c r="S695" s="21" t="str">
        <f ca="1">IFERROR(__xludf.DUMMYFUNCTION("GOOGLETRANSLATE($B695,""en"",S$3)"),"Skipulag leit gagnagrunnur")</f>
        <v>Skipulag leit gagnagrunnur</v>
      </c>
      <c r="T695" s="21" t="str">
        <f ca="1">IFERROR(__xludf.DUMMYFUNCTION("GOOGLETRANSLATE($B695,""en"",T$3)"),"Oppsett søkedatabasen")</f>
        <v>Oppsett søkedatabasen</v>
      </c>
      <c r="U695" s="21" t="str">
        <f ca="1">IFERROR(__xludf.DUMMYFUNCTION("GOOGLETRANSLATE($B695,""en"",U$3)"),"قاعدة بيانات بحث الإعداد")</f>
        <v>قاعدة بيانات بحث الإعداد</v>
      </c>
      <c r="V695" s="21" t="str">
        <f ca="1">IFERROR(__xludf.DUMMYFUNCTION("GOOGLETRANSLATE($B695,""en"",V$3)"),"Konfiguracja bazy danych wyszukiwania")</f>
        <v>Konfiguracja bazy danych wyszukiwania</v>
      </c>
      <c r="W695" s="21" t="str">
        <f ca="1">IFERROR(__xludf.DUMMYFUNCTION("GOOGLETRANSLATE($B695,""en"",W$3)"),"Поиск в базе данных настройки")</f>
        <v>Поиск в базе данных настройки</v>
      </c>
      <c r="X695" s="21" t="str">
        <f ca="1">IFERROR(__xludf.DUMMYFUNCTION("GOOGLETRANSLATE($B695,""en"",X$3)"),"base de datos de configuración de búsqueda")</f>
        <v>base de datos de configuración de búsqueda</v>
      </c>
      <c r="Y695" s="21"/>
      <c r="Z695" s="21"/>
    </row>
    <row r="696" spans="1:26" ht="32.25" customHeight="1" x14ac:dyDescent="0.2">
      <c r="A696" s="17" t="s">
        <v>1492</v>
      </c>
      <c r="B696" s="17" t="s">
        <v>1493</v>
      </c>
      <c r="C696" s="21" t="str">
        <f ca="1">IFERROR(__xludf.DUMMYFUNCTION("GOOGLETRANSLATE($B696,""en"",C$3)"),"Klicken Sie auf Ihre Nutzungsbedingungen einrichten")</f>
        <v>Klicken Sie auf Ihre Nutzungsbedingungen einrichten</v>
      </c>
      <c r="D696" s="21" t="str">
        <f ca="1">IFERROR(__xludf.DUMMYFUNCTION("GOOGLETRANSLATE($B696,""en"",D$3)"),"Klicka för att ställa in användarvillkor")</f>
        <v>Klicka för att ställa in användarvillkor</v>
      </c>
      <c r="E696" s="21" t="str">
        <f ca="1">IFERROR(__xludf.DUMMYFUNCTION("GOOGLETRANSLATE($B696,""en"",E$3)"),"Clique para configurar seus Termos de Serviço")</f>
        <v>Clique para configurar seus Termos de Serviço</v>
      </c>
      <c r="F696" s="21" t="str">
        <f ca="1">IFERROR(__xludf.DUMMYFUNCTION("GOOGLETRANSLATE($B696,""en"",F$3)"),"Clique para configurar seus Termos de Serviço")</f>
        <v>Clique para configurar seus Termos de Serviço</v>
      </c>
      <c r="G696" s="21" t="str">
        <f ca="1">IFERROR(__xludf.DUMMYFUNCTION("GOOGLETRANSLATE($B696,""en"",G$3)"),"Cliquez pour mettre en place vos Conditions d'utilisation")</f>
        <v>Cliquez pour mettre en place vos Conditions d'utilisation</v>
      </c>
      <c r="H696" s="21" t="str">
        <f ca="1">IFERROR(__xludf.DUMMYFUNCTION("GOOGLETRANSLATE($B696,""en"",H$3)"),"Klik konfiguratzeko Zerbitzuaren baldintzak")</f>
        <v>Klik konfiguratzeko Zerbitzuaren baldintzak</v>
      </c>
      <c r="I696" s="21" t="str">
        <f ca="1">IFERROR(__xludf.DUMMYFUNCTION("GOOGLETRANSLATE($B696,""en"",I$3)"),"Feu clic aquí per configurar els vostres Termes de Servei")</f>
        <v>Feu clic aquí per configurar els vostres Termes de Servei</v>
      </c>
      <c r="J696" s="21" t="str">
        <f ca="1">IFERROR(__xludf.DUMMYFUNCTION("GOOGLETRANSLATE($B696,""en"",J$3)"),"Kliknutím na nastavili podmínky služby")</f>
        <v>Kliknutím na nastavili podmínky služby</v>
      </c>
      <c r="K696" s="21" t="str">
        <f ca="1">IFERROR(__xludf.DUMMYFUNCTION("GOOGLETRANSLATE($B696,""en"",K$3)"),"点击设置您的服务条款")</f>
        <v>点击设置您的服务条款</v>
      </c>
      <c r="L696" s="21" t="str">
        <f ca="1">IFERROR(__xludf.DUMMYFUNCTION("GOOGLETRANSLATE($B696,""en"",L$3)"),"點擊設置您的服務條款")</f>
        <v>點擊設置您的服務條款</v>
      </c>
      <c r="M696" s="21" t="str">
        <f ca="1">IFERROR(__xludf.DUMMYFUNCTION("GOOGLETRANSLATE($B696,""en"",M$3)"),"Klik hier om uw Gebruiksvoorwaarden")</f>
        <v>Klik hier om uw Gebruiksvoorwaarden</v>
      </c>
      <c r="N696" s="21" t="str">
        <f ca="1">IFERROR(__xludf.DUMMYFUNCTION("GOOGLETRANSLATE($B696,""en"",N$3)"),"Κάντε κλικ για να δημιουργήσει τους όρους σας των Υπηρεσιών")</f>
        <v>Κάντε κλικ για να δημιουργήσει τους όρους σας των Υπηρεσιών</v>
      </c>
      <c r="O696" s="21" t="str">
        <f ca="1">IFERROR(__xludf.DUMMYFUNCTION("GOOGLETRANSLATE($B696,""en"",O$3)"),"Klikkaa perustaa oman käyttöehtoja")</f>
        <v>Klikkaa perustaa oman käyttöehtoja</v>
      </c>
      <c r="P696" s="21" t="str">
        <f ca="1">IFERROR(__xludf.DUMMYFUNCTION("GOOGLETRANSLATE($B696,""en"",P$3)"),"Cliceáil a chur ar bun do Téarmaí Seirbhíse")</f>
        <v>Cliceáil a chur ar bun do Téarmaí Seirbhíse</v>
      </c>
      <c r="Q696" s="21" t="str">
        <f ca="1">IFERROR(__xludf.DUMMYFUNCTION("GOOGLETRANSLATE($B696,""en"",Q$3)"),"به راه اندازی شرایط خود را از خدمات را کلیک کنید")</f>
        <v>به راه اندازی شرایط خود را از خدمات را کلیک کنید</v>
      </c>
      <c r="R696" s="21" t="str">
        <f ca="1">IFERROR(__xludf.DUMMYFUNCTION("GOOGLETRANSLATE($B696,""en"",R$3)"),"לחץ כדי להגדיר במונחים שלך של שירות")</f>
        <v>לחץ כדי להגדיר במונחים שלך של שירות</v>
      </c>
      <c r="S696" s="21" t="str">
        <f ca="1">IFERROR(__xludf.DUMMYFUNCTION("GOOGLETRANSLATE($B696,""en"",S$3)"),"Smelltu til að setja upp Skilmálar þitt þjónustuskilmálana")</f>
        <v>Smelltu til að setja upp Skilmálar þitt þjónustuskilmálana</v>
      </c>
      <c r="T696" s="21" t="str">
        <f ca="1">IFERROR(__xludf.DUMMYFUNCTION("GOOGLETRANSLATE($B696,""en"",T$3)"),"Klikk for å sette opp dine Vilkårene")</f>
        <v>Klikk for å sette opp dine Vilkårene</v>
      </c>
      <c r="U696" s="21" t="str">
        <f ca="1">IFERROR(__xludf.DUMMYFUNCTION("GOOGLETRANSLATE($B696,""en"",U$3)"),"انقر لانشاء شروط الخدمة الخاصة بك")</f>
        <v>انقر لانشاء شروط الخدمة الخاصة بك</v>
      </c>
      <c r="V696" s="21" t="str">
        <f ca="1">IFERROR(__xludf.DUMMYFUNCTION("GOOGLETRANSLATE($B696,""en"",V$3)"),"Kliknij, aby skonfigurować Warunki korzystania z usługi")</f>
        <v>Kliknij, aby skonfigurować Warunki korzystania z usługi</v>
      </c>
      <c r="W696" s="21" t="str">
        <f ca="1">IFERROR(__xludf.DUMMYFUNCTION("GOOGLETRANSLATE($B696,""en"",W$3)"),"Нажмите, чтобы настроить Условия предоставления услуг")</f>
        <v>Нажмите, чтобы настроить Условия предоставления услуг</v>
      </c>
      <c r="X696" s="21" t="str">
        <f ca="1">IFERROR(__xludf.DUMMYFUNCTION("GOOGLETRANSLATE($B696,""en"",X$3)"),"Haga clic aquí para configurar sus Términos de Servicio")</f>
        <v>Haga clic aquí para configurar sus Términos de Servicio</v>
      </c>
      <c r="Y696" s="21"/>
      <c r="Z696" s="21"/>
    </row>
    <row r="697" spans="1:26" ht="32.25" customHeight="1" x14ac:dyDescent="0.2">
      <c r="A697" s="17" t="s">
        <v>1494</v>
      </c>
      <c r="B697" s="17" t="s">
        <v>1495</v>
      </c>
      <c r="C697" s="21" t="str">
        <f ca="1">IFERROR(__xludf.DUMMYFUNCTION("GOOGLETRANSLATE($B697,""en"",C$3)"),"Setup-Sprachdienst")</f>
        <v>Setup-Sprachdienst</v>
      </c>
      <c r="D697" s="21" t="str">
        <f ca="1">IFERROR(__xludf.DUMMYFUNCTION("GOOGLETRANSLATE($B697,""en"",D$3)"),"Setup Voice service")</f>
        <v>Setup Voice service</v>
      </c>
      <c r="E697" s="21" t="str">
        <f ca="1">IFERROR(__xludf.DUMMYFUNCTION("GOOGLETRANSLATE($B697,""en"",E$3)"),"Serviço de Voz Configuração")</f>
        <v>Serviço de Voz Configuração</v>
      </c>
      <c r="F697" s="21" t="str">
        <f ca="1">IFERROR(__xludf.DUMMYFUNCTION("GOOGLETRANSLATE($B697,""en"",F$3)"),"Serviço de Voz Configuração")</f>
        <v>Serviço de Voz Configuração</v>
      </c>
      <c r="G697" s="21" t="str">
        <f ca="1">IFERROR(__xludf.DUMMYFUNCTION("GOOGLETRANSLATE($B697,""en"",G$3)"),"Installation des services voix")</f>
        <v>Installation des services voix</v>
      </c>
      <c r="H697" s="21" t="str">
        <f ca="1">IFERROR(__xludf.DUMMYFUNCTION("GOOGLETRANSLATE($B697,""en"",H$3)"),"Setup Ahots Zerbitzua")</f>
        <v>Setup Ahots Zerbitzua</v>
      </c>
      <c r="I697" s="21" t="str">
        <f ca="1">IFERROR(__xludf.DUMMYFUNCTION("GOOGLETRANSLATE($B697,""en"",I$3)"),"Instal·lació de serveis de veu")</f>
        <v>Instal·lació de serveis de veu</v>
      </c>
      <c r="J697" s="21" t="str">
        <f ca="1">IFERROR(__xludf.DUMMYFUNCTION("GOOGLETRANSLATE($B697,""en"",J$3)"),"Setup Voice Service")</f>
        <v>Setup Voice Service</v>
      </c>
      <c r="K697" s="21" t="str">
        <f ca="1">IFERROR(__xludf.DUMMYFUNCTION("GOOGLETRANSLATE($B697,""en"",K$3)"),"设置语音服务")</f>
        <v>设置语音服务</v>
      </c>
      <c r="L697" s="21" t="str">
        <f ca="1">IFERROR(__xludf.DUMMYFUNCTION("GOOGLETRANSLATE($B697,""en"",L$3)"),"設置語音服務")</f>
        <v>設置語音服務</v>
      </c>
      <c r="M697" s="21" t="str">
        <f ca="1">IFERROR(__xludf.DUMMYFUNCTION("GOOGLETRANSLATE($B697,""en"",M$3)"),"Setup spraakdienst")</f>
        <v>Setup spraakdienst</v>
      </c>
      <c r="N697" s="21" t="str">
        <f ca="1">IFERROR(__xludf.DUMMYFUNCTION("GOOGLETRANSLATE($B697,""en"",N$3)"),"Ρύθμιση Υπηρεσία Voice")</f>
        <v>Ρύθμιση Υπηρεσία Voice</v>
      </c>
      <c r="O697" s="21" t="str">
        <f ca="1">IFERROR(__xludf.DUMMYFUNCTION("GOOGLETRANSLATE($B697,""en"",O$3)"),"Setup Voice -palveluun")</f>
        <v>Setup Voice -palveluun</v>
      </c>
      <c r="P697" s="21" t="str">
        <f ca="1">IFERROR(__xludf.DUMMYFUNCTION("GOOGLETRANSLATE($B697,""en"",P$3)"),"Seirbhís Guth Socrú")</f>
        <v>Seirbhís Guth Socrú</v>
      </c>
      <c r="Q697" s="21" t="str">
        <f ca="1">IFERROR(__xludf.DUMMYFUNCTION("GOOGLETRANSLATE($B697,""en"",Q$3)"),"راه اندازی خدمات صوتی")</f>
        <v>راه اندازی خدمات صوتی</v>
      </c>
      <c r="R697" s="21" t="str">
        <f ca="1">IFERROR(__xludf.DUMMYFUNCTION("GOOGLETRANSLATE($B697,""en"",R$3)"),"שירות קול Setup")</f>
        <v>שירות קול Setup</v>
      </c>
      <c r="S697" s="21" t="str">
        <f ca="1">IFERROR(__xludf.DUMMYFUNCTION("GOOGLETRANSLATE($B697,""en"",S$3)"),"Skipulag Voice Þjónusta")</f>
        <v>Skipulag Voice Þjónusta</v>
      </c>
      <c r="T697" s="21" t="str">
        <f ca="1">IFERROR(__xludf.DUMMYFUNCTION("GOOGLETRANSLATE($B697,""en"",T$3)"),"Oppsett Voice-tjenesten")</f>
        <v>Oppsett Voice-tjenesten</v>
      </c>
      <c r="U697" s="21" t="str">
        <f ca="1">IFERROR(__xludf.DUMMYFUNCTION("GOOGLETRANSLATE($B697,""en"",U$3)"),"إعداد الخدمة الصوتية")</f>
        <v>إعداد الخدمة الصوتية</v>
      </c>
      <c r="V697" s="21" t="str">
        <f ca="1">IFERROR(__xludf.DUMMYFUNCTION("GOOGLETRANSLATE($B697,""en"",V$3)"),"Konfiguracja usługi głosowe")</f>
        <v>Konfiguracja usługi głosowe</v>
      </c>
      <c r="W697" s="21" t="str">
        <f ca="1">IFERROR(__xludf.DUMMYFUNCTION("GOOGLETRANSLATE($B697,""en"",W$3)"),"Настройка голосовой службы")</f>
        <v>Настройка голосовой службы</v>
      </c>
      <c r="X697" s="21" t="str">
        <f ca="1">IFERROR(__xludf.DUMMYFUNCTION("GOOGLETRANSLATE($B697,""en"",X$3)"),"Instalación de servicios de voz")</f>
        <v>Instalación de servicios de voz</v>
      </c>
      <c r="Y697" s="21"/>
      <c r="Z697" s="21"/>
    </row>
    <row r="698" spans="1:26" ht="32.25" customHeight="1" x14ac:dyDescent="0.2">
      <c r="A698" s="17" t="s">
        <v>1496</v>
      </c>
      <c r="B698" s="17" t="s">
        <v>1497</v>
      </c>
      <c r="C698" s="21" t="str">
        <f ca="1">IFERROR(__xludf.DUMMYFUNCTION("GOOGLETRANSLATE($B698,""en"",C$3)"),"Konfiguration")</f>
        <v>Konfiguration</v>
      </c>
      <c r="D698" s="21" t="str">
        <f ca="1">IFERROR(__xludf.DUMMYFUNCTION("GOOGLETRANSLATE($B698,""en"",D$3)"),"Uppstart")</f>
        <v>Uppstart</v>
      </c>
      <c r="E698" s="21" t="str">
        <f ca="1">IFERROR(__xludf.DUMMYFUNCTION("GOOGLETRANSLATE($B698,""en"",E$3)"),"Configuração")</f>
        <v>Configuração</v>
      </c>
      <c r="F698" s="21" t="str">
        <f ca="1">IFERROR(__xludf.DUMMYFUNCTION("GOOGLETRANSLATE($B698,""en"",F$3)"),"Configuração")</f>
        <v>Configuração</v>
      </c>
      <c r="G698" s="21" t="str">
        <f ca="1">IFERROR(__xludf.DUMMYFUNCTION("GOOGLETRANSLATE($B698,""en"",G$3)"),"Installer")</f>
        <v>Installer</v>
      </c>
      <c r="H698" s="21" t="str">
        <f ca="1">IFERROR(__xludf.DUMMYFUNCTION("GOOGLETRANSLATE($B698,""en"",H$3)"),"konfigurazioa")</f>
        <v>konfigurazioa</v>
      </c>
      <c r="I698" s="21" t="str">
        <f ca="1">IFERROR(__xludf.DUMMYFUNCTION("GOOGLETRANSLATE($B698,""en"",I$3)"),"disposició")</f>
        <v>disposició</v>
      </c>
      <c r="J698" s="21" t="str">
        <f ca="1">IFERROR(__xludf.DUMMYFUNCTION("GOOGLETRANSLATE($B698,""en"",J$3)"),"Založit")</f>
        <v>Založit</v>
      </c>
      <c r="K698" s="21" t="str">
        <f ca="1">IFERROR(__xludf.DUMMYFUNCTION("GOOGLETRANSLATE($B698,""en"",K$3)"),"建立")</f>
        <v>建立</v>
      </c>
      <c r="L698" s="21" t="str">
        <f ca="1">IFERROR(__xludf.DUMMYFUNCTION("GOOGLETRANSLATE($B698,""en"",L$3)"),"建立")</f>
        <v>建立</v>
      </c>
      <c r="M698" s="21" t="str">
        <f ca="1">IFERROR(__xludf.DUMMYFUNCTION("GOOGLETRANSLATE($B698,""en"",M$3)"),"Opstelling")</f>
        <v>Opstelling</v>
      </c>
      <c r="N698" s="21" t="str">
        <f ca="1">IFERROR(__xludf.DUMMYFUNCTION("GOOGLETRANSLATE($B698,""en"",N$3)"),"Ρύθμιση")</f>
        <v>Ρύθμιση</v>
      </c>
      <c r="O698" s="21" t="str">
        <f ca="1">IFERROR(__xludf.DUMMYFUNCTION("GOOGLETRANSLATE($B698,""en"",O$3)"),"Perustaa")</f>
        <v>Perustaa</v>
      </c>
      <c r="P698" s="21" t="str">
        <f ca="1">IFERROR(__xludf.DUMMYFUNCTION("GOOGLETRANSLATE($B698,""en"",P$3)"),"Socrú")</f>
        <v>Socrú</v>
      </c>
      <c r="Q698" s="21" t="str">
        <f ca="1">IFERROR(__xludf.DUMMYFUNCTION("GOOGLETRANSLATE($B698,""en"",Q$3)"),"برپایی")</f>
        <v>برپایی</v>
      </c>
      <c r="R698" s="21" t="str">
        <f ca="1">IFERROR(__xludf.DUMMYFUNCTION("GOOGLETRANSLATE($B698,""en"",R$3)"),"להכין")</f>
        <v>להכין</v>
      </c>
      <c r="S698" s="21" t="str">
        <f ca="1">IFERROR(__xludf.DUMMYFUNCTION("GOOGLETRANSLATE($B698,""en"",S$3)"),"Uppsetning")</f>
        <v>Uppsetning</v>
      </c>
      <c r="T698" s="21" t="str">
        <f ca="1">IFERROR(__xludf.DUMMYFUNCTION("GOOGLETRANSLATE($B698,""en"",T$3)"),"Setup")</f>
        <v>Setup</v>
      </c>
      <c r="U698" s="21" t="str">
        <f ca="1">IFERROR(__xludf.DUMMYFUNCTION("GOOGLETRANSLATE($B698,""en"",U$3)"),"اقامة")</f>
        <v>اقامة</v>
      </c>
      <c r="V698" s="21" t="str">
        <f ca="1">IFERROR(__xludf.DUMMYFUNCTION("GOOGLETRANSLATE($B698,""en"",V$3)"),"Ustawiać")</f>
        <v>Ustawiać</v>
      </c>
      <c r="W698" s="21" t="str">
        <f ca="1">IFERROR(__xludf.DUMMYFUNCTION("GOOGLETRANSLATE($B698,""en"",W$3)"),"Настроить")</f>
        <v>Настроить</v>
      </c>
      <c r="X698" s="21" t="str">
        <f ca="1">IFERROR(__xludf.DUMMYFUNCTION("GOOGLETRANSLATE($B698,""en"",X$3)"),"Preparar")</f>
        <v>Preparar</v>
      </c>
      <c r="Y698" s="21"/>
      <c r="Z698" s="21"/>
    </row>
    <row r="699" spans="1:26" ht="32.25" customHeight="1" x14ac:dyDescent="0.2">
      <c r="A699" s="10" t="s">
        <v>1498</v>
      </c>
      <c r="B699" s="10" t="s">
        <v>1499</v>
      </c>
      <c r="C699" s="11" t="str">
        <f ca="1">IFERROR(__xludf.DUMMYFUNCTION("GOOGLETRANSLATE($B699,""en"",C$3)"),"Setup Wordpress-Datenbank")</f>
        <v>Setup Wordpress-Datenbank</v>
      </c>
      <c r="D699" s="11" t="str">
        <f ca="1">IFERROR(__xludf.DUMMYFUNCTION("GOOGLETRANSLATE($B699,""en"",D$3)"),"Setup Wordpress databas")</f>
        <v>Setup Wordpress databas</v>
      </c>
      <c r="E699" s="11" t="str">
        <f ca="1">IFERROR(__xludf.DUMMYFUNCTION("GOOGLETRANSLATE($B699,""en"",E$3)"),"banco de dados WordPress Setup")</f>
        <v>banco de dados WordPress Setup</v>
      </c>
      <c r="F699" s="11" t="str">
        <f ca="1">IFERROR(__xludf.DUMMYFUNCTION("GOOGLETRANSLATE($B699,""en"",F$3)"),"banco de dados WordPress Setup")</f>
        <v>banco de dados WordPress Setup</v>
      </c>
      <c r="G699" s="11" t="str">
        <f ca="1">IFERROR(__xludf.DUMMYFUNCTION("GOOGLETRANSLATE($B699,""en"",G$3)"),"Configuration base de données WordPress")</f>
        <v>Configuration base de données WordPress</v>
      </c>
      <c r="H699" s="11" t="str">
        <f ca="1">IFERROR(__xludf.DUMMYFUNCTION("GOOGLETRANSLATE($B699,""en"",H$3)"),"Setup WordPress datu-basea")</f>
        <v>Setup WordPress datu-basea</v>
      </c>
      <c r="I699" s="11" t="str">
        <f ca="1">IFERROR(__xludf.DUMMYFUNCTION("GOOGLETRANSLATE($B699,""en"",I$3)"),"base de dades de configuració de WordPress")</f>
        <v>base de dades de configuració de WordPress</v>
      </c>
      <c r="J699" s="11" t="str">
        <f ca="1">IFERROR(__xludf.DUMMYFUNCTION("GOOGLETRANSLATE($B699,""en"",J$3)"),"Nastavení databáze WordPress")</f>
        <v>Nastavení databáze WordPress</v>
      </c>
      <c r="K699" s="11" t="str">
        <f ca="1">IFERROR(__xludf.DUMMYFUNCTION("GOOGLETRANSLATE($B699,""en"",K$3)"),"安装WordPress数据库")</f>
        <v>安装WordPress数据库</v>
      </c>
      <c r="L699" s="11" t="str">
        <f ca="1">IFERROR(__xludf.DUMMYFUNCTION("GOOGLETRANSLATE($B699,""en"",L$3)"),"安裝WordPress數據庫")</f>
        <v>安裝WordPress數據庫</v>
      </c>
      <c r="M699" s="11" t="str">
        <f ca="1">IFERROR(__xludf.DUMMYFUNCTION("GOOGLETRANSLATE($B699,""en"",M$3)"),"Setup WordPress-database")</f>
        <v>Setup WordPress-database</v>
      </c>
      <c r="N699" s="11" t="str">
        <f ca="1">IFERROR(__xludf.DUMMYFUNCTION("GOOGLETRANSLATE($B699,""en"",N$3)"),"Ρύθμιση βάσης δεδομένων WordPress")</f>
        <v>Ρύθμιση βάσης δεδομένων WordPress</v>
      </c>
      <c r="O699" s="11" t="str">
        <f ca="1">IFERROR(__xludf.DUMMYFUNCTION("GOOGLETRANSLATE($B699,""en"",O$3)"),"Setup WordPress tietokanta")</f>
        <v>Setup WordPress tietokanta</v>
      </c>
      <c r="P699" s="11" t="str">
        <f ca="1">IFERROR(__xludf.DUMMYFUNCTION("GOOGLETRANSLATE($B699,""en"",P$3)"),"Bunachar WordPress Socrú")</f>
        <v>Bunachar WordPress Socrú</v>
      </c>
      <c r="Q699" s="11" t="str">
        <f ca="1">IFERROR(__xludf.DUMMYFUNCTION("GOOGLETRANSLATE($B699,""en"",Q$3)"),"راه اندازی پایگاه داده وردپرس")</f>
        <v>راه اندازی پایگاه داده وردپرس</v>
      </c>
      <c r="R699" s="11" t="str">
        <f ca="1">IFERROR(__xludf.DUMMYFUNCTION("GOOGLETRANSLATE($B699,""en"",R$3)"),"הנתונים ההתקנה וורדפרס")</f>
        <v>הנתונים ההתקנה וורדפרס</v>
      </c>
      <c r="S699" s="11" t="str">
        <f ca="1">IFERROR(__xludf.DUMMYFUNCTION("GOOGLETRANSLATE($B699,""en"",S$3)"),"Skipulag WordPress gagnagrunni")</f>
        <v>Skipulag WordPress gagnagrunni</v>
      </c>
      <c r="T699" s="11" t="str">
        <f ca="1">IFERROR(__xludf.DUMMYFUNCTION("GOOGLETRANSLATE($B699,""en"",T$3)"),"Setup WordPress database")</f>
        <v>Setup WordPress database</v>
      </c>
      <c r="U699" s="11" t="str">
        <f ca="1">IFERROR(__xludf.DUMMYFUNCTION("GOOGLETRANSLATE($B699,""en"",U$3)"),"قاعدة بيانات الإعداد وورد")</f>
        <v>قاعدة بيانات الإعداد وورد</v>
      </c>
      <c r="V699" s="11" t="str">
        <f ca="1">IFERROR(__xludf.DUMMYFUNCTION("GOOGLETRANSLATE($B699,""en"",V$3)"),"Konfiguracja bazy danych WordPress")</f>
        <v>Konfiguracja bazy danych WordPress</v>
      </c>
      <c r="W699" s="11" t="str">
        <f ca="1">IFERROR(__xludf.DUMMYFUNCTION("GOOGLETRANSLATE($B699,""en"",W$3)"),"Настройка базы данных WordPress")</f>
        <v>Настройка базы данных WordPress</v>
      </c>
      <c r="X699" s="11" t="str">
        <f ca="1">IFERROR(__xludf.DUMMYFUNCTION("GOOGLETRANSLATE($B699,""en"",X$3)"),"base de datos de configuración de WordPress")</f>
        <v>base de datos de configuración de WordPress</v>
      </c>
    </row>
    <row r="700" spans="1:26" ht="32.25" customHeight="1" x14ac:dyDescent="0.2">
      <c r="A700" s="17" t="s">
        <v>1500</v>
      </c>
      <c r="B700" s="17" t="s">
        <v>1501</v>
      </c>
      <c r="C700" s="21" t="str">
        <f ca="1">IFERROR(__xludf.DUMMYFUNCTION("GOOGLETRANSLATE($B700,""en"",C$3)"),"Icecast ist nicht aktiviert.")</f>
        <v>Icecast ist nicht aktiviert.</v>
      </c>
      <c r="D700" s="21" t="str">
        <f ca="1">IFERROR(__xludf.DUMMYFUNCTION("GOOGLETRANSLATE($B700,""en"",D$3)"),"Icecast är inte aktiverad.")</f>
        <v>Icecast är inte aktiverad.</v>
      </c>
      <c r="E700" s="21" t="str">
        <f ca="1">IFERROR(__xludf.DUMMYFUNCTION("GOOGLETRANSLATE($B700,""en"",E$3)"),"Icecast não está habilitado.")</f>
        <v>Icecast não está habilitado.</v>
      </c>
      <c r="F700" s="21" t="str">
        <f ca="1">IFERROR(__xludf.DUMMYFUNCTION("GOOGLETRANSLATE($B700,""en"",F$3)"),"Icecast não está habilitado.")</f>
        <v>Icecast não está habilitado.</v>
      </c>
      <c r="G700" s="21" t="str">
        <f ca="1">IFERROR(__xludf.DUMMYFUNCTION("GOOGLETRANSLATE($B700,""en"",G$3)"),"Icecast n'est pas activé.")</f>
        <v>Icecast n'est pas activé.</v>
      </c>
      <c r="H700" s="21" t="str">
        <f ca="1">IFERROR(__xludf.DUMMYFUNCTION("GOOGLETRANSLATE($B700,""en"",H$3)"),"Icecast ez dago gaituta.")</f>
        <v>Icecast ez dago gaituta.</v>
      </c>
      <c r="I700" s="21" t="str">
        <f ca="1">IFERROR(__xludf.DUMMYFUNCTION("GOOGLETRANSLATE($B700,""en"",I$3)"),"Icecast no està activat.")</f>
        <v>Icecast no està activat.</v>
      </c>
      <c r="J700" s="21" t="str">
        <f ca="1">IFERROR(__xludf.DUMMYFUNCTION("GOOGLETRANSLATE($B700,""en"",J$3)"),"Icecast není povoleno.")</f>
        <v>Icecast není povoleno.</v>
      </c>
      <c r="K700" s="21" t="str">
        <f ca="1">IFERROR(__xludf.DUMMYFUNCTION("GOOGLETRANSLATE($B700,""en"",K$3)"),"的Icecast未启用。")</f>
        <v>的Icecast未启用。</v>
      </c>
      <c r="L700" s="21" t="str">
        <f ca="1">IFERROR(__xludf.DUMMYFUNCTION("GOOGLETRANSLATE($B700,""en"",L$3)"),"的Icecast未啟用。")</f>
        <v>的Icecast未啟用。</v>
      </c>
      <c r="M700" s="21" t="str">
        <f ca="1">IFERROR(__xludf.DUMMYFUNCTION("GOOGLETRANSLATE($B700,""en"",M$3)"),"Icecast is niet ingeschakeld.")</f>
        <v>Icecast is niet ingeschakeld.</v>
      </c>
      <c r="N700" s="21" t="str">
        <f ca="1">IFERROR(__xludf.DUMMYFUNCTION("GOOGLETRANSLATE($B700,""en"",N$3)"),"Icecast δεν είναι ενεργοποιημένη.")</f>
        <v>Icecast δεν είναι ενεργοποιημένη.</v>
      </c>
      <c r="O700" s="21" t="str">
        <f ca="1">IFERROR(__xludf.DUMMYFUNCTION("GOOGLETRANSLATE($B700,""en"",O$3)"),"Icecast ei ole käytössä.")</f>
        <v>Icecast ei ole käytössä.</v>
      </c>
      <c r="P700" s="21" t="str">
        <f ca="1">IFERROR(__xludf.DUMMYFUNCTION("GOOGLETRANSLATE($B700,""en"",P$3)"),"Níl Icecast Cumasaithe.")</f>
        <v>Níl Icecast Cumasaithe.</v>
      </c>
      <c r="Q700" s="21" t="str">
        <f ca="1">IFERROR(__xludf.DUMMYFUNCTION("GOOGLETRANSLATE($B700,""en"",Q$3)"),"IceCast به فعال نیست.")</f>
        <v>IceCast به فعال نیست.</v>
      </c>
      <c r="R700" s="21" t="str">
        <f ca="1">IFERROR(__xludf.DUMMYFUNCTION("GOOGLETRANSLATE($B700,""en"",R$3)"),"Icecast אינה מופעלת.")</f>
        <v>Icecast אינה מופעלת.</v>
      </c>
      <c r="S700" s="21" t="str">
        <f ca="1">IFERROR(__xludf.DUMMYFUNCTION("GOOGLETRANSLATE($B700,""en"",S$3)"),"Icecast er ekki virkt.")</f>
        <v>Icecast er ekki virkt.</v>
      </c>
      <c r="T700" s="21" t="str">
        <f ca="1">IFERROR(__xludf.DUMMYFUNCTION("GOOGLETRANSLATE($B700,""en"",T$3)"),"Icecast er ikke aktivert.")</f>
        <v>Icecast er ikke aktivert.</v>
      </c>
      <c r="U700" s="21" t="str">
        <f ca="1">IFERROR(__xludf.DUMMYFUNCTION("GOOGLETRANSLATE($B700,""en"",U$3)"),"لم يتم تمكين يسكاست.")</f>
        <v>لم يتم تمكين يسكاست.</v>
      </c>
      <c r="V700" s="21" t="str">
        <f ca="1">IFERROR(__xludf.DUMMYFUNCTION("GOOGLETRANSLATE($B700,""en"",V$3)"),"Icecast nie jest włączona.")</f>
        <v>Icecast nie jest włączona.</v>
      </c>
      <c r="W700" s="21" t="str">
        <f ca="1">IFERROR(__xludf.DUMMYFUNCTION("GOOGLETRANSLATE($B700,""en"",W$3)"),"Icecast не включен.")</f>
        <v>Icecast не включен.</v>
      </c>
      <c r="X700" s="21" t="str">
        <f ca="1">IFERROR(__xludf.DUMMYFUNCTION("GOOGLETRANSLATE($B700,""en"",X$3)"),"Icecast no está activado.")</f>
        <v>Icecast no está activado.</v>
      </c>
      <c r="Y700" s="21"/>
      <c r="Z700" s="21"/>
    </row>
    <row r="701" spans="1:26" ht="32.25" customHeight="1" x14ac:dyDescent="0.2">
      <c r="A701" s="17" t="s">
        <v>1502</v>
      </c>
      <c r="B701" s="17" t="s">
        <v>1503</v>
      </c>
      <c r="C701" s="21" t="str">
        <f ca="1">IFERROR(__xludf.DUMMYFUNCTION("GOOGLETRANSLATE($B701,""en"",C$3)"),"Raster anzeigen Adresse")</f>
        <v>Raster anzeigen Adresse</v>
      </c>
      <c r="D701" s="21" t="str">
        <f ca="1">IFERROR(__xludf.DUMMYFUNCTION("GOOGLETRANSLATE($B701,""en"",D$3)"),"Visa Grid Adress")</f>
        <v>Visa Grid Adress</v>
      </c>
      <c r="E701" s="21" t="str">
        <f ca="1">IFERROR(__xludf.DUMMYFUNCTION("GOOGLETRANSLATE($B701,""en"",E$3)"),"Show Grid Endereço")</f>
        <v>Show Grid Endereço</v>
      </c>
      <c r="F701" s="21" t="str">
        <f ca="1">IFERROR(__xludf.DUMMYFUNCTION("GOOGLETRANSLATE($B701,""en"",F$3)"),"Show Grid Endereço")</f>
        <v>Show Grid Endereço</v>
      </c>
      <c r="G701" s="21" t="str">
        <f ca="1">IFERROR(__xludf.DUMMYFUNCTION("GOOGLETRANSLATE($B701,""en"",G$3)"),"Afficher l'adresse Grille")</f>
        <v>Afficher l'adresse Grille</v>
      </c>
      <c r="H701" s="21" t="str">
        <f ca="1">IFERROR(__xludf.DUMMYFUNCTION("GOOGLETRANSLATE($B701,""en"",H$3)"),"Erakutsi sareta Address")</f>
        <v>Erakutsi sareta Address</v>
      </c>
      <c r="I701" s="21" t="str">
        <f ca="1">IFERROR(__xludf.DUMMYFUNCTION("GOOGLETRANSLATE($B701,""en"",I$3)"),"Mostra la graella Direcció")</f>
        <v>Mostra la graella Direcció</v>
      </c>
      <c r="J701" s="21" t="str">
        <f ca="1">IFERROR(__xludf.DUMMYFUNCTION("GOOGLETRANSLATE($B701,""en"",J$3)"),"Show Grid Address")</f>
        <v>Show Grid Address</v>
      </c>
      <c r="K701" s="21" t="str">
        <f ca="1">IFERROR(__xludf.DUMMYFUNCTION("GOOGLETRANSLATE($B701,""en"",K$3)"),"显示网格地址")</f>
        <v>显示网格地址</v>
      </c>
      <c r="L701" s="21" t="str">
        <f ca="1">IFERROR(__xludf.DUMMYFUNCTION("GOOGLETRANSLATE($B701,""en"",L$3)"),"顯示網格地址")</f>
        <v>顯示網格地址</v>
      </c>
      <c r="M701" s="21" t="str">
        <f ca="1">IFERROR(__xludf.DUMMYFUNCTION("GOOGLETRANSLATE($B701,""en"",M$3)"),"Raster tonen Adres")</f>
        <v>Raster tonen Adres</v>
      </c>
      <c r="N701" s="21" t="str">
        <f ca="1">IFERROR(__xludf.DUMMYFUNCTION("GOOGLETRANSLATE($B701,""en"",N$3)"),"Εμφάνιση πλέγματος Διεύθυνση")</f>
        <v>Εμφάνιση πλέγματος Διεύθυνση</v>
      </c>
      <c r="O701" s="21" t="str">
        <f ca="1">IFERROR(__xludf.DUMMYFUNCTION("GOOGLETRANSLATE($B701,""en"",O$3)"),"Show Grid Osoite")</f>
        <v>Show Grid Osoite</v>
      </c>
      <c r="P701" s="21" t="str">
        <f ca="1">IFERROR(__xludf.DUMMYFUNCTION("GOOGLETRANSLATE($B701,""en"",P$3)"),"Taispeáin Greille Seoladh")</f>
        <v>Taispeáin Greille Seoladh</v>
      </c>
      <c r="Q701" s="21" t="str">
        <f ca="1">IFERROR(__xludf.DUMMYFUNCTION("GOOGLETRANSLATE($B701,""en"",Q$3)"),"نمایش شبکه نشانی")</f>
        <v>نمایش شبکه نشانی</v>
      </c>
      <c r="R701" s="21" t="str">
        <f ca="1">IFERROR(__xludf.DUMMYFUNCTION("GOOGLETRANSLATE($B701,""en"",R$3)"),"הצג Grid כתובת")</f>
        <v>הצג Grid כתובת</v>
      </c>
      <c r="S701" s="21" t="str">
        <f ca="1">IFERROR(__xludf.DUMMYFUNCTION("GOOGLETRANSLATE($B701,""en"",S$3)"),"Sýna Grid Address")</f>
        <v>Sýna Grid Address</v>
      </c>
      <c r="T701" s="21" t="str">
        <f ca="1">IFERROR(__xludf.DUMMYFUNCTION("GOOGLETRANSLATE($B701,""en"",T$3)"),"Vis rutenett Adresse")</f>
        <v>Vis rutenett Adresse</v>
      </c>
      <c r="U701" s="21" t="str">
        <f ca="1">IFERROR(__xludf.DUMMYFUNCTION("GOOGLETRANSLATE($B701,""en"",U$3)"),"مشاهدة الشبكة عنوان")</f>
        <v>مشاهدة الشبكة عنوان</v>
      </c>
      <c r="V701" s="21" t="str">
        <f ca="1">IFERROR(__xludf.DUMMYFUNCTION("GOOGLETRANSLATE($B701,""en"",V$3)"),"Pokaż siatkę Adres")</f>
        <v>Pokaż siatkę Adres</v>
      </c>
      <c r="W701" s="21" t="str">
        <f ca="1">IFERROR(__xludf.DUMMYFUNCTION("GOOGLETRANSLATE($B701,""en"",W$3)"),"Show Grid Адрес")</f>
        <v>Show Grid Адрес</v>
      </c>
      <c r="X701" s="21" t="str">
        <f ca="1">IFERROR(__xludf.DUMMYFUNCTION("GOOGLETRANSLATE($B701,""en"",X$3)"),"Mostrar cuadrícula Dirección")</f>
        <v>Mostrar cuadrícula Dirección</v>
      </c>
      <c r="Y701" s="21"/>
      <c r="Z701" s="21"/>
    </row>
    <row r="702" spans="1:26" ht="32.25" customHeight="1" x14ac:dyDescent="0.2">
      <c r="A702" s="17" t="s">
        <v>1504</v>
      </c>
      <c r="B702" s="17" t="s">
        <v>1505</v>
      </c>
      <c r="C702" s="21" t="str">
        <f ca="1">IFERROR(__xludf.DUMMYFUNCTION("GOOGLETRANSLATE($B702,""en"",C$3)"),"Zeigen Sie Statistiken auf der Konsole")</f>
        <v>Zeigen Sie Statistiken auf der Konsole</v>
      </c>
      <c r="D702" s="21" t="str">
        <f ca="1">IFERROR(__xludf.DUMMYFUNCTION("GOOGLETRANSLATE($B702,""en"",D$3)"),"Visa statistik på konsolen")</f>
        <v>Visa statistik på konsolen</v>
      </c>
      <c r="E702" s="21" t="str">
        <f ca="1">IFERROR(__xludf.DUMMYFUNCTION("GOOGLETRANSLATE($B702,""en"",E$3)"),"Mostrar estatísticas sobre consola")</f>
        <v>Mostrar estatísticas sobre consola</v>
      </c>
      <c r="F702" s="21" t="str">
        <f ca="1">IFERROR(__xludf.DUMMYFUNCTION("GOOGLETRANSLATE($B702,""en"",F$3)"),"Mostrar estatísticas sobre consola")</f>
        <v>Mostrar estatísticas sobre consola</v>
      </c>
      <c r="G702" s="21" t="str">
        <f ca="1">IFERROR(__xludf.DUMMYFUNCTION("GOOGLETRANSLATE($B702,""en"",G$3)"),"Voir les statistiques sur la console")</f>
        <v>Voir les statistiques sur la console</v>
      </c>
      <c r="H702" s="21" t="str">
        <f ca="1">IFERROR(__xludf.DUMMYFUNCTION("GOOGLETRANSLATE($B702,""en"",H$3)"),"Erakutsi kontsola estatistikak")</f>
        <v>Erakutsi kontsola estatistikak</v>
      </c>
      <c r="I702" s="21" t="str">
        <f ca="1">IFERROR(__xludf.DUMMYFUNCTION("GOOGLETRANSLATE($B702,""en"",I$3)"),"Mostra les estadístiques sobre la consola")</f>
        <v>Mostra les estadístiques sobre la consola</v>
      </c>
      <c r="J702" s="21" t="str">
        <f ca="1">IFERROR(__xludf.DUMMYFUNCTION("GOOGLETRANSLATE($B702,""en"",J$3)"),"Zobrazení statistik na konzoli")</f>
        <v>Zobrazení statistik na konzoli</v>
      </c>
      <c r="K702" s="21" t="str">
        <f ca="1">IFERROR(__xludf.DUMMYFUNCTION("GOOGLETRANSLATE($B702,""en"",K$3)"),"显示在控制台上统计")</f>
        <v>显示在控制台上统计</v>
      </c>
      <c r="L702" s="21" t="str">
        <f ca="1">IFERROR(__xludf.DUMMYFUNCTION("GOOGLETRANSLATE($B702,""en"",L$3)"),"顯示在控制台上統計")</f>
        <v>顯示在控制台上統計</v>
      </c>
      <c r="M702" s="21" t="str">
        <f ca="1">IFERROR(__xludf.DUMMYFUNCTION("GOOGLETRANSLATE($B702,""en"",M$3)"),"Toon statistieken op console")</f>
        <v>Toon statistieken op console</v>
      </c>
      <c r="N702" s="21" t="str">
        <f ca="1">IFERROR(__xludf.DUMMYFUNCTION("GOOGLETRANSLATE($B702,""en"",N$3)"),"Δείτε στατιστικά στοιχεία σχετικά με την κονσόλα")</f>
        <v>Δείτε στατιστικά στοιχεία σχετικά με την κονσόλα</v>
      </c>
      <c r="O702" s="21" t="str">
        <f ca="1">IFERROR(__xludf.DUMMYFUNCTION("GOOGLETRANSLATE($B702,""en"",O$3)"),"Näytä tilastoja konsolilla")</f>
        <v>Näytä tilastoja konsolilla</v>
      </c>
      <c r="P702" s="21" t="str">
        <f ca="1">IFERROR(__xludf.DUMMYFUNCTION("GOOGLETRANSLATE($B702,""en"",P$3)"),"Stats thaispeáint ar console")</f>
        <v>Stats thaispeáint ar console</v>
      </c>
      <c r="Q702" s="21" t="str">
        <f ca="1">IFERROR(__xludf.DUMMYFUNCTION("GOOGLETRANSLATE($B702,""en"",Q$3)"),"نمایش آمار بر روی کنسول")</f>
        <v>نمایش آمار بر روی کنسول</v>
      </c>
      <c r="R702" s="21" t="str">
        <f ca="1">IFERROR(__xludf.DUMMYFUNCTION("GOOGLETRANSLATE($B702,""en"",R$3)"),"הצג את הנתונים הסטטיסטיים על הקונסולה")</f>
        <v>הצג את הנתונים הסטטיסטיים על הקונסולה</v>
      </c>
      <c r="S702" s="21" t="str">
        <f ca="1">IFERROR(__xludf.DUMMYFUNCTION("GOOGLETRANSLATE($B702,""en"",S$3)"),"Sýna tölfræði á vélinni")</f>
        <v>Sýna tölfræði á vélinni</v>
      </c>
      <c r="T702" s="21" t="str">
        <f ca="1">IFERROR(__xludf.DUMMYFUNCTION("GOOGLETRANSLATE($B702,""en"",T$3)"),"Vis statistikk på konsollen")</f>
        <v>Vis statistikk på konsollen</v>
      </c>
      <c r="U702" s="21" t="str">
        <f ca="1">IFERROR(__xludf.DUMMYFUNCTION("GOOGLETRANSLATE($B702,""en"",U$3)"),"عرض الإحصائيات على وحدة التحكم")</f>
        <v>عرض الإحصائيات على وحدة التحكم</v>
      </c>
      <c r="V702" s="21" t="str">
        <f ca="1">IFERROR(__xludf.DUMMYFUNCTION("GOOGLETRANSLATE($B702,""en"",V$3)"),"Pokazują statystyki na konsoli")</f>
        <v>Pokazują statystyki na konsoli</v>
      </c>
      <c r="W702" s="21" t="str">
        <f ca="1">IFERROR(__xludf.DUMMYFUNCTION("GOOGLETRANSLATE($B702,""en"",W$3)"),"Показать статистику по консоли")</f>
        <v>Показать статистику по консоли</v>
      </c>
      <c r="X702" s="21" t="str">
        <f ca="1">IFERROR(__xludf.DUMMYFUNCTION("GOOGLETRANSLATE($B702,""en"",X$3)"),"Mostrar las estadísticas sobre la consola")</f>
        <v>Mostrar las estadísticas sobre la consola</v>
      </c>
      <c r="Y702" s="21"/>
      <c r="Z702" s="21"/>
    </row>
    <row r="703" spans="1:26" ht="32.25" customHeight="1" x14ac:dyDescent="0.2">
      <c r="A703" s="17" t="s">
        <v>1506</v>
      </c>
      <c r="B703" s="17" t="s">
        <v>1507</v>
      </c>
      <c r="C703" s="21" t="str">
        <f ca="1">IFERROR(__xludf.DUMMYFUNCTION("GOOGLETRANSLATE($B703,""en"",C$3)"),"Status anzeigen")</f>
        <v>Status anzeigen</v>
      </c>
      <c r="D703" s="21" t="str">
        <f ca="1">IFERROR(__xludf.DUMMYFUNCTION("GOOGLETRANSLATE($B703,""en"",D$3)"),"Visa Status")</f>
        <v>Visa Status</v>
      </c>
      <c r="E703" s="21" t="str">
        <f ca="1">IFERROR(__xludf.DUMMYFUNCTION("GOOGLETRANSLATE($B703,""en"",E$3)"),"Mostrar status")</f>
        <v>Mostrar status</v>
      </c>
      <c r="F703" s="21" t="str">
        <f ca="1">IFERROR(__xludf.DUMMYFUNCTION("GOOGLETRANSLATE($B703,""en"",F$3)"),"Mostrar status")</f>
        <v>Mostrar status</v>
      </c>
      <c r="G703" s="21" t="str">
        <f ca="1">IFERROR(__xludf.DUMMYFUNCTION("GOOGLETRANSLATE($B703,""en"",G$3)"),"Afficher le statut")</f>
        <v>Afficher le statut</v>
      </c>
      <c r="H703" s="21" t="str">
        <f ca="1">IFERROR(__xludf.DUMMYFUNCTION("GOOGLETRANSLATE($B703,""en"",H$3)"),"Show Status")</f>
        <v>Show Status</v>
      </c>
      <c r="I703" s="21" t="str">
        <f ca="1">IFERROR(__xludf.DUMMYFUNCTION("GOOGLETRANSLATE($B703,""en"",I$3)"),"mostrar estat")</f>
        <v>mostrar estat</v>
      </c>
      <c r="J703" s="21" t="str">
        <f ca="1">IFERROR(__xludf.DUMMYFUNCTION("GOOGLETRANSLATE($B703,""en"",J$3)"),"Show Status")</f>
        <v>Show Status</v>
      </c>
      <c r="K703" s="21" t="str">
        <f ca="1">IFERROR(__xludf.DUMMYFUNCTION("GOOGLETRANSLATE($B703,""en"",K$3)"),"显示状态")</f>
        <v>显示状态</v>
      </c>
      <c r="L703" s="21" t="str">
        <f ca="1">IFERROR(__xludf.DUMMYFUNCTION("GOOGLETRANSLATE($B703,""en"",L$3)"),"顯示狀態")</f>
        <v>顯示狀態</v>
      </c>
      <c r="M703" s="21" t="str">
        <f ca="1">IFERROR(__xludf.DUMMYFUNCTION("GOOGLETRANSLATE($B703,""en"",M$3)"),"Show Status")</f>
        <v>Show Status</v>
      </c>
      <c r="N703" s="21" t="str">
        <f ca="1">IFERROR(__xludf.DUMMYFUNCTION("GOOGLETRANSLATE($B703,""en"",N$3)"),"Εμφάνιση Κατάσταση")</f>
        <v>Εμφάνιση Κατάσταση</v>
      </c>
      <c r="O703" s="21" t="str">
        <f ca="1">IFERROR(__xludf.DUMMYFUNCTION("GOOGLETRANSLATE($B703,""en"",O$3)"),"ShowStatus")</f>
        <v>ShowStatus</v>
      </c>
      <c r="P703" s="21" t="str">
        <f ca="1">IFERROR(__xludf.DUMMYFUNCTION("GOOGLETRANSLATE($B703,""en"",P$3)"),"Taispeáin Stádas")</f>
        <v>Taispeáin Stádas</v>
      </c>
      <c r="Q703" s="21" t="str">
        <f ca="1">IFERROR(__xludf.DUMMYFUNCTION("GOOGLETRANSLATE($B703,""en"",Q$3)"),"نمایش وضعیت در")</f>
        <v>نمایش وضعیت در</v>
      </c>
      <c r="R703" s="21" t="str">
        <f ca="1">IFERROR(__xludf.DUMMYFUNCTION("GOOGLETRANSLATE($B703,""en"",R$3)"),"צג סטטוס")</f>
        <v>צג סטטוס</v>
      </c>
      <c r="S703" s="21" t="str">
        <f ca="1">IFERROR(__xludf.DUMMYFUNCTION("GOOGLETRANSLATE($B703,""en"",S$3)"),"Sýna Staða")</f>
        <v>Sýna Staða</v>
      </c>
      <c r="T703" s="21" t="str">
        <f ca="1">IFERROR(__xludf.DUMMYFUNCTION("GOOGLETRANSLATE($B703,""en"",T$3)"),"Vis status")</f>
        <v>Vis status</v>
      </c>
      <c r="U703" s="21" t="str">
        <f ca="1">IFERROR(__xludf.DUMMYFUNCTION("GOOGLETRANSLATE($B703,""en"",U$3)"),"عرض الحالة")</f>
        <v>عرض الحالة</v>
      </c>
      <c r="V703" s="21" t="str">
        <f ca="1">IFERROR(__xludf.DUMMYFUNCTION("GOOGLETRANSLATE($B703,""en"",V$3)"),"Pokaż status")</f>
        <v>Pokaż status</v>
      </c>
      <c r="W703" s="21" t="str">
        <f ca="1">IFERROR(__xludf.DUMMYFUNCTION("GOOGLETRANSLATE($B703,""en"",W$3)"),"Show Status")</f>
        <v>Show Status</v>
      </c>
      <c r="X703" s="21" t="str">
        <f ca="1">IFERROR(__xludf.DUMMYFUNCTION("GOOGLETRANSLATE($B703,""en"",X$3)"),"Mostrar estado")</f>
        <v>Mostrar estado</v>
      </c>
      <c r="Y703" s="21"/>
      <c r="Z703" s="21"/>
    </row>
    <row r="704" spans="1:26" ht="32.25" customHeight="1" x14ac:dyDescent="0.2">
      <c r="A704" s="17" t="s">
        <v>1508</v>
      </c>
      <c r="B704" s="17" t="s">
        <v>1509</v>
      </c>
      <c r="C704" s="21" t="str">
        <f ca="1">IFERROR(__xludf.DUMMYFUNCTION("GOOGLETRANSLATE($B704,""en"",C$3)"),"Zeige Benutzerdetails")</f>
        <v>Zeige Benutzerdetails</v>
      </c>
      <c r="D704" s="21" t="str">
        <f ca="1">IFERROR(__xludf.DUMMYFUNCTION("GOOGLETRANSLATE($B704,""en"",D$3)"),"Visa Användaruppgifter")</f>
        <v>Visa Användaruppgifter</v>
      </c>
      <c r="E704" s="21" t="str">
        <f ca="1">IFERROR(__xludf.DUMMYFUNCTION("GOOGLETRANSLATE($B704,""en"",E$3)"),"Mostrar detalhes do usuário")</f>
        <v>Mostrar detalhes do usuário</v>
      </c>
      <c r="F704" s="21" t="str">
        <f ca="1">IFERROR(__xludf.DUMMYFUNCTION("GOOGLETRANSLATE($B704,""en"",F$3)"),"Mostrar detalhes do usuário")</f>
        <v>Mostrar detalhes do usuário</v>
      </c>
      <c r="G704" s="21" t="str">
        <f ca="1">IFERROR(__xludf.DUMMYFUNCTION("GOOGLETRANSLATE($B704,""en"",G$3)"),"Afficher les détails de l'utilisateur")</f>
        <v>Afficher les détails de l'utilisateur</v>
      </c>
      <c r="H704" s="21" t="str">
        <f ca="1">IFERROR(__xludf.DUMMYFUNCTION("GOOGLETRANSLATE($B704,""en"",H$3)"),"Erakutsi erabiltzailearen xehetasunak")</f>
        <v>Erakutsi erabiltzailearen xehetasunak</v>
      </c>
      <c r="I704" s="21" t="str">
        <f ca="1">IFERROR(__xludf.DUMMYFUNCTION("GOOGLETRANSLATE($B704,""en"",I$3)"),"Mostra els detalls de l'usuari")</f>
        <v>Mostra els detalls de l'usuari</v>
      </c>
      <c r="J704" s="21" t="str">
        <f ca="1">IFERROR(__xludf.DUMMYFUNCTION("GOOGLETRANSLATE($B704,""en"",J$3)"),"Ukázat detaily uživatele")</f>
        <v>Ukázat detaily uživatele</v>
      </c>
      <c r="K704" s="21" t="str">
        <f ca="1">IFERROR(__xludf.DUMMYFUNCTION("GOOGLETRANSLATE($B704,""en"",K$3)"),"显示用户信息")</f>
        <v>显示用户信息</v>
      </c>
      <c r="L704" s="21" t="str">
        <f ca="1">IFERROR(__xludf.DUMMYFUNCTION("GOOGLETRANSLATE($B704,""en"",L$3)"),"顯示用戶信息")</f>
        <v>顯示用戶信息</v>
      </c>
      <c r="M704" s="21" t="str">
        <f ca="1">IFERROR(__xludf.DUMMYFUNCTION("GOOGLETRANSLATE($B704,""en"",M$3)"),"Toon User Data")</f>
        <v>Toon User Data</v>
      </c>
      <c r="N704" s="21" t="str">
        <f ca="1">IFERROR(__xludf.DUMMYFUNCTION("GOOGLETRANSLATE($B704,""en"",N$3)"),"Δείτε Λεπτομέρειες χρήστη")</f>
        <v>Δείτε Λεπτομέρειες χρήστη</v>
      </c>
      <c r="O704" s="21" t="str">
        <f ca="1">IFERROR(__xludf.DUMMYFUNCTION("GOOGLETRANSLATE($B704,""en"",O$3)"),"Näytä Käyttäjän tiedot")</f>
        <v>Näytä Käyttäjän tiedot</v>
      </c>
      <c r="P704" s="21" t="str">
        <f ca="1">IFERROR(__xludf.DUMMYFUNCTION("GOOGLETRANSLATE($B704,""en"",P$3)"),"Léiríonn Mionsonraí Úsáideoir")</f>
        <v>Léiríonn Mionsonraí Úsáideoir</v>
      </c>
      <c r="Q704" s="21" t="str">
        <f ca="1">IFERROR(__xludf.DUMMYFUNCTION("GOOGLETRANSLATE($B704,""en"",Q$3)"),"نمایش جزئیات کاربر")</f>
        <v>نمایش جزئیات کاربر</v>
      </c>
      <c r="R704" s="21" t="str">
        <f ca="1">IFERROR(__xludf.DUMMYFUNCTION("GOOGLETRANSLATE($B704,""en"",R$3)"),"צג פרטי משתמש")</f>
        <v>צג פרטי משתמש</v>
      </c>
      <c r="S704" s="21" t="str">
        <f ca="1">IFERROR(__xludf.DUMMYFUNCTION("GOOGLETRANSLATE($B704,""en"",S$3)"),"Sýna User upplýsingar")</f>
        <v>Sýna User upplýsingar</v>
      </c>
      <c r="T704" s="21" t="str">
        <f ca="1">IFERROR(__xludf.DUMMYFUNCTION("GOOGLETRANSLATE($B704,""en"",T$3)"),"Vis Bruker Data")</f>
        <v>Vis Bruker Data</v>
      </c>
      <c r="U704" s="21" t="str">
        <f ca="1">IFERROR(__xludf.DUMMYFUNCTION("GOOGLETRANSLATE($B704,""en"",U$3)"),"عرض تفاصيل العضو")</f>
        <v>عرض تفاصيل العضو</v>
      </c>
      <c r="V704" s="21" t="str">
        <f ca="1">IFERROR(__xludf.DUMMYFUNCTION("GOOGLETRANSLATE($B704,""en"",V$3)"),"Pokaż dane użytkownika")</f>
        <v>Pokaż dane użytkownika</v>
      </c>
      <c r="W704" s="21" t="str">
        <f ca="1">IFERROR(__xludf.DUMMYFUNCTION("GOOGLETRANSLATE($B704,""en"",W$3)"),"Показать подробную информацию пользователя")</f>
        <v>Показать подробную информацию пользователя</v>
      </c>
      <c r="X704" s="21" t="str">
        <f ca="1">IFERROR(__xludf.DUMMYFUNCTION("GOOGLETRANSLATE($B704,""en"",X$3)"),"Mostrar detalles del usuario")</f>
        <v>Mostrar detalles del usuario</v>
      </c>
      <c r="Y704" s="21"/>
      <c r="Z704" s="21"/>
    </row>
    <row r="705" spans="1:26" ht="32.25" customHeight="1" x14ac:dyDescent="0.2">
      <c r="A705" s="17" t="s">
        <v>1510</v>
      </c>
      <c r="B705" s="17" t="s">
        <v>1511</v>
      </c>
      <c r="C705" s="21" t="str">
        <f ca="1">IFERROR(__xludf.DUMMYFUNCTION("GOOGLETRANSLATE($B705,""en"",C$3)"),"Immer anzeigen Regionen")</f>
        <v>Immer anzeigen Regionen</v>
      </c>
      <c r="D705" s="21" t="str">
        <f ca="1">IFERROR(__xludf.DUMMYFUNCTION("GOOGLETRANSLATE($B705,""en"",D$3)"),"Visa alltid Regioner")</f>
        <v>Visa alltid Regioner</v>
      </c>
      <c r="E705" s="21" t="str">
        <f ca="1">IFERROR(__xludf.DUMMYFUNCTION("GOOGLETRANSLATE($B705,""en"",E$3)"),"Sempre Mostrar Regiões")</f>
        <v>Sempre Mostrar Regiões</v>
      </c>
      <c r="F705" s="21" t="str">
        <f ca="1">IFERROR(__xludf.DUMMYFUNCTION("GOOGLETRANSLATE($B705,""en"",F$3)"),"Sempre Mostrar Regiões")</f>
        <v>Sempre Mostrar Regiões</v>
      </c>
      <c r="G705" s="21" t="str">
        <f ca="1">IFERROR(__xludf.DUMMYFUNCTION("GOOGLETRANSLATE($B705,""en"",G$3)"),"Toujours Régions Voir")</f>
        <v>Toujours Régions Voir</v>
      </c>
      <c r="H705" s="21" t="str">
        <f ca="1">IFERROR(__xludf.DUMMYFUNCTION("GOOGLETRANSLATE($B705,""en"",H$3)"),"Beti Show Eskualde")</f>
        <v>Beti Show Eskualde</v>
      </c>
      <c r="I705" s="21" t="str">
        <f ca="1">IFERROR(__xludf.DUMMYFUNCTION("GOOGLETRANSLATE($B705,""en"",I$3)"),"Mostra sempre Regions")</f>
        <v>Mostra sempre Regions</v>
      </c>
      <c r="J705" s="21" t="str">
        <f ca="1">IFERROR(__xludf.DUMMYFUNCTION("GOOGLETRANSLATE($B705,""en"",J$3)"),"Vždy zobrazovat Regiony")</f>
        <v>Vždy zobrazovat Regiony</v>
      </c>
      <c r="K705" s="21" t="str">
        <f ca="1">IFERROR(__xludf.DUMMYFUNCTION("GOOGLETRANSLATE($B705,""en"",K$3)"),"始终显示所有地区")</f>
        <v>始终显示所有地区</v>
      </c>
      <c r="L705" s="21" t="str">
        <f ca="1">IFERROR(__xludf.DUMMYFUNCTION("GOOGLETRANSLATE($B705,""en"",L$3)"),"始終顯示所有地區")</f>
        <v>始終顯示所有地區</v>
      </c>
      <c r="M705" s="21" t="str">
        <f ca="1">IFERROR(__xludf.DUMMYFUNCTION("GOOGLETRANSLATE($B705,""en"",M$3)"),"Altijd Show Regio's")</f>
        <v>Altijd Show Regio's</v>
      </c>
      <c r="N705" s="21" t="str">
        <f ca="1">IFERROR(__xludf.DUMMYFUNCTION("GOOGLETRANSLATE($B705,""en"",N$3)"),"Πάντα Εμφάνιση Περιφερειών")</f>
        <v>Πάντα Εμφάνιση Περιφερειών</v>
      </c>
      <c r="O705" s="21" t="str">
        <f ca="1">IFERROR(__xludf.DUMMYFUNCTION("GOOGLETRANSLATE($B705,""en"",O$3)"),"Aina Show Alueet")</f>
        <v>Aina Show Alueet</v>
      </c>
      <c r="P705" s="21" t="str">
        <f ca="1">IFERROR(__xludf.DUMMYFUNCTION("GOOGLETRANSLATE($B705,""en"",P$3)"),"I gcónaí Taispeáin Réigiúin")</f>
        <v>I gcónaí Taispeáin Réigiúin</v>
      </c>
      <c r="Q705" s="21" t="str">
        <f ca="1">IFERROR(__xludf.DUMMYFUNCTION("GOOGLETRANSLATE($B705,""en"",Q$3)"),"همیشه نشان داده مناطق")</f>
        <v>همیشه نشان داده مناطق</v>
      </c>
      <c r="R705" s="21" t="str">
        <f ca="1">IFERROR(__xludf.DUMMYFUNCTION("GOOGLETRANSLATE($B705,""en"",R$3)"),"אזורים מציגים תמיד")</f>
        <v>אזורים מציגים תמיד</v>
      </c>
      <c r="S705" s="21" t="str">
        <f ca="1">IFERROR(__xludf.DUMMYFUNCTION("GOOGLETRANSLATE($B705,""en"",S$3)"),"Alltaf sýna Svæði")</f>
        <v>Alltaf sýna Svæði</v>
      </c>
      <c r="T705" s="21" t="str">
        <f ca="1">IFERROR(__xludf.DUMMYFUNCTION("GOOGLETRANSLATE($B705,""en"",T$3)"),"Alltid Vis Regioner")</f>
        <v>Alltid Vis Regioner</v>
      </c>
      <c r="U705" s="21" t="str">
        <f ca="1">IFERROR(__xludf.DUMMYFUNCTION("GOOGLETRANSLATE($B705,""en"",U$3)"),"دائما مشاهدة المناطق")</f>
        <v>دائما مشاهدة المناطق</v>
      </c>
      <c r="V705" s="21" t="str">
        <f ca="1">IFERROR(__xludf.DUMMYFUNCTION("GOOGLETRANSLATE($B705,""en"",V$3)"),"Zawsze pokazuj Regiony")</f>
        <v>Zawsze pokazuj Regiony</v>
      </c>
      <c r="W705" s="21" t="str">
        <f ca="1">IFERROR(__xludf.DUMMYFUNCTION("GOOGLETRANSLATE($B705,""en"",W$3)"),"Всегда Показать Регионы")</f>
        <v>Всегда Показать Регионы</v>
      </c>
      <c r="X705" s="21" t="str">
        <f ca="1">IFERROR(__xludf.DUMMYFUNCTION("GOOGLETRANSLATE($B705,""en"",X$3)"),"Mostrar siempre Regiones")</f>
        <v>Mostrar siempre Regiones</v>
      </c>
      <c r="Y705" s="21"/>
      <c r="Z705" s="21"/>
    </row>
    <row r="706" spans="1:26" ht="32.25" customHeight="1" x14ac:dyDescent="0.2">
      <c r="A706" s="17" t="s">
        <v>1512</v>
      </c>
      <c r="B706" s="17" t="s">
        <v>1513</v>
      </c>
      <c r="C706" s="21" t="str">
        <f ca="1">IFERROR(__xludf.DUMMYFUNCTION("GOOGLETRANSLATE($B706,""en"",C$3)"),"Herunterfahren")</f>
        <v>Herunterfahren</v>
      </c>
      <c r="D706" s="21" t="str">
        <f ca="1">IFERROR(__xludf.DUMMYFUNCTION("GOOGLETRANSLATE($B706,""en"",D$3)"),"Stänga av")</f>
        <v>Stänga av</v>
      </c>
      <c r="E706" s="21" t="str">
        <f ca="1">IFERROR(__xludf.DUMMYFUNCTION("GOOGLETRANSLATE($B706,""en"",E$3)"),"Desligar")</f>
        <v>Desligar</v>
      </c>
      <c r="F706" s="21" t="str">
        <f ca="1">IFERROR(__xludf.DUMMYFUNCTION("GOOGLETRANSLATE($B706,""en"",F$3)"),"Desligar")</f>
        <v>Desligar</v>
      </c>
      <c r="G706" s="21" t="str">
        <f ca="1">IFERROR(__xludf.DUMMYFUNCTION("GOOGLETRANSLATE($B706,""en"",G$3)"),"Fermer")</f>
        <v>Fermer</v>
      </c>
      <c r="H706" s="21" t="str">
        <f ca="1">IFERROR(__xludf.DUMMYFUNCTION("GOOGLETRANSLATE($B706,""en"",H$3)"),"Itzali")</f>
        <v>Itzali</v>
      </c>
      <c r="I706" s="21" t="str">
        <f ca="1">IFERROR(__xludf.DUMMYFUNCTION("GOOGLETRANSLATE($B706,""en"",I$3)"),"Tancar")</f>
        <v>Tancar</v>
      </c>
      <c r="J706" s="21" t="str">
        <f ca="1">IFERROR(__xludf.DUMMYFUNCTION("GOOGLETRANSLATE($B706,""en"",J$3)"),"Vypnout")</f>
        <v>Vypnout</v>
      </c>
      <c r="K706" s="21" t="str">
        <f ca="1">IFERROR(__xludf.DUMMYFUNCTION("GOOGLETRANSLATE($B706,""en"",K$3)"),"关掉")</f>
        <v>关掉</v>
      </c>
      <c r="L706" s="21" t="str">
        <f ca="1">IFERROR(__xludf.DUMMYFUNCTION("GOOGLETRANSLATE($B706,""en"",L$3)"),"關掉")</f>
        <v>關掉</v>
      </c>
      <c r="M706" s="21" t="str">
        <f ca="1">IFERROR(__xludf.DUMMYFUNCTION("GOOGLETRANSLATE($B706,""en"",M$3)"),"Stilgelegd")</f>
        <v>Stilgelegd</v>
      </c>
      <c r="N706" s="21" t="str">
        <f ca="1">IFERROR(__xludf.DUMMYFUNCTION("GOOGLETRANSLATE($B706,""en"",N$3)"),"ΤΕΡΜΑΤΙΣΜΟΣ ΛΕΙΤΟΥΡΓΙΑΣ")</f>
        <v>ΤΕΡΜΑΤΙΣΜΟΣ ΛΕΙΤΟΥΡΓΙΑΣ</v>
      </c>
      <c r="O706" s="21" t="str">
        <f ca="1">IFERROR(__xludf.DUMMYFUNCTION("GOOGLETRANSLATE($B706,""en"",O$3)"),"Sammuttaa")</f>
        <v>Sammuttaa</v>
      </c>
      <c r="P706" s="21" t="str">
        <f ca="1">IFERROR(__xludf.DUMMYFUNCTION("GOOGLETRANSLATE($B706,""en"",P$3)"),"Shutdown")</f>
        <v>Shutdown</v>
      </c>
      <c r="Q706" s="21" t="str">
        <f ca="1">IFERROR(__xludf.DUMMYFUNCTION("GOOGLETRANSLATE($B706,""en"",Q$3)"),"تعطیل")</f>
        <v>تعطیل</v>
      </c>
      <c r="R706" s="21" t="str">
        <f ca="1">IFERROR(__xludf.DUMMYFUNCTION("GOOGLETRANSLATE($B706,""en"",R$3)"),"לכבות")</f>
        <v>לכבות</v>
      </c>
      <c r="S706" s="21" t="str">
        <f ca="1">IFERROR(__xludf.DUMMYFUNCTION("GOOGLETRANSLATE($B706,""en"",S$3)"),"lokun")</f>
        <v>lokun</v>
      </c>
      <c r="T706" s="21" t="str">
        <f ca="1">IFERROR(__xludf.DUMMYFUNCTION("GOOGLETRANSLATE($B706,""en"",T$3)"),"Skru av")</f>
        <v>Skru av</v>
      </c>
      <c r="U706" s="21" t="str">
        <f ca="1">IFERROR(__xludf.DUMMYFUNCTION("GOOGLETRANSLATE($B706,""en"",U$3)"),"اغلق")</f>
        <v>اغلق</v>
      </c>
      <c r="V706" s="21" t="str">
        <f ca="1">IFERROR(__xludf.DUMMYFUNCTION("GOOGLETRANSLATE($B706,""en"",V$3)"),"Zamknąć")</f>
        <v>Zamknąć</v>
      </c>
      <c r="W706" s="21" t="str">
        <f ca="1">IFERROR(__xludf.DUMMYFUNCTION("GOOGLETRANSLATE($B706,""en"",W$3)"),"Неисправность")</f>
        <v>Неисправность</v>
      </c>
      <c r="X706" s="21" t="str">
        <f ca="1">IFERROR(__xludf.DUMMYFUNCTION("GOOGLETRANSLATE($B706,""en"",X$3)"),"Apagar")</f>
        <v>Apagar</v>
      </c>
      <c r="Y706" s="21"/>
      <c r="Z706" s="21"/>
    </row>
    <row r="707" spans="1:26" ht="32.25" customHeight="1" x14ac:dyDescent="0.2">
      <c r="A707" s="17" t="s">
        <v>1514</v>
      </c>
      <c r="B707" s="17" t="s">
        <v>1515</v>
      </c>
      <c r="C707" s="21" t="str">
        <f ca="1">IFERROR(__xludf.DUMMYFUNCTION("GOOGLETRANSLATE($B707,""en"",C$3)"),"Dies definiert die Rate von mehreren Simulationsereignissen. Es kann die Simulation von bewegten Objekten zu verbessern, mit einem möglichen Erhöhung der CPU und Netzwerklast reduziert werden.")</f>
        <v>Dies definiert die Rate von mehreren Simulationsereignissen. Es kann die Simulation von bewegten Objekten zu verbessern, mit einem möglichen Erhöhung der CPU und Netzwerklast reduziert werden.</v>
      </c>
      <c r="D707" s="21" t="str">
        <f ca="1">IFERROR(__xludf.DUMMYFUNCTION("GOOGLETRANSLATE($B707,""en"",D$3)"),"Detta definierar graden av flera simuleringshändelser. Det kan reduceras för att förbättra simulering av rörliga föremål, med eventuell ökning av cpu och nätverksbelastning.")</f>
        <v>Detta definierar graden av flera simuleringshändelser. Det kan reduceras för att förbättra simulering av rörliga föremål, med eventuell ökning av cpu och nätverksbelastning.</v>
      </c>
      <c r="E707" s="21" t="str">
        <f ca="1">IFERROR(__xludf.DUMMYFUNCTION("GOOGLETRANSLATE($B707,""en"",E$3)"),"Isso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F707" s="21" t="str">
        <f ca="1">IFERROR(__xludf.DUMMYFUNCTION("GOOGLETRANSLATE($B707,""en"",F$3)"),"Isso define a taxa de diversos eventos de simulação. Ele pode ser reduzido para melhorar a simulação de objetos em movimento, com possível aumento da carga de CPU e de rede.")</f>
        <v>Isso define a taxa de diversos eventos de simulação. Ele pode ser reduzido para melhorar a simulação de objetos em movimento, com possível aumento da carga de CPU e de rede.</v>
      </c>
      <c r="G707" s="21" t="str">
        <f ca="1">IFERROR(__xludf.DUMMYFUNCTION("GOOGLETRANSLATE($B707,""en"",G$3)"),"Cela définit le taux de plusieurs événements de simulation. Il peut être réduit pour améliorer la simulation d'objets en mouvement, avec une augmentation possible de cpu et la charge du réseau.")</f>
        <v>Cela définit le taux de plusieurs événements de simulation. Il peut être réduit pour améliorer la simulation d'objets en mouvement, avec une augmentation possible de cpu et la charge du réseau.</v>
      </c>
      <c r="H707" s="21" t="str">
        <f ca="1">IFERROR(__xludf.DUMMYFUNCTION("GOOGLETRANSLATE($B707,""en"",H$3)"),"Honek hainbat simulazio ekitaldiak tasa definitzen du. It murriztu daiteke objektuak mugitzen simulazioa, cpu eta sareko karga hazkundea ahalik eta hobetzeko.")</f>
        <v>Honek hainbat simulazio ekitaldiak tasa definitzen du. It murriztu daiteke objektuak mugitzen simulazioa, cpu eta sareko karga hazkundea ahalik eta hobetzeko.</v>
      </c>
      <c r="I707" s="21" t="str">
        <f ca="1">IFERROR(__xludf.DUMMYFUNCTION("GOOGLETRANSLATE($B707,""en"",I$3)"),"Això defineix la velocitat de diversos esdeveniments de simulació. Pot ser reduït per millorar la simulació d'objectes en moviment, amb possible augment de la CPU i la càrrega de la xarxa.")</f>
        <v>Això defineix la velocitat de diversos esdeveniments de simulació. Pot ser reduït per millorar la simulació d'objectes en moviment, amb possible augment de la CPU i la càrrega de la xarxa.</v>
      </c>
      <c r="J707" s="21" t="str">
        <f ca="1">IFERROR(__xludf.DUMMYFUNCTION("GOOGLETRANSLATE($B707,""en"",J$3)"),"To definuje rychlost několika simulačních událostí. To může být snížena na zlepšení simulaci pohybujících se objektů, s možným zvýšením procesoru a zatížení sítě.")</f>
        <v>To definuje rychlost několika simulačních událostí. To může být snížena na zlepšení simulaci pohybujících se objektů, s možným zvýšením procesoru a zatížení sítě.</v>
      </c>
      <c r="K707" s="21" t="str">
        <f ca="1">IFERROR(__xludf.DUMMYFUNCTION("GOOGLETRANSLATE($B707,""en"",K$3)"),"这个定义的几个模拟事件的速率。它可以减少，以提高移动物体的模拟中，与CPU和网络负载的可能增加。")</f>
        <v>这个定义的几个模拟事件的速率。它可以减少，以提高移动物体的模拟中，与CPU和网络负载的可能增加。</v>
      </c>
      <c r="L707" s="21" t="str">
        <f ca="1">IFERROR(__xludf.DUMMYFUNCTION("GOOGLETRANSLATE($B707,""en"",L$3)"),"這個定義的幾個模擬事件的速率。它可以減少，以提高移動物體的模擬中，與CPU和網絡負載的可能增加。")</f>
        <v>這個定義的幾個模擬事件的速率。它可以減少，以提高移動物體的模擬中，與CPU和網絡負載的可能增加。</v>
      </c>
      <c r="M707" s="21" t="str">
        <f ca="1">IFERROR(__xludf.DUMMYFUNCTION("GOOGLETRANSLATE($B707,""en"",M$3)"),"Dit bepaalt de snelheid van verschillende simulatie gebeurtenissen. Het kan worden gereduceerd tot het simuleren van bewegende objecten, met de mogelijke toename van cpu en netwerkbelasting te verbeteren.")</f>
        <v>Dit bepaalt de snelheid van verschillende simulatie gebeurtenissen. Het kan worden gereduceerd tot het simuleren van bewegende objecten, met de mogelijke toename van cpu en netwerkbelasting te verbeteren.</v>
      </c>
      <c r="N707" s="21" t="str">
        <f ca="1">IFERROR(__xludf.DUMMYFUNCTION("GOOGLETRANSLATE($B707,""en"",N$3)"),"Αυτό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f>
        <v>Αυτό καθορίζει το ποσοστό των διαφόρων γεγονότων προσομοίωσης. Μπορεί να μειωθεί για να βελτιωθεί η προσομοίωση των κινούμενων αντικειμένων, με πιθανή αύξηση της cpu και το φορτίο του δικτύου.</v>
      </c>
      <c r="O707" s="21" t="str">
        <f ca="1">IFERROR(__xludf.DUMMYFUNCTION("GOOGLETRANSLATE($B707,""en"",O$3)"),"Tämä määrittelee nopeuden useiden simulointi tapahtumia. Se voidaan vähentää parantamaan simulointi liikkuvia kohteita, mahdollisesti lisätä CPU ja verkon kuormitusta.")</f>
        <v>Tämä määrittelee nopeuden useiden simulointi tapahtumia. Se voidaan vähentää parantamaan simulointi liikkuvia kohteita, mahdollisesti lisätä CPU ja verkon kuormitusta.</v>
      </c>
      <c r="P707" s="21" t="str">
        <f ca="1">IFERROR(__xludf.DUMMYFUNCTION("GOOGLETRANSLATE($B707,""en"",P$3)"),"Sainmhíníonn sé seo an ráta na n-imeachtaí insamhalta éagsúla. Is féidir é a laghdú go dtí feabhas a chur ar an ionsamhladh le rudaí ag gluaiseacht, le méadú féideartha ar cpu agus ualach líonra.")</f>
        <v>Sainmhíníonn sé seo an ráta na n-imeachtaí insamhalta éagsúla. Is féidir é a laghdú go dtí feabhas a chur ar an ionsamhladh le rudaí ag gluaiseacht, le méadú féideartha ar cpu agus ualach líonra.</v>
      </c>
      <c r="Q707" s="21" t="str">
        <f ca="1">IFERROR(__xludf.DUMMYFUNCTION("GOOGLETRANSLATE($B707,""en"",Q$3)"),"این نرخ از چند رویداد شبیه سازی تعریف می کند. می توان آن را کاهش داد برای بهبود شبیه سازی از اشیاء در حال حرکت، با افزایش احتمالی پردازنده و بار شبکه.")</f>
        <v>این نرخ از چند رویداد شبیه سازی تعریف می کند. می توان آن را کاهش داد برای بهبود شبیه سازی از اشیاء در حال حرکت، با افزایش احتمالی پردازنده و بار شبکه.</v>
      </c>
      <c r="R707" s="21" t="str">
        <f ca="1">IFERROR(__xludf.DUMMYFUNCTION("GOOGLETRANSLATE($B707,""en"",R$3)"),"זה מגדיר את קצב אירועי סימולציה מספר. זה יכול להיות מופחת כדי לשפר את ההדמיה של אובייקטים נעים, עם עלייה אפשרית של המעבד ואת העומס ברשת.")</f>
        <v>זה מגדיר את קצב אירועי סימולציה מספר. זה יכול להיות מופחת כדי לשפר את ההדמיה של אובייקטים נעים, עם עלייה אפשרית של המעבד ואת העומס ברשת.</v>
      </c>
      <c r="S707" s="21" t="str">
        <f ca="1">IFERROR(__xludf.DUMMYFUNCTION("GOOGLETRANSLATE($B707,""en"",S$3)"),"Þetta skilgreinir hlutfall af nokkrum atburðum uppgerð. Það er hægt að minnka til að bæta eftirlíkingu af áhrifamikill mótmæla, með hugsanlegri aukningu á CPU og net hlaða.")</f>
        <v>Þetta skilgreinir hlutfall af nokkrum atburðum uppgerð. Það er hægt að minnka til að bæta eftirlíkingu af áhrifamikill mótmæla, með hugsanlegri aukningu á CPU og net hlaða.</v>
      </c>
      <c r="T707" s="21" t="str">
        <f ca="1">IFERROR(__xludf.DUMMYFUNCTION("GOOGLETRANSLATE($B707,""en"",T$3)"),"Dette definerer frekvensen av flere simuleringshendelser. Det kan bli redusert for å forbedre simulering av bevegelige objekter, med mulig økning av CPU og nettverksbelastning.")</f>
        <v>Dette definerer frekvensen av flere simuleringshendelser. Det kan bli redusert for å forbedre simulering av bevegelige objekter, med mulig økning av CPU og nettverksbelastning.</v>
      </c>
      <c r="U707" s="21" t="str">
        <f ca="1">IFERROR(__xludf.DUMMYFUNCTION("GOOGLETRANSLATE($B707,""en"",U$3)"),"هذا يحدد معدل العديد من الأحداث المحاكاة. ويمكن تخفيضها إلى تحسين محاكاة الأجسام المتحركة، مع الزيادة المحتملة من وحدة المعالجة المركزية وتحميل الشبكة.")</f>
        <v>هذا يحدد معدل العديد من الأحداث المحاكاة. ويمكن تخفيضها إلى تحسين محاكاة الأجسام المتحركة، مع الزيادة المحتملة من وحدة المعالجة المركزية وتحميل الشبكة.</v>
      </c>
      <c r="V707" s="21" t="str">
        <f ca="1">IFERROR(__xludf.DUMMYFUNCTION("GOOGLETRANSLATE($B707,""en"",V$3)"),"To definiuje współczynnik kilku zdarzeń symulacyjnych. To może być zmniejszona do poprawy symulację poruszających się obiektów, z możliwym wzrostem procesora i obciążenie sieci.")</f>
        <v>To definiuje współczynnik kilku zdarzeń symulacyjnych. To może być zmniejszona do poprawy symulację poruszających się obiektów, z możliwym wzrostem procesora i obciążenie sieci.</v>
      </c>
      <c r="W707" s="21" t="str">
        <f ca="1">IFERROR(__xludf.DUMMYFUNCTION("GOOGLETRANSLATE($B707,""en"",W$3)"),"Это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f>
        <v>Это определяет скорость несколько событий моделирования. Он может быть уменьшен для улучшения моделирования движущихся объектов, с возможным увеличением центрального процессора и сетевой нагрузки.</v>
      </c>
      <c r="X707" s="21" t="str">
        <f ca="1">IFERROR(__xludf.DUMMYFUNCTION("GOOGLETRANSLATE($B707,""en"",X$3)"),"Esto define la velocidad de varios eventos de simulación. Puede ser reducido para mejorar la simulación de objetos en movimiento, con posible aumento de la CPU y la carga de la red.")</f>
        <v>Esto define la velocidad de varios eventos de simulación. Puede ser reducido para mejorar la simulación de objetos en movimiento, con posible aumento de la CPU y la carga de la red.</v>
      </c>
      <c r="Y707" s="21"/>
      <c r="Z707" s="21"/>
    </row>
    <row r="708" spans="1:26" ht="32.25" customHeight="1" x14ac:dyDescent="0.2">
      <c r="A708" s="17" t="s">
        <v>1516</v>
      </c>
      <c r="B708" s="17" t="s">
        <v>1517</v>
      </c>
      <c r="C708" s="21" t="str">
        <f ca="1">IFERROR(__xludf.DUMMYFUNCTION("GOOGLETRANSLATE($B708,""en"",C$3)"),"Sim Größe")</f>
        <v>Sim Größe</v>
      </c>
      <c r="D708" s="21" t="str">
        <f ca="1">IFERROR(__xludf.DUMMYFUNCTION("GOOGLETRANSLATE($B708,""en"",D$3)"),"Sim Size")</f>
        <v>Sim Size</v>
      </c>
      <c r="E708" s="21" t="str">
        <f ca="1">IFERROR(__xludf.DUMMYFUNCTION("GOOGLETRANSLATE($B708,""en"",E$3)"),"Sim Tamanho")</f>
        <v>Sim Tamanho</v>
      </c>
      <c r="F708" s="21" t="str">
        <f ca="1">IFERROR(__xludf.DUMMYFUNCTION("GOOGLETRANSLATE($B708,""en"",F$3)"),"Sim Tamanho")</f>
        <v>Sim Tamanho</v>
      </c>
      <c r="G708" s="21" t="str">
        <f ca="1">IFERROR(__xludf.DUMMYFUNCTION("GOOGLETRANSLATE($B708,""en"",G$3)"),"Taille Sim")</f>
        <v>Taille Sim</v>
      </c>
      <c r="H708" s="21" t="str">
        <f ca="1">IFERROR(__xludf.DUMMYFUNCTION("GOOGLETRANSLATE($B708,""en"",H$3)"),"Sim neurria")</f>
        <v>Sim neurria</v>
      </c>
      <c r="I708" s="21" t="str">
        <f ca="1">IFERROR(__xludf.DUMMYFUNCTION("GOOGLETRANSLATE($B708,""en"",I$3)"),"Sim Mida")</f>
        <v>Sim Mida</v>
      </c>
      <c r="J708" s="21" t="str">
        <f ca="1">IFERROR(__xludf.DUMMYFUNCTION("GOOGLETRANSLATE($B708,""en"",J$3)"),"Sim Size")</f>
        <v>Sim Size</v>
      </c>
      <c r="K708" s="21" t="str">
        <f ca="1">IFERROR(__xludf.DUMMYFUNCTION("GOOGLETRANSLATE($B708,""en"",K$3)"),"辛大小")</f>
        <v>辛大小</v>
      </c>
      <c r="L708" s="21" t="str">
        <f ca="1">IFERROR(__xludf.DUMMYFUNCTION("GOOGLETRANSLATE($B708,""en"",L$3)"),"辛大小")</f>
        <v>辛大小</v>
      </c>
      <c r="M708" s="21" t="str">
        <f ca="1">IFERROR(__xludf.DUMMYFUNCTION("GOOGLETRANSLATE($B708,""en"",M$3)"),"Sim Grootte")</f>
        <v>Sim Grootte</v>
      </c>
      <c r="N708" s="21" t="str">
        <f ca="1">IFERROR(__xludf.DUMMYFUNCTION("GOOGLETRANSLATE($B708,""en"",N$3)"),"Sim Μέγεθος")</f>
        <v>Sim Μέγεθος</v>
      </c>
      <c r="O708" s="21" t="str">
        <f ca="1">IFERROR(__xludf.DUMMYFUNCTION("GOOGLETRANSLATE($B708,""en"",O$3)"),"Sim Koko")</f>
        <v>Sim Koko</v>
      </c>
      <c r="P708" s="21" t="str">
        <f ca="1">IFERROR(__xludf.DUMMYFUNCTION("GOOGLETRANSLATE($B708,""en"",P$3)"),"Sim Méid")</f>
        <v>Sim Méid</v>
      </c>
      <c r="Q708" s="21" t="str">
        <f ca="1">IFERROR(__xludf.DUMMYFUNCTION("GOOGLETRANSLATE($B708,""en"",Q$3)"),"اندازه سیم")</f>
        <v>اندازه سیم</v>
      </c>
      <c r="R708" s="21" t="str">
        <f ca="1">IFERROR(__xludf.DUMMYFUNCTION("GOOGLETRANSLATE($B708,""en"",R$3)"),"גודל סים")</f>
        <v>גודל סים</v>
      </c>
      <c r="S708" s="21" t="str">
        <f ca="1">IFERROR(__xludf.DUMMYFUNCTION("GOOGLETRANSLATE($B708,""en"",S$3)"),"Sim Stærð")</f>
        <v>Sim Stærð</v>
      </c>
      <c r="T708" s="21" t="str">
        <f ca="1">IFERROR(__xludf.DUMMYFUNCTION("GOOGLETRANSLATE($B708,""en"",T$3)"),"Størrelse Sim")</f>
        <v>Størrelse Sim</v>
      </c>
      <c r="U708" s="21" t="str">
        <f ca="1">IFERROR(__xludf.DUMMYFUNCTION("GOOGLETRANSLATE($B708,""en"",U$3)"),"سيم الحجم")</f>
        <v>سيم الحجم</v>
      </c>
      <c r="V708" s="21" t="str">
        <f ca="1">IFERROR(__xludf.DUMMYFUNCTION("GOOGLETRANSLATE($B708,""en"",V$3)"),"Rozmiar Sim")</f>
        <v>Rozmiar Sim</v>
      </c>
      <c r="W708" s="21" t="str">
        <f ca="1">IFERROR(__xludf.DUMMYFUNCTION("GOOGLETRANSLATE($B708,""en"",W$3)"),"Sim Размер")</f>
        <v>Sim Размер</v>
      </c>
      <c r="X708" s="21" t="str">
        <f ca="1">IFERROR(__xludf.DUMMYFUNCTION("GOOGLETRANSLATE($B708,""en"",X$3)"),"Sim Tamaño")</f>
        <v>Sim Tamaño</v>
      </c>
      <c r="Y708" s="21"/>
      <c r="Z708" s="21"/>
    </row>
    <row r="709" spans="1:26" ht="32.25" customHeight="1" x14ac:dyDescent="0.2">
      <c r="A709" s="17" t="s">
        <v>1518</v>
      </c>
      <c r="B709" s="17" t="s">
        <v>1519</v>
      </c>
      <c r="C709" s="21" t="str">
        <f ca="1">IFERROR(__xludf.DUMMYFUNCTION("GOOGLETRANSLATE($B709,""en"",C$3)"),"Einfach, aber schnell")</f>
        <v>Einfach, aber schnell</v>
      </c>
      <c r="D709" s="21" t="str">
        <f ca="1">IFERROR(__xludf.DUMMYFUNCTION("GOOGLETRANSLATE($B709,""en"",D$3)"),"Enkelt men snabbt")</f>
        <v>Enkelt men snabbt</v>
      </c>
      <c r="E709" s="21" t="str">
        <f ca="1">IFERROR(__xludf.DUMMYFUNCTION("GOOGLETRANSLATE($B709,""en"",E$3)"),"Simples, mas rápido")</f>
        <v>Simples, mas rápido</v>
      </c>
      <c r="F709" s="21" t="str">
        <f ca="1">IFERROR(__xludf.DUMMYFUNCTION("GOOGLETRANSLATE($B709,""en"",F$3)"),"Simples, mas rápido")</f>
        <v>Simples, mas rápido</v>
      </c>
      <c r="G709" s="21" t="str">
        <f ca="1">IFERROR(__xludf.DUMMYFUNCTION("GOOGLETRANSLATE($B709,""en"",G$3)"),"Simple mais rapide")</f>
        <v>Simple mais rapide</v>
      </c>
      <c r="H709" s="21" t="str">
        <f ca="1">IFERROR(__xludf.DUMMYFUNCTION("GOOGLETRANSLATE($B709,""en"",H$3)"),"Simple baina azkar")</f>
        <v>Simple baina azkar</v>
      </c>
      <c r="I709" s="21" t="str">
        <f ca="1">IFERROR(__xludf.DUMMYFUNCTION("GOOGLETRANSLATE($B709,""en"",I$3)"),"Simple però ràpida")</f>
        <v>Simple però ràpida</v>
      </c>
      <c r="J709" s="21" t="str">
        <f ca="1">IFERROR(__xludf.DUMMYFUNCTION("GOOGLETRANSLATE($B709,""en"",J$3)"),"Jednoduché, ale rychle")</f>
        <v>Jednoduché, ale rychle</v>
      </c>
      <c r="K709" s="21" t="str">
        <f ca="1">IFERROR(__xludf.DUMMYFUNCTION("GOOGLETRANSLATE($B709,""en"",K$3)"),"简单而快速")</f>
        <v>简单而快速</v>
      </c>
      <c r="L709" s="21" t="str">
        <f ca="1">IFERROR(__xludf.DUMMYFUNCTION("GOOGLETRANSLATE($B709,""en"",L$3)"),"簡單而快速")</f>
        <v>簡單而快速</v>
      </c>
      <c r="M709" s="21" t="str">
        <f ca="1">IFERROR(__xludf.DUMMYFUNCTION("GOOGLETRANSLATE($B709,""en"",M$3)"),"Eenvoudig maar snel")</f>
        <v>Eenvoudig maar snel</v>
      </c>
      <c r="N709" s="21" t="str">
        <f ca="1">IFERROR(__xludf.DUMMYFUNCTION("GOOGLETRANSLATE($B709,""en"",N$3)"),"Απλό αλλά γρήγορα")</f>
        <v>Απλό αλλά γρήγορα</v>
      </c>
      <c r="O709" s="21" t="str">
        <f ca="1">IFERROR(__xludf.DUMMYFUNCTION("GOOGLETRANSLATE($B709,""en"",O$3)"),"Yksinkertainen mutta nopea")</f>
        <v>Yksinkertainen mutta nopea</v>
      </c>
      <c r="P709" s="21" t="str">
        <f ca="1">IFERROR(__xludf.DUMMYFUNCTION("GOOGLETRANSLATE($B709,""en"",P$3)"),"Simplí ach go tapa")</f>
        <v>Simplí ach go tapa</v>
      </c>
      <c r="Q709" s="21" t="str">
        <f ca="1">IFERROR(__xludf.DUMMYFUNCTION("GOOGLETRANSLATE($B709,""en"",Q$3)"),"ساده اما سریع")</f>
        <v>ساده اما سریع</v>
      </c>
      <c r="R709" s="21" t="str">
        <f ca="1">IFERROR(__xludf.DUMMYFUNCTION("GOOGLETRANSLATE($B709,""en"",R$3)"),"פשוט אך מהר")</f>
        <v>פשוט אך מהר</v>
      </c>
      <c r="S709" s="21" t="str">
        <f ca="1">IFERROR(__xludf.DUMMYFUNCTION("GOOGLETRANSLATE($B709,""en"",S$3)"),"Einföld en hratt")</f>
        <v>Einföld en hratt</v>
      </c>
      <c r="T709" s="21" t="str">
        <f ca="1">IFERROR(__xludf.DUMMYFUNCTION("GOOGLETRANSLATE($B709,""en"",T$3)"),"Enkel, men rask")</f>
        <v>Enkel, men rask</v>
      </c>
      <c r="U709" s="21" t="str">
        <f ca="1">IFERROR(__xludf.DUMMYFUNCTION("GOOGLETRANSLATE($B709,""en"",U$3)"),"بسيطة ولكنها سريعة")</f>
        <v>بسيطة ولكنها سريعة</v>
      </c>
      <c r="V709" s="21" t="str">
        <f ca="1">IFERROR(__xludf.DUMMYFUNCTION("GOOGLETRANSLATE($B709,""en"",V$3)"),"Proste, ale szybko")</f>
        <v>Proste, ale szybko</v>
      </c>
      <c r="W709" s="21" t="str">
        <f ca="1">IFERROR(__xludf.DUMMYFUNCTION("GOOGLETRANSLATE($B709,""en"",W$3)"),"Простой, но быстрый")</f>
        <v>Простой, но быстрый</v>
      </c>
      <c r="X709" s="21" t="str">
        <f ca="1">IFERROR(__xludf.DUMMYFUNCTION("GOOGLETRANSLATE($B709,""en"",X$3)"),"Simple pero rápida")</f>
        <v>Simple pero rápida</v>
      </c>
      <c r="Y709" s="21"/>
      <c r="Z709" s="21"/>
    </row>
    <row r="710" spans="1:26" ht="32.25" customHeight="1" x14ac:dyDescent="0.2">
      <c r="A710" s="17" t="s">
        <v>1520</v>
      </c>
      <c r="B710" s="17" t="s">
        <v>1521</v>
      </c>
      <c r="C710" s="21" t="str">
        <f ca="1">IFERROR(__xludf.DUMMYFUNCTION("GOOGLETRANSLATE($B710,""en"",C$3)"),"Größe")</f>
        <v>Größe</v>
      </c>
      <c r="D710" s="21" t="str">
        <f ca="1">IFERROR(__xludf.DUMMYFUNCTION("GOOGLETRANSLATE($B710,""en"",D$3)"),"Storlek")</f>
        <v>Storlek</v>
      </c>
      <c r="E710" s="21" t="str">
        <f ca="1">IFERROR(__xludf.DUMMYFUNCTION("GOOGLETRANSLATE($B710,""en"",E$3)"),"Tamanho")</f>
        <v>Tamanho</v>
      </c>
      <c r="F710" s="21" t="str">
        <f ca="1">IFERROR(__xludf.DUMMYFUNCTION("GOOGLETRANSLATE($B710,""en"",F$3)"),"Tamanho")</f>
        <v>Tamanho</v>
      </c>
      <c r="G710" s="21" t="str">
        <f ca="1">IFERROR(__xludf.DUMMYFUNCTION("GOOGLETRANSLATE($B710,""en"",G$3)"),"Taille")</f>
        <v>Taille</v>
      </c>
      <c r="H710" s="21" t="str">
        <f ca="1">IFERROR(__xludf.DUMMYFUNCTION("GOOGLETRANSLATE($B710,""en"",H$3)"),"Tamaina")</f>
        <v>Tamaina</v>
      </c>
      <c r="I710" s="21" t="str">
        <f ca="1">IFERROR(__xludf.DUMMYFUNCTION("GOOGLETRANSLATE($B710,""en"",I$3)"),"mida")</f>
        <v>mida</v>
      </c>
      <c r="J710" s="21" t="str">
        <f ca="1">IFERROR(__xludf.DUMMYFUNCTION("GOOGLETRANSLATE($B710,""en"",J$3)"),"Velikost")</f>
        <v>Velikost</v>
      </c>
      <c r="K710" s="21" t="str">
        <f ca="1">IFERROR(__xludf.DUMMYFUNCTION("GOOGLETRANSLATE($B710,""en"",K$3)"),"尺寸")</f>
        <v>尺寸</v>
      </c>
      <c r="L710" s="21" t="str">
        <f ca="1">IFERROR(__xludf.DUMMYFUNCTION("GOOGLETRANSLATE($B710,""en"",L$3)"),"尺寸")</f>
        <v>尺寸</v>
      </c>
      <c r="M710" s="21" t="str">
        <f ca="1">IFERROR(__xludf.DUMMYFUNCTION("GOOGLETRANSLATE($B710,""en"",M$3)"),"Grootte")</f>
        <v>Grootte</v>
      </c>
      <c r="N710" s="21" t="str">
        <f ca="1">IFERROR(__xludf.DUMMYFUNCTION("GOOGLETRANSLATE($B710,""en"",N$3)"),"Μέγεθος")</f>
        <v>Μέγεθος</v>
      </c>
      <c r="O710" s="21" t="str">
        <f ca="1">IFERROR(__xludf.DUMMYFUNCTION("GOOGLETRANSLATE($B710,""en"",O$3)"),"Koko")</f>
        <v>Koko</v>
      </c>
      <c r="P710" s="21" t="str">
        <f ca="1">IFERROR(__xludf.DUMMYFUNCTION("GOOGLETRANSLATE($B710,""en"",P$3)"),"Méid")</f>
        <v>Méid</v>
      </c>
      <c r="Q710" s="21" t="str">
        <f ca="1">IFERROR(__xludf.DUMMYFUNCTION("GOOGLETRANSLATE($B710,""en"",Q$3)"),"اندازه")</f>
        <v>اندازه</v>
      </c>
      <c r="R710" s="21" t="str">
        <f ca="1">IFERROR(__xludf.DUMMYFUNCTION("GOOGLETRANSLATE($B710,""en"",R$3)"),"גודל")</f>
        <v>גודל</v>
      </c>
      <c r="S710" s="21" t="str">
        <f ca="1">IFERROR(__xludf.DUMMYFUNCTION("GOOGLETRANSLATE($B710,""en"",S$3)"),"stærð")</f>
        <v>stærð</v>
      </c>
      <c r="T710" s="21" t="str">
        <f ca="1">IFERROR(__xludf.DUMMYFUNCTION("GOOGLETRANSLATE($B710,""en"",T$3)"),"Størrelse")</f>
        <v>Størrelse</v>
      </c>
      <c r="U710" s="21" t="str">
        <f ca="1">IFERROR(__xludf.DUMMYFUNCTION("GOOGLETRANSLATE($B710,""en"",U$3)"),"بحجم")</f>
        <v>بحجم</v>
      </c>
      <c r="V710" s="21" t="str">
        <f ca="1">IFERROR(__xludf.DUMMYFUNCTION("GOOGLETRANSLATE($B710,""en"",V$3)"),"Rozmiar")</f>
        <v>Rozmiar</v>
      </c>
      <c r="W710" s="21" t="str">
        <f ca="1">IFERROR(__xludf.DUMMYFUNCTION("GOOGLETRANSLATE($B710,""en"",W$3)"),"Размер")</f>
        <v>Размер</v>
      </c>
      <c r="X710" s="21" t="str">
        <f ca="1">IFERROR(__xludf.DUMMYFUNCTION("GOOGLETRANSLATE($B710,""en"",X$3)"),"Talla")</f>
        <v>Talla</v>
      </c>
      <c r="Y710" s="21"/>
      <c r="Z710" s="21"/>
    </row>
    <row r="711" spans="1:26" ht="32.25" customHeight="1" x14ac:dyDescent="0.2">
      <c r="A711" s="17" t="s">
        <v>1522</v>
      </c>
      <c r="B711" s="17" t="s">
        <v>1523</v>
      </c>
      <c r="C711" s="21" t="str">
        <f ca="1">IFERROR(__xludf.DUMMYFUNCTION("GOOGLETRANSLATE($B711,""en"",C$3)"),"überspringen Autobackup")</f>
        <v>überspringen Autobackup</v>
      </c>
      <c r="D711" s="21" t="str">
        <f ca="1">IFERROR(__xludf.DUMMYFUNCTION("GOOGLETRANSLATE($B711,""en"",D$3)"),"Skip Autobackup")</f>
        <v>Skip Autobackup</v>
      </c>
      <c r="E711" s="21" t="str">
        <f ca="1">IFERROR(__xludf.DUMMYFUNCTION("GOOGLETRANSLATE($B711,""en"",E$3)"),"Ignorar Cópia de Segurança Automática")</f>
        <v>Ignorar Cópia de Segurança Automática</v>
      </c>
      <c r="F711" s="21" t="str">
        <f ca="1">IFERROR(__xludf.DUMMYFUNCTION("GOOGLETRANSLATE($B711,""en"",F$3)"),"Ignorar Cópia de Segurança Automática")</f>
        <v>Ignorar Cópia de Segurança Automática</v>
      </c>
      <c r="G711" s="21" t="str">
        <f ca="1">IFERROR(__xludf.DUMMYFUNCTION("GOOGLETRANSLATE($B711,""en"",G$3)"),"Sauter Autobackup")</f>
        <v>Sauter Autobackup</v>
      </c>
      <c r="H711" s="21" t="str">
        <f ca="1">IFERROR(__xludf.DUMMYFUNCTION("GOOGLETRANSLATE($B711,""en"",H$3)"),"jauzi Autobackup")</f>
        <v>jauzi Autobackup</v>
      </c>
      <c r="I711" s="21" t="str">
        <f ca="1">IFERROR(__xludf.DUMMYFUNCTION("GOOGLETRANSLATE($B711,""en"",I$3)"),"Ometre còpia de seguretat automàtica")</f>
        <v>Ometre còpia de seguretat automàtica</v>
      </c>
      <c r="J711" s="21" t="str">
        <f ca="1">IFERROR(__xludf.DUMMYFUNCTION("GOOGLETRANSLATE($B711,""en"",J$3)"),"Skip Autobackup")</f>
        <v>Skip Autobackup</v>
      </c>
      <c r="K711" s="21" t="str">
        <f ca="1">IFERROR(__xludf.DUMMYFUNCTION("GOOGLETRANSLATE($B711,""en"",K$3)"),"跳过自动备份")</f>
        <v>跳过自动备份</v>
      </c>
      <c r="L711" s="21" t="str">
        <f ca="1">IFERROR(__xludf.DUMMYFUNCTION("GOOGLETRANSLATE($B711,""en"",L$3)"),"跳過自動備份")</f>
        <v>跳過自動備份</v>
      </c>
      <c r="M711" s="21" t="str">
        <f ca="1">IFERROR(__xludf.DUMMYFUNCTION("GOOGLETRANSLATE($B711,""en"",M$3)"),"Skip Autobackup")</f>
        <v>Skip Autobackup</v>
      </c>
      <c r="N711" s="21" t="str">
        <f ca="1">IFERROR(__xludf.DUMMYFUNCTION("GOOGLETRANSLATE($B711,""en"",N$3)"),"Παράλειψη Autobackup")</f>
        <v>Παράλειψη Autobackup</v>
      </c>
      <c r="O711" s="21" t="str">
        <f ca="1">IFERROR(__xludf.DUMMYFUNCTION("GOOGLETRANSLATE($B711,""en"",O$3)"),"Ohita AutoBackup")</f>
        <v>Ohita AutoBackup</v>
      </c>
      <c r="P711" s="21" t="str">
        <f ca="1">IFERROR(__xludf.DUMMYFUNCTION("GOOGLETRANSLATE($B711,""en"",P$3)"),"Skip Autobackup")</f>
        <v>Skip Autobackup</v>
      </c>
      <c r="Q711" s="21" t="str">
        <f ca="1">IFERROR(__xludf.DUMMYFUNCTION("GOOGLETRANSLATE($B711,""en"",Q$3)"),"پرش AutoBackup می")</f>
        <v>پرش AutoBackup می</v>
      </c>
      <c r="R711" s="21" t="str">
        <f ca="1">IFERROR(__xludf.DUMMYFUNCTION("GOOGLETRANSLATE($B711,""en"",R$3)"),"דלג Autobackup")</f>
        <v>דלג Autobackup</v>
      </c>
      <c r="S711" s="21" t="str">
        <f ca="1">IFERROR(__xludf.DUMMYFUNCTION("GOOGLETRANSLATE($B711,""en"",S$3)"),"Skip sjálfvirkri afritun")</f>
        <v>Skip sjálfvirkri afritun</v>
      </c>
      <c r="T711" s="21" t="str">
        <f ca="1">IFERROR(__xludf.DUMMYFUNCTION("GOOGLETRANSLATE($B711,""en"",T$3)"),"Hopp Autobackup")</f>
        <v>Hopp Autobackup</v>
      </c>
      <c r="U711" s="21" t="str">
        <f ca="1">IFERROR(__xludf.DUMMYFUNCTION("GOOGLETRANSLATE($B711,""en"",U$3)"),"تخطي التحميل التلقائي")</f>
        <v>تخطي التحميل التلقائي</v>
      </c>
      <c r="V711" s="21" t="str">
        <f ca="1">IFERROR(__xludf.DUMMYFUNCTION("GOOGLETRANSLATE($B711,""en"",V$3)"),"Pomiń Autobackup")</f>
        <v>Pomiń Autobackup</v>
      </c>
      <c r="W711" s="21" t="str">
        <f ca="1">IFERROR(__xludf.DUMMYFUNCTION("GOOGLETRANSLATE($B711,""en"",W$3)"),"Пропустить Autobackup")</f>
        <v>Пропустить Autobackup</v>
      </c>
      <c r="X711" s="21" t="str">
        <f ca="1">IFERROR(__xludf.DUMMYFUNCTION("GOOGLETRANSLATE($B711,""en"",X$3)"),"Omitir copia de seguridad automática")</f>
        <v>Omitir copia de seguridad automática</v>
      </c>
      <c r="Y711" s="21"/>
      <c r="Z711" s="21"/>
    </row>
    <row r="712" spans="1:26" ht="32.25" customHeight="1" x14ac:dyDescent="0.2">
      <c r="A712" s="17" t="s">
        <v>1524</v>
      </c>
      <c r="B712" s="17" t="s">
        <v>1525</v>
      </c>
      <c r="C712" s="21" t="str">
        <f ca="1">IFERROR(__xludf.DUMMYFUNCTION("GOOGLETRANSLATE($B712,""en"",C$3)"),"Überspringen")</f>
        <v>Überspringen</v>
      </c>
      <c r="D712" s="21" t="str">
        <f ca="1">IFERROR(__xludf.DUMMYFUNCTION("GOOGLETRANSLATE($B712,""en"",D$3)"),"Hoppa")</f>
        <v>Hoppa</v>
      </c>
      <c r="E712" s="21" t="str">
        <f ca="1">IFERROR(__xludf.DUMMYFUNCTION("GOOGLETRANSLATE($B712,""en"",E$3)"),"Pular")</f>
        <v>Pular</v>
      </c>
      <c r="F712" s="21" t="str">
        <f ca="1">IFERROR(__xludf.DUMMYFUNCTION("GOOGLETRANSLATE($B712,""en"",F$3)"),"Pular")</f>
        <v>Pular</v>
      </c>
      <c r="G712" s="21" t="str">
        <f ca="1">IFERROR(__xludf.DUMMYFUNCTION("GOOGLETRANSLATE($B712,""en"",G$3)"),"Sauter")</f>
        <v>Sauter</v>
      </c>
      <c r="H712" s="21" t="str">
        <f ca="1">IFERROR(__xludf.DUMMYFUNCTION("GOOGLETRANSLATE($B712,""en"",H$3)"),"jauzi")</f>
        <v>jauzi</v>
      </c>
      <c r="I712" s="21" t="str">
        <f ca="1">IFERROR(__xludf.DUMMYFUNCTION("GOOGLETRANSLATE($B712,""en"",I$3)"),"Omet")</f>
        <v>Omet</v>
      </c>
      <c r="J712" s="21" t="str">
        <f ca="1">IFERROR(__xludf.DUMMYFUNCTION("GOOGLETRANSLATE($B712,""en"",J$3)"),"Přeskočit")</f>
        <v>Přeskočit</v>
      </c>
      <c r="K712" s="21" t="str">
        <f ca="1">IFERROR(__xludf.DUMMYFUNCTION("GOOGLETRANSLATE($B712,""en"",K$3)"),"跳跃")</f>
        <v>跳跃</v>
      </c>
      <c r="L712" s="21" t="str">
        <f ca="1">IFERROR(__xludf.DUMMYFUNCTION("GOOGLETRANSLATE($B712,""en"",L$3)"),"跳躍")</f>
        <v>跳躍</v>
      </c>
      <c r="M712" s="21" t="str">
        <f ca="1">IFERROR(__xludf.DUMMYFUNCTION("GOOGLETRANSLATE($B712,""en"",M$3)"),"Overspringen")</f>
        <v>Overspringen</v>
      </c>
      <c r="N712" s="21" t="str">
        <f ca="1">IFERROR(__xludf.DUMMYFUNCTION("GOOGLETRANSLATE($B712,""en"",N$3)"),"Παραλείπω")</f>
        <v>Παραλείπω</v>
      </c>
      <c r="O712" s="21" t="str">
        <f ca="1">IFERROR(__xludf.DUMMYFUNCTION("GOOGLETRANSLATE($B712,""en"",O$3)"),"Ohita")</f>
        <v>Ohita</v>
      </c>
      <c r="P712" s="21" t="str">
        <f ca="1">IFERROR(__xludf.DUMMYFUNCTION("GOOGLETRANSLATE($B712,""en"",P$3)"),"Scipeáil")</f>
        <v>Scipeáil</v>
      </c>
      <c r="Q712" s="21" t="str">
        <f ca="1">IFERROR(__xludf.DUMMYFUNCTION("GOOGLETRANSLATE($B712,""en"",Q$3)"),"پرش")</f>
        <v>پرش</v>
      </c>
      <c r="R712" s="21" t="str">
        <f ca="1">IFERROR(__xludf.DUMMYFUNCTION("GOOGLETRANSLATE($B712,""en"",R$3)"),"לדלג")</f>
        <v>לדלג</v>
      </c>
      <c r="S712" s="21" t="str">
        <f ca="1">IFERROR(__xludf.DUMMYFUNCTION("GOOGLETRANSLATE($B712,""en"",S$3)"),"Skip")</f>
        <v>Skip</v>
      </c>
      <c r="T712" s="21" t="str">
        <f ca="1">IFERROR(__xludf.DUMMYFUNCTION("GOOGLETRANSLATE($B712,""en"",T$3)"),"Skip")</f>
        <v>Skip</v>
      </c>
      <c r="U712" s="21" t="str">
        <f ca="1">IFERROR(__xludf.DUMMYFUNCTION("GOOGLETRANSLATE($B712,""en"",U$3)"),"تخطى")</f>
        <v>تخطى</v>
      </c>
      <c r="V712" s="21" t="str">
        <f ca="1">IFERROR(__xludf.DUMMYFUNCTION("GOOGLETRANSLATE($B712,""en"",V$3)"),"Pominąć")</f>
        <v>Pominąć</v>
      </c>
      <c r="W712" s="21" t="str">
        <f ca="1">IFERROR(__xludf.DUMMYFUNCTION("GOOGLETRANSLATE($B712,""en"",W$3)"),"Пропускать")</f>
        <v>Пропускать</v>
      </c>
      <c r="X712" s="21" t="str">
        <f ca="1">IFERROR(__xludf.DUMMYFUNCTION("GOOGLETRANSLATE($B712,""en"",X$3)"),"Omitir")</f>
        <v>Omitir</v>
      </c>
      <c r="Y712" s="21"/>
      <c r="Z712" s="21"/>
    </row>
    <row r="713" spans="1:26" ht="32.25" customHeight="1" x14ac:dyDescent="0.2">
      <c r="A713" s="17" t="s">
        <v>1526</v>
      </c>
      <c r="B713" s="17" t="s">
        <v>1527</v>
      </c>
      <c r="C713" s="21" t="str">
        <f ca="1">IFERROR(__xludf.DUMMYFUNCTION("GOOGLETRANSLATE($B713,""en"",C$3)"),"Starten eines langsamen, aber umfangreiche Datenbank-Backup")</f>
        <v>Starten eines langsamen, aber umfangreiche Datenbank-Backup</v>
      </c>
      <c r="D713" s="21" t="str">
        <f ca="1">IFERROR(__xludf.DUMMYFUNCTION("GOOGLETRANSLATE($B713,""en"",D$3)"),"Starta en långsam men omfattande databas Backup")</f>
        <v>Starta en långsam men omfattande databas Backup</v>
      </c>
      <c r="E713" s="21" t="str">
        <f ca="1">IFERROR(__xludf.DUMMYFUNCTION("GOOGLETRANSLATE($B713,""en"",E$3)"),"Iniciando um lento, mas extensa Database Backup")</f>
        <v>Iniciando um lento, mas extensa Database Backup</v>
      </c>
      <c r="F713" s="21" t="str">
        <f ca="1">IFERROR(__xludf.DUMMYFUNCTION("GOOGLETRANSLATE($B713,""en"",F$3)"),"Iniciando um lento, mas extensa Database Backup")</f>
        <v>Iniciando um lento, mas extensa Database Backup</v>
      </c>
      <c r="G713" s="21" t="str">
        <f ca="1">IFERROR(__xludf.DUMMYFUNCTION("GOOGLETRANSLATE($B713,""en"",G$3)"),"À partir d'une sauvegarde de base de données lente mais étendue")</f>
        <v>À partir d'une sauvegarde de base de données lente mais étendue</v>
      </c>
      <c r="H713" s="21" t="str">
        <f ca="1">IFERROR(__xludf.DUMMYFUNCTION("GOOGLETRANSLATE($B713,""en"",H$3)"),"Pixkanaka baina zabala Database Backup bat hasi")</f>
        <v>Pixkanaka baina zabala Database Backup bat hasi</v>
      </c>
      <c r="I713" s="21" t="str">
        <f ca="1">IFERROR(__xludf.DUMMYFUNCTION("GOOGLETRANSLATE($B713,""en"",I$3)"),"A partir d'un lent però extensa base de dades de còpia de seguretat")</f>
        <v>A partir d'un lent però extensa base de dades de còpia de seguretat</v>
      </c>
      <c r="J713" s="21" t="str">
        <f ca="1">IFERROR(__xludf.DUMMYFUNCTION("GOOGLETRANSLATE($B713,""en"",J$3)"),"Spuštění pomalý, ale rozsáhlé databáze zálohování")</f>
        <v>Spuštění pomalý, ale rozsáhlé databáze zálohování</v>
      </c>
      <c r="K713" s="21" t="str">
        <f ca="1">IFERROR(__xludf.DUMMYFUNCTION("GOOGLETRANSLATE($B713,""en"",K$3)"),"开始缓慢而广泛的数据库备份")</f>
        <v>开始缓慢而广泛的数据库备份</v>
      </c>
      <c r="L713" s="21" t="str">
        <f ca="1">IFERROR(__xludf.DUMMYFUNCTION("GOOGLETRANSLATE($B713,""en"",L$3)"),"開始緩慢而廣泛的數據庫備份")</f>
        <v>開始緩慢而廣泛的數據庫備份</v>
      </c>
      <c r="M713" s="21" t="str">
        <f ca="1">IFERROR(__xludf.DUMMYFUNCTION("GOOGLETRANSLATE($B713,""en"",M$3)"),"Het starten van een langzame maar uitgebreide database Backup")</f>
        <v>Het starten van een langzame maar uitgebreide database Backup</v>
      </c>
      <c r="N713" s="21" t="str">
        <f ca="1">IFERROR(__xludf.DUMMYFUNCTION("GOOGLETRANSLATE($B713,""en"",N$3)"),"Ξεκινώντας μια αργή αλλά εκτεταμένη βάση δεδομένων αντιγράφων ασφαλείας")</f>
        <v>Ξεκινώντας μια αργή αλλά εκτεταμένη βάση δεδομένων αντιγράφων ασφαλείας</v>
      </c>
      <c r="O713" s="21" t="str">
        <f ca="1">IFERROR(__xludf.DUMMYFUNCTION("GOOGLETRANSLATE($B713,""en"",O$3)"),"Aloittaminen hidas mutta laaja Database Backup")</f>
        <v>Aloittaminen hidas mutta laaja Database Backup</v>
      </c>
      <c r="P713" s="21" t="str">
        <f ca="1">IFERROR(__xludf.DUMMYFUNCTION("GOOGLETRANSLATE($B713,""en"",P$3)"),"Ag Tosú Cúltaca Bunachar Sonraí mall ach fairsing")</f>
        <v>Ag Tosú Cúltaca Bunachar Sonraí mall ach fairsing</v>
      </c>
      <c r="Q713" s="21" t="str">
        <f ca="1">IFERROR(__xludf.DUMMYFUNCTION("GOOGLETRANSLATE($B713,""en"",Q$3)"),"شروع یک پایگاه داده پشتیبان گیری آهسته اما گسترده")</f>
        <v>شروع یک پایگاه داده پشتیبان گیری آهسته اما گسترده</v>
      </c>
      <c r="R713" s="21" t="str">
        <f ca="1">IFERROR(__xludf.DUMMYFUNCTION("GOOGLETRANSLATE($B713,""en"",R$3)"),"התחלת גיבוי מסד איטי אך נרחב")</f>
        <v>התחלת גיבוי מסד איטי אך נרחב</v>
      </c>
      <c r="S713" s="21" t="str">
        <f ca="1">IFERROR(__xludf.DUMMYFUNCTION("GOOGLETRANSLATE($B713,""en"",S$3)"),"Byrjar hægur en víðtækur gagnagrunnur Backup")</f>
        <v>Byrjar hægur en víðtækur gagnagrunnur Backup</v>
      </c>
      <c r="T713" s="21" t="str">
        <f ca="1">IFERROR(__xludf.DUMMYFUNCTION("GOOGLETRANSLATE($B713,""en"",T$3)"),"Starte en langsom, men omfattende Database Backup")</f>
        <v>Starte en langsom, men omfattende Database Backup</v>
      </c>
      <c r="U713" s="21" t="str">
        <f ca="1">IFERROR(__xludf.DUMMYFUNCTION("GOOGLETRANSLATE($B713,""en"",U$3)"),"بدء بطيء ولكنه واسع قاعدة بيانات النسخ الاحتياطي")</f>
        <v>بدء بطيء ولكنه واسع قاعدة بيانات النسخ الاحتياطي</v>
      </c>
      <c r="V713" s="21" t="str">
        <f ca="1">IFERROR(__xludf.DUMMYFUNCTION("GOOGLETRANSLATE($B713,""en"",V$3)"),"Począwszy powolny ale bogate Database Backup")</f>
        <v>Począwszy powolny ale bogate Database Backup</v>
      </c>
      <c r="W713" s="21" t="str">
        <f ca="1">IFERROR(__xludf.DUMMYFUNCTION("GOOGLETRANSLATE($B713,""en"",W$3)"),"Начиная медленно, но обширную резервную копию базы данных")</f>
        <v>Начиная медленно, но обширную резервную копию базы данных</v>
      </c>
      <c r="X713" s="21" t="str">
        <f ca="1">IFERROR(__xludf.DUMMYFUNCTION("GOOGLETRANSLATE($B713,""en"",X$3)"),"A partir de un lento pero extensa base de datos de copia de seguridad")</f>
        <v>A partir de un lento pero extensa base de datos de copia de seguridad</v>
      </c>
      <c r="Y713" s="21"/>
      <c r="Z713" s="21"/>
    </row>
    <row r="714" spans="1:26" ht="32.25" customHeight="1" x14ac:dyDescent="0.2">
      <c r="A714" s="17" t="s">
        <v>1528</v>
      </c>
      <c r="B714" s="17" t="s">
        <v>1529</v>
      </c>
      <c r="C714" s="21" t="str">
        <f ca="1">IFERROR(__xludf.DUMMYFUNCTION("GOOGLETRANSLATE($B714,""en"",C$3)"),"Kleine Metro Karte")</f>
        <v>Kleine Metro Karte</v>
      </c>
      <c r="D714" s="21" t="str">
        <f ca="1">IFERROR(__xludf.DUMMYFUNCTION("GOOGLETRANSLATE($B714,""en"",D$3)"),"Small Metro karta")</f>
        <v>Small Metro karta</v>
      </c>
      <c r="E714" s="21" t="str">
        <f ca="1">IFERROR(__xludf.DUMMYFUNCTION("GOOGLETRANSLATE($B714,""en"",E$3)"),"mapa Metro pequena")</f>
        <v>mapa Metro pequena</v>
      </c>
      <c r="F714" s="21" t="str">
        <f ca="1">IFERROR(__xludf.DUMMYFUNCTION("GOOGLETRANSLATE($B714,""en"",F$3)"),"mapa Metro pequena")</f>
        <v>mapa Metro pequena</v>
      </c>
      <c r="G714" s="21" t="str">
        <f ca="1">IFERROR(__xludf.DUMMYFUNCTION("GOOGLETRANSLATE($B714,""en"",G$3)"),"Petite carte Metro")</f>
        <v>Petite carte Metro</v>
      </c>
      <c r="H714" s="21" t="str">
        <f ca="1">IFERROR(__xludf.DUMMYFUNCTION("GOOGLETRANSLATE($B714,""en"",H$3)"),"Small Metro mapa")</f>
        <v>Small Metro mapa</v>
      </c>
      <c r="I714" s="21" t="str">
        <f ca="1">IFERROR(__xludf.DUMMYFUNCTION("GOOGLETRANSLATE($B714,""en"",I$3)"),"Mapa petita de metro")</f>
        <v>Mapa petita de metro</v>
      </c>
      <c r="J714" s="21" t="str">
        <f ca="1">IFERROR(__xludf.DUMMYFUNCTION("GOOGLETRANSLATE($B714,""en"",J$3)"),"mapa malá Metro")</f>
        <v>mapa malá Metro</v>
      </c>
      <c r="K714" s="21" t="str">
        <f ca="1">IFERROR(__xludf.DUMMYFUNCTION("GOOGLETRANSLATE($B714,""en"",K$3)"),"小地铁地图")</f>
        <v>小地铁地图</v>
      </c>
      <c r="L714" s="21" t="str">
        <f ca="1">IFERROR(__xludf.DUMMYFUNCTION("GOOGLETRANSLATE($B714,""en"",L$3)"),"小地鐵地圖")</f>
        <v>小地鐵地圖</v>
      </c>
      <c r="M714" s="21" t="str">
        <f ca="1">IFERROR(__xludf.DUMMYFUNCTION("GOOGLETRANSLATE($B714,""en"",M$3)"),"Kleine Metro kaart")</f>
        <v>Kleine Metro kaart</v>
      </c>
      <c r="N714" s="21" t="str">
        <f ca="1">IFERROR(__xludf.DUMMYFUNCTION("GOOGLETRANSLATE($B714,""en"",N$3)"),"Χάρτης Μικρές μετρό")</f>
        <v>Χάρτης Μικρές μετρό</v>
      </c>
      <c r="O714" s="21" t="str">
        <f ca="1">IFERROR(__xludf.DUMMYFUNCTION("GOOGLETRANSLATE($B714,""en"",O$3)"),"Pieni Metro kartta")</f>
        <v>Pieni Metro kartta</v>
      </c>
      <c r="P714" s="21" t="str">
        <f ca="1">IFERROR(__xludf.DUMMYFUNCTION("GOOGLETRANSLATE($B714,""en"",P$3)"),"léarscáil Beaga Metro")</f>
        <v>léarscáil Beaga Metro</v>
      </c>
      <c r="Q714" s="21" t="str">
        <f ca="1">IFERROR(__xludf.DUMMYFUNCTION("GOOGLETRANSLATE($B714,""en"",Q$3)"),"نقشه مترو کوچک")</f>
        <v>نقشه مترو کوچک</v>
      </c>
      <c r="R714" s="21" t="str">
        <f ca="1">IFERROR(__xludf.DUMMYFUNCTION("GOOGLETRANSLATE($B714,""en"",R$3)"),"המפה הקטנה מטרו")</f>
        <v>המפה הקטנה מטרו</v>
      </c>
      <c r="S714" s="21" t="str">
        <f ca="1">IFERROR(__xludf.DUMMYFUNCTION("GOOGLETRANSLATE($B714,""en"",S$3)"),"Kortið lítill Metro")</f>
        <v>Kortið lítill Metro</v>
      </c>
      <c r="T714" s="21" t="str">
        <f ca="1">IFERROR(__xludf.DUMMYFUNCTION("GOOGLETRANSLATE($B714,""en"",T$3)"),"Liten Metro kartet")</f>
        <v>Liten Metro kartet</v>
      </c>
      <c r="U714" s="21" t="str">
        <f ca="1">IFERROR(__xludf.DUMMYFUNCTION("GOOGLETRANSLATE($B714,""en"",U$3)"),"خريطة مترو الصغيرة")</f>
        <v>خريطة مترو الصغيرة</v>
      </c>
      <c r="V714" s="21" t="str">
        <f ca="1">IFERROR(__xludf.DUMMYFUNCTION("GOOGLETRANSLATE($B714,""en"",V$3)"),"mapa mały Metro")</f>
        <v>mapa mały Metro</v>
      </c>
      <c r="W714" s="21" t="str">
        <f ca="1">IFERROR(__xludf.DUMMYFUNCTION("GOOGLETRANSLATE($B714,""en"",W$3)"),"карта Малого метро")</f>
        <v>карта Малого метро</v>
      </c>
      <c r="X714" s="21" t="str">
        <f ca="1">IFERROR(__xludf.DUMMYFUNCTION("GOOGLETRANSLATE($B714,""en"",X$3)"),"Mapa pequeña de metro")</f>
        <v>Mapa pequeña de metro</v>
      </c>
      <c r="Y714" s="21"/>
      <c r="Z714" s="21"/>
    </row>
    <row r="715" spans="1:26" ht="32.25" customHeight="1" x14ac:dyDescent="0.2">
      <c r="A715" s="17" t="s">
        <v>1530</v>
      </c>
      <c r="B715" s="17" t="s">
        <v>1531</v>
      </c>
      <c r="C715" s="21" t="str">
        <f ca="1">IFERROR(__xludf.DUMMYFUNCTION("GOOGLETRANSLATE($B715,""en"",C$3)"),"Smart Start aktivieren")</f>
        <v>Smart Start aktivieren</v>
      </c>
      <c r="D715" s="21" t="str">
        <f ca="1">IFERROR(__xludf.DUMMYFUNCTION("GOOGLETRANSLATE($B715,""en"",D$3)"),"Smart Start Aktivera")</f>
        <v>Smart Start Aktivera</v>
      </c>
      <c r="E715" s="21" t="str">
        <f ca="1">IFERROR(__xludf.DUMMYFUNCTION("GOOGLETRANSLATE($B715,""en"",E$3)"),"Smart Start Ativar")</f>
        <v>Smart Start Ativar</v>
      </c>
      <c r="F715" s="21" t="str">
        <f ca="1">IFERROR(__xludf.DUMMYFUNCTION("GOOGLETRANSLATE($B715,""en"",F$3)"),"Smart Start Ativar")</f>
        <v>Smart Start Ativar</v>
      </c>
      <c r="G715" s="21" t="str">
        <f ca="1">IFERROR(__xludf.DUMMYFUNCTION("GOOGLETRANSLATE($B715,""en"",G$3)"),"Smart Start Activer")</f>
        <v>Smart Start Activer</v>
      </c>
      <c r="H715" s="21" t="str">
        <f ca="1">IFERROR(__xludf.DUMMYFUNCTION("GOOGLETRANSLATE($B715,""en"",H$3)"),"Smart Start gaitu")</f>
        <v>Smart Start gaitu</v>
      </c>
      <c r="I715" s="21" t="str">
        <f ca="1">IFERROR(__xludf.DUMMYFUNCTION("GOOGLETRANSLATE($B715,""en"",I$3)"),"Smart Start Enable")</f>
        <v>Smart Start Enable</v>
      </c>
      <c r="J715" s="21" t="str">
        <f ca="1">IFERROR(__xludf.DUMMYFUNCTION("GOOGLETRANSLATE($B715,""en"",J$3)"),"Smart Start Enable")</f>
        <v>Smart Start Enable</v>
      </c>
      <c r="K715" s="21" t="str">
        <f ca="1">IFERROR(__xludf.DUMMYFUNCTION("GOOGLETRANSLATE($B715,""en"",K$3)"),"聪明的开始启用")</f>
        <v>聪明的开始启用</v>
      </c>
      <c r="L715" s="21" t="str">
        <f ca="1">IFERROR(__xludf.DUMMYFUNCTION("GOOGLETRANSLATE($B715,""en"",L$3)"),"聰明的開始啟用")</f>
        <v>聰明的開始啟用</v>
      </c>
      <c r="M715" s="21" t="str">
        <f ca="1">IFERROR(__xludf.DUMMYFUNCTION("GOOGLETRANSLATE($B715,""en"",M$3)"),"Smart Start inschakelen")</f>
        <v>Smart Start inschakelen</v>
      </c>
      <c r="N715" s="21" t="str">
        <f ca="1">IFERROR(__xludf.DUMMYFUNCTION("GOOGLETRANSLATE($B715,""en"",N$3)"),"Smart Start Ενεργοποίηση")</f>
        <v>Smart Start Ενεργοποίηση</v>
      </c>
      <c r="O715" s="21" t="str">
        <f ca="1">IFERROR(__xludf.DUMMYFUNCTION("GOOGLETRANSLATE($B715,""en"",O$3)"),"Smart Start Ota")</f>
        <v>Smart Start Ota</v>
      </c>
      <c r="P715" s="21" t="str">
        <f ca="1">IFERROR(__xludf.DUMMYFUNCTION("GOOGLETRANSLATE($B715,""en"",P$3)"),"Tosaigh Smart Cumasaigh")</f>
        <v>Tosaigh Smart Cumasaigh</v>
      </c>
      <c r="Q715" s="21" t="str">
        <f ca="1">IFERROR(__xludf.DUMMYFUNCTION("GOOGLETRANSLATE($B715,""en"",Q$3)"),"شروع هوشمند فعال")</f>
        <v>شروع هوشمند فعال</v>
      </c>
      <c r="R715" s="21" t="str">
        <f ca="1">IFERROR(__xludf.DUMMYFUNCTION("GOOGLETRANSLATE($B715,""en"",R$3)"),"Smart Start Enable")</f>
        <v>Smart Start Enable</v>
      </c>
      <c r="S715" s="21" t="str">
        <f ca="1">IFERROR(__xludf.DUMMYFUNCTION("GOOGLETRANSLATE($B715,""en"",S$3)"),"Smart Start Virkja")</f>
        <v>Smart Start Virkja</v>
      </c>
      <c r="T715" s="21" t="str">
        <f ca="1">IFERROR(__xludf.DUMMYFUNCTION("GOOGLETRANSLATE($B715,""en"",T$3)"),"Smart Start Aktiver")</f>
        <v>Smart Start Aktiver</v>
      </c>
      <c r="U715" s="21" t="str">
        <f ca="1">IFERROR(__xludf.DUMMYFUNCTION("GOOGLETRANSLATE($B715,""en"",U$3)"),"البداية الذكية تمكين")</f>
        <v>البداية الذكية تمكين</v>
      </c>
      <c r="V715" s="21" t="str">
        <f ca="1">IFERROR(__xludf.DUMMYFUNCTION("GOOGLETRANSLATE($B715,""en"",V$3)"),"Smart Start Enable")</f>
        <v>Smart Start Enable</v>
      </c>
      <c r="W715" s="21" t="str">
        <f ca="1">IFERROR(__xludf.DUMMYFUNCTION("GOOGLETRANSLATE($B715,""en"",W$3)"),"Smart Start Enable")</f>
        <v>Smart Start Enable</v>
      </c>
      <c r="X715" s="21" t="str">
        <f ca="1">IFERROR(__xludf.DUMMYFUNCTION("GOOGLETRANSLATE($B715,""en"",X$3)"),"Smart Start Enable")</f>
        <v>Smart Start Enable</v>
      </c>
      <c r="Y715" s="21"/>
      <c r="Z715" s="21"/>
    </row>
    <row r="716" spans="1:26" ht="32.25" customHeight="1" x14ac:dyDescent="0.2">
      <c r="A716" s="17" t="s">
        <v>1532</v>
      </c>
      <c r="B716" s="17" t="s">
        <v>1533</v>
      </c>
      <c r="C716" s="21" t="str">
        <f ca="1">IFERROR(__xludf.DUMMYFUNCTION("GOOGLETRANSLATE($B716,""en"",C$3)"),"Smart Start")</f>
        <v>Smart Start</v>
      </c>
      <c r="D716" s="21" t="str">
        <f ca="1">IFERROR(__xludf.DUMMYFUNCTION("GOOGLETRANSLATE($B716,""en"",D$3)"),"Smart Start")</f>
        <v>Smart Start</v>
      </c>
      <c r="E716" s="21" t="str">
        <f ca="1">IFERROR(__xludf.DUMMYFUNCTION("GOOGLETRANSLATE($B716,""en"",E$3)"),"Smart Start")</f>
        <v>Smart Start</v>
      </c>
      <c r="F716" s="21" t="str">
        <f ca="1">IFERROR(__xludf.DUMMYFUNCTION("GOOGLETRANSLATE($B716,""en"",F$3)"),"Smart Start")</f>
        <v>Smart Start</v>
      </c>
      <c r="G716" s="21" t="str">
        <f ca="1">IFERROR(__xludf.DUMMYFUNCTION("GOOGLETRANSLATE($B716,""en"",G$3)"),"smart Start")</f>
        <v>smart Start</v>
      </c>
      <c r="H716" s="21" t="str">
        <f ca="1">IFERROR(__xludf.DUMMYFUNCTION("GOOGLETRANSLATE($B716,""en"",H$3)"),"Smart Start")</f>
        <v>Smart Start</v>
      </c>
      <c r="I716" s="21" t="str">
        <f ca="1">IFERROR(__xludf.DUMMYFUNCTION("GOOGLETRANSLATE($B716,""en"",I$3)"),"smart Start")</f>
        <v>smart Start</v>
      </c>
      <c r="J716" s="21" t="str">
        <f ca="1">IFERROR(__xludf.DUMMYFUNCTION("GOOGLETRANSLATE($B716,""en"",J$3)"),"smart start")</f>
        <v>smart start</v>
      </c>
      <c r="K716" s="21" t="str">
        <f ca="1">IFERROR(__xludf.DUMMYFUNCTION("GOOGLETRANSLATE($B716,""en"",K$3)"),"智能启动")</f>
        <v>智能启动</v>
      </c>
      <c r="L716" s="21" t="str">
        <f ca="1">IFERROR(__xludf.DUMMYFUNCTION("GOOGLETRANSLATE($B716,""en"",L$3)"),"智能啟動")</f>
        <v>智能啟動</v>
      </c>
      <c r="M716" s="21" t="str">
        <f ca="1">IFERROR(__xludf.DUMMYFUNCTION("GOOGLETRANSLATE($B716,""en"",M$3)"),"Smart Start")</f>
        <v>Smart Start</v>
      </c>
      <c r="N716" s="21" t="str">
        <f ca="1">IFERROR(__xludf.DUMMYFUNCTION("GOOGLETRANSLATE($B716,""en"",N$3)"),"Smart Start")</f>
        <v>Smart Start</v>
      </c>
      <c r="O716" s="21" t="str">
        <f ca="1">IFERROR(__xludf.DUMMYFUNCTION("GOOGLETRANSLATE($B716,""en"",O$3)"),"Smart Start")</f>
        <v>Smart Start</v>
      </c>
      <c r="P716" s="21" t="str">
        <f ca="1">IFERROR(__xludf.DUMMYFUNCTION("GOOGLETRANSLATE($B716,""en"",P$3)"),"Tosaigh Smart")</f>
        <v>Tosaigh Smart</v>
      </c>
      <c r="Q716" s="21" t="str">
        <f ca="1">IFERROR(__xludf.DUMMYFUNCTION("GOOGLETRANSLATE($B716,""en"",Q$3)"),"شروع هوشمند")</f>
        <v>شروع هوشمند</v>
      </c>
      <c r="R716" s="21" t="str">
        <f ca="1">IFERROR(__xludf.DUMMYFUNCTION("GOOGLETRANSLATE($B716,""en"",R$3)"),"Smart Start")</f>
        <v>Smart Start</v>
      </c>
      <c r="S716" s="21" t="str">
        <f ca="1">IFERROR(__xludf.DUMMYFUNCTION("GOOGLETRANSLATE($B716,""en"",S$3)"),"Smart Start")</f>
        <v>Smart Start</v>
      </c>
      <c r="T716" s="21" t="str">
        <f ca="1">IFERROR(__xludf.DUMMYFUNCTION("GOOGLETRANSLATE($B716,""en"",T$3)"),"Smart start")</f>
        <v>Smart start</v>
      </c>
      <c r="U716" s="21" t="str">
        <f ca="1">IFERROR(__xludf.DUMMYFUNCTION("GOOGLETRANSLATE($B716,""en"",U$3)"),"البداية الذكية")</f>
        <v>البداية الذكية</v>
      </c>
      <c r="V716" s="21" t="str">
        <f ca="1">IFERROR(__xludf.DUMMYFUNCTION("GOOGLETRANSLATE($B716,""en"",V$3)"),"Smart start")</f>
        <v>Smart start</v>
      </c>
      <c r="W716" s="21" t="str">
        <f ca="1">IFERROR(__xludf.DUMMYFUNCTION("GOOGLETRANSLATE($B716,""en"",W$3)"),"Smart Start")</f>
        <v>Smart Start</v>
      </c>
      <c r="X716" s="21" t="str">
        <f ca="1">IFERROR(__xludf.DUMMYFUNCTION("GOOGLETRANSLATE($B716,""en"",X$3)"),"Inicio inteligente")</f>
        <v>Inicio inteligente</v>
      </c>
      <c r="Y716" s="21"/>
      <c r="Z716" s="21"/>
    </row>
    <row r="717" spans="1:26" ht="32.25" customHeight="1" x14ac:dyDescent="0.2">
      <c r="A717" s="17" t="s">
        <v>1534</v>
      </c>
      <c r="B717" s="17" t="s">
        <v>1535</v>
      </c>
      <c r="C717" s="21" t="str">
        <f ca="1">IFERROR(__xludf.DUMMYFUNCTION("GOOGLETRANSLATE($B717,""en"",C$3)"),"SMTP-E-Mail schicken Konto")</f>
        <v>SMTP-E-Mail schicken Konto</v>
      </c>
      <c r="D717" s="21" t="str">
        <f ca="1">IFERROR(__xludf.DUMMYFUNCTION("GOOGLETRANSLATE($B717,""en"",D$3)"),"SMTP Send e-postkonto")</f>
        <v>SMTP Send e-postkonto</v>
      </c>
      <c r="E717" s="21" t="str">
        <f ca="1">IFERROR(__xludf.DUMMYFUNCTION("GOOGLETRANSLATE($B717,""en"",E$3)"),"SMTP conta Enviar E-mail")</f>
        <v>SMTP conta Enviar E-mail</v>
      </c>
      <c r="F717" s="21" t="str">
        <f ca="1">IFERROR(__xludf.DUMMYFUNCTION("GOOGLETRANSLATE($B717,""en"",F$3)"),"SMTP conta Enviar E-mail")</f>
        <v>SMTP conta Enviar E-mail</v>
      </c>
      <c r="G717" s="21" t="str">
        <f ca="1">IFERROR(__xludf.DUMMYFUNCTION("GOOGLETRANSLATE($B717,""en"",G$3)"),"SMTP Envoyer un email compte")</f>
        <v>SMTP Envoyer un email compte</v>
      </c>
      <c r="H717" s="21" t="str">
        <f ca="1">IFERROR(__xludf.DUMMYFUNCTION("GOOGLETRANSLATE($B717,""en"",H$3)"),"SMTP bidali email kontua")</f>
        <v>SMTP bidali email kontua</v>
      </c>
      <c r="I717" s="21" t="str">
        <f ca="1">IFERROR(__xludf.DUMMYFUNCTION("GOOGLETRANSLATE($B717,""en"",I$3)"),"Compte de correu electrònic SMTP Enviar")</f>
        <v>Compte de correu electrònic SMTP Enviar</v>
      </c>
      <c r="J717" s="21" t="str">
        <f ca="1">IFERROR(__xludf.DUMMYFUNCTION("GOOGLETRANSLATE($B717,""en"",J$3)"),"SMTP Odeslat e-mailový účet")</f>
        <v>SMTP Odeslat e-mailový účet</v>
      </c>
      <c r="K717" s="21" t="str">
        <f ca="1">IFERROR(__xludf.DUMMYFUNCTION("GOOGLETRANSLATE($B717,""en"",K$3)"),"SMTP发送电子邮件帐户")</f>
        <v>SMTP发送电子邮件帐户</v>
      </c>
      <c r="L717" s="21" t="str">
        <f ca="1">IFERROR(__xludf.DUMMYFUNCTION("GOOGLETRANSLATE($B717,""en"",L$3)"),"SMTP發送電子郵件帳戶")</f>
        <v>SMTP發送電子郵件帳戶</v>
      </c>
      <c r="M717" s="21" t="str">
        <f ca="1">IFERROR(__xludf.DUMMYFUNCTION("GOOGLETRANSLATE($B717,""en"",M$3)"),"SMTP Send e-mail account")</f>
        <v>SMTP Send e-mail account</v>
      </c>
      <c r="N717" s="21" t="str">
        <f ca="1">IFERROR(__xludf.DUMMYFUNCTION("GOOGLETRANSLATE($B717,""en"",N$3)"),"SMTP Λογαριασμός Αποστολή Email")</f>
        <v>SMTP Λογαριασμός Αποστολή Email</v>
      </c>
      <c r="O717" s="21" t="str">
        <f ca="1">IFERROR(__xludf.DUMMYFUNCTION("GOOGLETRANSLATE($B717,""en"",O$3)"),"SMTP lähettää sähköpostia Account")</f>
        <v>SMTP lähettää sähköpostia Account</v>
      </c>
      <c r="P717" s="21" t="str">
        <f ca="1">IFERROR(__xludf.DUMMYFUNCTION("GOOGLETRANSLATE($B717,""en"",P$3)"),"SMTP Cuntas Seol Ríomhphost")</f>
        <v>SMTP Cuntas Seol Ríomhphost</v>
      </c>
      <c r="Q717" s="21" t="str">
        <f ca="1">IFERROR(__xludf.DUMMYFUNCTION("GOOGLETRANSLATE($B717,""en"",Q$3)"),"SMTP حساب ارسال ایمیل")</f>
        <v>SMTP حساب ارسال ایمیل</v>
      </c>
      <c r="R717" s="21" t="str">
        <f ca="1">IFERROR(__xludf.DUMMYFUNCTION("GOOGLETRANSLATE($B717,""en"",R$3)"),"חשבון דוא""ל שלח SMTP")</f>
        <v>חשבון דוא"ל שלח SMTP</v>
      </c>
      <c r="S717" s="21" t="str">
        <f ca="1">IFERROR(__xludf.DUMMYFUNCTION("GOOGLETRANSLATE($B717,""en"",S$3)"),"SMTP Senda netfangs")</f>
        <v>SMTP Senda netfangs</v>
      </c>
      <c r="T717" s="21" t="str">
        <f ca="1">IFERROR(__xludf.DUMMYFUNCTION("GOOGLETRANSLATE($B717,""en"",T$3)"),"SMTP Send e-postkonto")</f>
        <v>SMTP Send e-postkonto</v>
      </c>
      <c r="U717" s="21" t="str">
        <f ca="1">IFERROR(__xludf.DUMMYFUNCTION("GOOGLETRANSLATE($B717,""en"",U$3)"),"حساب إرسال البريد الإلكتروني SMTP")</f>
        <v>حساب إرسال البريد الإلكتروني SMTP</v>
      </c>
      <c r="V717" s="21" t="str">
        <f ca="1">IFERROR(__xludf.DUMMYFUNCTION("GOOGLETRANSLATE($B717,""en"",V$3)"),"SMTP Account Wyślij e-maila")</f>
        <v>SMTP Account Wyślij e-maila</v>
      </c>
      <c r="W717" s="21" t="str">
        <f ca="1">IFERROR(__xludf.DUMMYFUNCTION("GOOGLETRANSLATE($B717,""en"",W$3)"),"SMTP Send Email Account")</f>
        <v>SMTP Send Email Account</v>
      </c>
      <c r="X717" s="21" t="str">
        <f ca="1">IFERROR(__xludf.DUMMYFUNCTION("GOOGLETRANSLATE($B717,""en"",X$3)"),"Cuenta de correo electrónico SMTP Enviar")</f>
        <v>Cuenta de correo electrónico SMTP Enviar</v>
      </c>
      <c r="Y717" s="21"/>
      <c r="Z717" s="21"/>
    </row>
    <row r="718" spans="1:26" ht="32.25" customHeight="1" x14ac:dyDescent="0.2">
      <c r="A718" s="17" t="s">
        <v>1536</v>
      </c>
      <c r="B718" s="17" t="s">
        <v>1537</v>
      </c>
      <c r="C718" s="21" t="str">
        <f ca="1">IFERROR(__xludf.DUMMYFUNCTION("GOOGLETRANSLATE($B718,""en"",C$3)"),"SMTP-Host")</f>
        <v>SMTP-Host</v>
      </c>
      <c r="D718" s="21" t="str">
        <f ca="1">IFERROR(__xludf.DUMMYFUNCTION("GOOGLETRANSLATE($B718,""en"",D$3)"),"SMTP Host")</f>
        <v>SMTP Host</v>
      </c>
      <c r="E718" s="21" t="str">
        <f ca="1">IFERROR(__xludf.DUMMYFUNCTION("GOOGLETRANSLATE($B718,""en"",E$3)"),"Anfitrião SMTP")</f>
        <v>Anfitrião SMTP</v>
      </c>
      <c r="F718" s="21" t="str">
        <f ca="1">IFERROR(__xludf.DUMMYFUNCTION("GOOGLETRANSLATE($B718,""en"",F$3)"),"Anfitrião SMTP")</f>
        <v>Anfitrião SMTP</v>
      </c>
      <c r="G718" s="21" t="str">
        <f ca="1">IFERROR(__xludf.DUMMYFUNCTION("GOOGLETRANSLATE($B718,""en"",G$3)"),"hôte SMTP")</f>
        <v>hôte SMTP</v>
      </c>
      <c r="H718" s="21" t="str">
        <f ca="1">IFERROR(__xludf.DUMMYFUNCTION("GOOGLETRANSLATE($B718,""en"",H$3)"),"SMTP Host")</f>
        <v>SMTP Host</v>
      </c>
      <c r="I718" s="21" t="str">
        <f ca="1">IFERROR(__xludf.DUMMYFUNCTION("GOOGLETRANSLATE($B718,""en"",I$3)"),"host SMTP")</f>
        <v>host SMTP</v>
      </c>
      <c r="J718" s="21" t="str">
        <f ca="1">IFERROR(__xludf.DUMMYFUNCTION("GOOGLETRANSLATE($B718,""en"",J$3)"),"SMTP hostitele")</f>
        <v>SMTP hostitele</v>
      </c>
      <c r="K718" s="21" t="str">
        <f ca="1">IFERROR(__xludf.DUMMYFUNCTION("GOOGLETRANSLATE($B718,""en"",K$3)"),"SMTP主机")</f>
        <v>SMTP主机</v>
      </c>
      <c r="L718" s="21" t="str">
        <f ca="1">IFERROR(__xludf.DUMMYFUNCTION("GOOGLETRANSLATE($B718,""en"",L$3)"),"SMTP主機")</f>
        <v>SMTP主機</v>
      </c>
      <c r="M718" s="21" t="str">
        <f ca="1">IFERROR(__xludf.DUMMYFUNCTION("GOOGLETRANSLATE($B718,""en"",M$3)"),"SMTP Host")</f>
        <v>SMTP Host</v>
      </c>
      <c r="N718" s="21" t="str">
        <f ca="1">IFERROR(__xludf.DUMMYFUNCTION("GOOGLETRANSLATE($B718,""en"",N$3)"),"SMTP Host")</f>
        <v>SMTP Host</v>
      </c>
      <c r="O718" s="21" t="str">
        <f ca="1">IFERROR(__xludf.DUMMYFUNCTION("GOOGLETRANSLATE($B718,""en"",O$3)"),"SMTP-palvelimen")</f>
        <v>SMTP-palvelimen</v>
      </c>
      <c r="P718" s="21" t="str">
        <f ca="1">IFERROR(__xludf.DUMMYFUNCTION("GOOGLETRANSLATE($B718,""en"",P$3)"),"SMTP Óstríomhaire")</f>
        <v>SMTP Óstríomhaire</v>
      </c>
      <c r="Q718" s="21" t="str">
        <f ca="1">IFERROR(__xludf.DUMMYFUNCTION("GOOGLETRANSLATE($B718,""en"",Q$3)"),"هاست SMTP")</f>
        <v>هاست SMTP</v>
      </c>
      <c r="R718" s="21" t="str">
        <f ca="1">IFERROR(__xludf.DUMMYFUNCTION("GOOGLETRANSLATE($B718,""en"",R$3)"),"מארח SMTP")</f>
        <v>מארח SMTP</v>
      </c>
      <c r="S718" s="21" t="str">
        <f ca="1">IFERROR(__xludf.DUMMYFUNCTION("GOOGLETRANSLATE($B718,""en"",S$3)"),"SMTP Host")</f>
        <v>SMTP Host</v>
      </c>
      <c r="T718" s="21" t="str">
        <f ca="1">IFERROR(__xludf.DUMMYFUNCTION("GOOGLETRANSLATE($B718,""en"",T$3)"),"SMTP Host")</f>
        <v>SMTP Host</v>
      </c>
      <c r="U718" s="21" t="str">
        <f ca="1">IFERROR(__xludf.DUMMYFUNCTION("GOOGLETRANSLATE($B718,""en"",U$3)"),"المضيف SMTP")</f>
        <v>المضيف SMTP</v>
      </c>
      <c r="V718" s="21" t="str">
        <f ca="1">IFERROR(__xludf.DUMMYFUNCTION("GOOGLETRANSLATE($B718,""en"",V$3)"),"SMTP Host")</f>
        <v>SMTP Host</v>
      </c>
      <c r="W718" s="21" t="str">
        <f ca="1">IFERROR(__xludf.DUMMYFUNCTION("GOOGLETRANSLATE($B718,""en"",W$3)"),"SMTP хост")</f>
        <v>SMTP хост</v>
      </c>
      <c r="X718" s="21" t="str">
        <f ca="1">IFERROR(__xludf.DUMMYFUNCTION("GOOGLETRANSLATE($B718,""en"",X$3)"),"Host SMTP")</f>
        <v>Host SMTP</v>
      </c>
      <c r="Y718" s="21"/>
      <c r="Z718" s="21"/>
    </row>
    <row r="719" spans="1:26" ht="32.25" customHeight="1" x14ac:dyDescent="0.2">
      <c r="A719" s="17" t="s">
        <v>1538</v>
      </c>
      <c r="B719" s="17" t="s">
        <v>1539</v>
      </c>
      <c r="C719" s="21" t="str">
        <f ca="1">IFERROR(__xludf.DUMMYFUNCTION("GOOGLETRANSLATE($B719,""en"",C$3)"),"SMTP-Passwort")</f>
        <v>SMTP-Passwort</v>
      </c>
      <c r="D719" s="21" t="str">
        <f ca="1">IFERROR(__xludf.DUMMYFUNCTION("GOOGLETRANSLATE($B719,""en"",D$3)"),"SMTP Lösenord")</f>
        <v>SMTP Lösenord</v>
      </c>
      <c r="E719" s="21" t="str">
        <f ca="1">IFERROR(__xludf.DUMMYFUNCTION("GOOGLETRANSLATE($B719,""en"",E$3)"),"Senha SMTP")</f>
        <v>Senha SMTP</v>
      </c>
      <c r="F719" s="21" t="str">
        <f ca="1">IFERROR(__xludf.DUMMYFUNCTION("GOOGLETRANSLATE($B719,""en"",F$3)"),"Senha SMTP")</f>
        <v>Senha SMTP</v>
      </c>
      <c r="G719" s="21" t="str">
        <f ca="1">IFERROR(__xludf.DUMMYFUNCTION("GOOGLETRANSLATE($B719,""en"",G$3)"),"Mot de passe SMTP")</f>
        <v>Mot de passe SMTP</v>
      </c>
      <c r="H719" s="21" t="str">
        <f ca="1">IFERROR(__xludf.DUMMYFUNCTION("GOOGLETRANSLATE($B719,""en"",H$3)"),"SMTP Pasahitza")</f>
        <v>SMTP Pasahitza</v>
      </c>
      <c r="I719" s="21" t="str">
        <f ca="1">IFERROR(__xludf.DUMMYFUNCTION("GOOGLETRANSLATE($B719,""en"",I$3)"),"contrasenya SMTP")</f>
        <v>contrasenya SMTP</v>
      </c>
      <c r="J719" s="21" t="str">
        <f ca="1">IFERROR(__xludf.DUMMYFUNCTION("GOOGLETRANSLATE($B719,""en"",J$3)"),"SMTP Password")</f>
        <v>SMTP Password</v>
      </c>
      <c r="K719" s="21" t="str">
        <f ca="1">IFERROR(__xludf.DUMMYFUNCTION("GOOGLETRANSLATE($B719,""en"",K$3)"),"SMTP密码")</f>
        <v>SMTP密码</v>
      </c>
      <c r="L719" s="21" t="str">
        <f ca="1">IFERROR(__xludf.DUMMYFUNCTION("GOOGLETRANSLATE($B719,""en"",L$3)"),"SMTP密碼")</f>
        <v>SMTP密碼</v>
      </c>
      <c r="M719" s="21" t="str">
        <f ca="1">IFERROR(__xludf.DUMMYFUNCTION("GOOGLETRANSLATE($B719,""en"",M$3)"),"SMTP-wachtwoord")</f>
        <v>SMTP-wachtwoord</v>
      </c>
      <c r="N719" s="21" t="str">
        <f ca="1">IFERROR(__xludf.DUMMYFUNCTION("GOOGLETRANSLATE($B719,""en"",N$3)"),"SMTP Κωδικός")</f>
        <v>SMTP Κωδικός</v>
      </c>
      <c r="O719" s="21" t="str">
        <f ca="1">IFERROR(__xludf.DUMMYFUNCTION("GOOGLETRANSLATE($B719,""en"",O$3)"),"SMTP-salasana")</f>
        <v>SMTP-salasana</v>
      </c>
      <c r="P719" s="21" t="str">
        <f ca="1">IFERROR(__xludf.DUMMYFUNCTION("GOOGLETRANSLATE($B719,""en"",P$3)"),"SMTP Pasfhocal")</f>
        <v>SMTP Pasfhocal</v>
      </c>
      <c r="Q719" s="21" t="str">
        <f ca="1">IFERROR(__xludf.DUMMYFUNCTION("GOOGLETRANSLATE($B719,""en"",Q$3)"),"SMTP رمز عبور")</f>
        <v>SMTP رمز عبور</v>
      </c>
      <c r="R719" s="21" t="str">
        <f ca="1">IFERROR(__xludf.DUMMYFUNCTION("GOOGLETRANSLATE($B719,""en"",R$3)"),"סיסמא SMTP")</f>
        <v>סיסמא SMTP</v>
      </c>
      <c r="S719" s="21" t="str">
        <f ca="1">IFERROR(__xludf.DUMMYFUNCTION("GOOGLETRANSLATE($B719,""en"",S$3)"),"SMTP lykilorð")</f>
        <v>SMTP lykilorð</v>
      </c>
      <c r="T719" s="21" t="str">
        <f ca="1">IFERROR(__xludf.DUMMYFUNCTION("GOOGLETRANSLATE($B719,""en"",T$3)"),"SMTP passord")</f>
        <v>SMTP passord</v>
      </c>
      <c r="U719" s="21" t="str">
        <f ca="1">IFERROR(__xludf.DUMMYFUNCTION("GOOGLETRANSLATE($B719,""en"",U$3)"),"SMTP كلمة المرور")</f>
        <v>SMTP كلمة المرور</v>
      </c>
      <c r="V719" s="21" t="str">
        <f ca="1">IFERROR(__xludf.DUMMYFUNCTION("GOOGLETRANSLATE($B719,""en"",V$3)"),"Hasło SMTP")</f>
        <v>Hasło SMTP</v>
      </c>
      <c r="W719" s="21" t="str">
        <f ca="1">IFERROR(__xludf.DUMMYFUNCTION("GOOGLETRANSLATE($B719,""en"",W$3)"),"Пароль SMTP")</f>
        <v>Пароль SMTP</v>
      </c>
      <c r="X719" s="21" t="str">
        <f ca="1">IFERROR(__xludf.DUMMYFUNCTION("GOOGLETRANSLATE($B719,""en"",X$3)"),"Contraseña SMTP")</f>
        <v>Contraseña SMTP</v>
      </c>
      <c r="Y719" s="21"/>
      <c r="Z719" s="21"/>
    </row>
    <row r="720" spans="1:26" ht="32.25" customHeight="1" x14ac:dyDescent="0.2">
      <c r="A720" s="17" t="s">
        <v>1540</v>
      </c>
      <c r="B720" s="17" t="s">
        <v>1541</v>
      </c>
      <c r="C720" s="21" t="str">
        <f ca="1">IFERROR(__xludf.DUMMYFUNCTION("GOOGLETRANSLATE($B720,""en"",C$3)"),"SMTP-Port")</f>
        <v>SMTP-Port</v>
      </c>
      <c r="D720" s="21" t="str">
        <f ca="1">IFERROR(__xludf.DUMMYFUNCTION("GOOGLETRANSLATE($B720,""en"",D$3)"),"SMTP Port")</f>
        <v>SMTP Port</v>
      </c>
      <c r="E720" s="21" t="str">
        <f ca="1">IFERROR(__xludf.DUMMYFUNCTION("GOOGLETRANSLATE($B720,""en"",E$3)"),"Porta SMTP")</f>
        <v>Porta SMTP</v>
      </c>
      <c r="F720" s="21" t="str">
        <f ca="1">IFERROR(__xludf.DUMMYFUNCTION("GOOGLETRANSLATE($B720,""en"",F$3)"),"Porta SMTP")</f>
        <v>Porta SMTP</v>
      </c>
      <c r="G720" s="21" t="str">
        <f ca="1">IFERROR(__xludf.DUMMYFUNCTION("GOOGLETRANSLATE($B720,""en"",G$3)"),"SMTP Port")</f>
        <v>SMTP Port</v>
      </c>
      <c r="H720" s="21" t="str">
        <f ca="1">IFERROR(__xludf.DUMMYFUNCTION("GOOGLETRANSLATE($B720,""en"",H$3)"),"SMTP Port")</f>
        <v>SMTP Port</v>
      </c>
      <c r="I720" s="21" t="str">
        <f ca="1">IFERROR(__xludf.DUMMYFUNCTION("GOOGLETRANSLATE($B720,""en"",I$3)"),"port SMTP")</f>
        <v>port SMTP</v>
      </c>
      <c r="J720" s="21" t="str">
        <f ca="1">IFERROR(__xludf.DUMMYFUNCTION("GOOGLETRANSLATE($B720,""en"",J$3)"),"SMTP Port")</f>
        <v>SMTP Port</v>
      </c>
      <c r="K720" s="21" t="str">
        <f ca="1">IFERROR(__xludf.DUMMYFUNCTION("GOOGLETRANSLATE($B720,""en"",K$3)"),"SMTP端口")</f>
        <v>SMTP端口</v>
      </c>
      <c r="L720" s="21" t="str">
        <f ca="1">IFERROR(__xludf.DUMMYFUNCTION("GOOGLETRANSLATE($B720,""en"",L$3)"),"SMTP端口")</f>
        <v>SMTP端口</v>
      </c>
      <c r="M720" s="21" t="str">
        <f ca="1">IFERROR(__xludf.DUMMYFUNCTION("GOOGLETRANSLATE($B720,""en"",M$3)"),"SMTP Port")</f>
        <v>SMTP Port</v>
      </c>
      <c r="N720" s="21" t="str">
        <f ca="1">IFERROR(__xludf.DUMMYFUNCTION("GOOGLETRANSLATE($B720,""en"",N$3)"),"Θύρα SMTP")</f>
        <v>Θύρα SMTP</v>
      </c>
      <c r="O720" s="21" t="str">
        <f ca="1">IFERROR(__xludf.DUMMYFUNCTION("GOOGLETRANSLATE($B720,""en"",O$3)"),"SMTP-portti")</f>
        <v>SMTP-portti</v>
      </c>
      <c r="P720" s="21" t="str">
        <f ca="1">IFERROR(__xludf.DUMMYFUNCTION("GOOGLETRANSLATE($B720,""en"",P$3)"),"SMTP Port")</f>
        <v>SMTP Port</v>
      </c>
      <c r="Q720" s="21" t="str">
        <f ca="1">IFERROR(__xludf.DUMMYFUNCTION("GOOGLETRANSLATE($B720,""en"",Q$3)"),"SMTP پورت")</f>
        <v>SMTP پورت</v>
      </c>
      <c r="R720" s="21" t="str">
        <f ca="1">IFERROR(__xludf.DUMMYFUNCTION("GOOGLETRANSLATE($B720,""en"",R$3)"),"SMTP Port")</f>
        <v>SMTP Port</v>
      </c>
      <c r="S720" s="21" t="str">
        <f ca="1">IFERROR(__xludf.DUMMYFUNCTION("GOOGLETRANSLATE($B720,""en"",S$3)"),"SMTP Port")</f>
        <v>SMTP Port</v>
      </c>
      <c r="T720" s="21" t="str">
        <f ca="1">IFERROR(__xludf.DUMMYFUNCTION("GOOGLETRANSLATE($B720,""en"",T$3)"),"SMTP Port")</f>
        <v>SMTP Port</v>
      </c>
      <c r="U720" s="21" t="str">
        <f ca="1">IFERROR(__xludf.DUMMYFUNCTION("GOOGLETRANSLATE($B720,""en"",U$3)"),"ميناء SMTP")</f>
        <v>ميناء SMTP</v>
      </c>
      <c r="V720" s="21" t="str">
        <f ca="1">IFERROR(__xludf.DUMMYFUNCTION("GOOGLETRANSLATE($B720,""en"",V$3)"),"Port SMTP")</f>
        <v>Port SMTP</v>
      </c>
      <c r="W720" s="21" t="str">
        <f ca="1">IFERROR(__xludf.DUMMYFUNCTION("GOOGLETRANSLATE($B720,""en"",W$3)"),"Порт SMTP")</f>
        <v>Порт SMTP</v>
      </c>
      <c r="X720" s="21" t="str">
        <f ca="1">IFERROR(__xludf.DUMMYFUNCTION("GOOGLETRANSLATE($B720,""en"",X$3)"),"Puerto SMTP")</f>
        <v>Puerto SMTP</v>
      </c>
      <c r="Y720" s="21"/>
      <c r="Z720" s="21"/>
    </row>
    <row r="721" spans="1:26" ht="32.25" customHeight="1" x14ac:dyDescent="0.2">
      <c r="A721" s="17" t="s">
        <v>1542</v>
      </c>
      <c r="B721" s="17" t="s">
        <v>1543</v>
      </c>
      <c r="C721" s="21" t="str">
        <f ca="1">IFERROR(__xludf.DUMMYFUNCTION("GOOGLETRANSLATE($B721,""en"",C$3)"),"Jemand ist in")</f>
        <v>Jemand ist in</v>
      </c>
      <c r="D721" s="21" t="str">
        <f ca="1">IFERROR(__xludf.DUMMYFUNCTION("GOOGLETRANSLATE($B721,""en"",D$3)"),"Någon är i")</f>
        <v>Någon är i</v>
      </c>
      <c r="E721" s="21" t="str">
        <f ca="1">IFERROR(__xludf.DUMMYFUNCTION("GOOGLETRANSLATE($B721,""en"",E$3)"),"Alguém está em")</f>
        <v>Alguém está em</v>
      </c>
      <c r="F721" s="21" t="str">
        <f ca="1">IFERROR(__xludf.DUMMYFUNCTION("GOOGLETRANSLATE($B721,""en"",F$3)"),"Alguém está em")</f>
        <v>Alguém está em</v>
      </c>
      <c r="G721" s="21" t="str">
        <f ca="1">IFERROR(__xludf.DUMMYFUNCTION("GOOGLETRANSLATE($B721,""en"",G$3)"),"Quelqu'un est en")</f>
        <v>Quelqu'un est en</v>
      </c>
      <c r="H721" s="21" t="str">
        <f ca="1">IFERROR(__xludf.DUMMYFUNCTION("GOOGLETRANSLATE($B721,""en"",H$3)"),"Norbaitek da")</f>
        <v>Norbaitek da</v>
      </c>
      <c r="I721" s="21" t="str">
        <f ca="1">IFERROR(__xludf.DUMMYFUNCTION("GOOGLETRANSLATE($B721,""en"",I$3)"),"Algú està en")</f>
        <v>Algú està en</v>
      </c>
      <c r="J721" s="21" t="str">
        <f ca="1">IFERROR(__xludf.DUMMYFUNCTION("GOOGLETRANSLATE($B721,""en"",J$3)"),"Někdo je v")</f>
        <v>Někdo je v</v>
      </c>
      <c r="K721" s="21" t="str">
        <f ca="1">IFERROR(__xludf.DUMMYFUNCTION("GOOGLETRANSLATE($B721,""en"",K$3)"),"有人在")</f>
        <v>有人在</v>
      </c>
      <c r="L721" s="21" t="str">
        <f ca="1">IFERROR(__xludf.DUMMYFUNCTION("GOOGLETRANSLATE($B721,""en"",L$3)"),"有人在")</f>
        <v>有人在</v>
      </c>
      <c r="M721" s="21" t="str">
        <f ca="1">IFERROR(__xludf.DUMMYFUNCTION("GOOGLETRANSLATE($B721,""en"",M$3)"),"Iemand is in")</f>
        <v>Iemand is in</v>
      </c>
      <c r="N721" s="21" t="str">
        <f ca="1">IFERROR(__xludf.DUMMYFUNCTION("GOOGLETRANSLATE($B721,""en"",N$3)"),"Κάποιος είναι στο")</f>
        <v>Κάποιος είναι στο</v>
      </c>
      <c r="O721" s="21" t="str">
        <f ca="1">IFERROR(__xludf.DUMMYFUNCTION("GOOGLETRANSLATE($B721,""en"",O$3)"),"Joku on")</f>
        <v>Joku on</v>
      </c>
      <c r="P721" s="21" t="str">
        <f ca="1">IFERROR(__xludf.DUMMYFUNCTION("GOOGLETRANSLATE($B721,""en"",P$3)"),"Tá duine éigin i")</f>
        <v>Tá duine éigin i</v>
      </c>
      <c r="Q721" s="21" t="str">
        <f ca="1">IFERROR(__xludf.DUMMYFUNCTION("GOOGLETRANSLATE($B721,""en"",Q$3)"),"کسی که در است")</f>
        <v>کسی که در است</v>
      </c>
      <c r="R721" s="21" t="str">
        <f ca="1">IFERROR(__xludf.DUMMYFUNCTION("GOOGLETRANSLATE($B721,""en"",R$3)"),"מישהו נמצא")</f>
        <v>מישהו נמצא</v>
      </c>
      <c r="S721" s="21" t="str">
        <f ca="1">IFERROR(__xludf.DUMMYFUNCTION("GOOGLETRANSLATE($B721,""en"",S$3)"),"Einhver er í")</f>
        <v>Einhver er í</v>
      </c>
      <c r="T721" s="21" t="str">
        <f ca="1">IFERROR(__xludf.DUMMYFUNCTION("GOOGLETRANSLATE($B721,""en"",T$3)"),"Noen er i")</f>
        <v>Noen er i</v>
      </c>
      <c r="U721" s="21" t="str">
        <f ca="1">IFERROR(__xludf.DUMMYFUNCTION("GOOGLETRANSLATE($B721,""en"",U$3)"),"شخص ما في")</f>
        <v>شخص ما في</v>
      </c>
      <c r="V721" s="21" t="str">
        <f ca="1">IFERROR(__xludf.DUMMYFUNCTION("GOOGLETRANSLATE($B721,""en"",V$3)"),"Ktoś jest w")</f>
        <v>Ktoś jest w</v>
      </c>
      <c r="W721" s="21" t="str">
        <f ca="1">IFERROR(__xludf.DUMMYFUNCTION("GOOGLETRANSLATE($B721,""en"",W$3)"),"Кто-то в")</f>
        <v>Кто-то в</v>
      </c>
      <c r="X721" s="21" t="str">
        <f ca="1">IFERROR(__xludf.DUMMYFUNCTION("GOOGLETRANSLATE($B721,""en"",X$3)"),"Alguien está en")</f>
        <v>Alguien está en</v>
      </c>
      <c r="Y721" s="21"/>
      <c r="Z721" s="21"/>
    </row>
    <row r="722" spans="1:26" ht="32.25" customHeight="1" x14ac:dyDescent="0.2">
      <c r="A722" s="17" t="s">
        <v>1544</v>
      </c>
      <c r="B722" s="17" t="s">
        <v>1545</v>
      </c>
      <c r="C722" s="21" t="str">
        <f ca="1">IFERROR(__xludf.DUMMYFUNCTION("GOOGLETRANSLATE($B722,""en"",C$3)"),"Leider Hilfe ist noch nicht verfügbar für diesen.")</f>
        <v>Leider Hilfe ist noch nicht verfügbar für diesen.</v>
      </c>
      <c r="D722" s="21" t="str">
        <f ca="1">IFERROR(__xludf.DUMMYFUNCTION("GOOGLETRANSLATE($B722,""en"",D$3)"),"Tyvärr är Help ännu inte tillgänglig för detta.")</f>
        <v>Tyvärr är Help ännu inte tillgänglig för detta.</v>
      </c>
      <c r="E722" s="21" t="str">
        <f ca="1">IFERROR(__xludf.DUMMYFUNCTION("GOOGLETRANSLATE($B722,""en"",E$3)"),"Desculpe, Ajuda ainda não está disponível para isso.")</f>
        <v>Desculpe, Ajuda ainda não está disponível para isso.</v>
      </c>
      <c r="F722" s="21" t="str">
        <f ca="1">IFERROR(__xludf.DUMMYFUNCTION("GOOGLETRANSLATE($B722,""en"",F$3)"),"Desculpe, Ajuda ainda não está disponível para isso.")</f>
        <v>Desculpe, Ajuda ainda não está disponível para isso.</v>
      </c>
      <c r="G722" s="21" t="str">
        <f ca="1">IFERROR(__xludf.DUMMYFUNCTION("GOOGLETRANSLATE($B722,""en"",G$3)"),"Désolé, Aide est pas encore disponible pour cela.")</f>
        <v>Désolé, Aide est pas encore disponible pour cela.</v>
      </c>
      <c r="H722" s="21" t="str">
        <f ca="1">IFERROR(__xludf.DUMMYFUNCTION("GOOGLETRANSLATE($B722,""en"",H$3)"),"Barkatu, Help oraindik ez da honetarako.")</f>
        <v>Barkatu, Help oraindik ez da honetarako.</v>
      </c>
      <c r="I722" s="21" t="str">
        <f ca="1">IFERROR(__xludf.DUMMYFUNCTION("GOOGLETRANSLATE($B722,""en"",I$3)"),"Ho sentim, ajuda encara no està disponible per a això.")</f>
        <v>Ho sentim, ajuda encara no està disponible per a això.</v>
      </c>
      <c r="J722" s="21" t="str">
        <f ca="1">IFERROR(__xludf.DUMMYFUNCTION("GOOGLETRANSLATE($B722,""en"",J$3)"),"Je nám líto, Help ještě není k dispozici pro toto.")</f>
        <v>Je nám líto, Help ještě není k dispozici pro toto.</v>
      </c>
      <c r="K722" s="21" t="str">
        <f ca="1">IFERROR(__xludf.DUMMYFUNCTION("GOOGLETRANSLATE($B722,""en"",K$3)"),"对不起，我们尚未用于此。")</f>
        <v>对不起，我们尚未用于此。</v>
      </c>
      <c r="L722" s="21" t="str">
        <f ca="1">IFERROR(__xludf.DUMMYFUNCTION("GOOGLETRANSLATE($B722,""en"",L$3)"),"對不起，我們尚未用於此。")</f>
        <v>對不起，我們尚未用於此。</v>
      </c>
      <c r="M722" s="21" t="str">
        <f ca="1">IFERROR(__xludf.DUMMYFUNCTION("GOOGLETRANSLATE($B722,""en"",M$3)"),"Sorry, Hulp is nog niet beschikbaar voor dit.")</f>
        <v>Sorry, Hulp is nog niet beschikbaar voor dit.</v>
      </c>
      <c r="N722" s="21" t="str">
        <f ca="1">IFERROR(__xludf.DUMMYFUNCTION("GOOGLETRANSLATE($B722,""en"",N$3)"),"Δυστυχώς, Βοήθεια δεν είναι ακόμα διαθέσιμα για αυτό.")</f>
        <v>Δυστυχώς, Βοήθεια δεν είναι ακόμα διαθέσιμα για αυτό.</v>
      </c>
      <c r="O722" s="21" t="str">
        <f ca="1">IFERROR(__xludf.DUMMYFUNCTION("GOOGLETRANSLATE($B722,""en"",O$3)"),"Anteeksi, ohje ei ole vielä saatavilla tämän.")</f>
        <v>Anteeksi, ohje ei ole vielä saatavilla tämän.</v>
      </c>
      <c r="P722" s="21" t="str">
        <f ca="1">IFERROR(__xludf.DUMMYFUNCTION("GOOGLETRANSLATE($B722,""en"",P$3)"),"Is oth linn nach bhfuil cabhair ar fáil don seo go fóill.")</f>
        <v>Is oth linn nach bhfuil cabhair ar fáil don seo go fóill.</v>
      </c>
      <c r="Q722" s="21" t="str">
        <f ca="1">IFERROR(__xludf.DUMMYFUNCTION("GOOGLETRANSLATE($B722,""en"",Q$3)"),"با عرض پوزش، راهنما است هنوز برای این موجود نمی باشند.")</f>
        <v>با عرض پوزش، راهنما است هنوز برای این موجود نمی باشند.</v>
      </c>
      <c r="R722" s="21" t="str">
        <f ca="1">IFERROR(__xludf.DUMMYFUNCTION("GOOGLETRANSLATE($B722,""en"",R$3)"),"מצטערים, עזרה אינה זמינה עדיין לכך.")</f>
        <v>מצטערים, עזרה אינה זמינה עדיין לכך.</v>
      </c>
      <c r="S722" s="21" t="str">
        <f ca="1">IFERROR(__xludf.DUMMYFUNCTION("GOOGLETRANSLATE($B722,""en"",S$3)"),"Því miður, Hjálp er ekki enn í boði fyrir þetta.")</f>
        <v>Því miður, Hjálp er ekki enn í boði fyrir þetta.</v>
      </c>
      <c r="T722" s="21" t="str">
        <f ca="1">IFERROR(__xludf.DUMMYFUNCTION("GOOGLETRANSLATE($B722,""en"",T$3)"),"Beklager, er hjelpen ennå ikke tilgjengelig for dette.")</f>
        <v>Beklager, er hjelpen ennå ikke tilgjengelig for dette.</v>
      </c>
      <c r="U722" s="21" t="str">
        <f ca="1">IFERROR(__xludf.DUMMYFUNCTION("GOOGLETRANSLATE($B722,""en"",U$3)"),"عذرا، مساعدة غير متوفرة حتى الآن لهذا الغرض.")</f>
        <v>عذرا، مساعدة غير متوفرة حتى الآن لهذا الغرض.</v>
      </c>
      <c r="V722" s="21" t="str">
        <f ca="1">IFERROR(__xludf.DUMMYFUNCTION("GOOGLETRANSLATE($B722,""en"",V$3)"),"Niestety, pomoc nie jest jeszcze dostępna dla tego produktu.")</f>
        <v>Niestety, pomoc nie jest jeszcze dostępna dla tego produktu.</v>
      </c>
      <c r="W722" s="21" t="str">
        <f ca="1">IFERROR(__xludf.DUMMYFUNCTION("GOOGLETRANSLATE($B722,""en"",W$3)"),"К сожалению, Помощь пока не доступна для этого.")</f>
        <v>К сожалению, Помощь пока не доступна для этого.</v>
      </c>
      <c r="X722" s="21" t="str">
        <f ca="1">IFERROR(__xludf.DUMMYFUNCTION("GOOGLETRANSLATE($B722,""en"",X$3)"),"Lo sentimos, ayuda aún no está disponible para esto.")</f>
        <v>Lo sentimos, ayuda aún no está disponible para esto.</v>
      </c>
      <c r="Y722" s="21"/>
      <c r="Z722" s="21"/>
    </row>
    <row r="723" spans="1:26" ht="32.25" customHeight="1" x14ac:dyDescent="0.2">
      <c r="A723" s="17" t="s">
        <v>1546</v>
      </c>
      <c r="B723" s="17" t="s">
        <v>1547</v>
      </c>
      <c r="C723" s="21" t="str">
        <f ca="1">IFERROR(__xludf.DUMMYFUNCTION("GOOGLETRANSLATE($B723,""en"",C$3)"),"Quellcode")</f>
        <v>Quellcode</v>
      </c>
      <c r="D723" s="21" t="str">
        <f ca="1">IFERROR(__xludf.DUMMYFUNCTION("GOOGLETRANSLATE($B723,""en"",D$3)"),"Källkod")</f>
        <v>Källkod</v>
      </c>
      <c r="E723" s="21" t="str">
        <f ca="1">IFERROR(__xludf.DUMMYFUNCTION("GOOGLETRANSLATE($B723,""en"",E$3)"),"Código fonte")</f>
        <v>Código fonte</v>
      </c>
      <c r="F723" s="21" t="str">
        <f ca="1">IFERROR(__xludf.DUMMYFUNCTION("GOOGLETRANSLATE($B723,""en"",F$3)"),"Código fonte")</f>
        <v>Código fonte</v>
      </c>
      <c r="G723" s="21" t="str">
        <f ca="1">IFERROR(__xludf.DUMMYFUNCTION("GOOGLETRANSLATE($B723,""en"",G$3)"),"Code source")</f>
        <v>Code source</v>
      </c>
      <c r="H723" s="21" t="str">
        <f ca="1">IFERROR(__xludf.DUMMYFUNCTION("GOOGLETRANSLATE($B723,""en"",H$3)"),"Iturburu-kodearen")</f>
        <v>Iturburu-kodearen</v>
      </c>
      <c r="I723" s="21" t="str">
        <f ca="1">IFERROR(__xludf.DUMMYFUNCTION("GOOGLETRANSLATE($B723,""en"",I$3)"),"Codi font")</f>
        <v>Codi font</v>
      </c>
      <c r="J723" s="21" t="str">
        <f ca="1">IFERROR(__xludf.DUMMYFUNCTION("GOOGLETRANSLATE($B723,""en"",J$3)"),"Zdrojový kód")</f>
        <v>Zdrojový kód</v>
      </c>
      <c r="K723" s="21" t="str">
        <f ca="1">IFERROR(__xludf.DUMMYFUNCTION("GOOGLETRANSLATE($B723,""en"",K$3)"),"源代码")</f>
        <v>源代码</v>
      </c>
      <c r="L723" s="21" t="str">
        <f ca="1">IFERROR(__xludf.DUMMYFUNCTION("GOOGLETRANSLATE($B723,""en"",L$3)"),"源代碼")</f>
        <v>源代碼</v>
      </c>
      <c r="M723" s="21" t="str">
        <f ca="1">IFERROR(__xludf.DUMMYFUNCTION("GOOGLETRANSLATE($B723,""en"",M$3)"),"Broncode")</f>
        <v>Broncode</v>
      </c>
      <c r="N723" s="21" t="str">
        <f ca="1">IFERROR(__xludf.DUMMYFUNCTION("GOOGLETRANSLATE($B723,""en"",N$3)"),"πηγαίου κώδικα")</f>
        <v>πηγαίου κώδικα</v>
      </c>
      <c r="O723" s="21" t="str">
        <f ca="1">IFERROR(__xludf.DUMMYFUNCTION("GOOGLETRANSLATE($B723,""en"",O$3)"),"Lähdekoodi")</f>
        <v>Lähdekoodi</v>
      </c>
      <c r="P723" s="21" t="str">
        <f ca="1">IFERROR(__xludf.DUMMYFUNCTION("GOOGLETRANSLATE($B723,""en"",P$3)"),"Cód foinse")</f>
        <v>Cód foinse</v>
      </c>
      <c r="Q723" s="21" t="str">
        <f ca="1">IFERROR(__xludf.DUMMYFUNCTION("GOOGLETRANSLATE($B723,""en"",Q$3)"),"کد منبع")</f>
        <v>کد منبع</v>
      </c>
      <c r="R723" s="21" t="str">
        <f ca="1">IFERROR(__xludf.DUMMYFUNCTION("GOOGLETRANSLATE($B723,""en"",R$3)"),"קוד מקור")</f>
        <v>קוד מקור</v>
      </c>
      <c r="S723" s="21" t="str">
        <f ca="1">IFERROR(__xludf.DUMMYFUNCTION("GOOGLETRANSLATE($B723,""en"",S$3)"),"Source Code")</f>
        <v>Source Code</v>
      </c>
      <c r="T723" s="21" t="str">
        <f ca="1">IFERROR(__xludf.DUMMYFUNCTION("GOOGLETRANSLATE($B723,""en"",T$3)"),"Kildekode")</f>
        <v>Kildekode</v>
      </c>
      <c r="U723" s="21" t="str">
        <f ca="1">IFERROR(__xludf.DUMMYFUNCTION("GOOGLETRANSLATE($B723,""en"",U$3)"),"مصدر الرمز")</f>
        <v>مصدر الرمز</v>
      </c>
      <c r="V723" s="21" t="str">
        <f ca="1">IFERROR(__xludf.DUMMYFUNCTION("GOOGLETRANSLATE($B723,""en"",V$3)"),"Kod źródłowy")</f>
        <v>Kod źródłowy</v>
      </c>
      <c r="W723" s="21" t="str">
        <f ca="1">IFERROR(__xludf.DUMMYFUNCTION("GOOGLETRANSLATE($B723,""en"",W$3)"),"Исходный код")</f>
        <v>Исходный код</v>
      </c>
      <c r="X723" s="21" t="str">
        <f ca="1">IFERROR(__xludf.DUMMYFUNCTION("GOOGLETRANSLATE($B723,""en"",X$3)"),"Código fuente")</f>
        <v>Código fuente</v>
      </c>
      <c r="Y723" s="21"/>
      <c r="Z723" s="21"/>
    </row>
    <row r="724" spans="1:26" ht="32.25" customHeight="1" x14ac:dyDescent="0.2">
      <c r="A724" s="10" t="s">
        <v>22</v>
      </c>
      <c r="B724" s="10" t="s">
        <v>22</v>
      </c>
      <c r="C724" s="11" t="str">
        <f ca="1">IFERROR(__xludf.DUMMYFUNCTION("GOOGLETRANSLATE($B724,""en"",C$3)"),"Spanisch")</f>
        <v>Spanisch</v>
      </c>
      <c r="D724" s="11" t="str">
        <f ca="1">IFERROR(__xludf.DUMMYFUNCTION("GOOGLETRANSLATE($B724,""en"",D$3)"),"spanska")</f>
        <v>spanska</v>
      </c>
      <c r="E724" s="11" t="str">
        <f ca="1">IFERROR(__xludf.DUMMYFUNCTION("GOOGLETRANSLATE($B724,""en"",E$3)"),"espanhol")</f>
        <v>espanhol</v>
      </c>
      <c r="F724" s="11" t="str">
        <f ca="1">IFERROR(__xludf.DUMMYFUNCTION("GOOGLETRANSLATE($B724,""en"",F$3)"),"espanhol")</f>
        <v>espanhol</v>
      </c>
      <c r="G724" s="11" t="str">
        <f ca="1">IFERROR(__xludf.DUMMYFUNCTION("GOOGLETRANSLATE($B724,""en"",G$3)"),"Espagnol")</f>
        <v>Espagnol</v>
      </c>
      <c r="H724" s="11" t="str">
        <f ca="1">IFERROR(__xludf.DUMMYFUNCTION("GOOGLETRANSLATE($B724,""en"",H$3)"),"Espainiako")</f>
        <v>Espainiako</v>
      </c>
      <c r="I724" s="11" t="str">
        <f ca="1">IFERROR(__xludf.DUMMYFUNCTION("GOOGLETRANSLATE($B724,""en"",I$3)"),"espanyol")</f>
        <v>espanyol</v>
      </c>
      <c r="J724" s="11" t="str">
        <f ca="1">IFERROR(__xludf.DUMMYFUNCTION("GOOGLETRANSLATE($B724,""en"",J$3)"),"španělština")</f>
        <v>španělština</v>
      </c>
      <c r="K724" s="11" t="str">
        <f ca="1">IFERROR(__xludf.DUMMYFUNCTION("GOOGLETRANSLATE($B724,""en"",K$3)"),"西班牙语")</f>
        <v>西班牙语</v>
      </c>
      <c r="L724" s="11" t="str">
        <f ca="1">IFERROR(__xludf.DUMMYFUNCTION("GOOGLETRANSLATE($B724,""en"",L$3)"),"西班牙語")</f>
        <v>西班牙語</v>
      </c>
      <c r="M724" s="11" t="str">
        <f ca="1">IFERROR(__xludf.DUMMYFUNCTION("GOOGLETRANSLATE($B724,""en"",M$3)"),"Spaans")</f>
        <v>Spaans</v>
      </c>
      <c r="N724" s="11" t="str">
        <f ca="1">IFERROR(__xludf.DUMMYFUNCTION("GOOGLETRANSLATE($B724,""en"",N$3)"),"Ισπανικά")</f>
        <v>Ισπανικά</v>
      </c>
      <c r="O724" s="11" t="str">
        <f ca="1">IFERROR(__xludf.DUMMYFUNCTION("GOOGLETRANSLATE($B724,""en"",O$3)"),"Espanja")</f>
        <v>Espanja</v>
      </c>
      <c r="P724" s="11" t="str">
        <f ca="1">IFERROR(__xludf.DUMMYFUNCTION("GOOGLETRANSLATE($B724,""en"",P$3)"),"Spainnis")</f>
        <v>Spainnis</v>
      </c>
      <c r="Q724" s="11" t="str">
        <f ca="1">IFERROR(__xludf.DUMMYFUNCTION("GOOGLETRANSLATE($B724,""en"",Q$3)"),"اسپانیایی")</f>
        <v>اسپانیایی</v>
      </c>
      <c r="R724" s="11" t="str">
        <f ca="1">IFERROR(__xludf.DUMMYFUNCTION("GOOGLETRANSLATE($B724,""en"",R$3)"),"ספרדית")</f>
        <v>ספרדית</v>
      </c>
      <c r="S724" s="11" t="str">
        <f ca="1">IFERROR(__xludf.DUMMYFUNCTION("GOOGLETRANSLATE($B724,""en"",S$3)"),"spænska, spænskt")</f>
        <v>spænska, spænskt</v>
      </c>
      <c r="T724" s="11" t="str">
        <f ca="1">IFERROR(__xludf.DUMMYFUNCTION("GOOGLETRANSLATE($B724,""en"",T$3)"),"spansk")</f>
        <v>spansk</v>
      </c>
      <c r="U724" s="11" t="str">
        <f ca="1">IFERROR(__xludf.DUMMYFUNCTION("GOOGLETRANSLATE($B724,""en"",U$3)"),"الأسبانية")</f>
        <v>الأسبانية</v>
      </c>
      <c r="V724" s="11" t="str">
        <f ca="1">IFERROR(__xludf.DUMMYFUNCTION("GOOGLETRANSLATE($B724,""en"",V$3)"),"hiszpański")</f>
        <v>hiszpański</v>
      </c>
      <c r="W724" s="11" t="str">
        <f ca="1">IFERROR(__xludf.DUMMYFUNCTION("GOOGLETRANSLATE($B724,""en"",W$3)"),"испанский")</f>
        <v>испанский</v>
      </c>
      <c r="X724" s="11" t="str">
        <f ca="1">IFERROR(__xludf.DUMMYFUNCTION("GOOGLETRANSLATE($B724,""en"",X$3)"),"Español")</f>
        <v>Español</v>
      </c>
    </row>
    <row r="725" spans="1:26" ht="32.25" customHeight="1" x14ac:dyDescent="0.2">
      <c r="A725" s="17" t="s">
        <v>1548</v>
      </c>
      <c r="B725" s="17" t="s">
        <v>1549</v>
      </c>
      <c r="C725" s="21" t="str">
        <f ca="1">IFERROR(__xludf.DUMMYFUNCTION("GOOGLETRANSLATE($B725,""en"",C$3)"),"Viewer-Splash Screen URL:")</f>
        <v>Viewer-Splash Screen URL:</v>
      </c>
      <c r="D725" s="21" t="str">
        <f ca="1">IFERROR(__xludf.DUMMYFUNCTION("GOOGLETRANSLATE($B725,""en"",D$3)"),"Viewer Splash Screen URL:")</f>
        <v>Viewer Splash Screen URL:</v>
      </c>
      <c r="E725" s="21" t="str">
        <f ca="1">IFERROR(__xludf.DUMMYFUNCTION("GOOGLETRANSLATE($B725,""en"",E$3)"),"Visualizador do respingo URL da tela:")</f>
        <v>Visualizador do respingo URL da tela:</v>
      </c>
      <c r="F725" s="21" t="str">
        <f ca="1">IFERROR(__xludf.DUMMYFUNCTION("GOOGLETRANSLATE($B725,""en"",F$3)"),"Visualizador do respingo URL da tela:")</f>
        <v>Visualizador do respingo URL da tela:</v>
      </c>
      <c r="G725" s="21" t="str">
        <f ca="1">IFERROR(__xludf.DUMMYFUNCTION("GOOGLETRANSLATE($B725,""en"",G$3)"),"Viewer Splash URL de l'écran:")</f>
        <v>Viewer Splash URL de l'écran:</v>
      </c>
      <c r="H725" s="21" t="str">
        <f ca="1">IFERROR(__xludf.DUMMYFUNCTION("GOOGLETRANSLATE($B725,""en"",H$3)"),"Viewer Hasierako pantailarako URL:")</f>
        <v>Viewer Hasierako pantailarako URL:</v>
      </c>
      <c r="I725" s="21" t="str">
        <f ca="1">IFERROR(__xludf.DUMMYFUNCTION("GOOGLETRANSLATE($B725,""en"",I$3)"),"Visor Splash URL de pantalla:")</f>
        <v>Visor Splash URL de pantalla:</v>
      </c>
      <c r="J725" s="21" t="str">
        <f ca="1">IFERROR(__xludf.DUMMYFUNCTION("GOOGLETRANSLATE($B725,""en"",J$3)"),"Divák Splash Screen URL:")</f>
        <v>Divák Splash Screen URL:</v>
      </c>
      <c r="K725" s="21" t="str">
        <f ca="1">IFERROR(__xludf.DUMMYFUNCTION("GOOGLETRANSLATE($B725,""en"",K$3)"),"浏览器闪屏网址：")</f>
        <v>浏览器闪屏网址：</v>
      </c>
      <c r="L725" s="21" t="str">
        <f ca="1">IFERROR(__xludf.DUMMYFUNCTION("GOOGLETRANSLATE($B725,""en"",L$3)"),"瀏覽器閃屏網址：")</f>
        <v>瀏覽器閃屏網址：</v>
      </c>
      <c r="M725" s="21" t="str">
        <f ca="1">IFERROR(__xludf.DUMMYFUNCTION("GOOGLETRANSLATE($B725,""en"",M$3)"),"Viewer Beginschermblokkering URL:")</f>
        <v>Viewer Beginschermblokkering URL:</v>
      </c>
      <c r="N725" s="21" t="str">
        <f ca="1">IFERROR(__xludf.DUMMYFUNCTION("GOOGLETRANSLATE($B725,""en"",N$3)"),"Viewer Splash URL οθόνης:")</f>
        <v>Viewer Splash URL οθόνης:</v>
      </c>
      <c r="O725" s="21" t="str">
        <f ca="1">IFERROR(__xludf.DUMMYFUNCTION("GOOGLETRANSLATE($B725,""en"",O$3)"),"Katsoja Splash Screen URL:")</f>
        <v>Katsoja Splash Screen URL:</v>
      </c>
      <c r="P725" s="21" t="str">
        <f ca="1">IFERROR(__xludf.DUMMYFUNCTION("GOOGLETRANSLATE($B725,""en"",P$3)"),"Viewer Splash Screen URL:")</f>
        <v>Viewer Splash Screen URL:</v>
      </c>
      <c r="Q725" s="21" t="str">
        <f ca="1">IFERROR(__xludf.DUMMYFUNCTION("GOOGLETRANSLATE($B725,""en"",Q$3)"),"نمایشگر چلپ چلوپ URL صفحه نمایش:")</f>
        <v>نمایشگر چلپ چلوپ URL صفحه نمایش:</v>
      </c>
      <c r="R725" s="21" t="str">
        <f ca="1">IFERROR(__xludf.DUMMYFUNCTION("GOOGLETRANSLATE($B725,""en"",R$3)"),"כתובת האתר מסך הפתיחה מציג:")</f>
        <v>כתובת האתר מסך הפתיחה מציג:</v>
      </c>
      <c r="S725" s="21" t="str">
        <f ca="1">IFERROR(__xludf.DUMMYFUNCTION("GOOGLETRANSLATE($B725,""en"",S$3)"),"Áhorfandinn Splash Screen URL:")</f>
        <v>Áhorfandinn Splash Screen URL:</v>
      </c>
      <c r="T725" s="21" t="str">
        <f ca="1">IFERROR(__xludf.DUMMYFUNCTION("GOOGLETRANSLATE($B725,""en"",T$3)"),"Viewer Splash Screen URL:")</f>
        <v>Viewer Splash Screen URL:</v>
      </c>
      <c r="U725" s="21" t="str">
        <f ca="1">IFERROR(__xludf.DUMMYFUNCTION("GOOGLETRANSLATE($B725,""en"",U$3)"),"عارض سبلاش الشاشة URL:")</f>
        <v>عارض سبلاش الشاشة URL:</v>
      </c>
      <c r="V725" s="21" t="str">
        <f ca="1">IFERROR(__xludf.DUMMYFUNCTION("GOOGLETRANSLATE($B725,""en"",V$3)"),"Przeglądarka Splash URL ekranu:")</f>
        <v>Przeglądarka Splash URL ekranu:</v>
      </c>
      <c r="W725" s="21" t="str">
        <f ca="1">IFERROR(__xludf.DUMMYFUNCTION("GOOGLETRANSLATE($B725,""en"",W$3)"),"Телезритель Всплеск URL экрана:")</f>
        <v>Телезритель Всплеск URL экрана:</v>
      </c>
      <c r="X725" s="21" t="str">
        <f ca="1">IFERROR(__xludf.DUMMYFUNCTION("GOOGLETRANSLATE($B725,""en"",X$3)"),"Visor Splash URL de pantalla:")</f>
        <v>Visor Splash URL de pantalla:</v>
      </c>
      <c r="Y725" s="21"/>
      <c r="Z725" s="21"/>
    </row>
    <row r="726" spans="1:26" ht="32.25" customHeight="1" x14ac:dyDescent="0.2">
      <c r="A726" s="17" t="s">
        <v>1550</v>
      </c>
      <c r="B726" s="17" t="s">
        <v>1551</v>
      </c>
      <c r="C726" s="21" t="str">
        <f ca="1">IFERROR(__xludf.DUMMYFUNCTION("GOOGLETRANSLATE($B726,""en"",C$3)"),"Begrüßungsbildschirm")</f>
        <v>Begrüßungsbildschirm</v>
      </c>
      <c r="D726" s="21" t="str">
        <f ca="1">IFERROR(__xludf.DUMMYFUNCTION("GOOGLETRANSLATE($B726,""en"",D$3)"),"Startbild")</f>
        <v>Startbild</v>
      </c>
      <c r="E726" s="21" t="str">
        <f ca="1">IFERROR(__xludf.DUMMYFUNCTION("GOOGLETRANSLATE($B726,""en"",E$3)"),"Tela de abertura")</f>
        <v>Tela de abertura</v>
      </c>
      <c r="F726" s="21" t="str">
        <f ca="1">IFERROR(__xludf.DUMMYFUNCTION("GOOGLETRANSLATE($B726,""en"",F$3)"),"Tela de abertura")</f>
        <v>Tela de abertura</v>
      </c>
      <c r="G726" s="21" t="str">
        <f ca="1">IFERROR(__xludf.DUMMYFUNCTION("GOOGLETRANSLATE($B726,""en"",G$3)"),"Écran de démarrage")</f>
        <v>Écran de démarrage</v>
      </c>
      <c r="H726" s="21" t="str">
        <f ca="1">IFERROR(__xludf.DUMMYFUNCTION("GOOGLETRANSLATE($B726,""en"",H$3)"),"Hasierako pantailarako")</f>
        <v>Hasierako pantailarako</v>
      </c>
      <c r="I726" s="21" t="str">
        <f ca="1">IFERROR(__xludf.DUMMYFUNCTION("GOOGLETRANSLATE($B726,""en"",I$3)"),"Pantalla de benvinguda")</f>
        <v>Pantalla de benvinguda</v>
      </c>
      <c r="J726" s="21" t="str">
        <f ca="1">IFERROR(__xludf.DUMMYFUNCTION("GOOGLETRANSLATE($B726,""en"",J$3)"),"Úvodní obrazovka")</f>
        <v>Úvodní obrazovka</v>
      </c>
      <c r="K726" s="21" t="str">
        <f ca="1">IFERROR(__xludf.DUMMYFUNCTION("GOOGLETRANSLATE($B726,""en"",K$3)"),"闪屏")</f>
        <v>闪屏</v>
      </c>
      <c r="L726" s="21" t="str">
        <f ca="1">IFERROR(__xludf.DUMMYFUNCTION("GOOGLETRANSLATE($B726,""en"",L$3)"),"閃屏")</f>
        <v>閃屏</v>
      </c>
      <c r="M726" s="21" t="str">
        <f ca="1">IFERROR(__xludf.DUMMYFUNCTION("GOOGLETRANSLATE($B726,""en"",M$3)"),"Splash Screen")</f>
        <v>Splash Screen</v>
      </c>
      <c r="N726" s="21" t="str">
        <f ca="1">IFERROR(__xludf.DUMMYFUNCTION("GOOGLETRANSLATE($B726,""en"",N$3)"),"Splash Screen")</f>
        <v>Splash Screen</v>
      </c>
      <c r="O726" s="21" t="str">
        <f ca="1">IFERROR(__xludf.DUMMYFUNCTION("GOOGLETRANSLATE($B726,""en"",O$3)"),"Aloitusruutu")</f>
        <v>Aloitusruutu</v>
      </c>
      <c r="P726" s="21" t="str">
        <f ca="1">IFERROR(__xludf.DUMMYFUNCTION("GOOGLETRANSLATE($B726,""en"",P$3)"),"Scáileán Splash")</f>
        <v>Scáileán Splash</v>
      </c>
      <c r="Q726" s="21" t="str">
        <f ca="1">IFERROR(__xludf.DUMMYFUNCTION("GOOGLETRANSLATE($B726,""en"",Q$3)"),"صفحه معرفی")</f>
        <v>صفحه معرفی</v>
      </c>
      <c r="R726" s="21" t="str">
        <f ca="1">IFERROR(__xludf.DUMMYFUNCTION("GOOGLETRANSLATE($B726,""en"",R$3)"),"מסך פתיחה")</f>
        <v>מסך פתיחה</v>
      </c>
      <c r="S726" s="21" t="str">
        <f ca="1">IFERROR(__xludf.DUMMYFUNCTION("GOOGLETRANSLATE($B726,""en"",S$3)"),"Splash Screen")</f>
        <v>Splash Screen</v>
      </c>
      <c r="T726" s="21" t="str">
        <f ca="1">IFERROR(__xludf.DUMMYFUNCTION("GOOGLETRANSLATE($B726,""en"",T$3)"),"Splash Screen")</f>
        <v>Splash Screen</v>
      </c>
      <c r="U726" s="21" t="str">
        <f ca="1">IFERROR(__xludf.DUMMYFUNCTION("GOOGLETRANSLATE($B726,""en"",U$3)"),"شاشة البداية")</f>
        <v>شاشة البداية</v>
      </c>
      <c r="V726" s="21" t="str">
        <f ca="1">IFERROR(__xludf.DUMMYFUNCTION("GOOGLETRANSLATE($B726,""en"",V$3)"),"Ekran powitalny")</f>
        <v>Ekran powitalny</v>
      </c>
      <c r="W726" s="21" t="str">
        <f ca="1">IFERROR(__xludf.DUMMYFUNCTION("GOOGLETRANSLATE($B726,""en"",W$3)"),"Заставка")</f>
        <v>Заставка</v>
      </c>
      <c r="X726" s="21" t="str">
        <f ca="1">IFERROR(__xludf.DUMMYFUNCTION("GOOGLETRANSLATE($B726,""en"",X$3)"),"Pantalla de bienvenida")</f>
        <v>Pantalla de bienvenida</v>
      </c>
      <c r="Y726" s="21"/>
      <c r="Z726" s="21"/>
    </row>
    <row r="727" spans="1:26" ht="32.25" customHeight="1" x14ac:dyDescent="0.2">
      <c r="A727" s="17" t="s">
        <v>1552</v>
      </c>
      <c r="B727" s="17" t="s">
        <v>1553</v>
      </c>
      <c r="C727" s="21" t="str">
        <f ca="1">IFERROR(__xludf.DUMMYFUNCTION("GOOGLETRANSLATE($B727,""en"",C$3)"),"SQL-Datenbank-Backup / Restore")</f>
        <v>SQL-Datenbank-Backup / Restore</v>
      </c>
      <c r="D727" s="21" t="str">
        <f ca="1">IFERROR(__xludf.DUMMYFUNCTION("GOOGLETRANSLATE($B727,""en"",D$3)"),"SQL-databas Backup / Restore")</f>
        <v>SQL-databas Backup / Restore</v>
      </c>
      <c r="E727" s="21" t="str">
        <f ca="1">IFERROR(__xludf.DUMMYFUNCTION("GOOGLETRANSLATE($B727,""en"",E$3)"),"Banco de dados SQL Backup / Restore")</f>
        <v>Banco de dados SQL Backup / Restore</v>
      </c>
      <c r="F727" s="21" t="str">
        <f ca="1">IFERROR(__xludf.DUMMYFUNCTION("GOOGLETRANSLATE($B727,""en"",F$3)"),"Banco de dados SQL Backup / Restore")</f>
        <v>Banco de dados SQL Backup / Restore</v>
      </c>
      <c r="G727" s="21" t="str">
        <f ca="1">IFERROR(__xludf.DUMMYFUNCTION("GOOGLETRANSLATE($B727,""en"",G$3)"),"Base de données SQL de sauvegarde / restauration")</f>
        <v>Base de données SQL de sauvegarde / restauration</v>
      </c>
      <c r="H727" s="21" t="str">
        <f ca="1">IFERROR(__xludf.DUMMYFUNCTION("GOOGLETRANSLATE($B727,""en"",H$3)"),"SQL Database Backup / Restore")</f>
        <v>SQL Database Backup / Restore</v>
      </c>
      <c r="I727" s="21" t="str">
        <f ca="1">IFERROR(__xludf.DUMMYFUNCTION("GOOGLETRANSLATE($B727,""en"",I$3)"),"Base de dades SQL Backup / Restore")</f>
        <v>Base de dades SQL Backup / Restore</v>
      </c>
      <c r="J727" s="21" t="str">
        <f ca="1">IFERROR(__xludf.DUMMYFUNCTION("GOOGLETRANSLATE($B727,""en"",J$3)"),"SQL databáze Backup / Restore")</f>
        <v>SQL databáze Backup / Restore</v>
      </c>
      <c r="K727" s="21" t="str">
        <f ca="1">IFERROR(__xludf.DUMMYFUNCTION("GOOGLETRANSLATE($B727,""en"",K$3)"),"SQL数据库备份/恢复")</f>
        <v>SQL数据库备份/恢复</v>
      </c>
      <c r="L727" s="21" t="str">
        <f ca="1">IFERROR(__xludf.DUMMYFUNCTION("GOOGLETRANSLATE($B727,""en"",L$3)"),"SQL數據庫備份/恢復")</f>
        <v>SQL數據庫備份/恢復</v>
      </c>
      <c r="M727" s="21" t="str">
        <f ca="1">IFERROR(__xludf.DUMMYFUNCTION("GOOGLETRANSLATE($B727,""en"",M$3)"),"SQL Database Backup / Restore")</f>
        <v>SQL Database Backup / Restore</v>
      </c>
      <c r="N727" s="21" t="str">
        <f ca="1">IFERROR(__xludf.DUMMYFUNCTION("GOOGLETRANSLATE($B727,""en"",N$3)"),"SQL Database Backup / Restore")</f>
        <v>SQL Database Backup / Restore</v>
      </c>
      <c r="O727" s="21" t="str">
        <f ca="1">IFERROR(__xludf.DUMMYFUNCTION("GOOGLETRANSLATE($B727,""en"",O$3)"),"SQL-tietokannan varmuuskopiointi / palautus")</f>
        <v>SQL-tietokannan varmuuskopiointi / palautus</v>
      </c>
      <c r="P727" s="21" t="str">
        <f ca="1">IFERROR(__xludf.DUMMYFUNCTION("GOOGLETRANSLATE($B727,""en"",P$3)"),"SQL Bunachar Sonraí Cúltaca / Athchóirigh")</f>
        <v>SQL Bunachar Sonraí Cúltaca / Athchóirigh</v>
      </c>
      <c r="Q727" s="21" t="str">
        <f ca="1">IFERROR(__xludf.DUMMYFUNCTION("GOOGLETRANSLATE($B727,""en"",Q$3)"),"پایگاه داده SQL تهیه پشتیبان / بازیابی")</f>
        <v>پایگاه داده SQL تهیه پشتیبان / بازیابی</v>
      </c>
      <c r="R727" s="21" t="str">
        <f ca="1">IFERROR(__xludf.DUMMYFUNCTION("GOOGLETRANSLATE($B727,""en"",R$3)"),"גיבוי מסד נתונים SQL / Restore")</f>
        <v>גיבוי מסד נתונים SQL / Restore</v>
      </c>
      <c r="S727" s="21" t="str">
        <f ca="1">IFERROR(__xludf.DUMMYFUNCTION("GOOGLETRANSLATE($B727,""en"",S$3)"),"SQL Gagnasafn Backup / Restore")</f>
        <v>SQL Gagnasafn Backup / Restore</v>
      </c>
      <c r="T727" s="21" t="str">
        <f ca="1">IFERROR(__xludf.DUMMYFUNCTION("GOOGLETRANSLATE($B727,""en"",T$3)"),"SQL Database Backup / Restore")</f>
        <v>SQL Database Backup / Restore</v>
      </c>
      <c r="U727" s="21" t="str">
        <f ca="1">IFERROR(__xludf.DUMMYFUNCTION("GOOGLETRANSLATE($B727,""en"",U$3)"),"SQL قاعدة بيانات النسخ الاحتياطي / استعادة")</f>
        <v>SQL قاعدة بيانات النسخ الاحتياطي / استعادة</v>
      </c>
      <c r="V727" s="21" t="str">
        <f ca="1">IFERROR(__xludf.DUMMYFUNCTION("GOOGLETRANSLATE($B727,""en"",V$3)"),"SQL Database Backup / Restore")</f>
        <v>SQL Database Backup / Restore</v>
      </c>
      <c r="W727" s="21" t="str">
        <f ca="1">IFERROR(__xludf.DUMMYFUNCTION("GOOGLETRANSLATE($B727,""en"",W$3)"),"База данных SQL Резервного копирование / восстановление")</f>
        <v>База данных SQL Резервного копирование / восстановление</v>
      </c>
      <c r="X727" s="21" t="str">
        <f ca="1">IFERROR(__xludf.DUMMYFUNCTION("GOOGLETRANSLATE($B727,""en"",X$3)"),"Base de datos SQL Backup / Restore")</f>
        <v>Base de datos SQL Backup / Restore</v>
      </c>
      <c r="Y727" s="21"/>
      <c r="Z727" s="21"/>
    </row>
    <row r="728" spans="1:26" ht="32.25" customHeight="1" x14ac:dyDescent="0.2">
      <c r="A728" s="17" t="s">
        <v>1554</v>
      </c>
      <c r="B728" s="17" t="s">
        <v>1555</v>
      </c>
      <c r="C728" s="21" t="str">
        <f ca="1">IFERROR(__xludf.DUMMYFUNCTION("GOOGLETRANSLATE($B728,""en"",C$3)"),"Start Regionen")</f>
        <v>Start Regionen</v>
      </c>
      <c r="D728" s="21" t="str">
        <f ca="1">IFERROR(__xludf.DUMMYFUNCTION("GOOGLETRANSLATE($B728,""en"",D$3)"),"Start Regioner")</f>
        <v>Start Regioner</v>
      </c>
      <c r="E728" s="21" t="str">
        <f ca="1">IFERROR(__xludf.DUMMYFUNCTION("GOOGLETRANSLATE($B728,""en"",E$3)"),"Iniciar Regiões")</f>
        <v>Iniciar Regiões</v>
      </c>
      <c r="F728" s="21" t="str">
        <f ca="1">IFERROR(__xludf.DUMMYFUNCTION("GOOGLETRANSLATE($B728,""en"",F$3)"),"Iniciar Regiões")</f>
        <v>Iniciar Regiões</v>
      </c>
      <c r="G728" s="21" t="str">
        <f ca="1">IFERROR(__xludf.DUMMYFUNCTION("GOOGLETRANSLATE($B728,""en"",G$3)"),"régions début")</f>
        <v>régions début</v>
      </c>
      <c r="H728" s="21" t="str">
        <f ca="1">IFERROR(__xludf.DUMMYFUNCTION("GOOGLETRANSLATE($B728,""en"",H$3)"),"start Eskualde")</f>
        <v>start Eskualde</v>
      </c>
      <c r="I728" s="21" t="str">
        <f ca="1">IFERROR(__xludf.DUMMYFUNCTION("GOOGLETRANSLATE($B728,""en"",I$3)"),"inici Regions")</f>
        <v>inici Regions</v>
      </c>
      <c r="J728" s="21" t="str">
        <f ca="1">IFERROR(__xludf.DUMMYFUNCTION("GOOGLETRANSLATE($B728,""en"",J$3)"),"Regiony startu")</f>
        <v>Regiony startu</v>
      </c>
      <c r="K728" s="21" t="str">
        <f ca="1">IFERROR(__xludf.DUMMYFUNCTION("GOOGLETRANSLATE($B728,""en"",K$3)"),"起点区域")</f>
        <v>起点区域</v>
      </c>
      <c r="L728" s="21" t="str">
        <f ca="1">IFERROR(__xludf.DUMMYFUNCTION("GOOGLETRANSLATE($B728,""en"",L$3)"),"起點區域")</f>
        <v>起點區域</v>
      </c>
      <c r="M728" s="21" t="str">
        <f ca="1">IFERROR(__xludf.DUMMYFUNCTION("GOOGLETRANSLATE($B728,""en"",M$3)"),"Start Regio")</f>
        <v>Start Regio</v>
      </c>
      <c r="N728" s="21" t="str">
        <f ca="1">IFERROR(__xludf.DUMMYFUNCTION("GOOGLETRANSLATE($B728,""en"",N$3)"),"έναρξη Περιφερειών")</f>
        <v>έναρξη Περιφερειών</v>
      </c>
      <c r="O728" s="21" t="str">
        <f ca="1">IFERROR(__xludf.DUMMYFUNCTION("GOOGLETRANSLATE($B728,""en"",O$3)"),"Start Alueet")</f>
        <v>Start Alueet</v>
      </c>
      <c r="P728" s="21" t="str">
        <f ca="1">IFERROR(__xludf.DUMMYFUNCTION("GOOGLETRANSLATE($B728,""en"",P$3)"),"Réigiúin Tosaigh")</f>
        <v>Réigiúin Tosaigh</v>
      </c>
      <c r="Q728" s="21" t="str">
        <f ca="1">IFERROR(__xludf.DUMMYFUNCTION("GOOGLETRANSLATE($B728,""en"",Q$3)"),"مناطق شروع")</f>
        <v>مناطق شروع</v>
      </c>
      <c r="R728" s="21" t="str">
        <f ca="1">IFERROR(__xludf.DUMMYFUNCTION("GOOGLETRANSLATE($B728,""en"",R$3)"),"אזורים התחילו")</f>
        <v>אזורים התחילו</v>
      </c>
      <c r="S728" s="21" t="str">
        <f ca="1">IFERROR(__xludf.DUMMYFUNCTION("GOOGLETRANSLATE($B728,""en"",S$3)"),"Start Svæði")</f>
        <v>Start Svæði</v>
      </c>
      <c r="T728" s="21" t="str">
        <f ca="1">IFERROR(__xludf.DUMMYFUNCTION("GOOGLETRANSLATE($B728,""en"",T$3)"),"start Regioner")</f>
        <v>start Regioner</v>
      </c>
      <c r="U728" s="21" t="str">
        <f ca="1">IFERROR(__xludf.DUMMYFUNCTION("GOOGLETRANSLATE($B728,""en"",U$3)"),"المناطق البداية")</f>
        <v>المناطق البداية</v>
      </c>
      <c r="V728" s="21" t="str">
        <f ca="1">IFERROR(__xludf.DUMMYFUNCTION("GOOGLETRANSLATE($B728,""en"",V$3)"),"Regiony startowe")</f>
        <v>Regiony startowe</v>
      </c>
      <c r="W728" s="21" t="str">
        <f ca="1">IFERROR(__xludf.DUMMYFUNCTION("GOOGLETRANSLATE($B728,""en"",W$3)"),"Начало Регионы")</f>
        <v>Начало Регионы</v>
      </c>
      <c r="X728" s="21" t="str">
        <f ca="1">IFERROR(__xludf.DUMMYFUNCTION("GOOGLETRANSLATE($B728,""en"",X$3)"),"inicio Regiones")</f>
        <v>inicio Regiones</v>
      </c>
      <c r="Y728" s="21"/>
      <c r="Z728" s="21"/>
    </row>
    <row r="729" spans="1:26" ht="32.25" customHeight="1" x14ac:dyDescent="0.2">
      <c r="A729" s="17" t="s">
        <v>1556</v>
      </c>
      <c r="B729" s="17" t="s">
        <v>1557</v>
      </c>
      <c r="C729" s="21" t="str">
        <f ca="1">IFERROR(__xludf.DUMMYFUNCTION("GOOGLETRANSLATE($B729,""en"",C$3)"),"Anfang")</f>
        <v>Anfang</v>
      </c>
      <c r="D729" s="21" t="str">
        <f ca="1">IFERROR(__xludf.DUMMYFUNCTION("GOOGLETRANSLATE($B729,""en"",D$3)"),"Start")</f>
        <v>Start</v>
      </c>
      <c r="E729" s="21" t="str">
        <f ca="1">IFERROR(__xludf.DUMMYFUNCTION("GOOGLETRANSLATE($B729,""en"",E$3)"),"Começar")</f>
        <v>Começar</v>
      </c>
      <c r="F729" s="21" t="str">
        <f ca="1">IFERROR(__xludf.DUMMYFUNCTION("GOOGLETRANSLATE($B729,""en"",F$3)"),"Começar")</f>
        <v>Começar</v>
      </c>
      <c r="G729" s="21" t="str">
        <f ca="1">IFERROR(__xludf.DUMMYFUNCTION("GOOGLETRANSLATE($B729,""en"",G$3)"),"Début")</f>
        <v>Début</v>
      </c>
      <c r="H729" s="21" t="str">
        <f ca="1">IFERROR(__xludf.DUMMYFUNCTION("GOOGLETRANSLATE($B729,""en"",H$3)"),"start")</f>
        <v>start</v>
      </c>
      <c r="I729" s="21" t="str">
        <f ca="1">IFERROR(__xludf.DUMMYFUNCTION("GOOGLETRANSLATE($B729,""en"",I$3)"),"Començar")</f>
        <v>Començar</v>
      </c>
      <c r="J729" s="21" t="str">
        <f ca="1">IFERROR(__xludf.DUMMYFUNCTION("GOOGLETRANSLATE($B729,""en"",J$3)"),"Start")</f>
        <v>Start</v>
      </c>
      <c r="K729" s="21" t="str">
        <f ca="1">IFERROR(__xludf.DUMMYFUNCTION("GOOGLETRANSLATE($B729,""en"",K$3)"),"开始")</f>
        <v>开始</v>
      </c>
      <c r="L729" s="21" t="str">
        <f ca="1">IFERROR(__xludf.DUMMYFUNCTION("GOOGLETRANSLATE($B729,""en"",L$3)"),"開始")</f>
        <v>開始</v>
      </c>
      <c r="M729" s="21" t="str">
        <f ca="1">IFERROR(__xludf.DUMMYFUNCTION("GOOGLETRANSLATE($B729,""en"",M$3)"),"Begin")</f>
        <v>Begin</v>
      </c>
      <c r="N729" s="21" t="str">
        <f ca="1">IFERROR(__xludf.DUMMYFUNCTION("GOOGLETRANSLATE($B729,""en"",N$3)"),"Αρχή")</f>
        <v>Αρχή</v>
      </c>
      <c r="O729" s="21" t="str">
        <f ca="1">IFERROR(__xludf.DUMMYFUNCTION("GOOGLETRANSLATE($B729,""en"",O$3)"),"alkaa")</f>
        <v>alkaa</v>
      </c>
      <c r="P729" s="21" t="str">
        <f ca="1">IFERROR(__xludf.DUMMYFUNCTION("GOOGLETRANSLATE($B729,""en"",P$3)"),"Tosaigh")</f>
        <v>Tosaigh</v>
      </c>
      <c r="Q729" s="21" t="str">
        <f ca="1">IFERROR(__xludf.DUMMYFUNCTION("GOOGLETRANSLATE($B729,""en"",Q$3)"),"شروع")</f>
        <v>شروع</v>
      </c>
      <c r="R729" s="21" t="str">
        <f ca="1">IFERROR(__xludf.DUMMYFUNCTION("GOOGLETRANSLATE($B729,""en"",R$3)"),"הַתחָלָה")</f>
        <v>הַתחָלָה</v>
      </c>
      <c r="S729" s="21" t="str">
        <f ca="1">IFERROR(__xludf.DUMMYFUNCTION("GOOGLETRANSLATE($B729,""en"",S$3)"),"Start")</f>
        <v>Start</v>
      </c>
      <c r="T729" s="21" t="str">
        <f ca="1">IFERROR(__xludf.DUMMYFUNCTION("GOOGLETRANSLATE($B729,""en"",T$3)"),"Start")</f>
        <v>Start</v>
      </c>
      <c r="U729" s="21" t="str">
        <f ca="1">IFERROR(__xludf.DUMMYFUNCTION("GOOGLETRANSLATE($B729,""en"",U$3)"),"بداية")</f>
        <v>بداية</v>
      </c>
      <c r="V729" s="21" t="str">
        <f ca="1">IFERROR(__xludf.DUMMYFUNCTION("GOOGLETRANSLATE($B729,""en"",V$3)"),"Początek")</f>
        <v>Początek</v>
      </c>
      <c r="W729" s="21" t="str">
        <f ca="1">IFERROR(__xludf.DUMMYFUNCTION("GOOGLETRANSLATE($B729,""en"",W$3)"),"Начало")</f>
        <v>Начало</v>
      </c>
      <c r="X729" s="21" t="str">
        <f ca="1">IFERROR(__xludf.DUMMYFUNCTION("GOOGLETRANSLATE($B729,""en"",X$3)"),"comienzo")</f>
        <v>comienzo</v>
      </c>
      <c r="Y729" s="21"/>
      <c r="Z729" s="21"/>
    </row>
    <row r="730" spans="1:26" ht="32.25" customHeight="1" x14ac:dyDescent="0.2">
      <c r="A730" s="17" t="s">
        <v>1558</v>
      </c>
      <c r="B730" s="17" t="s">
        <v>1559</v>
      </c>
      <c r="C730" s="21" t="str">
        <f ca="1">IFERROR(__xludf.DUMMYFUNCTION("GOOGLETRANSLATE($B730,""en"",C$3)"),"Starten Sie alle Regionen geprüft")</f>
        <v>Starten Sie alle Regionen geprüft</v>
      </c>
      <c r="D730" s="21" t="str">
        <f ca="1">IFERROR(__xludf.DUMMYFUNCTION("GOOGLETRANSLATE($B730,""en"",D$3)"),"Starta alla kontrolleras regioner")</f>
        <v>Starta alla kontrolleras regioner</v>
      </c>
      <c r="E730" s="21" t="str">
        <f ca="1">IFERROR(__xludf.DUMMYFUNCTION("GOOGLETRANSLATE($B730,""en"",E$3)"),"Comece todas as regiões verificados")</f>
        <v>Comece todas as regiões verificados</v>
      </c>
      <c r="F730" s="21" t="str">
        <f ca="1">IFERROR(__xludf.DUMMYFUNCTION("GOOGLETRANSLATE($B730,""en"",F$3)"),"Comece todas as regiões verificados")</f>
        <v>Comece todas as regiões verificados</v>
      </c>
      <c r="G730" s="21" t="str">
        <f ca="1">IFERROR(__xludf.DUMMYFUNCTION("GOOGLETRANSLATE($B730,""en"",G$3)"),"Démarrez toutes les régions contrôlées")</f>
        <v>Démarrez toutes les régions contrôlées</v>
      </c>
      <c r="H730" s="21" t="str">
        <f ca="1">IFERROR(__xludf.DUMMYFUNCTION("GOOGLETRANSLATE($B730,""en"",H$3)"),"Hasi hautatuta eskualde guztietan")</f>
        <v>Hasi hautatuta eskualde guztietan</v>
      </c>
      <c r="I730" s="21" t="str">
        <f ca="1">IFERROR(__xludf.DUMMYFUNCTION("GOOGLETRANSLATE($B730,""en"",I$3)"),"Iniciar totes les regions controlades")</f>
        <v>Iniciar totes les regions controlades</v>
      </c>
      <c r="J730" s="21" t="str">
        <f ca="1">IFERROR(__xludf.DUMMYFUNCTION("GOOGLETRANSLATE($B730,""en"",J$3)"),"Spustit všechny zaškrtnuté regiony")</f>
        <v>Spustit všechny zaškrtnuté regiony</v>
      </c>
      <c r="K730" s="21" t="str">
        <f ca="1">IFERROR(__xludf.DUMMYFUNCTION("GOOGLETRANSLATE($B730,""en"",K$3)"),"启动所有检查区")</f>
        <v>启动所有检查区</v>
      </c>
      <c r="L730" s="21" t="str">
        <f ca="1">IFERROR(__xludf.DUMMYFUNCTION("GOOGLETRANSLATE($B730,""en"",L$3)"),"啟動所有檢查區")</f>
        <v>啟動所有檢查區</v>
      </c>
      <c r="M730" s="21" t="str">
        <f ca="1">IFERROR(__xludf.DUMMYFUNCTION("GOOGLETRANSLATE($B730,""en"",M$3)"),"Start alle geselecteerde regio's")</f>
        <v>Start alle geselecteerde regio's</v>
      </c>
      <c r="N730" s="21" t="str">
        <f ca="1">IFERROR(__xludf.DUMMYFUNCTION("GOOGLETRANSLATE($B730,""en"",N$3)"),"Ξεκινήστε όλα ελέγχονται οι περιοχές")</f>
        <v>Ξεκινήστε όλα ελέγχονται οι περιοχές</v>
      </c>
      <c r="O730" s="21" t="str">
        <f ca="1">IFERROR(__xludf.DUMMYFUNCTION("GOOGLETRANSLATE($B730,""en"",O$3)"),"Aloita kaikki tarkastetaan alueet")</f>
        <v>Aloita kaikki tarkastetaan alueet</v>
      </c>
      <c r="P730" s="21" t="str">
        <f ca="1">IFERROR(__xludf.DUMMYFUNCTION("GOOGLETRANSLATE($B730,""en"",P$3)"),"Tosaigh ngach réigiún sheiceáil")</f>
        <v>Tosaigh ngach réigiún sheiceáil</v>
      </c>
      <c r="Q730" s="21" t="str">
        <f ca="1">IFERROR(__xludf.DUMMYFUNCTION("GOOGLETRANSLATE($B730,""en"",Q$3)"),"شروع مناطق به طور کامل بررسی می شود")</f>
        <v>شروع مناطق به طور کامل بررسی می شود</v>
      </c>
      <c r="R730" s="21" t="str">
        <f ca="1">IFERROR(__xludf.DUMMYFUNCTION("GOOGLETRANSLATE($B730,""en"",R$3)"),"התחל כל האזורים בדקו")</f>
        <v>התחל כל האזורים בדקו</v>
      </c>
      <c r="S730" s="21" t="str">
        <f ca="1">IFERROR(__xludf.DUMMYFUNCTION("GOOGLETRANSLATE($B730,""en"",S$3)"),"Byrja alla merktum svæðum")</f>
        <v>Byrja alla merktum svæðum</v>
      </c>
      <c r="T730" s="21" t="str">
        <f ca="1">IFERROR(__xludf.DUMMYFUNCTION("GOOGLETRANSLATE($B730,""en"",T$3)"),"Begynn alle sjekket regioner")</f>
        <v>Begynn alle sjekket regioner</v>
      </c>
      <c r="U730" s="21" t="str">
        <f ca="1">IFERROR(__xludf.DUMMYFUNCTION("GOOGLETRANSLATE($B730,""en"",U$3)"),"بدء فحص جميع المناطق")</f>
        <v>بدء فحص جميع المناطق</v>
      </c>
      <c r="V730" s="21" t="str">
        <f ca="1">IFERROR(__xludf.DUMMYFUNCTION("GOOGLETRANSLATE($B730,""en"",V$3)"),"Zacznij wszystkich sprawdzonych regionów")</f>
        <v>Zacznij wszystkich sprawdzonych regionów</v>
      </c>
      <c r="W730" s="21" t="str">
        <f ca="1">IFERROR(__xludf.DUMMYFUNCTION("GOOGLETRANSLATE($B730,""en"",W$3)"),"Запустить все отмеченные регионы")</f>
        <v>Запустить все отмеченные регионы</v>
      </c>
      <c r="X730" s="21" t="str">
        <f ca="1">IFERROR(__xludf.DUMMYFUNCTION("GOOGLETRANSLATE($B730,""en"",X$3)"),"Iniciar todas las regiones controladas")</f>
        <v>Iniciar todas las regiones controladas</v>
      </c>
      <c r="Y730" s="21"/>
      <c r="Z730" s="21"/>
    </row>
    <row r="731" spans="1:26" ht="32.25" customHeight="1" x14ac:dyDescent="0.2">
      <c r="A731" s="17" t="s">
        <v>1560</v>
      </c>
      <c r="B731" s="17" t="s">
        <v>1561</v>
      </c>
      <c r="C731" s="21" t="str">
        <f ca="1">IFERROR(__xludf.DUMMYFUNCTION("GOOGLETRANSLATE($B731,""en"",C$3)"),"Startdiagnoseport Webserver")</f>
        <v>Startdiagnoseport Webserver</v>
      </c>
      <c r="D731" s="21" t="str">
        <f ca="1">IFERROR(__xludf.DUMMYFUNCTION("GOOGLETRANSLATE($B731,""en"",D$3)"),"Starta Diagnostic Port Webserver")</f>
        <v>Starta Diagnostic Port Webserver</v>
      </c>
      <c r="E731" s="21" t="str">
        <f ca="1">IFERROR(__xludf.DUMMYFUNCTION("GOOGLETRANSLATE($B731,""en"",E$3)"),"Começando diagnóstico Porto Webserver")</f>
        <v>Começando diagnóstico Porto Webserver</v>
      </c>
      <c r="F731" s="21" t="str">
        <f ca="1">IFERROR(__xludf.DUMMYFUNCTION("GOOGLETRANSLATE($B731,""en"",F$3)"),"Começando diagnóstico Porto Webserver")</f>
        <v>Começando diagnóstico Porto Webserver</v>
      </c>
      <c r="G731" s="21" t="str">
        <f ca="1">IFERROR(__xludf.DUMMYFUNCTION("GOOGLETRANSLATE($B731,""en"",G$3)"),"A partir de diagnostic Port Webserver")</f>
        <v>A partir de diagnostic Port Webserver</v>
      </c>
      <c r="H731" s="21" t="str">
        <f ca="1">IFERROR(__xludf.DUMMYFUNCTION("GOOGLETRANSLATE($B731,""en"",H$3)"),"Aurrera Diagnostikoa Port Webserver")</f>
        <v>Aurrera Diagnostikoa Port Webserver</v>
      </c>
      <c r="I731" s="21" t="str">
        <f ca="1">IFERROR(__xludf.DUMMYFUNCTION("GOOGLETRANSLATE($B731,""en"",I$3)"),"A partir Port de diagnòstic servidor web")</f>
        <v>A partir Port de diagnòstic servidor web</v>
      </c>
      <c r="J731" s="21" t="str">
        <f ca="1">IFERROR(__xludf.DUMMYFUNCTION("GOOGLETRANSLATE($B731,""en"",J$3)"),"Počínaje Diagnostic Port Webserver")</f>
        <v>Počínaje Diagnostic Port Webserver</v>
      </c>
      <c r="K731" s="21" t="str">
        <f ca="1">IFERROR(__xludf.DUMMYFUNCTION("GOOGLETRANSLATE($B731,""en"",K$3)"),"启动诊断端口网络服务器")</f>
        <v>启动诊断端口网络服务器</v>
      </c>
      <c r="L731" s="21" t="str">
        <f ca="1">IFERROR(__xludf.DUMMYFUNCTION("GOOGLETRANSLATE($B731,""en"",L$3)"),"啟動診斷端口網絡服務器")</f>
        <v>啟動診斷端口網絡服務器</v>
      </c>
      <c r="M731" s="21" t="str">
        <f ca="1">IFERROR(__xludf.DUMMYFUNCTION("GOOGLETRANSLATE($B731,""en"",M$3)"),"Vanaf Diagnostic Port Webserver")</f>
        <v>Vanaf Diagnostic Port Webserver</v>
      </c>
      <c r="N731" s="21" t="str">
        <f ca="1">IFERROR(__xludf.DUMMYFUNCTION("GOOGLETRANSLATE($B731,""en"",N$3)"),"Ξεκινώντας Διαγνωστικό λιμάνι Webserver")</f>
        <v>Ξεκινώντας Διαγνωστικό λιμάνι Webserver</v>
      </c>
      <c r="O731" s="21" t="str">
        <f ca="1">IFERROR(__xludf.DUMMYFUNCTION("GOOGLETRANSLATE($B731,""en"",O$3)"),"Starting Diagnostic Port Webserverillä")</f>
        <v>Starting Diagnostic Port Webserverillä</v>
      </c>
      <c r="P731" s="21" t="str">
        <f ca="1">IFERROR(__xludf.DUMMYFUNCTION("GOOGLETRANSLATE($B731,""en"",P$3)"),"Ag tosú Diagnóiseacha Port freastalaí gréasáin")</f>
        <v>Ag tosú Diagnóiseacha Port freastalaí gréasáin</v>
      </c>
      <c r="Q731" s="21" t="str">
        <f ca="1">IFERROR(__xludf.DUMMYFUNCTION("GOOGLETRANSLATE($B731,""en"",Q$3)"),"شروع تشخیصی بندر سرور وب")</f>
        <v>شروع تشخیصی بندر سرور وب</v>
      </c>
      <c r="R731" s="21" t="str">
        <f ca="1">IFERROR(__xludf.DUMMYFUNCTION("GOOGLETRANSLATE($B731,""en"",R$3)"),"החל אבחון נמל וואבסארואר")</f>
        <v>החל אבחון נמל וואבסארואר</v>
      </c>
      <c r="S731" s="21" t="str">
        <f ca="1">IFERROR(__xludf.DUMMYFUNCTION("GOOGLETRANSLATE($B731,""en"",S$3)"),"Byrjar Diagnostic Port netþjóninn")</f>
        <v>Byrjar Diagnostic Port netþjóninn</v>
      </c>
      <c r="T731" s="21" t="str">
        <f ca="1">IFERROR(__xludf.DUMMYFUNCTION("GOOGLETRANSLATE($B731,""en"",T$3)"),"Starter Diagnostic Port Webserver")</f>
        <v>Starter Diagnostic Port Webserver</v>
      </c>
      <c r="U731" s="21" t="str">
        <f ca="1">IFERROR(__xludf.DUMMYFUNCTION("GOOGLETRANSLATE($B731,""en"",U$3)"),"ابتداء من التشخيص ميناء خادم الويب")</f>
        <v>ابتداء من التشخيص ميناء خادم الويب</v>
      </c>
      <c r="V731" s="21" t="str">
        <f ca="1">IFERROR(__xludf.DUMMYFUNCTION("GOOGLETRANSLATE($B731,""en"",V$3)"),"Uruchamianie diagnostyczne Port Webserver")</f>
        <v>Uruchamianie diagnostyczne Port Webserver</v>
      </c>
      <c r="W731" s="21" t="str">
        <f ca="1">IFERROR(__xludf.DUMMYFUNCTION("GOOGLETRANSLATE($B731,""en"",W$3)"),"Запуск Диагностический порт вебсервер")</f>
        <v>Запуск Диагностический порт вебсервер</v>
      </c>
      <c r="X731" s="21" t="str">
        <f ca="1">IFERROR(__xludf.DUMMYFUNCTION("GOOGLETRANSLATE($B731,""en"",X$3)"),"A partir Puerto de diagnóstico servidor web")</f>
        <v>A partir Puerto de diagnóstico servidor web</v>
      </c>
      <c r="Y731" s="21"/>
      <c r="Z731" s="21"/>
    </row>
    <row r="732" spans="1:26" ht="32.25" customHeight="1" x14ac:dyDescent="0.2">
      <c r="A732" s="17" t="s">
        <v>1562</v>
      </c>
      <c r="B732" s="17" t="s">
        <v>1563</v>
      </c>
      <c r="C732" s="21" t="str">
        <f ca="1">IFERROR(__xludf.DUMMYFUNCTION("GOOGLETRANSLATE($B732,""en"",C$3)"),"Starten das erste Mal nach oben")</f>
        <v>Starten das erste Mal nach oben</v>
      </c>
      <c r="D732" s="21" t="str">
        <f ca="1">IFERROR(__xludf.DUMMYFUNCTION("GOOGLETRANSLATE($B732,""en"",D$3)"),"Starta första gången")</f>
        <v>Starta första gången</v>
      </c>
      <c r="E732" s="21" t="str">
        <f ca="1">IFERROR(__xludf.DUMMYFUNCTION("GOOGLETRANSLATE($B732,""en"",E$3)"),"Iniciando-se pela primeira vez")</f>
        <v>Iniciando-se pela primeira vez</v>
      </c>
      <c r="F732" s="21" t="str">
        <f ca="1">IFERROR(__xludf.DUMMYFUNCTION("GOOGLETRANSLATE($B732,""en"",F$3)"),"Iniciando-se pela primeira vez")</f>
        <v>Iniciando-se pela primeira vez</v>
      </c>
      <c r="G732" s="21" t="str">
        <f ca="1">IFERROR(__xludf.DUMMYFUNCTION("GOOGLETRANSLATE($B732,""en"",G$3)"),"Mise en service la première fois")</f>
        <v>Mise en service la première fois</v>
      </c>
      <c r="H732" s="21" t="str">
        <f ca="1">IFERROR(__xludf.DUMMYFUNCTION("GOOGLETRANSLATE($B732,""en"",H$3)"),"martxan lehen aldiz")</f>
        <v>martxan lehen aldiz</v>
      </c>
      <c r="I732" s="21" t="str">
        <f ca="1">IFERROR(__xludf.DUMMYFUNCTION("GOOGLETRANSLATE($B732,""en"",I$3)"),"Posada en marxa de la primera vegada")</f>
        <v>Posada en marxa de la primera vegada</v>
      </c>
      <c r="J732" s="21" t="str">
        <f ca="1">IFERROR(__xludf.DUMMYFUNCTION("GOOGLETRANSLATE($B732,""en"",J$3)"),"Nastartování napoprvé")</f>
        <v>Nastartování napoprvé</v>
      </c>
      <c r="K732" s="21" t="str">
        <f ca="1">IFERROR(__xludf.DUMMYFUNCTION("GOOGLETRANSLATE($B732,""en"",K$3)"),"启动第一次")</f>
        <v>启动第一次</v>
      </c>
      <c r="L732" s="21" t="str">
        <f ca="1">IFERROR(__xludf.DUMMYFUNCTION("GOOGLETRANSLATE($B732,""en"",L$3)"),"啟動第一次")</f>
        <v>啟動第一次</v>
      </c>
      <c r="M732" s="21" t="str">
        <f ca="1">IFERROR(__xludf.DUMMYFUNCTION("GOOGLETRANSLATE($B732,""en"",M$3)"),"Het opstarten van de eerste keer")</f>
        <v>Het opstarten van de eerste keer</v>
      </c>
      <c r="N732" s="21" t="str">
        <f ca="1">IFERROR(__xludf.DUMMYFUNCTION("GOOGLETRANSLATE($B732,""en"",N$3)"),"Εκκίνηση για πρώτη φορά")</f>
        <v>Εκκίνηση για πρώτη φορά</v>
      </c>
      <c r="O732" s="21" t="str">
        <f ca="1">IFERROR(__xludf.DUMMYFUNCTION("GOOGLETRANSLATE($B732,""en"",O$3)"),"Käynnistettäessä ensimmäistä kertaa")</f>
        <v>Käynnistettäessä ensimmäistä kertaa</v>
      </c>
      <c r="P732" s="21" t="str">
        <f ca="1">IFERROR(__xludf.DUMMYFUNCTION("GOOGLETRANSLATE($B732,""en"",P$3)"),"Ag tosú ar an chéad uair")</f>
        <v>Ag tosú ar an chéad uair</v>
      </c>
      <c r="Q732" s="21" t="str">
        <f ca="1">IFERROR(__xludf.DUMMYFUNCTION("GOOGLETRANSLATE($B732,""en"",Q$3)"),"راه اندازی اولین بار")</f>
        <v>راه اندازی اولین بار</v>
      </c>
      <c r="R732" s="21" t="str">
        <f ca="1">IFERROR(__xludf.DUMMYFUNCTION("GOOGLETRANSLATE($B732,""en"",R$3)"),"התנעה לראשונה")</f>
        <v>התנעה לראשונה</v>
      </c>
      <c r="S732" s="21" t="str">
        <f ca="1">IFERROR(__xludf.DUMMYFUNCTION("GOOGLETRANSLATE($B732,""en"",S$3)"),"Byrja upp í fyrsta skipti")</f>
        <v>Byrja upp í fyrsta skipti</v>
      </c>
      <c r="T732" s="21" t="str">
        <f ca="1">IFERROR(__xludf.DUMMYFUNCTION("GOOGLETRANSLATE($B732,""en"",T$3)"),"Oppstart første gang")</f>
        <v>Oppstart første gang</v>
      </c>
      <c r="U732" s="21" t="str">
        <f ca="1">IFERROR(__xludf.DUMMYFUNCTION("GOOGLETRANSLATE($B732,""en"",U$3)"),"بدء تشغيل أول مرة")</f>
        <v>بدء تشغيل أول مرة</v>
      </c>
      <c r="V732" s="21" t="str">
        <f ca="1">IFERROR(__xludf.DUMMYFUNCTION("GOOGLETRANSLATE($B732,""en"",V$3)"),"Uruchamianie po raz pierwszy")</f>
        <v>Uruchamianie po raz pierwszy</v>
      </c>
      <c r="W732" s="21" t="str">
        <f ca="1">IFERROR(__xludf.DUMMYFUNCTION("GOOGLETRANSLATE($B732,""en"",W$3)"),"Запуск в первый раз")</f>
        <v>Запуск в первый раз</v>
      </c>
      <c r="X732" s="21" t="str">
        <f ca="1">IFERROR(__xludf.DUMMYFUNCTION("GOOGLETRANSLATE($B732,""en"",X$3)"),"Puesta en marcha de la primera vez")</f>
        <v>Puesta en marcha de la primera vez</v>
      </c>
      <c r="Y732" s="21"/>
      <c r="Z732" s="21"/>
    </row>
    <row r="733" spans="1:26" ht="32.25" customHeight="1" x14ac:dyDescent="0.2">
      <c r="A733" s="17" t="s">
        <v>1564</v>
      </c>
      <c r="B733" s="17" t="s">
        <v>1565</v>
      </c>
      <c r="C733" s="21" t="str">
        <f ca="1">IFERROR(__xludf.DUMMYFUNCTION("GOOGLETRANSLATE($B733,""en"",C$3)"),"Starten Webserver")</f>
        <v>Starten Webserver</v>
      </c>
      <c r="D733" s="21" t="str">
        <f ca="1">IFERROR(__xludf.DUMMYFUNCTION("GOOGLETRANSLATE($B733,""en"",D$3)"),"Från och webbserver")</f>
        <v>Från och webbserver</v>
      </c>
      <c r="E733" s="21" t="str">
        <f ca="1">IFERROR(__xludf.DUMMYFUNCTION("GOOGLETRANSLATE($B733,""en"",E$3)"),"webserver começando")</f>
        <v>webserver começando</v>
      </c>
      <c r="F733" s="21" t="str">
        <f ca="1">IFERROR(__xludf.DUMMYFUNCTION("GOOGLETRANSLATE($B733,""en"",F$3)"),"webserver começando")</f>
        <v>webserver começando</v>
      </c>
      <c r="G733" s="21" t="str">
        <f ca="1">IFERROR(__xludf.DUMMYFUNCTION("GOOGLETRANSLATE($B733,""en"",G$3)"),"À partir webserver")</f>
        <v>À partir webserver</v>
      </c>
      <c r="H733" s="21" t="str">
        <f ca="1">IFERROR(__xludf.DUMMYFUNCTION("GOOGLETRANSLATE($B733,""en"",H$3)"),"hasita webserver")</f>
        <v>hasita webserver</v>
      </c>
      <c r="I733" s="21" t="str">
        <f ca="1">IFERROR(__xludf.DUMMYFUNCTION("GOOGLETRANSLATE($B733,""en"",I$3)"),"A partir servidor web")</f>
        <v>A partir servidor web</v>
      </c>
      <c r="J733" s="21" t="str">
        <f ca="1">IFERROR(__xludf.DUMMYFUNCTION("GOOGLETRANSLATE($B733,""en"",J$3)"),"Spuštění webserver")</f>
        <v>Spuštění webserver</v>
      </c>
      <c r="K733" s="21" t="str">
        <f ca="1">IFERROR(__xludf.DUMMYFUNCTION("GOOGLETRANSLATE($B733,""en"",K$3)"),"启动Web服务器")</f>
        <v>启动Web服务器</v>
      </c>
      <c r="L733" s="21" t="str">
        <f ca="1">IFERROR(__xludf.DUMMYFUNCTION("GOOGLETRANSLATE($B733,""en"",L$3)"),"啟動Web服務器")</f>
        <v>啟動Web服務器</v>
      </c>
      <c r="M733" s="21" t="str">
        <f ca="1">IFERROR(__xludf.DUMMYFUNCTION("GOOGLETRANSLATE($B733,""en"",M$3)"),"Vanaf webserver")</f>
        <v>Vanaf webserver</v>
      </c>
      <c r="N733" s="21" t="str">
        <f ca="1">IFERROR(__xludf.DUMMYFUNCTION("GOOGLETRANSLATE($B733,""en"",N$3)"),"ξεκινώντας διακομιστή")</f>
        <v>ξεκινώντας διακομιστή</v>
      </c>
      <c r="O733" s="21" t="str">
        <f ca="1">IFERROR(__xludf.DUMMYFUNCTION("GOOGLETRANSLATE($B733,""en"",O$3)"),"Starting webserver")</f>
        <v>Starting webserver</v>
      </c>
      <c r="P733" s="21" t="str">
        <f ca="1">IFERROR(__xludf.DUMMYFUNCTION("GOOGLETRANSLATE($B733,""en"",P$3)"),"Ag tosú webserver")</f>
        <v>Ag tosú webserver</v>
      </c>
      <c r="Q733" s="21" t="str">
        <f ca="1">IFERROR(__xludf.DUMMYFUNCTION("GOOGLETRANSLATE($B733,""en"",Q$3)"),"شروع وب سرور")</f>
        <v>شروع وب سرور</v>
      </c>
      <c r="R733" s="21" t="str">
        <f ca="1">IFERROR(__xludf.DUMMYFUNCTION("GOOGLETRANSLATE($B733,""en"",R$3)"),"שרת אינטרנט החל")</f>
        <v>שרת אינטרנט החל</v>
      </c>
      <c r="S733" s="21" t="str">
        <f ca="1">IFERROR(__xludf.DUMMYFUNCTION("GOOGLETRANSLATE($B733,""en"",S$3)"),"Byrjar Vefþjónninn")</f>
        <v>Byrjar Vefþjónninn</v>
      </c>
      <c r="T733" s="21" t="str">
        <f ca="1">IFERROR(__xludf.DUMMYFUNCTION("GOOGLETRANSLATE($B733,""en"",T$3)"),"starter webserver")</f>
        <v>starter webserver</v>
      </c>
      <c r="U733" s="21" t="str">
        <f ca="1">IFERROR(__xludf.DUMMYFUNCTION("GOOGLETRANSLATE($B733,""en"",U$3)"),"خادم البدء")</f>
        <v>خادم البدء</v>
      </c>
      <c r="V733" s="21" t="str">
        <f ca="1">IFERROR(__xludf.DUMMYFUNCTION("GOOGLETRANSLATE($B733,""en"",V$3)"),"Uruchamianie serwera WWW")</f>
        <v>Uruchamianie serwera WWW</v>
      </c>
      <c r="W733" s="21" t="str">
        <f ca="1">IFERROR(__xludf.DUMMYFUNCTION("GOOGLETRANSLATE($B733,""en"",W$3)"),"Запуск веб-сервер")</f>
        <v>Запуск веб-сервер</v>
      </c>
      <c r="X733" s="21" t="str">
        <f ca="1">IFERROR(__xludf.DUMMYFUNCTION("GOOGLETRANSLATE($B733,""en"",X$3)"),"A partir servidor web")</f>
        <v>A partir servidor web</v>
      </c>
      <c r="Y733" s="21"/>
      <c r="Z733" s="21"/>
    </row>
    <row r="734" spans="1:26" ht="32.25" customHeight="1" x14ac:dyDescent="0.2">
      <c r="A734" s="17" t="s">
        <v>1566</v>
      </c>
      <c r="B734" s="17" t="s">
        <v>1567</v>
      </c>
      <c r="C734" s="21" t="str">
        <f ca="1">IFERROR(__xludf.DUMMYFUNCTION("GOOGLETRANSLATE($B734,""en"",C$3)"),"Beginnend")</f>
        <v>Beginnend</v>
      </c>
      <c r="D734" s="21" t="str">
        <f ca="1">IFERROR(__xludf.DUMMYFUNCTION("GOOGLETRANSLATE($B734,""en"",D$3)"),"Startande")</f>
        <v>Startande</v>
      </c>
      <c r="E734" s="21" t="str">
        <f ca="1">IFERROR(__xludf.DUMMYFUNCTION("GOOGLETRANSLATE($B734,""en"",E$3)"),"Iniciando")</f>
        <v>Iniciando</v>
      </c>
      <c r="F734" s="21" t="str">
        <f ca="1">IFERROR(__xludf.DUMMYFUNCTION("GOOGLETRANSLATE($B734,""en"",F$3)"),"Iniciando")</f>
        <v>Iniciando</v>
      </c>
      <c r="G734" s="21" t="str">
        <f ca="1">IFERROR(__xludf.DUMMYFUNCTION("GOOGLETRANSLATE($B734,""en"",G$3)"),"Départ")</f>
        <v>Départ</v>
      </c>
      <c r="H734" s="21" t="str">
        <f ca="1">IFERROR(__xludf.DUMMYFUNCTION("GOOGLETRANSLATE($B734,""en"",H$3)"),"aurrera")</f>
        <v>aurrera</v>
      </c>
      <c r="I734" s="21" t="str">
        <f ca="1">IFERROR(__xludf.DUMMYFUNCTION("GOOGLETRANSLATE($B734,""en"",I$3)"),"començament")</f>
        <v>començament</v>
      </c>
      <c r="J734" s="21" t="str">
        <f ca="1">IFERROR(__xludf.DUMMYFUNCTION("GOOGLETRANSLATE($B734,""en"",J$3)"),"Začíná")</f>
        <v>Začíná</v>
      </c>
      <c r="K734" s="21" t="str">
        <f ca="1">IFERROR(__xludf.DUMMYFUNCTION("GOOGLETRANSLATE($B734,""en"",K$3)"),"开始")</f>
        <v>开始</v>
      </c>
      <c r="L734" s="21" t="str">
        <f ca="1">IFERROR(__xludf.DUMMYFUNCTION("GOOGLETRANSLATE($B734,""en"",L$3)"),"開始")</f>
        <v>開始</v>
      </c>
      <c r="M734" s="21" t="str">
        <f ca="1">IFERROR(__xludf.DUMMYFUNCTION("GOOGLETRANSLATE($B734,""en"",M$3)"),"Beginnend")</f>
        <v>Beginnend</v>
      </c>
      <c r="N734" s="21" t="str">
        <f ca="1">IFERROR(__xludf.DUMMYFUNCTION("GOOGLETRANSLATE($B734,""en"",N$3)"),"Εκκίνηση")</f>
        <v>Εκκίνηση</v>
      </c>
      <c r="O734" s="21" t="str">
        <f ca="1">IFERROR(__xludf.DUMMYFUNCTION("GOOGLETRANSLATE($B734,""en"",O$3)"),"aloittaminen")</f>
        <v>aloittaminen</v>
      </c>
      <c r="P734" s="21" t="str">
        <f ca="1">IFERROR(__xludf.DUMMYFUNCTION("GOOGLETRANSLATE($B734,""en"",P$3)"),"Ag tosú")</f>
        <v>Ag tosú</v>
      </c>
      <c r="Q734" s="21" t="str">
        <f ca="1">IFERROR(__xludf.DUMMYFUNCTION("GOOGLETRANSLATE($B734,""en"",Q$3)"),"راه افتادن")</f>
        <v>راه افتادن</v>
      </c>
      <c r="R734" s="21" t="str">
        <f ca="1">IFERROR(__xludf.DUMMYFUNCTION("GOOGLETRANSLATE($B734,""en"",R$3)"),"החל")</f>
        <v>החל</v>
      </c>
      <c r="S734" s="21" t="str">
        <f ca="1">IFERROR(__xludf.DUMMYFUNCTION("GOOGLETRANSLATE($B734,""en"",S$3)"),"Byrjar")</f>
        <v>Byrjar</v>
      </c>
      <c r="T734" s="21" t="str">
        <f ca="1">IFERROR(__xludf.DUMMYFUNCTION("GOOGLETRANSLATE($B734,""en"",T$3)"),"starter")</f>
        <v>starter</v>
      </c>
      <c r="U734" s="21" t="str">
        <f ca="1">IFERROR(__xludf.DUMMYFUNCTION("GOOGLETRANSLATE($B734,""en"",U$3)"),"بدء")</f>
        <v>بدء</v>
      </c>
      <c r="V734" s="21" t="str">
        <f ca="1">IFERROR(__xludf.DUMMYFUNCTION("GOOGLETRANSLATE($B734,""en"",V$3)"),"Startowy")</f>
        <v>Startowy</v>
      </c>
      <c r="W734" s="21" t="str">
        <f ca="1">IFERROR(__xludf.DUMMYFUNCTION("GOOGLETRANSLATE($B734,""en"",W$3)"),"начало")</f>
        <v>начало</v>
      </c>
      <c r="X734" s="21" t="str">
        <f ca="1">IFERROR(__xludf.DUMMYFUNCTION("GOOGLETRANSLATE($B734,""en"",X$3)"),"Comenzando")</f>
        <v>Comenzando</v>
      </c>
      <c r="Y734" s="21"/>
      <c r="Z734" s="21"/>
    </row>
    <row r="735" spans="1:26" ht="32.25" customHeight="1" x14ac:dyDescent="0.2">
      <c r="A735" s="17" t="s">
        <v>1568</v>
      </c>
      <c r="B735" s="17" t="s">
        <v>1569</v>
      </c>
      <c r="C735" s="21" t="str">
        <f ca="1">IFERROR(__xludf.DUMMYFUNCTION("GOOGLETRANSLATE($B735,""en"",C$3)"),"Es besteht keine Notwendigkeit erneut die Start-Schaltfläche klicken. Startet nach dem Abwurf.")</f>
        <v>Es besteht keine Notwendigkeit erneut die Start-Schaltfläche klicken. Startet nach dem Abwurf.</v>
      </c>
      <c r="D735" s="21" t="str">
        <f ca="1">IFERROR(__xludf.DUMMYFUNCTION("GOOGLETRANSLATE($B735,""en"",D$3)"),"Det finns ingen anledning att klicka på Start-knappen igen. Startar när den lanserades.")</f>
        <v>Det finns ingen anledning att klicka på Start-knappen igen. Startar när den lanserades.</v>
      </c>
      <c r="E735" s="21" t="str">
        <f ca="1">IFERROR(__xludf.DUMMYFUNCTION("GOOGLETRANSLATE($B735,""en"",E$3)"),"Não há necessidade de clicar no botão Iniciar novamente. Começa quando lançado.")</f>
        <v>Não há necessidade de clicar no botão Iniciar novamente. Começa quando lançado.</v>
      </c>
      <c r="F735" s="21" t="str">
        <f ca="1">IFERROR(__xludf.DUMMYFUNCTION("GOOGLETRANSLATE($B735,""en"",F$3)"),"Não há necessidade de clicar no botão Iniciar novamente. Começa quando lançado.")</f>
        <v>Não há necessidade de clicar no botão Iniciar novamente. Começa quando lançado.</v>
      </c>
      <c r="G735" s="21" t="str">
        <f ca="1">IFERROR(__xludf.DUMMYFUNCTION("GOOGLETRANSLATE($B735,""en"",G$3)"),"Il n'y a pas besoin de cliquer à nouveau sur le bouton Démarrer. Lance lors de son lancement.")</f>
        <v>Il n'y a pas besoin de cliquer à nouveau sur le bouton Démarrer. Lance lors de son lancement.</v>
      </c>
      <c r="H735" s="21" t="str">
        <f ca="1">IFERROR(__xludf.DUMMYFUNCTION("GOOGLETRANSLATE($B735,""en"",H$3)"),"Ez dago Start botoia berriro sakatu beharrik. abian jarri hasiko da.")</f>
        <v>Ez dago Start botoia berriro sakatu beharrik. abian jarri hasiko da.</v>
      </c>
      <c r="I735" s="21" t="str">
        <f ca="1">IFERROR(__xludf.DUMMYFUNCTION("GOOGLETRANSLATE($B735,""en"",I$3)"),"No hi ha necessitat de fer clic al botó Inici de nou. Comença quan s'inicia.")</f>
        <v>No hi ha necessitat de fer clic al botó Inici de nou. Comença quan s'inicia.</v>
      </c>
      <c r="J735" s="21" t="str">
        <f ca="1">IFERROR(__xludf.DUMMYFUNCTION("GOOGLETRANSLATE($B735,""en"",J$3)"),"Není potřeba znovu klepněte na tlačítko Start. Začíná, když vypustil.")</f>
        <v>Není potřeba znovu klepněte na tlačítko Start. Začíná, když vypustil.</v>
      </c>
      <c r="K735" s="21" t="str">
        <f ca="1">IFERROR(__xludf.DUMMYFUNCTION("GOOGLETRANSLATE($B735,""en"",K$3)"),"有没有必要再单击开始按钮。启动时启动。")</f>
        <v>有没有必要再单击开始按钮。启动时启动。</v>
      </c>
      <c r="L735" s="21" t="str">
        <f ca="1">IFERROR(__xludf.DUMMYFUNCTION("GOOGLETRANSLATE($B735,""en"",L$3)"),"有沒有必要再單擊開始按鈕。啟動時啟動。")</f>
        <v>有沒有必要再單擊開始按鈕。啟動時啟動。</v>
      </c>
      <c r="M735" s="21" t="str">
        <f ca="1">IFERROR(__xludf.DUMMYFUNCTION("GOOGLETRANSLATE($B735,""en"",M$3)"),"Er is geen noodzaak om opnieuw op de knop Start. Begint wanneer gelanceerd.")</f>
        <v>Er is geen noodzaak om opnieuw op de knop Start. Begint wanneer gelanceerd.</v>
      </c>
      <c r="N735" s="21" t="str">
        <f ca="1">IFERROR(__xludf.DUMMYFUNCTION("GOOGLETRANSLATE($B735,""en"",N$3)"),"Δεν υπάρχει καμία ανάγκη να κάνετε κλικ ξανά στο κουμπί Έναρξη. Ξεκινά όταν ξεκίνησε.")</f>
        <v>Δεν υπάρχει καμία ανάγκη να κάνετε κλικ ξανά στο κουμπί Έναρξη. Ξεκινά όταν ξεκίνησε.</v>
      </c>
      <c r="O735" s="21" t="str">
        <f ca="1">IFERROR(__xludf.DUMMYFUNCTION("GOOGLETRANSLATE($B735,""en"",O$3)"),"Ei ole tarvetta valitse Käynnistä uudelleen. Alkaa, kun käynnistettiin.")</f>
        <v>Ei ole tarvetta valitse Käynnistä uudelleen. Alkaa, kun käynnistettiin.</v>
      </c>
      <c r="P735" s="21" t="str">
        <f ca="1">IFERROR(__xludf.DUMMYFUNCTION("GOOGLETRANSLATE($B735,""en"",P$3)"),"Níl aon ghá a cliceáil ar an gcnaipe Tosaigh arís. Tosaíonn nuair a sheol.")</f>
        <v>Níl aon ghá a cliceáil ar an gcnaipe Tosaigh arís. Tosaíonn nuair a sheol.</v>
      </c>
      <c r="Q735" s="21" t="str">
        <f ca="1">IFERROR(__xludf.DUMMYFUNCTION("GOOGLETRANSLATE($B735,""en"",Q$3)"),"بدون نیاز به کلیک بر روی دکمه شروع دوباره وجود دارد. شروع می شود زمانی راه اندازی شد.")</f>
        <v>بدون نیاز به کلیک بر روی دکمه شروع دوباره وجود دارد. شروع می شود زمانی راه اندازی شد.</v>
      </c>
      <c r="R735" s="21" t="str">
        <f ca="1">IFERROR(__xludf.DUMMYFUNCTION("GOOGLETRANSLATE($B735,""en"",R$3)"),"אין צורך ללחוץ על כפתור התחל שוב. מתחיל כאשר השיק.")</f>
        <v>אין צורך ללחוץ על כפתור התחל שוב. מתחיל כאשר השיק.</v>
      </c>
      <c r="S735" s="21" t="str">
        <f ca="1">IFERROR(__xludf.DUMMYFUNCTION("GOOGLETRANSLATE($B735,""en"",S$3)"),"Það er engin þörf á að smella á Start hnappinn aftur. Hefst þegar hleypt af stokkunum.")</f>
        <v>Það er engin þörf á að smella á Start hnappinn aftur. Hefst þegar hleypt af stokkunum.</v>
      </c>
      <c r="T735" s="21" t="str">
        <f ca="1">IFERROR(__xludf.DUMMYFUNCTION("GOOGLETRANSLATE($B735,""en"",T$3)"),"Det er ikke nødvendig å klikke på Start-knappen igjen. Starter når lansert.")</f>
        <v>Det er ikke nødvendig å klikke på Start-knappen igjen. Starter når lansert.</v>
      </c>
      <c r="U735" s="21" t="str">
        <f ca="1">IFERROR(__xludf.DUMMYFUNCTION("GOOGLETRANSLATE($B735,""en"",U$3)"),"ليست هناك حاجة إلى انقر فوق الزر ابدأ مرة أخرى. يبدأ عندما أطلقت.")</f>
        <v>ليست هناك حاجة إلى انقر فوق الزر ابدأ مرة أخرى. يبدأ عندما أطلقت.</v>
      </c>
      <c r="V735" s="21" t="str">
        <f ca="1">IFERROR(__xludf.DUMMYFUNCTION("GOOGLETRANSLATE($B735,""en"",V$3)"),"Nie ma potrzeby, aby ponownie kliknij przycisk Start. Zaczyna się, gdy uruchomiony.")</f>
        <v>Nie ma potrzeby, aby ponownie kliknij przycisk Start. Zaczyna się, gdy uruchomiony.</v>
      </c>
      <c r="W735" s="21" t="str">
        <f ca="1">IFERROR(__xludf.DUMMYFUNCTION("GOOGLETRANSLATE($B735,""en"",W$3)"),"Там нет необходимости нажимать кнопку Start еще раз. Запуск при запуске.")</f>
        <v>Там нет необходимости нажимать кнопку Start еще раз. Запуск при запуске.</v>
      </c>
      <c r="X735" s="21" t="str">
        <f ca="1">IFERROR(__xludf.DUMMYFUNCTION("GOOGLETRANSLATE($B735,""en"",X$3)"),"No hay necesidad de hacer clic en el botón Inicio de nuevo. Comienza cuando se inicia.")</f>
        <v>No hay necesidad de hacer clic en el botón Inicio de nuevo. Comienza cuando se inicia.</v>
      </c>
      <c r="Y735" s="21"/>
      <c r="Z735" s="21"/>
    </row>
    <row r="736" spans="1:26" ht="32.25" customHeight="1" x14ac:dyDescent="0.2">
      <c r="A736" s="17" t="s">
        <v>1570</v>
      </c>
      <c r="B736" s="17" t="s">
        <v>1571</v>
      </c>
      <c r="C736" s="21" t="str">
        <f ca="1">IFERROR(__xludf.DUMMYFUNCTION("GOOGLETRANSLATE($B736,""en"",C$3)"),"Start Regionen Sequenziell")</f>
        <v>Start Regionen Sequenziell</v>
      </c>
      <c r="D736" s="21" t="str">
        <f ca="1">IFERROR(__xludf.DUMMYFUNCTION("GOOGLETRANSLATE($B736,""en"",D$3)"),"Start Regioner Sekventiellt")</f>
        <v>Start Regioner Sekventiellt</v>
      </c>
      <c r="E736" s="21" t="str">
        <f ca="1">IFERROR(__xludf.DUMMYFUNCTION("GOOGLETRANSLATE($B736,""en"",E$3)"),"Iniciar Regiões Sequencialmente")</f>
        <v>Iniciar Regiões Sequencialmente</v>
      </c>
      <c r="F736" s="21" t="str">
        <f ca="1">IFERROR(__xludf.DUMMYFUNCTION("GOOGLETRANSLATE($B736,""en"",F$3)"),"Iniciar Regiões Sequencialmente")</f>
        <v>Iniciar Regiões Sequencialmente</v>
      </c>
      <c r="G736" s="21" t="str">
        <f ca="1">IFERROR(__xludf.DUMMYFUNCTION("GOOGLETRANSLATE($B736,""en"",G$3)"),"Régions Démarrer Séquentiellement")</f>
        <v>Régions Démarrer Séquentiellement</v>
      </c>
      <c r="H736" s="21" t="str">
        <f ca="1">IFERROR(__xludf.DUMMYFUNCTION("GOOGLETRANSLATE($B736,""en"",H$3)"),"Start Eskualde Sekuentzialki")</f>
        <v>Start Eskualde Sekuentzialki</v>
      </c>
      <c r="I736" s="21" t="str">
        <f ca="1">IFERROR(__xludf.DUMMYFUNCTION("GOOGLETRANSLATE($B736,""en"",I$3)"),"Inici Regions seqüencialment")</f>
        <v>Inici Regions seqüencialment</v>
      </c>
      <c r="J736" s="21" t="str">
        <f ca="1">IFERROR(__xludf.DUMMYFUNCTION("GOOGLETRANSLATE($B736,""en"",J$3)"),"Začátek oblasti Postupně")</f>
        <v>Začátek oblasti Postupně</v>
      </c>
      <c r="K736" s="21" t="str">
        <f ca="1">IFERROR(__xludf.DUMMYFUNCTION("GOOGLETRANSLATE($B736,""en"",K$3)"),"起点区域按顺序")</f>
        <v>起点区域按顺序</v>
      </c>
      <c r="L736" s="21" t="str">
        <f ca="1">IFERROR(__xludf.DUMMYFUNCTION("GOOGLETRANSLATE($B736,""en"",L$3)"),"起點區域按順序")</f>
        <v>起點區域按順序</v>
      </c>
      <c r="M736" s="21" t="str">
        <f ca="1">IFERROR(__xludf.DUMMYFUNCTION("GOOGLETRANSLATE($B736,""en"",M$3)"),"Start Regio Opeenvolgend")</f>
        <v>Start Regio Opeenvolgend</v>
      </c>
      <c r="N736" s="21" t="str">
        <f ca="1">IFERROR(__xludf.DUMMYFUNCTION("GOOGLETRANSLATE($B736,""en"",N$3)"),"Έναρξη Περιφερειών Διαδοχικά")</f>
        <v>Έναρξη Περιφερειών Διαδοχικά</v>
      </c>
      <c r="O736" s="21" t="str">
        <f ca="1">IFERROR(__xludf.DUMMYFUNCTION("GOOGLETRANSLATE($B736,""en"",O$3)"),"Start Alueet Peräkkäin")</f>
        <v>Start Alueet Peräkkäin</v>
      </c>
      <c r="P736" s="21" t="str">
        <f ca="1">IFERROR(__xludf.DUMMYFUNCTION("GOOGLETRANSLATE($B736,""en"",P$3)"),"Réigiúin Tosaigh seicheamhach")</f>
        <v>Réigiúin Tosaigh seicheamhach</v>
      </c>
      <c r="Q736" s="21" t="str">
        <f ca="1">IFERROR(__xludf.DUMMYFUNCTION("GOOGLETRANSLATE($B736,""en"",Q$3)"),"شروع مناطق پی در پی")</f>
        <v>شروع مناطق پی در پی</v>
      </c>
      <c r="R736" s="21" t="str">
        <f ca="1">IFERROR(__xludf.DUMMYFUNCTION("GOOGLETRANSLATE($B736,""en"",R$3)"),"התחל אזורים ברצף")</f>
        <v>התחל אזורים ברצף</v>
      </c>
      <c r="S736" s="21" t="str">
        <f ca="1">IFERROR(__xludf.DUMMYFUNCTION("GOOGLETRANSLATE($B736,""en"",S$3)"),"Start Svæði Röð")</f>
        <v>Start Svæði Röð</v>
      </c>
      <c r="T736" s="21" t="str">
        <f ca="1">IFERROR(__xludf.DUMMYFUNCTION("GOOGLETRANSLATE($B736,""en"",T$3)"),"Start Regioner sekvensielt")</f>
        <v>Start Regioner sekvensielt</v>
      </c>
      <c r="U736" s="21" t="str">
        <f ca="1">IFERROR(__xludf.DUMMYFUNCTION("GOOGLETRANSLATE($B736,""en"",U$3)"),"بداية المناطق بالتسلسل")</f>
        <v>بداية المناطق بالتسلسل</v>
      </c>
      <c r="V736" s="21" t="str">
        <f ca="1">IFERROR(__xludf.DUMMYFUNCTION("GOOGLETRANSLATE($B736,""en"",V$3)"),"Rozpocznij Regiony Kolejno")</f>
        <v>Rozpocznij Regiony Kolejno</v>
      </c>
      <c r="W736" s="21" t="str">
        <f ca="1">IFERROR(__xludf.DUMMYFUNCTION("GOOGLETRANSLATE($B736,""en"",W$3)"),"Начало Регионы Последовательная")</f>
        <v>Начало Регионы Последовательная</v>
      </c>
      <c r="X736" s="21" t="str">
        <f ca="1">IFERROR(__xludf.DUMMYFUNCTION("GOOGLETRANSLATE($B736,""en"",X$3)"),"Inicio Regiones secuencialmente")</f>
        <v>Inicio Regiones secuencialmente</v>
      </c>
      <c r="Y736" s="21"/>
      <c r="Z736" s="21"/>
    </row>
    <row r="737" spans="1:26" ht="32.25" customHeight="1" x14ac:dyDescent="0.2">
      <c r="A737" s="17" t="s">
        <v>1572</v>
      </c>
      <c r="B737" s="17" t="s">
        <v>1573</v>
      </c>
      <c r="C737" s="21" t="str">
        <f ca="1">IFERROR(__xludf.DUMMYFUNCTION("GOOGLETRANSLATE($B737,""en"",C$3)"),"Starten Sie die Systemsteuerung")</f>
        <v>Starten Sie die Systemsteuerung</v>
      </c>
      <c r="D737" s="21" t="str">
        <f ca="1">IFERROR(__xludf.DUMMYFUNCTION("GOOGLETRANSLATE($B737,""en"",D$3)"),"Starta Kontrollpanelen")</f>
        <v>Starta Kontrollpanelen</v>
      </c>
      <c r="E737" s="21" t="str">
        <f ca="1">IFERROR(__xludf.DUMMYFUNCTION("GOOGLETRANSLATE($B737,""en"",E$3)"),"Iniciar o Painel de Controle")</f>
        <v>Iniciar o Painel de Controle</v>
      </c>
      <c r="F737" s="21" t="str">
        <f ca="1">IFERROR(__xludf.DUMMYFUNCTION("GOOGLETRANSLATE($B737,""en"",F$3)"),"Iniciar o Painel de Controle")</f>
        <v>Iniciar o Painel de Controle</v>
      </c>
      <c r="G737" s="21" t="str">
        <f ca="1">IFERROR(__xludf.DUMMYFUNCTION("GOOGLETRANSLATE($B737,""en"",G$3)"),"Démarrage du Panneau de configuration")</f>
        <v>Démarrage du Panneau de configuration</v>
      </c>
      <c r="H737" s="21" t="str">
        <f ca="1">IFERROR(__xludf.DUMMYFUNCTION("GOOGLETRANSLATE($B737,""en"",H$3)"),"Control Panel hasita")</f>
        <v>Control Panel hasita</v>
      </c>
      <c r="I737" s="21" t="str">
        <f ca="1">IFERROR(__xludf.DUMMYFUNCTION("GOOGLETRANSLATE($B737,""en"",I$3)"),"Des del panell de control")</f>
        <v>Des del panell de control</v>
      </c>
      <c r="J737" s="21" t="str">
        <f ca="1">IFERROR(__xludf.DUMMYFUNCTION("GOOGLETRANSLATE($B737,""en"",J$3)"),"Spuštění ovládacího panelu")</f>
        <v>Spuštění ovládacího panelu</v>
      </c>
      <c r="K737" s="21" t="str">
        <f ca="1">IFERROR(__xludf.DUMMYFUNCTION("GOOGLETRANSLATE($B737,""en"",K$3)"),"启动控制面板")</f>
        <v>启动控制面板</v>
      </c>
      <c r="L737" s="21" t="str">
        <f ca="1">IFERROR(__xludf.DUMMYFUNCTION("GOOGLETRANSLATE($B737,""en"",L$3)"),"啟動控制面板")</f>
        <v>啟動控制面板</v>
      </c>
      <c r="M737" s="21" t="str">
        <f ca="1">IFERROR(__xludf.DUMMYFUNCTION("GOOGLETRANSLATE($B737,""en"",M$3)"),"Vanaf het Control Panel")</f>
        <v>Vanaf het Control Panel</v>
      </c>
      <c r="N737" s="21" t="str">
        <f ca="1">IFERROR(__xludf.DUMMYFUNCTION("GOOGLETRANSLATE($B737,""en"",N$3)"),"Ξεκινώντας από τον Πίνακα Ελέγχου")</f>
        <v>Ξεκινώντας από τον Πίνακα Ελέγχου</v>
      </c>
      <c r="O737" s="21" t="str">
        <f ca="1">IFERROR(__xludf.DUMMYFUNCTION("GOOGLETRANSLATE($B737,""en"",O$3)"),"Aloittamista Ohjauspaneeli")</f>
        <v>Aloittamista Ohjauspaneeli</v>
      </c>
      <c r="P737" s="21" t="str">
        <f ca="1">IFERROR(__xludf.DUMMYFUNCTION("GOOGLETRANSLATE($B737,""en"",P$3)"),"Ag tosú leis an Painéal Rialúcháin")</f>
        <v>Ag tosú leis an Painéal Rialúcháin</v>
      </c>
      <c r="Q737" s="21" t="str">
        <f ca="1">IFERROR(__xludf.DUMMYFUNCTION("GOOGLETRANSLATE($B737,""en"",Q$3)"),"شروع به کنترل پنل")</f>
        <v>شروع به کنترل پنل</v>
      </c>
      <c r="R737" s="21" t="str">
        <f ca="1">IFERROR(__xludf.DUMMYFUNCTION("GOOGLETRANSLATE($B737,""en"",R$3)"),"הפעלת לוח הבקרה")</f>
        <v>הפעלת לוח הבקרה</v>
      </c>
      <c r="S737" s="21" t="str">
        <f ca="1">IFERROR(__xludf.DUMMYFUNCTION("GOOGLETRANSLATE($B737,""en"",S$3)"),"Byrjun Control Panel")</f>
        <v>Byrjun Control Panel</v>
      </c>
      <c r="T737" s="21" t="str">
        <f ca="1">IFERROR(__xludf.DUMMYFUNCTION("GOOGLETRANSLATE($B737,""en"",T$3)"),"Starter kontrollpanelet")</f>
        <v>Starter kontrollpanelet</v>
      </c>
      <c r="U737" s="21" t="str">
        <f ca="1">IFERROR(__xludf.DUMMYFUNCTION("GOOGLETRANSLATE($B737,""en"",U$3)"),"ابتداء من لوحة التحكم")</f>
        <v>ابتداء من لوحة التحكم</v>
      </c>
      <c r="V737" s="21" t="str">
        <f ca="1">IFERROR(__xludf.DUMMYFUNCTION("GOOGLETRANSLATE($B737,""en"",V$3)"),"Uruchomienie centrali")</f>
        <v>Uruchomienie centrali</v>
      </c>
      <c r="W737" s="21" t="str">
        <f ca="1">IFERROR(__xludf.DUMMYFUNCTION("GOOGLETRANSLATE($B737,""en"",W$3)"),"Запуск панели управления")</f>
        <v>Запуск панели управления</v>
      </c>
      <c r="X737" s="21" t="str">
        <f ca="1">IFERROR(__xludf.DUMMYFUNCTION("GOOGLETRANSLATE($B737,""en"",X$3)"),"Desde el panel de control")</f>
        <v>Desde el panel de control</v>
      </c>
      <c r="Y737" s="21"/>
      <c r="Z737" s="21"/>
    </row>
    <row r="738" spans="1:26" ht="32.25" customHeight="1" x14ac:dyDescent="0.2">
      <c r="A738" s="17" t="s">
        <v>1574</v>
      </c>
      <c r="B738" s="17" t="s">
        <v>1575</v>
      </c>
      <c r="C738" s="21" t="str">
        <f ca="1">IFERROR(__xludf.DUMMYFUNCTION("GOOGLETRANSLATE($B738,""en"",C$3)"),"Status")</f>
        <v>Status</v>
      </c>
      <c r="D738" s="21" t="str">
        <f ca="1">IFERROR(__xludf.DUMMYFUNCTION("GOOGLETRANSLATE($B738,""en"",D$3)"),"Status")</f>
        <v>Status</v>
      </c>
      <c r="E738" s="21" t="str">
        <f ca="1">IFERROR(__xludf.DUMMYFUNCTION("GOOGLETRANSLATE($B738,""en"",E$3)"),"estado")</f>
        <v>estado</v>
      </c>
      <c r="F738" s="21" t="str">
        <f ca="1">IFERROR(__xludf.DUMMYFUNCTION("GOOGLETRANSLATE($B738,""en"",F$3)"),"estado")</f>
        <v>estado</v>
      </c>
      <c r="G738" s="21" t="str">
        <f ca="1">IFERROR(__xludf.DUMMYFUNCTION("GOOGLETRANSLATE($B738,""en"",G$3)"),"Statut")</f>
        <v>Statut</v>
      </c>
      <c r="H738" s="21" t="str">
        <f ca="1">IFERROR(__xludf.DUMMYFUNCTION("GOOGLETRANSLATE($B738,""en"",H$3)"),"Egoera")</f>
        <v>Egoera</v>
      </c>
      <c r="I738" s="21" t="str">
        <f ca="1">IFERROR(__xludf.DUMMYFUNCTION("GOOGLETRANSLATE($B738,""en"",I$3)"),"Estat")</f>
        <v>Estat</v>
      </c>
      <c r="J738" s="21" t="str">
        <f ca="1">IFERROR(__xludf.DUMMYFUNCTION("GOOGLETRANSLATE($B738,""en"",J$3)"),"Postavení")</f>
        <v>Postavení</v>
      </c>
      <c r="K738" s="21" t="str">
        <f ca="1">IFERROR(__xludf.DUMMYFUNCTION("GOOGLETRANSLATE($B738,""en"",K$3)"),"状态")</f>
        <v>状态</v>
      </c>
      <c r="L738" s="21" t="str">
        <f ca="1">IFERROR(__xludf.DUMMYFUNCTION("GOOGLETRANSLATE($B738,""en"",L$3)"),"狀態")</f>
        <v>狀態</v>
      </c>
      <c r="M738" s="21" t="str">
        <f ca="1">IFERROR(__xludf.DUMMYFUNCTION("GOOGLETRANSLATE($B738,""en"",M$3)"),"Toestand")</f>
        <v>Toestand</v>
      </c>
      <c r="N738" s="21" t="str">
        <f ca="1">IFERROR(__xludf.DUMMYFUNCTION("GOOGLETRANSLATE($B738,""en"",N$3)"),"Κατάσταση")</f>
        <v>Κατάσταση</v>
      </c>
      <c r="O738" s="21" t="str">
        <f ca="1">IFERROR(__xludf.DUMMYFUNCTION("GOOGLETRANSLATE($B738,""en"",O$3)"),"Tila")</f>
        <v>Tila</v>
      </c>
      <c r="P738" s="21" t="str">
        <f ca="1">IFERROR(__xludf.DUMMYFUNCTION("GOOGLETRANSLATE($B738,""en"",P$3)"),"stádas")</f>
        <v>stádas</v>
      </c>
      <c r="Q738" s="21" t="str">
        <f ca="1">IFERROR(__xludf.DUMMYFUNCTION("GOOGLETRANSLATE($B738,""en"",Q$3)"),"وضعیت")</f>
        <v>وضعیت</v>
      </c>
      <c r="R738" s="21" t="str">
        <f ca="1">IFERROR(__xludf.DUMMYFUNCTION("GOOGLETRANSLATE($B738,""en"",R$3)"),"סטָטוּס")</f>
        <v>סטָטוּס</v>
      </c>
      <c r="S738" s="21" t="str">
        <f ca="1">IFERROR(__xludf.DUMMYFUNCTION("GOOGLETRANSLATE($B738,""en"",S$3)"),"Staða")</f>
        <v>Staða</v>
      </c>
      <c r="T738" s="21" t="str">
        <f ca="1">IFERROR(__xludf.DUMMYFUNCTION("GOOGLETRANSLATE($B738,""en"",T$3)"),"Status")</f>
        <v>Status</v>
      </c>
      <c r="U738" s="21" t="str">
        <f ca="1">IFERROR(__xludf.DUMMYFUNCTION("GOOGLETRANSLATE($B738,""en"",U$3)"),"الحالة")</f>
        <v>الحالة</v>
      </c>
      <c r="V738" s="21" t="str">
        <f ca="1">IFERROR(__xludf.DUMMYFUNCTION("GOOGLETRANSLATE($B738,""en"",V$3)"),"Status")</f>
        <v>Status</v>
      </c>
      <c r="W738" s="21" t="str">
        <f ca="1">IFERROR(__xludf.DUMMYFUNCTION("GOOGLETRANSLATE($B738,""en"",W$3)"),"Положение дел")</f>
        <v>Положение дел</v>
      </c>
      <c r="X738" s="21" t="str">
        <f ca="1">IFERROR(__xludf.DUMMYFUNCTION("GOOGLETRANSLATE($B738,""en"",X$3)"),"Estado")</f>
        <v>Estado</v>
      </c>
      <c r="Y738" s="21"/>
      <c r="Z738" s="21"/>
    </row>
    <row r="739" spans="1:26" ht="32.25" customHeight="1" x14ac:dyDescent="0.2">
      <c r="A739" s="17" t="s">
        <v>1576</v>
      </c>
      <c r="B739" s="17" t="s">
        <v>1431</v>
      </c>
      <c r="C739" s="21" t="str">
        <f ca="1">IFERROR(__xludf.DUMMYFUNCTION("GOOGLETRANSLATE($B739,""en"",C$3)"),"Script-Timer Geschwindigkeitseinstellung. 1/11 Sekunde ist default (0,0909)")</f>
        <v>Script-Timer Geschwindigkeitseinstellung. 1/11 Sekunde ist default (0,0909)</v>
      </c>
      <c r="D739" s="21" t="str">
        <f ca="1">IFERROR(__xludf.DUMMYFUNCTION("GOOGLETRANSLATE($B739,""en"",D$3)"),"Script timer hastighetsinställning. 1/11 sekund är standard (0,0909)")</f>
        <v>Script timer hastighetsinställning. 1/11 sekund är standard (0,0909)</v>
      </c>
      <c r="E739" s="21" t="str">
        <f ca="1">IFERROR(__xludf.DUMMYFUNCTION("GOOGLETRANSLATE($B739,""en"",E$3)"),"Script configuração de velocidade temporizador. 1/11 segundo é padrão (0,0909)")</f>
        <v>Script configuração de velocidade temporizador. 1/11 segundo é padrão (0,0909)</v>
      </c>
      <c r="F739" s="21" t="str">
        <f ca="1">IFERROR(__xludf.DUMMYFUNCTION("GOOGLETRANSLATE($B739,""en"",F$3)"),"Script configuração de velocidade temporizador. 1/11 segundo é padrão (0,0909)")</f>
        <v>Script configuração de velocidade temporizador. 1/11 segundo é padrão (0,0909)</v>
      </c>
      <c r="G739" s="21" t="str">
        <f ca="1">IFERROR(__xludf.DUMMYFUNCTION("GOOGLETRANSLATE($B739,""en"",G$3)"),"Script réglage de la vitesse de la minuterie. 1/11 secondes est par défaut (0,0909)")</f>
        <v>Script réglage de la vitesse de la minuterie. 1/11 secondes est par défaut (0,0909)</v>
      </c>
      <c r="H739" s="21" t="str">
        <f ca="1">IFERROR(__xludf.DUMMYFUNCTION("GOOGLETRANSLATE($B739,""en"",H$3)"),"Gidoi tenporizadorea abiadura ezarpena. 1/11 segundoko lehenetsia (0.0909)")</f>
        <v>Gidoi tenporizadorea abiadura ezarpena. 1/11 segundoko lehenetsia (0.0909)</v>
      </c>
      <c r="I739" s="21" t="str">
        <f ca="1">IFERROR(__xludf.DUMMYFUNCTION("GOOGLETRANSLATE($B739,""en"",I$3)"),"ajust de velocitat temporitzador guió. 1/11 segons és defecte (0,0909)")</f>
        <v>ajust de velocitat temporitzador guió. 1/11 segons és defecte (0,0909)</v>
      </c>
      <c r="J739" s="21" t="str">
        <f ca="1">IFERROR(__xludf.DUMMYFUNCTION("GOOGLETRANSLATE($B739,""en"",J$3)"),"Nastavení rychlosti časovače Script. 1/11 druhý je výchozí (0,0909)")</f>
        <v>Nastavení rychlosti časovače Script. 1/11 druhý je výchozí (0,0909)</v>
      </c>
      <c r="K739" s="21" t="str">
        <f ca="1">IFERROR(__xludf.DUMMYFUNCTION("GOOGLETRANSLATE($B739,""en"",K$3)"),"脚本计时器速度设定。 1/11秒是默认值（0.0909）")</f>
        <v>脚本计时器速度设定。 1/11秒是默认值（0.0909）</v>
      </c>
      <c r="L739" s="21" t="str">
        <f ca="1">IFERROR(__xludf.DUMMYFUNCTION("GOOGLETRANSLATE($B739,""en"",L$3)"),"腳本計時器速度設定。 1/11秒是默認值（0.0909）")</f>
        <v>腳本計時器速度設定。 1/11秒是默認值（0.0909）</v>
      </c>
      <c r="M739" s="21" t="str">
        <f ca="1">IFERROR(__xludf.DUMMYFUNCTION("GOOGLETRANSLATE($B739,""en"",M$3)"),"Script timer snelheid. 1/11 seconde is standaard (0,0909)")</f>
        <v>Script timer snelheid. 1/11 seconde is standaard (0,0909)</v>
      </c>
      <c r="N739" s="21" t="str">
        <f ca="1">IFERROR(__xludf.DUMMYFUNCTION("GOOGLETRANSLATE($B739,""en"",N$3)"),"Σενάριο ρύθμιση της ταχύτητας του χρονοδιακόπτη. 1/11 δεύτερη είναι προεπιλεγμένη (0,0909)")</f>
        <v>Σενάριο ρύθμιση της ταχύτητας του χρονοδιακόπτη. 1/11 δεύτερη είναι προεπιλεγμένη (0,0909)</v>
      </c>
      <c r="O739" s="21" t="str">
        <f ca="1">IFERROR(__xludf.DUMMYFUNCTION("GOOGLETRANSLATE($B739,""en"",O$3)"),"Script ajastimen nopeusasetus. 1/11 Toinen on oletusarvo (0,0909)")</f>
        <v>Script ajastimen nopeusasetus. 1/11 Toinen on oletusarvo (0,0909)</v>
      </c>
      <c r="P739" s="21" t="str">
        <f ca="1">IFERROR(__xludf.DUMMYFUNCTION("GOOGLETRANSLATE($B739,""en"",P$3)"),"Script suíomh luas uaineadóir. Is 11/01 dara default (0.0909)")</f>
        <v>Script suíomh luas uaineadóir. Is 11/01 dara default (0.0909)</v>
      </c>
      <c r="Q739" s="21" t="str">
        <f ca="1">IFERROR(__xludf.DUMMYFUNCTION("GOOGLETRANSLATE($B739,""en"",Q$3)"),"اسکریپت تنظیم سرعت تایمر. 1/11 دوم به طور پیش فرض است (0.0909)")</f>
        <v>اسکریپت تنظیم سرعت تایمر. 1/11 دوم به طور پیش فرض است (0.0909)</v>
      </c>
      <c r="R739" s="21" t="str">
        <f ca="1">IFERROR(__xludf.DUMMYFUNCTION("GOOGLETRANSLATE($B739,""en"",R$3)"),"הגדרת מהירות טיימר סקריפט. השני 1/11 הוא ברירת מחדל (0.0909)")</f>
        <v>הגדרת מהירות טיימר סקריפט. השני 1/11 הוא ברירת מחדל (0.0909)</v>
      </c>
      <c r="S739" s="21" t="str">
        <f ca="1">IFERROR(__xludf.DUMMYFUNCTION("GOOGLETRANSLATE($B739,""en"",S$3)"),"Script myndatöku hraða stilling. 11/01 Annað er sjálfgefið (0,0909)")</f>
        <v>Script myndatöku hraða stilling. 11/01 Annað er sjálfgefið (0,0909)</v>
      </c>
      <c r="T739" s="21" t="str">
        <f ca="1">IFERROR(__xludf.DUMMYFUNCTION("GOOGLETRANSLATE($B739,""en"",T$3)"),"Script timer hastighetsinnstilling. 1/11 sekund er standard (0,0909)")</f>
        <v>Script timer hastighetsinnstilling. 1/11 sekund er standard (0,0909)</v>
      </c>
      <c r="U739" s="21" t="str">
        <f ca="1">IFERROR(__xludf.DUMMYFUNCTION("GOOGLETRANSLATE($B739,""en"",U$3)"),"النصي تحديد السرعة الموقت. 1/11 الثاني هو الافتراضي (0.0909)")</f>
        <v>النصي تحديد السرعة الموقت. 1/11 الثاني هو الافتراضي (0.0909)</v>
      </c>
      <c r="V739" s="21" t="str">
        <f ca="1">IFERROR(__xludf.DUMMYFUNCTION("GOOGLETRANSLATE($B739,""en"",V$3)"),"Skrypt ustawienie prędkości timera. 1/11 sekundy jest domyślna (0,0909)")</f>
        <v>Skrypt ustawienie prędkości timera. 1/11 sekundy jest domyślna (0,0909)</v>
      </c>
      <c r="W739" s="21" t="str">
        <f ca="1">IFERROR(__xludf.DUMMYFUNCTION("GOOGLETRANSLATE($B739,""en"",W$3)"),"Сценарий настройки скорости таймера. 1/11 второй по умолчанию (0,0909)")</f>
        <v>Сценарий настройки скорости таймера. 1/11 второй по умолчанию (0,0909)</v>
      </c>
      <c r="X739" s="21" t="str">
        <f ca="1">IFERROR(__xludf.DUMMYFUNCTION("GOOGLETRANSLATE($B739,""en"",X$3)"),"ajuste de velocidad temporizador guión. 1/11 segundos es predeterminada (0.0909)")</f>
        <v>ajuste de velocidad temporizador guión. 1/11 segundos es predeterminada (0.0909)</v>
      </c>
      <c r="Y739" s="21"/>
      <c r="Z739" s="21"/>
    </row>
    <row r="740" spans="1:26" ht="32.25" customHeight="1" x14ac:dyDescent="0.2">
      <c r="A740" s="17" t="s">
        <v>1577</v>
      </c>
      <c r="B740" s="17" t="s">
        <v>1578</v>
      </c>
      <c r="C740" s="21" t="str">
        <f ca="1">IFERROR(__xludf.DUMMYFUNCTION("GOOGLETRANSLATE($B740,""en"",C$3)"),"Schritt 1:")</f>
        <v>Schritt 1:</v>
      </c>
      <c r="D740" s="21" t="str">
        <f ca="1">IFERROR(__xludf.DUMMYFUNCTION("GOOGLETRANSLATE($B740,""en"",D$3)"),"Steg 1:")</f>
        <v>Steg 1:</v>
      </c>
      <c r="E740" s="21" t="str">
        <f ca="1">IFERROR(__xludf.DUMMYFUNCTION("GOOGLETRANSLATE($B740,""en"",E$3)"),"Passo 1:")</f>
        <v>Passo 1:</v>
      </c>
      <c r="F740" s="21" t="str">
        <f ca="1">IFERROR(__xludf.DUMMYFUNCTION("GOOGLETRANSLATE($B740,""en"",F$3)"),"Passo 1:")</f>
        <v>Passo 1:</v>
      </c>
      <c r="G740" s="21" t="str">
        <f ca="1">IFERROR(__xludf.DUMMYFUNCTION("GOOGLETRANSLATE($B740,""en"",G$3)"),"Étape 1:")</f>
        <v>Étape 1:</v>
      </c>
      <c r="H740" s="21" t="str">
        <f ca="1">IFERROR(__xludf.DUMMYFUNCTION("GOOGLETRANSLATE($B740,""en"",H$3)"),"1. urratsa:")</f>
        <v>1. urratsa:</v>
      </c>
      <c r="I740" s="21" t="str">
        <f ca="1">IFERROR(__xludf.DUMMYFUNCTION("GOOGLETRANSLATE($B740,""en"",I$3)"),"Pas 1:")</f>
        <v>Pas 1:</v>
      </c>
      <c r="J740" s="21" t="str">
        <f ca="1">IFERROR(__xludf.DUMMYFUNCTION("GOOGLETRANSLATE($B740,""en"",J$3)"),"Krok 1:")</f>
        <v>Krok 1:</v>
      </c>
      <c r="K740" s="21" t="str">
        <f ca="1">IFERROR(__xludf.DUMMYFUNCTION("GOOGLETRANSLATE($B740,""en"",K$3)"),"第1步：")</f>
        <v>第1步：</v>
      </c>
      <c r="L740" s="21" t="str">
        <f ca="1">IFERROR(__xludf.DUMMYFUNCTION("GOOGLETRANSLATE($B740,""en"",L$3)"),"第1步：")</f>
        <v>第1步：</v>
      </c>
      <c r="M740" s="21" t="str">
        <f ca="1">IFERROR(__xludf.DUMMYFUNCTION("GOOGLETRANSLATE($B740,""en"",M$3)"),"Stap 1:")</f>
        <v>Stap 1:</v>
      </c>
      <c r="N740" s="21" t="str">
        <f ca="1">IFERROR(__xludf.DUMMYFUNCTION("GOOGLETRANSLATE($B740,""en"",N$3)"),"Βήμα 1:")</f>
        <v>Βήμα 1:</v>
      </c>
      <c r="O740" s="21" t="str">
        <f ca="1">IFERROR(__xludf.DUMMYFUNCTION("GOOGLETRANSLATE($B740,""en"",O$3)"),"Vaihe 1:")</f>
        <v>Vaihe 1:</v>
      </c>
      <c r="P740" s="21" t="str">
        <f ca="1">IFERROR(__xludf.DUMMYFUNCTION("GOOGLETRANSLATE($B740,""en"",P$3)"),"Céim 1:")</f>
        <v>Céim 1:</v>
      </c>
      <c r="Q740" s="21" t="str">
        <f ca="1">IFERROR(__xludf.DUMMYFUNCTION("GOOGLETRANSLATE($B740,""en"",Q$3)"),"مرحله 1:")</f>
        <v>مرحله 1:</v>
      </c>
      <c r="R740" s="21" t="str">
        <f ca="1">IFERROR(__xludf.DUMMYFUNCTION("GOOGLETRANSLATE($B740,""en"",R$3)"),"שלב 1:")</f>
        <v>שלב 1:</v>
      </c>
      <c r="S740" s="21" t="str">
        <f ca="1">IFERROR(__xludf.DUMMYFUNCTION("GOOGLETRANSLATE($B740,""en"",S$3)"),"Skref 1:")</f>
        <v>Skref 1:</v>
      </c>
      <c r="T740" s="21" t="str">
        <f ca="1">IFERROR(__xludf.DUMMYFUNCTION("GOOGLETRANSLATE($B740,""en"",T$3)"),"Trinn 1:")</f>
        <v>Trinn 1:</v>
      </c>
      <c r="U740" s="21" t="str">
        <f ca="1">IFERROR(__xludf.DUMMYFUNCTION("GOOGLETRANSLATE($B740,""en"",U$3)"),"الخطوة 1:")</f>
        <v>الخطوة 1:</v>
      </c>
      <c r="V740" s="21" t="str">
        <f ca="1">IFERROR(__xludf.DUMMYFUNCTION("GOOGLETRANSLATE($B740,""en"",V$3)"),"Krok 1:")</f>
        <v>Krok 1:</v>
      </c>
      <c r="W740" s="21" t="str">
        <f ca="1">IFERROR(__xludf.DUMMYFUNCTION("GOOGLETRANSLATE($B740,""en"",W$3)"),"Шаг 1:")</f>
        <v>Шаг 1:</v>
      </c>
      <c r="X740" s="21" t="str">
        <f ca="1">IFERROR(__xludf.DUMMYFUNCTION("GOOGLETRANSLATE($B740,""en"",X$3)"),"Paso 1:")</f>
        <v>Paso 1:</v>
      </c>
      <c r="Y740" s="21"/>
      <c r="Z740" s="21"/>
    </row>
    <row r="741" spans="1:26" ht="32.25" customHeight="1" x14ac:dyDescent="0.2">
      <c r="A741" s="17" t="s">
        <v>1579</v>
      </c>
      <c r="B741" s="17" t="s">
        <v>1580</v>
      </c>
      <c r="C741" s="21" t="str">
        <f ca="1">IFERROR(__xludf.DUMMYFUNCTION("GOOGLETRANSLATE($B741,""en"",C$3)"),"Schritt 2:")</f>
        <v>Schritt 2:</v>
      </c>
      <c r="D741" s="21" t="str">
        <f ca="1">IFERROR(__xludf.DUMMYFUNCTION("GOOGLETRANSLATE($B741,""en"",D$3)"),"Steg 2:")</f>
        <v>Steg 2:</v>
      </c>
      <c r="E741" s="21" t="str">
        <f ca="1">IFERROR(__xludf.DUMMYFUNCTION("GOOGLETRANSLATE($B741,""en"",E$3)"),"Passo 2:")</f>
        <v>Passo 2:</v>
      </c>
      <c r="F741" s="21" t="str">
        <f ca="1">IFERROR(__xludf.DUMMYFUNCTION("GOOGLETRANSLATE($B741,""en"",F$3)"),"Passo 2:")</f>
        <v>Passo 2:</v>
      </c>
      <c r="G741" s="21" t="str">
        <f ca="1">IFERROR(__xludf.DUMMYFUNCTION("GOOGLETRANSLATE($B741,""en"",G$3)"),"Étape 2:")</f>
        <v>Étape 2:</v>
      </c>
      <c r="H741" s="21" t="str">
        <f ca="1">IFERROR(__xludf.DUMMYFUNCTION("GOOGLETRANSLATE($B741,""en"",H$3)"),"Step 2:")</f>
        <v>Step 2:</v>
      </c>
      <c r="I741" s="21" t="str">
        <f ca="1">IFERROR(__xludf.DUMMYFUNCTION("GOOGLETRANSLATE($B741,""en"",I$3)"),"Pas 2:")</f>
        <v>Pas 2:</v>
      </c>
      <c r="J741" s="21" t="str">
        <f ca="1">IFERROR(__xludf.DUMMYFUNCTION("GOOGLETRANSLATE($B741,""en"",J$3)"),"Krok 2:")</f>
        <v>Krok 2:</v>
      </c>
      <c r="K741" s="21" t="str">
        <f ca="1">IFERROR(__xludf.DUMMYFUNCTION("GOOGLETRANSLATE($B741,""en"",K$3)"),"第2步：")</f>
        <v>第2步：</v>
      </c>
      <c r="L741" s="21" t="str">
        <f ca="1">IFERROR(__xludf.DUMMYFUNCTION("GOOGLETRANSLATE($B741,""en"",L$3)"),"第2步：")</f>
        <v>第2步：</v>
      </c>
      <c r="M741" s="21" t="str">
        <f ca="1">IFERROR(__xludf.DUMMYFUNCTION("GOOGLETRANSLATE($B741,""en"",M$3)"),"Stap 2:")</f>
        <v>Stap 2:</v>
      </c>
      <c r="N741" s="21" t="str">
        <f ca="1">IFERROR(__xludf.DUMMYFUNCTION("GOOGLETRANSLATE($B741,""en"",N$3)"),"Βήμα 2:")</f>
        <v>Βήμα 2:</v>
      </c>
      <c r="O741" s="21" t="str">
        <f ca="1">IFERROR(__xludf.DUMMYFUNCTION("GOOGLETRANSLATE($B741,""en"",O$3)"),"Vaihe 2:")</f>
        <v>Vaihe 2:</v>
      </c>
      <c r="P741" s="21" t="str">
        <f ca="1">IFERROR(__xludf.DUMMYFUNCTION("GOOGLETRANSLATE($B741,""en"",P$3)"),"Céim 2:")</f>
        <v>Céim 2:</v>
      </c>
      <c r="Q741" s="21" t="str">
        <f ca="1">IFERROR(__xludf.DUMMYFUNCTION("GOOGLETRANSLATE($B741,""en"",Q$3)"),"گام 2:")</f>
        <v>گام 2:</v>
      </c>
      <c r="R741" s="21" t="str">
        <f ca="1">IFERROR(__xludf.DUMMYFUNCTION("GOOGLETRANSLATE($B741,""en"",R$3)"),"שלב 2:")</f>
        <v>שלב 2:</v>
      </c>
      <c r="S741" s="21" t="str">
        <f ca="1">IFERROR(__xludf.DUMMYFUNCTION("GOOGLETRANSLATE($B741,""en"",S$3)"),"Skref 2:")</f>
        <v>Skref 2:</v>
      </c>
      <c r="T741" s="21" t="str">
        <f ca="1">IFERROR(__xludf.DUMMYFUNCTION("GOOGLETRANSLATE($B741,""en"",T$3)"),"Steg 2:")</f>
        <v>Steg 2:</v>
      </c>
      <c r="U741" s="21" t="str">
        <f ca="1">IFERROR(__xludf.DUMMYFUNCTION("GOOGLETRANSLATE($B741,""en"",U$3)"),"الخطوة 2:")</f>
        <v>الخطوة 2:</v>
      </c>
      <c r="V741" s="21" t="str">
        <f ca="1">IFERROR(__xludf.DUMMYFUNCTION("GOOGLETRANSLATE($B741,""en"",V$3)"),"Krok 2:")</f>
        <v>Krok 2:</v>
      </c>
      <c r="W741" s="21" t="str">
        <f ca="1">IFERROR(__xludf.DUMMYFUNCTION("GOOGLETRANSLATE($B741,""en"",W$3)"),"Шаг 2:")</f>
        <v>Шаг 2:</v>
      </c>
      <c r="X741" s="21" t="str">
        <f ca="1">IFERROR(__xludf.DUMMYFUNCTION("GOOGLETRANSLATE($B741,""en"",X$3)"),"Paso 2:")</f>
        <v>Paso 2:</v>
      </c>
      <c r="Y741" s="21"/>
      <c r="Z741" s="21"/>
    </row>
    <row r="742" spans="1:26" ht="32.25" customHeight="1" x14ac:dyDescent="0.2">
      <c r="A742" s="17" t="s">
        <v>1581</v>
      </c>
      <c r="B742" s="17" t="s">
        <v>1582</v>
      </c>
      <c r="C742" s="21" t="str">
        <f ca="1">IFERROR(__xludf.DUMMYFUNCTION("GOOGLETRANSLATE($B742,""en"",C$3)"),"Schritt 3:")</f>
        <v>Schritt 3:</v>
      </c>
      <c r="D742" s="21" t="str">
        <f ca="1">IFERROR(__xludf.DUMMYFUNCTION("GOOGLETRANSLATE($B742,""en"",D$3)"),"Steg 3:")</f>
        <v>Steg 3:</v>
      </c>
      <c r="E742" s="21" t="str">
        <f ca="1">IFERROR(__xludf.DUMMYFUNCTION("GOOGLETRANSLATE($B742,""en"",E$3)"),"Etapa 3:")</f>
        <v>Etapa 3:</v>
      </c>
      <c r="F742" s="21" t="str">
        <f ca="1">IFERROR(__xludf.DUMMYFUNCTION("GOOGLETRANSLATE($B742,""en"",F$3)"),"Etapa 3:")</f>
        <v>Etapa 3:</v>
      </c>
      <c r="G742" s="21" t="str">
        <f ca="1">IFERROR(__xludf.DUMMYFUNCTION("GOOGLETRANSLATE($B742,""en"",G$3)"),"Étape 3:")</f>
        <v>Étape 3:</v>
      </c>
      <c r="H742" s="21" t="str">
        <f ca="1">IFERROR(__xludf.DUMMYFUNCTION("GOOGLETRANSLATE($B742,""en"",H$3)"),"3. urratsa:")</f>
        <v>3. urratsa:</v>
      </c>
      <c r="I742" s="21" t="str">
        <f ca="1">IFERROR(__xludf.DUMMYFUNCTION("GOOGLETRANSLATE($B742,""en"",I$3)"),"Pas 3:")</f>
        <v>Pas 3:</v>
      </c>
      <c r="J742" s="21" t="str">
        <f ca="1">IFERROR(__xludf.DUMMYFUNCTION("GOOGLETRANSLATE($B742,""en"",J$3)"),"Krok 3:")</f>
        <v>Krok 3:</v>
      </c>
      <c r="K742" s="21" t="str">
        <f ca="1">IFERROR(__xludf.DUMMYFUNCTION("GOOGLETRANSLATE($B742,""en"",K$3)"),"第3步：")</f>
        <v>第3步：</v>
      </c>
      <c r="L742" s="21" t="str">
        <f ca="1">IFERROR(__xludf.DUMMYFUNCTION("GOOGLETRANSLATE($B742,""en"",L$3)"),"第3步：")</f>
        <v>第3步：</v>
      </c>
      <c r="M742" s="21" t="str">
        <f ca="1">IFERROR(__xludf.DUMMYFUNCTION("GOOGLETRANSLATE($B742,""en"",M$3)"),"Stap 3:")</f>
        <v>Stap 3:</v>
      </c>
      <c r="N742" s="21" t="str">
        <f ca="1">IFERROR(__xludf.DUMMYFUNCTION("GOOGLETRANSLATE($B742,""en"",N$3)"),"Βήμα 3:")</f>
        <v>Βήμα 3:</v>
      </c>
      <c r="O742" s="21" t="str">
        <f ca="1">IFERROR(__xludf.DUMMYFUNCTION("GOOGLETRANSLATE($B742,""en"",O$3)"),"Vaihe 3:")</f>
        <v>Vaihe 3:</v>
      </c>
      <c r="P742" s="21" t="str">
        <f ca="1">IFERROR(__xludf.DUMMYFUNCTION("GOOGLETRANSLATE($B742,""en"",P$3)"),"Céim 3:")</f>
        <v>Céim 3:</v>
      </c>
      <c r="Q742" s="21" t="str">
        <f ca="1">IFERROR(__xludf.DUMMYFUNCTION("GOOGLETRANSLATE($B742,""en"",Q$3)"),"مرحله 3:")</f>
        <v>مرحله 3:</v>
      </c>
      <c r="R742" s="21" t="str">
        <f ca="1">IFERROR(__xludf.DUMMYFUNCTION("GOOGLETRANSLATE($B742,""en"",R$3)"),"שלב 3:")</f>
        <v>שלב 3:</v>
      </c>
      <c r="S742" s="21" t="str">
        <f ca="1">IFERROR(__xludf.DUMMYFUNCTION("GOOGLETRANSLATE($B742,""en"",S$3)"),"Skref 3:")</f>
        <v>Skref 3:</v>
      </c>
      <c r="T742" s="21" t="str">
        <f ca="1">IFERROR(__xludf.DUMMYFUNCTION("GOOGLETRANSLATE($B742,""en"",T$3)"),"Trinn 3:")</f>
        <v>Trinn 3:</v>
      </c>
      <c r="U742" s="21" t="str">
        <f ca="1">IFERROR(__xludf.DUMMYFUNCTION("GOOGLETRANSLATE($B742,""en"",U$3)"),"الخطوه 3:")</f>
        <v>الخطوه 3:</v>
      </c>
      <c r="V742" s="21" t="str">
        <f ca="1">IFERROR(__xludf.DUMMYFUNCTION("GOOGLETRANSLATE($B742,""en"",V$3)"),"Krok 3:")</f>
        <v>Krok 3:</v>
      </c>
      <c r="W742" s="21" t="str">
        <f ca="1">IFERROR(__xludf.DUMMYFUNCTION("GOOGLETRANSLATE($B742,""en"",W$3)"),"Шаг 3:")</f>
        <v>Шаг 3:</v>
      </c>
      <c r="X742" s="21" t="str">
        <f ca="1">IFERROR(__xludf.DUMMYFUNCTION("GOOGLETRANSLATE($B742,""en"",X$3)"),"Paso 3:")</f>
        <v>Paso 3:</v>
      </c>
      <c r="Y742" s="21"/>
      <c r="Z742" s="21"/>
    </row>
    <row r="743" spans="1:26" ht="32.25" customHeight="1" x14ac:dyDescent="0.2">
      <c r="A743" s="17" t="s">
        <v>1583</v>
      </c>
      <c r="B743" s="17" t="s">
        <v>1584</v>
      </c>
      <c r="C743" s="21" t="str">
        <f ca="1">IFERROR(__xludf.DUMMYFUNCTION("GOOGLETRANSLATE($B743,""en"",C$3)"),"Alle stoppen")</f>
        <v>Alle stoppen</v>
      </c>
      <c r="D743" s="21" t="str">
        <f ca="1">IFERROR(__xludf.DUMMYFUNCTION("GOOGLETRANSLATE($B743,""en"",D$3)"),"Stoppa alla")</f>
        <v>Stoppa alla</v>
      </c>
      <c r="E743" s="21" t="str">
        <f ca="1">IFERROR(__xludf.DUMMYFUNCTION("GOOGLETRANSLATE($B743,""en"",E$3)"),"Pare tudo")</f>
        <v>Pare tudo</v>
      </c>
      <c r="F743" s="21" t="str">
        <f ca="1">IFERROR(__xludf.DUMMYFUNCTION("GOOGLETRANSLATE($B743,""en"",F$3)"),"Pare tudo")</f>
        <v>Pare tudo</v>
      </c>
      <c r="G743" s="21" t="str">
        <f ca="1">IFERROR(__xludf.DUMMYFUNCTION("GOOGLETRANSLATE($B743,""en"",G$3)"),"Arrête tout")</f>
        <v>Arrête tout</v>
      </c>
      <c r="H743" s="21" t="str">
        <f ca="1">IFERROR(__xludf.DUMMYFUNCTION("GOOGLETRANSLATE($B743,""en"",H$3)"),"Stop guztiak")</f>
        <v>Stop guztiak</v>
      </c>
      <c r="I743" s="21" t="str">
        <f ca="1">IFERROR(__xludf.DUMMYFUNCTION("GOOGLETRANSLATE($B743,""en"",I$3)"),"aturar tot")</f>
        <v>aturar tot</v>
      </c>
      <c r="J743" s="21" t="str">
        <f ca="1">IFERROR(__xludf.DUMMYFUNCTION("GOOGLETRANSLATE($B743,""en"",J$3)"),"Zastavit vše")</f>
        <v>Zastavit vše</v>
      </c>
      <c r="K743" s="21" t="str">
        <f ca="1">IFERROR(__xludf.DUMMYFUNCTION("GOOGLETRANSLATE($B743,""en"",K$3)"),"全部停止")</f>
        <v>全部停止</v>
      </c>
      <c r="L743" s="21" t="str">
        <f ca="1">IFERROR(__xludf.DUMMYFUNCTION("GOOGLETRANSLATE($B743,""en"",L$3)"),"全部停止")</f>
        <v>全部停止</v>
      </c>
      <c r="M743" s="21" t="str">
        <f ca="1">IFERROR(__xludf.DUMMYFUNCTION("GOOGLETRANSLATE($B743,""en"",M$3)"),"Stop alles")</f>
        <v>Stop alles</v>
      </c>
      <c r="N743" s="21" t="str">
        <f ca="1">IFERROR(__xludf.DUMMYFUNCTION("GOOGLETRANSLATE($B743,""en"",N$3)"),"Διακοπή Όλα")</f>
        <v>Διακοπή Όλα</v>
      </c>
      <c r="O743" s="21" t="str">
        <f ca="1">IFERROR(__xludf.DUMMYFUNCTION("GOOGLETRANSLATE($B743,""en"",O$3)"),"Pysäytä kaikki")</f>
        <v>Pysäytä kaikki</v>
      </c>
      <c r="P743" s="21" t="str">
        <f ca="1">IFERROR(__xludf.DUMMYFUNCTION("GOOGLETRANSLATE($B743,""en"",P$3)"),"Stop Gach")</f>
        <v>Stop Gach</v>
      </c>
      <c r="Q743" s="21" t="str">
        <f ca="1">IFERROR(__xludf.DUMMYFUNCTION("GOOGLETRANSLATE($B743,""en"",Q$3)"),"توقف همه")</f>
        <v>توقف همه</v>
      </c>
      <c r="R743" s="21" t="str">
        <f ca="1">IFERROR(__xludf.DUMMYFUNCTION("GOOGLETRANSLATE($B743,""en"",R$3)"),"עצור הכל")</f>
        <v>עצור הכל</v>
      </c>
      <c r="S743" s="21" t="str">
        <f ca="1">IFERROR(__xludf.DUMMYFUNCTION("GOOGLETRANSLATE($B743,""en"",S$3)"),"Stop All")</f>
        <v>Stop All</v>
      </c>
      <c r="T743" s="21" t="str">
        <f ca="1">IFERROR(__xludf.DUMMYFUNCTION("GOOGLETRANSLATE($B743,""en"",T$3)"),"Stop All")</f>
        <v>Stop All</v>
      </c>
      <c r="U743" s="21" t="str">
        <f ca="1">IFERROR(__xludf.DUMMYFUNCTION("GOOGLETRANSLATE($B743,""en"",U$3)"),"توقفو جميعا")</f>
        <v>توقفو جميعا</v>
      </c>
      <c r="V743" s="21" t="str">
        <f ca="1">IFERROR(__xludf.DUMMYFUNCTION("GOOGLETRANSLATE($B743,""en"",V$3)"),"Zatrzymać wszystko")</f>
        <v>Zatrzymać wszystko</v>
      </c>
      <c r="W743" s="21" t="str">
        <f ca="1">IFERROR(__xludf.DUMMYFUNCTION("GOOGLETRANSLATE($B743,""en"",W$3)"),"Остановить все")</f>
        <v>Остановить все</v>
      </c>
      <c r="X743" s="21" t="str">
        <f ca="1">IFERROR(__xludf.DUMMYFUNCTION("GOOGLETRANSLATE($B743,""en"",X$3)"),"Para todo")</f>
        <v>Para todo</v>
      </c>
      <c r="Y743" s="21"/>
      <c r="Z743" s="21"/>
    </row>
    <row r="744" spans="1:26" ht="32.25" customHeight="1" x14ac:dyDescent="0.2">
      <c r="A744" s="17" t="s">
        <v>1585</v>
      </c>
      <c r="B744" s="17" t="s">
        <v>1586</v>
      </c>
      <c r="C744" s="21" t="str">
        <f ca="1">IFERROR(__xludf.DUMMYFUNCTION("GOOGLETRANSLATE($B744,""en"",C$3)"),"Halt")</f>
        <v>Halt</v>
      </c>
      <c r="D744" s="21" t="str">
        <f ca="1">IFERROR(__xludf.DUMMYFUNCTION("GOOGLETRANSLATE($B744,""en"",D$3)"),"Sluta")</f>
        <v>Sluta</v>
      </c>
      <c r="E744" s="21" t="str">
        <f ca="1">IFERROR(__xludf.DUMMYFUNCTION("GOOGLETRANSLATE($B744,""en"",E$3)"),"Pare")</f>
        <v>Pare</v>
      </c>
      <c r="F744" s="21" t="str">
        <f ca="1">IFERROR(__xludf.DUMMYFUNCTION("GOOGLETRANSLATE($B744,""en"",F$3)"),"Pare")</f>
        <v>Pare</v>
      </c>
      <c r="G744" s="21" t="str">
        <f ca="1">IFERROR(__xludf.DUMMYFUNCTION("GOOGLETRANSLATE($B744,""en"",G$3)"),"Arrêtez")</f>
        <v>Arrêtez</v>
      </c>
      <c r="H744" s="21" t="str">
        <f ca="1">IFERROR(__xludf.DUMMYFUNCTION("GOOGLETRANSLATE($B744,""en"",H$3)"),"Gelditu")</f>
        <v>Gelditu</v>
      </c>
      <c r="I744" s="21" t="str">
        <f ca="1">IFERROR(__xludf.DUMMYFUNCTION("GOOGLETRANSLATE($B744,""en"",I$3)"),"Atura")</f>
        <v>Atura</v>
      </c>
      <c r="J744" s="21" t="str">
        <f ca="1">IFERROR(__xludf.DUMMYFUNCTION("GOOGLETRANSLATE($B744,""en"",J$3)"),"Stop")</f>
        <v>Stop</v>
      </c>
      <c r="K744" s="21" t="str">
        <f ca="1">IFERROR(__xludf.DUMMYFUNCTION("GOOGLETRANSLATE($B744,""en"",K$3)"),"停止")</f>
        <v>停止</v>
      </c>
      <c r="L744" s="21" t="str">
        <f ca="1">IFERROR(__xludf.DUMMYFUNCTION("GOOGLETRANSLATE($B744,""en"",L$3)"),"停止")</f>
        <v>停止</v>
      </c>
      <c r="M744" s="21" t="str">
        <f ca="1">IFERROR(__xludf.DUMMYFUNCTION("GOOGLETRANSLATE($B744,""en"",M$3)"),"Hou op")</f>
        <v>Hou op</v>
      </c>
      <c r="N744" s="21" t="str">
        <f ca="1">IFERROR(__xludf.DUMMYFUNCTION("GOOGLETRANSLATE($B744,""en"",N$3)"),"Να σταματήσει")</f>
        <v>Να σταματήσει</v>
      </c>
      <c r="O744" s="21" t="str">
        <f ca="1">IFERROR(__xludf.DUMMYFUNCTION("GOOGLETRANSLATE($B744,""en"",O$3)"),"Lopettaa")</f>
        <v>Lopettaa</v>
      </c>
      <c r="P744" s="21" t="str">
        <f ca="1">IFERROR(__xludf.DUMMYFUNCTION("GOOGLETRANSLATE($B744,""en"",P$3)"),"Stop")</f>
        <v>Stop</v>
      </c>
      <c r="Q744" s="21" t="str">
        <f ca="1">IFERROR(__xludf.DUMMYFUNCTION("GOOGLETRANSLATE($B744,""en"",Q$3)"),"متوقف کردن")</f>
        <v>متوقف کردن</v>
      </c>
      <c r="R744" s="21" t="str">
        <f ca="1">IFERROR(__xludf.DUMMYFUNCTION("GOOGLETRANSLATE($B744,""en"",R$3)"),"תפסיק")</f>
        <v>תפסיק</v>
      </c>
      <c r="S744" s="21" t="str">
        <f ca="1">IFERROR(__xludf.DUMMYFUNCTION("GOOGLETRANSLATE($B744,""en"",S$3)"),"stöðva")</f>
        <v>stöðva</v>
      </c>
      <c r="T744" s="21" t="str">
        <f ca="1">IFERROR(__xludf.DUMMYFUNCTION("GOOGLETRANSLATE($B744,""en"",T$3)"),"Stoppe")</f>
        <v>Stoppe</v>
      </c>
      <c r="U744" s="21" t="str">
        <f ca="1">IFERROR(__xludf.DUMMYFUNCTION("GOOGLETRANSLATE($B744,""en"",U$3)"),"قف")</f>
        <v>قف</v>
      </c>
      <c r="V744" s="21" t="str">
        <f ca="1">IFERROR(__xludf.DUMMYFUNCTION("GOOGLETRANSLATE($B744,""en"",V$3)"),"Zatrzymać")</f>
        <v>Zatrzymać</v>
      </c>
      <c r="W744" s="21" t="str">
        <f ca="1">IFERROR(__xludf.DUMMYFUNCTION("GOOGLETRANSLATE($B744,""en"",W$3)"),"Стоп")</f>
        <v>Стоп</v>
      </c>
      <c r="X744" s="21" t="str">
        <f ca="1">IFERROR(__xludf.DUMMYFUNCTION("GOOGLETRANSLATE($B744,""en"",X$3)"),"Detener")</f>
        <v>Detener</v>
      </c>
      <c r="Y744" s="21"/>
      <c r="Z744" s="21"/>
    </row>
    <row r="745" spans="1:26" ht="32.25" customHeight="1" x14ac:dyDescent="0.2">
      <c r="A745" s="17" t="s">
        <v>1587</v>
      </c>
      <c r="B745" s="17" t="s">
        <v>1588</v>
      </c>
      <c r="C745" s="21" t="str">
        <f ca="1">IFERROR(__xludf.DUMMYFUNCTION("GOOGLETRANSLATE($B745,""en"",C$3)"),"Gestoppt")</f>
        <v>Gestoppt</v>
      </c>
      <c r="D745" s="21" t="str">
        <f ca="1">IFERROR(__xludf.DUMMYFUNCTION("GOOGLETRANSLATE($B745,""en"",D$3)"),"stoppad")</f>
        <v>stoppad</v>
      </c>
      <c r="E745" s="21" t="str">
        <f ca="1">IFERROR(__xludf.DUMMYFUNCTION("GOOGLETRANSLATE($B745,""en"",E$3)"),"Parado")</f>
        <v>Parado</v>
      </c>
      <c r="F745" s="21" t="str">
        <f ca="1">IFERROR(__xludf.DUMMYFUNCTION("GOOGLETRANSLATE($B745,""en"",F$3)"),"Parado")</f>
        <v>Parado</v>
      </c>
      <c r="G745" s="21" t="str">
        <f ca="1">IFERROR(__xludf.DUMMYFUNCTION("GOOGLETRANSLATE($B745,""en"",G$3)"),"Arrêté")</f>
        <v>Arrêté</v>
      </c>
      <c r="H745" s="21" t="str">
        <f ca="1">IFERROR(__xludf.DUMMYFUNCTION("GOOGLETRANSLATE($B745,""en"",H$3)"),"gelditu")</f>
        <v>gelditu</v>
      </c>
      <c r="I745" s="21" t="str">
        <f ca="1">IFERROR(__xludf.DUMMYFUNCTION("GOOGLETRANSLATE($B745,""en"",I$3)"),"detingut")</f>
        <v>detingut</v>
      </c>
      <c r="J745" s="21" t="str">
        <f ca="1">IFERROR(__xludf.DUMMYFUNCTION("GOOGLETRANSLATE($B745,""en"",J$3)"),"Zastavil")</f>
        <v>Zastavil</v>
      </c>
      <c r="K745" s="21" t="str">
        <f ca="1">IFERROR(__xludf.DUMMYFUNCTION("GOOGLETRANSLATE($B745,""en"",K$3)"),"停止")</f>
        <v>停止</v>
      </c>
      <c r="L745" s="21" t="str">
        <f ca="1">IFERROR(__xludf.DUMMYFUNCTION("GOOGLETRANSLATE($B745,""en"",L$3)"),"停止")</f>
        <v>停止</v>
      </c>
      <c r="M745" s="21" t="str">
        <f ca="1">IFERROR(__xludf.DUMMYFUNCTION("GOOGLETRANSLATE($B745,""en"",M$3)"),"gestopt")</f>
        <v>gestopt</v>
      </c>
      <c r="N745" s="21" t="str">
        <f ca="1">IFERROR(__xludf.DUMMYFUNCTION("GOOGLETRANSLATE($B745,""en"",N$3)"),"Διακόπηκε")</f>
        <v>Διακόπηκε</v>
      </c>
      <c r="O745" s="21" t="str">
        <f ca="1">IFERROR(__xludf.DUMMYFUNCTION("GOOGLETRANSLATE($B745,""en"",O$3)"),"pysäytetty")</f>
        <v>pysäytetty</v>
      </c>
      <c r="P745" s="21" t="str">
        <f ca="1">IFERROR(__xludf.DUMMYFUNCTION("GOOGLETRANSLATE($B745,""en"",P$3)"),"Stoptha")</f>
        <v>Stoptha</v>
      </c>
      <c r="Q745" s="21" t="str">
        <f ca="1">IFERROR(__xludf.DUMMYFUNCTION("GOOGLETRANSLATE($B745,""en"",Q$3)"),"متوقف")</f>
        <v>متوقف</v>
      </c>
      <c r="R745" s="21" t="str">
        <f ca="1">IFERROR(__xludf.DUMMYFUNCTION("GOOGLETRANSLATE($B745,""en"",R$3)"),"עצר")</f>
        <v>עצר</v>
      </c>
      <c r="S745" s="21" t="str">
        <f ca="1">IFERROR(__xludf.DUMMYFUNCTION("GOOGLETRANSLATE($B745,""en"",S$3)"),"hætt")</f>
        <v>hætt</v>
      </c>
      <c r="T745" s="21" t="str">
        <f ca="1">IFERROR(__xludf.DUMMYFUNCTION("GOOGLETRANSLATE($B745,""en"",T$3)"),"stoppet")</f>
        <v>stoppet</v>
      </c>
      <c r="U745" s="21" t="str">
        <f ca="1">IFERROR(__xludf.DUMMYFUNCTION("GOOGLETRANSLATE($B745,""en"",U$3)"),"توقفت")</f>
        <v>توقفت</v>
      </c>
      <c r="V745" s="21" t="str">
        <f ca="1">IFERROR(__xludf.DUMMYFUNCTION("GOOGLETRANSLATE($B745,""en"",V$3)"),"Zatrzymany")</f>
        <v>Zatrzymany</v>
      </c>
      <c r="W745" s="21" t="str">
        <f ca="1">IFERROR(__xludf.DUMMYFUNCTION("GOOGLETRANSLATE($B745,""en"",W$3)"),"Остановился")</f>
        <v>Остановился</v>
      </c>
      <c r="X745" s="21" t="str">
        <f ca="1">IFERROR(__xludf.DUMMYFUNCTION("GOOGLETRANSLATE($B745,""en"",X$3)"),"Detenido")</f>
        <v>Detenido</v>
      </c>
      <c r="Y745" s="21"/>
      <c r="Z745" s="21"/>
    </row>
    <row r="746" spans="1:26" ht="32.25" customHeight="1" x14ac:dyDescent="0.2">
      <c r="A746" s="17" t="s">
        <v>1589</v>
      </c>
      <c r="B746" s="17" t="s">
        <v>1590</v>
      </c>
      <c r="C746" s="21" t="str">
        <f ca="1">IFERROR(__xludf.DUMMYFUNCTION("GOOGLETRANSLATE($B746,""en"",C$3)"),"Beenden von Apache Webserver")</f>
        <v>Beenden von Apache Webserver</v>
      </c>
      <c r="D746" s="21" t="str">
        <f ca="1">IFERROR(__xludf.DUMMYFUNCTION("GOOGLETRANSLATE($B746,""en"",D$3)"),"Stoppa Apache webbserver")</f>
        <v>Stoppa Apache webbserver</v>
      </c>
      <c r="E746" s="21" t="str">
        <f ca="1">IFERROR(__xludf.DUMMYFUNCTION("GOOGLETRANSLATE($B746,""en"",E$3)"),"Parando Apache Webserver")</f>
        <v>Parando Apache Webserver</v>
      </c>
      <c r="F746" s="21" t="str">
        <f ca="1">IFERROR(__xludf.DUMMYFUNCTION("GOOGLETRANSLATE($B746,""en"",F$3)"),"Parando Apache Webserver")</f>
        <v>Parando Apache Webserver</v>
      </c>
      <c r="G746" s="21" t="str">
        <f ca="1">IFERROR(__xludf.DUMMYFUNCTION("GOOGLETRANSLATE($B746,""en"",G$3)"),"Arrêt Apache Webserver")</f>
        <v>Arrêt Apache Webserver</v>
      </c>
      <c r="H746" s="21" t="str">
        <f ca="1">IFERROR(__xludf.DUMMYFUNCTION("GOOGLETRANSLATE($B746,""en"",H$3)"),"Gelditzea Apache Web zerbitzariaren")</f>
        <v>Gelditzea Apache Web zerbitzariaren</v>
      </c>
      <c r="I746" s="21" t="str">
        <f ca="1">IFERROR(__xludf.DUMMYFUNCTION("GOOGLETRANSLATE($B746,""en"",I$3)"),"Aturar servidor web Apache")</f>
        <v>Aturar servidor web Apache</v>
      </c>
      <c r="J746" s="21" t="str">
        <f ca="1">IFERROR(__xludf.DUMMYFUNCTION("GOOGLETRANSLATE($B746,""en"",J$3)"),"Zastavení webový server Apache")</f>
        <v>Zastavení webový server Apache</v>
      </c>
      <c r="K746" s="21" t="str">
        <f ca="1">IFERROR(__xludf.DUMMYFUNCTION("GOOGLETRANSLATE($B746,""en"",K$3)"),"停止Apache服务器")</f>
        <v>停止Apache服务器</v>
      </c>
      <c r="L746" s="21" t="str">
        <f ca="1">IFERROR(__xludf.DUMMYFUNCTION("GOOGLETRANSLATE($B746,""en"",L$3)"),"停止Apache服務器")</f>
        <v>停止Apache服務器</v>
      </c>
      <c r="M746" s="21" t="str">
        <f ca="1">IFERROR(__xludf.DUMMYFUNCTION("GOOGLETRANSLATE($B746,""en"",M$3)"),"Stoppen Apache Webserver")</f>
        <v>Stoppen Apache Webserver</v>
      </c>
      <c r="N746" s="21" t="str">
        <f ca="1">IFERROR(__xludf.DUMMYFUNCTION("GOOGLETRANSLATE($B746,""en"",N$3)"),"Διακοπή Apache Webserver")</f>
        <v>Διακοπή Apache Webserver</v>
      </c>
      <c r="O746" s="21" t="str">
        <f ca="1">IFERROR(__xludf.DUMMYFUNCTION("GOOGLETRANSLATE($B746,""en"",O$3)"),"Pysähtymättä Apache Webserver")</f>
        <v>Pysähtymättä Apache Webserver</v>
      </c>
      <c r="P746" s="21" t="str">
        <f ca="1">IFERROR(__xludf.DUMMYFUNCTION("GOOGLETRANSLATE($B746,""en"",P$3)"),"Stopadh Apache freastalaí gréasáin")</f>
        <v>Stopadh Apache freastalaí gréasáin</v>
      </c>
      <c r="Q746" s="21" t="str">
        <f ca="1">IFERROR(__xludf.DUMMYFUNCTION("GOOGLETRANSLATE($B746,""en"",Q$3)"),"توقف وب سرور آپاچی")</f>
        <v>توقف وب سرور آپاچی</v>
      </c>
      <c r="R746" s="21" t="str">
        <f ca="1">IFERROR(__xludf.DUMMYFUNCTION("GOOGLETRANSLATE($B746,""en"",R$3)"),"עצירת Apache וואבסארואר")</f>
        <v>עצירת Apache וואבסארואר</v>
      </c>
      <c r="S746" s="21" t="str">
        <f ca="1">IFERROR(__xludf.DUMMYFUNCTION("GOOGLETRANSLATE($B746,""en"",S$3)"),"Stífla Apache vefþjón")</f>
        <v>Stífla Apache vefþjón</v>
      </c>
      <c r="T746" s="21" t="str">
        <f ca="1">IFERROR(__xludf.DUMMYFUNCTION("GOOGLETRANSLATE($B746,""en"",T$3)"),"Stoppe Apache Webserver")</f>
        <v>Stoppe Apache Webserver</v>
      </c>
      <c r="U746" s="21" t="str">
        <f ca="1">IFERROR(__xludf.DUMMYFUNCTION("GOOGLETRANSLATE($B746,""en"",U$3)"),"وقف أباتشي خادم الويب")</f>
        <v>وقف أباتشي خادم الويب</v>
      </c>
      <c r="V746" s="21" t="str">
        <f ca="1">IFERROR(__xludf.DUMMYFUNCTION("GOOGLETRANSLATE($B746,""en"",V$3)"),"Zatrzymanie Apache Webserver")</f>
        <v>Zatrzymanie Apache Webserver</v>
      </c>
      <c r="W746" s="21" t="str">
        <f ca="1">IFERROR(__xludf.DUMMYFUNCTION("GOOGLETRANSLATE($B746,""en"",W$3)"),"Остановка вебсервер Apache")</f>
        <v>Остановка вебсервер Apache</v>
      </c>
      <c r="X746" s="21" t="str">
        <f ca="1">IFERROR(__xludf.DUMMYFUNCTION("GOOGLETRANSLATE($B746,""en"",X$3)"),"Detener servidor web Apache")</f>
        <v>Detener servidor web Apache</v>
      </c>
      <c r="Y746" s="21"/>
      <c r="Z746" s="21"/>
    </row>
    <row r="747" spans="1:26" ht="32.25" customHeight="1" x14ac:dyDescent="0.2">
      <c r="A747" s="17" t="s">
        <v>1591</v>
      </c>
      <c r="B747" s="17" t="s">
        <v>1592</v>
      </c>
      <c r="C747" s="21" t="str">
        <f ca="1">IFERROR(__xludf.DUMMYFUNCTION("GOOGLETRANSLATE($B747,""en"",C$3)"),"Stoppen Webserver")</f>
        <v>Stoppen Webserver</v>
      </c>
      <c r="D747" s="21" t="str">
        <f ca="1">IFERROR(__xludf.DUMMYFUNCTION("GOOGLETRANSLATE($B747,""en"",D$3)"),"stoppa Webserver")</f>
        <v>stoppa Webserver</v>
      </c>
      <c r="E747" s="21" t="str">
        <f ca="1">IFERROR(__xludf.DUMMYFUNCTION("GOOGLETRANSLATE($B747,""en"",E$3)"),"parando Webserver")</f>
        <v>parando Webserver</v>
      </c>
      <c r="F747" s="21" t="str">
        <f ca="1">IFERROR(__xludf.DUMMYFUNCTION("GOOGLETRANSLATE($B747,""en"",F$3)"),"parando Webserver")</f>
        <v>parando Webserver</v>
      </c>
      <c r="G747" s="21" t="str">
        <f ca="1">IFERROR(__xludf.DUMMYFUNCTION("GOOGLETRANSLATE($B747,""en"",G$3)"),"Arrêt Webserver")</f>
        <v>Arrêt Webserver</v>
      </c>
      <c r="H747" s="21" t="str">
        <f ca="1">IFERROR(__xludf.DUMMYFUNCTION("GOOGLETRANSLATE($B747,""en"",H$3)"),"gelditzea Webserver")</f>
        <v>gelditzea Webserver</v>
      </c>
      <c r="I747" s="21" t="str">
        <f ca="1">IFERROR(__xludf.DUMMYFUNCTION("GOOGLETRANSLATE($B747,""en"",I$3)"),"Servidor web aturar")</f>
        <v>Servidor web aturar</v>
      </c>
      <c r="J747" s="21" t="str">
        <f ca="1">IFERROR(__xludf.DUMMYFUNCTION("GOOGLETRANSLATE($B747,""en"",J$3)"),"zastavení Webserver")</f>
        <v>zastavení Webserver</v>
      </c>
      <c r="K747" s="21" t="str">
        <f ca="1">IFERROR(__xludf.DUMMYFUNCTION("GOOGLETRANSLATE($B747,""en"",K$3)"),"停止Web服务器")</f>
        <v>停止Web服务器</v>
      </c>
      <c r="L747" s="21" t="str">
        <f ca="1">IFERROR(__xludf.DUMMYFUNCTION("GOOGLETRANSLATE($B747,""en"",L$3)"),"停止Web服務器")</f>
        <v>停止Web服務器</v>
      </c>
      <c r="M747" s="21" t="str">
        <f ca="1">IFERROR(__xludf.DUMMYFUNCTION("GOOGLETRANSLATE($B747,""en"",M$3)"),"Stoppen Webserver")</f>
        <v>Stoppen Webserver</v>
      </c>
      <c r="N747" s="21" t="str">
        <f ca="1">IFERROR(__xludf.DUMMYFUNCTION("GOOGLETRANSLATE($B747,""en"",N$3)"),"Διακοπή Webserver")</f>
        <v>Διακοπή Webserver</v>
      </c>
      <c r="O747" s="21" t="str">
        <f ca="1">IFERROR(__xludf.DUMMYFUNCTION("GOOGLETRANSLATE($B747,""en"",O$3)"),"pysähtymättä Webserver")</f>
        <v>pysähtymättä Webserver</v>
      </c>
      <c r="P747" s="21" t="str">
        <f ca="1">IFERROR(__xludf.DUMMYFUNCTION("GOOGLETRANSLATE($B747,""en"",P$3)"),"webserver Stopadh")</f>
        <v>webserver Stopadh</v>
      </c>
      <c r="Q747" s="21" t="str">
        <f ca="1">IFERROR(__xludf.DUMMYFUNCTION("GOOGLETRANSLATE($B747,""en"",Q$3)"),"توقف سرور وب")</f>
        <v>توقف سرور وب</v>
      </c>
      <c r="R747" s="21" t="str">
        <f ca="1">IFERROR(__xludf.DUMMYFUNCTION("GOOGLETRANSLATE($B747,""en"",R$3)"),"וואבסארואר עצירה")</f>
        <v>וואבסארואר עצירה</v>
      </c>
      <c r="S747" s="21" t="str">
        <f ca="1">IFERROR(__xludf.DUMMYFUNCTION("GOOGLETRANSLATE($B747,""en"",S$3)"),"stífla Vefþjón")</f>
        <v>stífla Vefþjón</v>
      </c>
      <c r="T747" s="21" t="str">
        <f ca="1">IFERROR(__xludf.DUMMYFUNCTION("GOOGLETRANSLATE($B747,""en"",T$3)"),"stoppe Webserver")</f>
        <v>stoppe Webserver</v>
      </c>
      <c r="U747" s="21" t="str">
        <f ca="1">IFERROR(__xludf.DUMMYFUNCTION("GOOGLETRANSLATE($B747,""en"",U$3)"),"وقف خادم الويب")</f>
        <v>وقف خادم الويب</v>
      </c>
      <c r="V747" s="21" t="str">
        <f ca="1">IFERROR(__xludf.DUMMYFUNCTION("GOOGLETRANSLATE($B747,""en"",V$3)"),"zatrzymanie Serwer")</f>
        <v>zatrzymanie Serwer</v>
      </c>
      <c r="W747" s="21" t="str">
        <f ca="1">IFERROR(__xludf.DUMMYFUNCTION("GOOGLETRANSLATE($B747,""en"",W$3)"),"Остановка Вебсервер")</f>
        <v>Остановка Вебсервер</v>
      </c>
      <c r="X747" s="21" t="str">
        <f ca="1">IFERROR(__xludf.DUMMYFUNCTION("GOOGLETRANSLATE($B747,""en"",X$3)"),"Servidor web detener")</f>
        <v>Servidor web detener</v>
      </c>
      <c r="Y747" s="21"/>
      <c r="Z747" s="21"/>
    </row>
    <row r="748" spans="1:26" ht="32.25" customHeight="1" x14ac:dyDescent="0.2">
      <c r="A748" s="17" t="s">
        <v>1593</v>
      </c>
      <c r="B748" s="17" t="s">
        <v>1594</v>
      </c>
      <c r="C748" s="21" t="str">
        <f ca="1">IFERROR(__xludf.DUMMYFUNCTION("GOOGLETRANSLATE($B748,""en"",C$3)"),"Einstellung")</f>
        <v>Einstellung</v>
      </c>
      <c r="D748" s="21" t="str">
        <f ca="1">IFERROR(__xludf.DUMMYFUNCTION("GOOGLETRANSLATE($B748,""en"",D$3)"),"stoppa")</f>
        <v>stoppa</v>
      </c>
      <c r="E748" s="21" t="str">
        <f ca="1">IFERROR(__xludf.DUMMYFUNCTION("GOOGLETRANSLATE($B748,""en"",E$3)"),"Parando")</f>
        <v>Parando</v>
      </c>
      <c r="F748" s="21" t="str">
        <f ca="1">IFERROR(__xludf.DUMMYFUNCTION("GOOGLETRANSLATE($B748,""en"",F$3)"),"Parando")</f>
        <v>Parando</v>
      </c>
      <c r="G748" s="21" t="str">
        <f ca="1">IFERROR(__xludf.DUMMYFUNCTION("GOOGLETRANSLATE($B748,""en"",G$3)"),"Arrêt")</f>
        <v>Arrêt</v>
      </c>
      <c r="H748" s="21" t="str">
        <f ca="1">IFERROR(__xludf.DUMMYFUNCTION("GOOGLETRANSLATE($B748,""en"",H$3)"),"gelditzea")</f>
        <v>gelditzea</v>
      </c>
      <c r="I748" s="21" t="str">
        <f ca="1">IFERROR(__xludf.DUMMYFUNCTION("GOOGLETRANSLATE($B748,""en"",I$3)"),"parada")</f>
        <v>parada</v>
      </c>
      <c r="J748" s="21" t="str">
        <f ca="1">IFERROR(__xludf.DUMMYFUNCTION("GOOGLETRANSLATE($B748,""en"",J$3)"),"Zastavení")</f>
        <v>Zastavení</v>
      </c>
      <c r="K748" s="21" t="str">
        <f ca="1">IFERROR(__xludf.DUMMYFUNCTION("GOOGLETRANSLATE($B748,""en"",K$3)"),"停止")</f>
        <v>停止</v>
      </c>
      <c r="L748" s="21" t="str">
        <f ca="1">IFERROR(__xludf.DUMMYFUNCTION("GOOGLETRANSLATE($B748,""en"",L$3)"),"停止")</f>
        <v>停止</v>
      </c>
      <c r="M748" s="21" t="str">
        <f ca="1">IFERROR(__xludf.DUMMYFUNCTION("GOOGLETRANSLATE($B748,""en"",M$3)"),"Stoppen")</f>
        <v>Stoppen</v>
      </c>
      <c r="N748" s="21" t="str">
        <f ca="1">IFERROR(__xludf.DUMMYFUNCTION("GOOGLETRANSLATE($B748,""en"",N$3)"),"Στάθμευση")</f>
        <v>Στάθμευση</v>
      </c>
      <c r="O748" s="21" t="str">
        <f ca="1">IFERROR(__xludf.DUMMYFUNCTION("GOOGLETRANSLATE($B748,""en"",O$3)"),"pysähtymättä")</f>
        <v>pysähtymättä</v>
      </c>
      <c r="P748" s="21" t="str">
        <f ca="1">IFERROR(__xludf.DUMMYFUNCTION("GOOGLETRANSLATE($B748,""en"",P$3)"),"Stopadh")</f>
        <v>Stopadh</v>
      </c>
      <c r="Q748" s="21" t="str">
        <f ca="1">IFERROR(__xludf.DUMMYFUNCTION("GOOGLETRANSLATE($B748,""en"",Q$3)"),"توقف")</f>
        <v>توقف</v>
      </c>
      <c r="R748" s="21" t="str">
        <f ca="1">IFERROR(__xludf.DUMMYFUNCTION("GOOGLETRANSLATE($B748,""en"",R$3)"),"סְתִימָה")</f>
        <v>סְתִימָה</v>
      </c>
      <c r="S748" s="21" t="str">
        <f ca="1">IFERROR(__xludf.DUMMYFUNCTION("GOOGLETRANSLATE($B748,""en"",S$3)"),"stífla")</f>
        <v>stífla</v>
      </c>
      <c r="T748" s="21" t="str">
        <f ca="1">IFERROR(__xludf.DUMMYFUNCTION("GOOGLETRANSLATE($B748,""en"",T$3)"),"stoppe")</f>
        <v>stoppe</v>
      </c>
      <c r="U748" s="21" t="str">
        <f ca="1">IFERROR(__xludf.DUMMYFUNCTION("GOOGLETRANSLATE($B748,""en"",U$3)"),"وقف")</f>
        <v>وقف</v>
      </c>
      <c r="V748" s="21" t="str">
        <f ca="1">IFERROR(__xludf.DUMMYFUNCTION("GOOGLETRANSLATE($B748,""en"",V$3)"),"Zatrzymanie")</f>
        <v>Zatrzymanie</v>
      </c>
      <c r="W748" s="21" t="str">
        <f ca="1">IFERROR(__xludf.DUMMYFUNCTION("GOOGLETRANSLATE($B748,""en"",W$3)"),"остановка")</f>
        <v>остановка</v>
      </c>
      <c r="X748" s="21" t="str">
        <f ca="1">IFERROR(__xludf.DUMMYFUNCTION("GOOGLETRANSLATE($B748,""en"",X$3)"),"Parada")</f>
        <v>Parada</v>
      </c>
      <c r="Y748" s="21"/>
      <c r="Z748" s="21"/>
    </row>
    <row r="749" spans="1:26" ht="32.25" customHeight="1" x14ac:dyDescent="0.2">
      <c r="A749" s="17" t="s">
        <v>1595</v>
      </c>
      <c r="B749" s="17" t="s">
        <v>1596</v>
      </c>
      <c r="C749" s="21" t="str">
        <f ca="1">IFERROR(__xludf.DUMMYFUNCTION("GOOGLETRANSLATE($B749,""en"",C$3)"),"Stoppt alle geprüft Regionen")</f>
        <v>Stoppt alle geprüft Regionen</v>
      </c>
      <c r="D749" s="21" t="str">
        <f ca="1">IFERROR(__xludf.DUMMYFUNCTION("GOOGLETRANSLATE($B749,""en"",D$3)"),"Stoppar alla kontrolleras Regioner")</f>
        <v>Stoppar alla kontrolleras Regioner</v>
      </c>
      <c r="E749" s="21" t="str">
        <f ca="1">IFERROR(__xludf.DUMMYFUNCTION("GOOGLETRANSLATE($B749,""en"",E$3)"),"Pára todas as Regiões verificados")</f>
        <v>Pára todas as Regiões verificados</v>
      </c>
      <c r="F749" s="21" t="str">
        <f ca="1">IFERROR(__xludf.DUMMYFUNCTION("GOOGLETRANSLATE($B749,""en"",F$3)"),"Pára todas as Regiões verificados")</f>
        <v>Pára todas as Regiões verificados</v>
      </c>
      <c r="G749" s="21" t="str">
        <f ca="1">IFERROR(__xludf.DUMMYFUNCTION("GOOGLETRANSLATE($B749,""en"",G$3)"),"Arrête toutes les régions contrôlées")</f>
        <v>Arrête toutes les régions contrôlées</v>
      </c>
      <c r="H749" s="21" t="str">
        <f ca="1">IFERROR(__xludf.DUMMYFUNCTION("GOOGLETRANSLATE($B749,""en"",H$3)"),"Gelditzen hautatuta Eskualde guztietan")</f>
        <v>Gelditzen hautatuta Eskualde guztietan</v>
      </c>
      <c r="I749" s="21" t="str">
        <f ca="1">IFERROR(__xludf.DUMMYFUNCTION("GOOGLETRANSLATE($B749,""en"",I$3)"),"Atura totes les regions controlades")</f>
        <v>Atura totes les regions controlades</v>
      </c>
      <c r="J749" s="21" t="str">
        <f ca="1">IFERROR(__xludf.DUMMYFUNCTION("GOOGLETRANSLATE($B749,""en"",J$3)"),"Zastaví všechny zaškrtnuté regiony")</f>
        <v>Zastaví všechny zaškrtnuté regiony</v>
      </c>
      <c r="K749" s="21" t="str">
        <f ca="1">IFERROR(__xludf.DUMMYFUNCTION("GOOGLETRANSLATE($B749,""en"",K$3)"),"停止所有检查区")</f>
        <v>停止所有检查区</v>
      </c>
      <c r="L749" s="21" t="str">
        <f ca="1">IFERROR(__xludf.DUMMYFUNCTION("GOOGLETRANSLATE($B749,""en"",L$3)"),"停止所有檢查區")</f>
        <v>停止所有檢查區</v>
      </c>
      <c r="M749" s="21" t="str">
        <f ca="1">IFERROR(__xludf.DUMMYFUNCTION("GOOGLETRANSLATE($B749,""en"",M$3)"),"Stopt alle geselecteerde regio's")</f>
        <v>Stopt alle geselecteerde regio's</v>
      </c>
      <c r="N749" s="21" t="str">
        <f ca="1">IFERROR(__xludf.DUMMYFUNCTION("GOOGLETRANSLATE($B749,""en"",N$3)"),"Διακόπτει όλες τις ελέγχεται Περιφερειών")</f>
        <v>Διακόπτει όλες τις ελέγχεται Περιφερειών</v>
      </c>
      <c r="O749" s="21" t="str">
        <f ca="1">IFERROR(__xludf.DUMMYFUNCTION("GOOGLETRANSLATE($B749,""en"",O$3)"),"Pysäyttää kaiken tarkastetaan Alueet")</f>
        <v>Pysäyttää kaiken tarkastetaan Alueet</v>
      </c>
      <c r="P749" s="21" t="str">
        <f ca="1">IFERROR(__xludf.DUMMYFUNCTION("GOOGLETRANSLATE($B749,""en"",P$3)"),"Gach stad Réigiúin sheiceáil")</f>
        <v>Gach stad Réigiúin sheiceáil</v>
      </c>
      <c r="Q749" s="21" t="str">
        <f ca="1">IFERROR(__xludf.DUMMYFUNCTION("GOOGLETRANSLATE($B749,""en"",Q$3)"),"متوقف می شود تمام مناطق بررسی")</f>
        <v>متوقف می شود تمام مناطق بررسی</v>
      </c>
      <c r="R749" s="21" t="str">
        <f ca="1">IFERROR(__xludf.DUMMYFUNCTION("GOOGLETRANSLATE($B749,""en"",R$3)"),"עצירה כל האזורים נבדקו")</f>
        <v>עצירה כל האזורים נבדקו</v>
      </c>
      <c r="S749" s="21" t="str">
        <f ca="1">IFERROR(__xludf.DUMMYFUNCTION("GOOGLETRANSLATE($B749,""en"",S$3)"),"Hættir sem hakað Svæði")</f>
        <v>Hættir sem hakað Svæði</v>
      </c>
      <c r="T749" s="21" t="str">
        <f ca="1">IFERROR(__xludf.DUMMYFUNCTION("GOOGLETRANSLATE($B749,""en"",T$3)"),"Stopper alle sjekket Regioner")</f>
        <v>Stopper alle sjekket Regioner</v>
      </c>
      <c r="U749" s="21" t="str">
        <f ca="1">IFERROR(__xludf.DUMMYFUNCTION("GOOGLETRANSLATE($B749,""en"",U$3)"),"توقف جميع المناطق المحددة")</f>
        <v>توقف جميع المناطق المحددة</v>
      </c>
      <c r="V749" s="21" t="str">
        <f ca="1">IFERROR(__xludf.DUMMYFUNCTION("GOOGLETRANSLATE($B749,""en"",V$3)"),"Zatrzymuje wszystkie sprawdzonych Regions")</f>
        <v>Zatrzymuje wszystkie sprawdzonych Regions</v>
      </c>
      <c r="W749" s="21" t="str">
        <f ca="1">IFERROR(__xludf.DUMMYFUNCTION("GOOGLETRANSLATE($B749,""en"",W$3)"),"Останавливает все отмеченные регионы")</f>
        <v>Останавливает все отмеченные регионы</v>
      </c>
      <c r="X749" s="21" t="str">
        <f ca="1">IFERROR(__xludf.DUMMYFUNCTION("GOOGLETRANSLATE($B749,""en"",X$3)"),"Detiene todas las regiones controladas")</f>
        <v>Detiene todas las regiones controladas</v>
      </c>
      <c r="Y749" s="21"/>
      <c r="Z749" s="21"/>
    </row>
    <row r="750" spans="1:26" ht="32.25" customHeight="1" x14ac:dyDescent="0.2">
      <c r="A750" s="17" t="s">
        <v>1597</v>
      </c>
      <c r="B750" s="17" t="s">
        <v>1598</v>
      </c>
      <c r="C750" s="21" t="str">
        <f ca="1">IFERROR(__xludf.DUMMYFUNCTION("GOOGLETRANSLATE($B750,""en"",C$3)"),"Aktivieren Inventar Koffer")</f>
        <v>Aktivieren Inventar Koffer</v>
      </c>
      <c r="D750" s="21" t="str">
        <f ca="1">IFERROR(__xludf.DUMMYFUNCTION("GOOGLETRANSLATE($B750,""en"",D$3)"),"Aktivera Inventory Resväska")</f>
        <v>Aktivera Inventory Resväska</v>
      </c>
      <c r="E750" s="21" t="str">
        <f ca="1">IFERROR(__xludf.DUMMYFUNCTION("GOOGLETRANSLATE($B750,""en"",E$3)"),"Ativar Suitcase Inventory")</f>
        <v>Ativar Suitcase Inventory</v>
      </c>
      <c r="F750" s="21" t="str">
        <f ca="1">IFERROR(__xludf.DUMMYFUNCTION("GOOGLETRANSLATE($B750,""en"",F$3)"),"Ativar Suitcase Inventory")</f>
        <v>Ativar Suitcase Inventory</v>
      </c>
      <c r="G750" s="21" t="str">
        <f ca="1">IFERROR(__xludf.DUMMYFUNCTION("GOOGLETRANSLATE($B750,""en"",G$3)"),"Activer l'inventaire valise")</f>
        <v>Activer l'inventaire valise</v>
      </c>
      <c r="H750" s="21" t="str">
        <f ca="1">IFERROR(__xludf.DUMMYFUNCTION("GOOGLETRANSLATE($B750,""en"",H$3)"),"Gaitu inbentarioa Maleta")</f>
        <v>Gaitu inbentarioa Maleta</v>
      </c>
      <c r="I750" s="21" t="str">
        <f ca="1">IFERROR(__xludf.DUMMYFUNCTION("GOOGLETRANSLATE($B750,""en"",I$3)"),"Habilitar Maleta Inventari")</f>
        <v>Habilitar Maleta Inventari</v>
      </c>
      <c r="J750" s="21" t="str">
        <f ca="1">IFERROR(__xludf.DUMMYFUNCTION("GOOGLETRANSLATE($B750,""en"",J$3)"),"Aktivovat Inventory Suitcase")</f>
        <v>Aktivovat Inventory Suitcase</v>
      </c>
      <c r="K750" s="21" t="str">
        <f ca="1">IFERROR(__xludf.DUMMYFUNCTION("GOOGLETRANSLATE($B750,""en"",K$3)"),"允许库存旅行箱")</f>
        <v>允许库存旅行箱</v>
      </c>
      <c r="L750" s="21" t="str">
        <f ca="1">IFERROR(__xludf.DUMMYFUNCTION("GOOGLETRANSLATE($B750,""en"",L$3)"),"允許庫存旅行箱")</f>
        <v>允許庫存旅行箱</v>
      </c>
      <c r="M750" s="21" t="str">
        <f ca="1">IFERROR(__xludf.DUMMYFUNCTION("GOOGLETRANSLATE($B750,""en"",M$3)"),"Inschakelen Inventory Suitcase")</f>
        <v>Inschakelen Inventory Suitcase</v>
      </c>
      <c r="N750" s="21" t="str">
        <f ca="1">IFERROR(__xludf.DUMMYFUNCTION("GOOGLETRANSLATE($B750,""en"",N$3)"),"Ενεργοποίηση Απογραφή βαλίτσα")</f>
        <v>Ενεργοποίηση Απογραφή βαλίτσα</v>
      </c>
      <c r="O750" s="21" t="str">
        <f ca="1">IFERROR(__xludf.DUMMYFUNCTION("GOOGLETRANSLATE($B750,""en"",O$3)"),"Ota Inventory Matkalaukku")</f>
        <v>Ota Inventory Matkalaukku</v>
      </c>
      <c r="P750" s="21" t="str">
        <f ca="1">IFERROR(__xludf.DUMMYFUNCTION("GOOGLETRANSLATE($B750,""en"",P$3)"),"Cumasaigh Suitcase Fardal")</f>
        <v>Cumasaigh Suitcase Fardal</v>
      </c>
      <c r="Q750" s="21" t="str">
        <f ca="1">IFERROR(__xludf.DUMMYFUNCTION("GOOGLETRANSLATE($B750,""en"",Q$3)"),"فعال کردن چمدان پرسشنامه")</f>
        <v>فعال کردن چمدان پرسشنامه</v>
      </c>
      <c r="R750" s="21" t="str">
        <f ca="1">IFERROR(__xludf.DUMMYFUNCTION("GOOGLETRANSLATE($B750,""en"",R$3)"),"אפשר מזוודה מלאה")</f>
        <v>אפשר מזוודה מלאה</v>
      </c>
      <c r="S750" s="21" t="str">
        <f ca="1">IFERROR(__xludf.DUMMYFUNCTION("GOOGLETRANSLATE($B750,""en"",S$3)"),"Virkja Inventory Suitcase")</f>
        <v>Virkja Inventory Suitcase</v>
      </c>
      <c r="T750" s="21" t="str">
        <f ca="1">IFERROR(__xludf.DUMMYFUNCTION("GOOGLETRANSLATE($B750,""en"",T$3)"),"Aktiver Lagersuitcase")</f>
        <v>Aktiver Lagersuitcase</v>
      </c>
      <c r="U750" s="21" t="str">
        <f ca="1">IFERROR(__xludf.DUMMYFUNCTION("GOOGLETRANSLATE($B750,""en"",U$3)"),"تمكين حقيبة الجرد")</f>
        <v>تمكين حقيبة الجرد</v>
      </c>
      <c r="V750" s="21" t="str">
        <f ca="1">IFERROR(__xludf.DUMMYFUNCTION("GOOGLETRANSLATE($B750,""en"",V$3)"),"Włącz Inventory Suitcase")</f>
        <v>Włącz Inventory Suitcase</v>
      </c>
      <c r="W750" s="21" t="str">
        <f ca="1">IFERROR(__xludf.DUMMYFUNCTION("GOOGLETRANSLATE($B750,""en"",W$3)"),"Включение инвентаризации Чемодан")</f>
        <v>Включение инвентаризации Чемодан</v>
      </c>
      <c r="X750" s="21" t="str">
        <f ca="1">IFERROR(__xludf.DUMMYFUNCTION("GOOGLETRANSLATE($B750,""en"",X$3)"),"Habilitar Maleta Inventario")</f>
        <v>Habilitar Maleta Inventario</v>
      </c>
      <c r="Y750" s="21"/>
      <c r="Z750" s="21"/>
    </row>
    <row r="751" spans="1:26" ht="32.25" customHeight="1" x14ac:dyDescent="0.2">
      <c r="A751" s="17" t="s">
        <v>1599</v>
      </c>
      <c r="B751" s="17" t="s">
        <v>1600</v>
      </c>
      <c r="C751" s="21" t="str">
        <f ca="1">IFERROR(__xludf.DUMMYFUNCTION("GOOGLETRANSLATE($B751,""en"",C$3)"),"Suspending")</f>
        <v>Suspending</v>
      </c>
      <c r="D751" s="21" t="str">
        <f ca="1">IFERROR(__xludf.DUMMYFUNCTION("GOOGLETRANSLATE($B751,""en"",D$3)"),"suspendering")</f>
        <v>suspendering</v>
      </c>
      <c r="E751" s="21" t="str">
        <f ca="1">IFERROR(__xludf.DUMMYFUNCTION("GOOGLETRANSLATE($B751,""en"",E$3)"),"suspendendo")</f>
        <v>suspendendo</v>
      </c>
      <c r="F751" s="21" t="str">
        <f ca="1">IFERROR(__xludf.DUMMYFUNCTION("GOOGLETRANSLATE($B751,""en"",F$3)"),"suspendendo")</f>
        <v>suspendendo</v>
      </c>
      <c r="G751" s="21" t="str">
        <f ca="1">IFERROR(__xludf.DUMMYFUNCTION("GOOGLETRANSLATE($B751,""en"",G$3)"),"suspendre")</f>
        <v>suspendre</v>
      </c>
      <c r="H751" s="21" t="str">
        <f ca="1">IFERROR(__xludf.DUMMYFUNCTION("GOOGLETRANSLATE($B751,""en"",H$3)"),"eseki")</f>
        <v>eseki</v>
      </c>
      <c r="I751" s="21" t="str">
        <f ca="1">IFERROR(__xludf.DUMMYFUNCTION("GOOGLETRANSLATE($B751,""en"",I$3)"),"suspendre")</f>
        <v>suspendre</v>
      </c>
      <c r="J751" s="21" t="str">
        <f ca="1">IFERROR(__xludf.DUMMYFUNCTION("GOOGLETRANSLATE($B751,""en"",J$3)"),"suspendování")</f>
        <v>suspendování</v>
      </c>
      <c r="K751" s="21" t="str">
        <f ca="1">IFERROR(__xludf.DUMMYFUNCTION("GOOGLETRANSLATE($B751,""en"",K$3)"),"暂停")</f>
        <v>暂停</v>
      </c>
      <c r="L751" s="21" t="str">
        <f ca="1">IFERROR(__xludf.DUMMYFUNCTION("GOOGLETRANSLATE($B751,""en"",L$3)"),"暫停")</f>
        <v>暫停</v>
      </c>
      <c r="M751" s="21" t="str">
        <f ca="1">IFERROR(__xludf.DUMMYFUNCTION("GOOGLETRANSLATE($B751,""en"",M$3)"),"Het opschorten")</f>
        <v>Het opschorten</v>
      </c>
      <c r="N751" s="21" t="str">
        <f ca="1">IFERROR(__xludf.DUMMYFUNCTION("GOOGLETRANSLATE($B751,""en"",N$3)"),"Ανασταλτικός")</f>
        <v>Ανασταλτικός</v>
      </c>
      <c r="O751" s="21" t="str">
        <f ca="1">IFERROR(__xludf.DUMMYFUNCTION("GOOGLETRANSLATE($B751,""en"",O$3)"),"keskeyttämisestä")</f>
        <v>keskeyttämisestä</v>
      </c>
      <c r="P751" s="21" t="str">
        <f ca="1">IFERROR(__xludf.DUMMYFUNCTION("GOOGLETRANSLATE($B751,""en"",P$3)"),"Fionraí")</f>
        <v>Fionraí</v>
      </c>
      <c r="Q751" s="21" t="str">
        <f ca="1">IFERROR(__xludf.DUMMYFUNCTION("GOOGLETRANSLATE($B751,""en"",Q$3)"),"تعلیق")</f>
        <v>تعلیق</v>
      </c>
      <c r="R751" s="21" t="str">
        <f ca="1">IFERROR(__xludf.DUMMYFUNCTION("GOOGLETRANSLATE($B751,""en"",R$3)"),"השעיית")</f>
        <v>השעיית</v>
      </c>
      <c r="S751" s="21" t="str">
        <f ca="1">IFERROR(__xludf.DUMMYFUNCTION("GOOGLETRANSLATE($B751,""en"",S$3)"),"fresta")</f>
        <v>fresta</v>
      </c>
      <c r="T751" s="21" t="str">
        <f ca="1">IFERROR(__xludf.DUMMYFUNCTION("GOOGLETRANSLATE($B751,""en"",T$3)"),"suspen")</f>
        <v>suspen</v>
      </c>
      <c r="U751" s="21" t="str">
        <f ca="1">IFERROR(__xludf.DUMMYFUNCTION("GOOGLETRANSLATE($B751,""en"",U$3)"),"تعليق")</f>
        <v>تعليق</v>
      </c>
      <c r="V751" s="21" t="str">
        <f ca="1">IFERROR(__xludf.DUMMYFUNCTION("GOOGLETRANSLATE($B751,""en"",V$3)"),"zawieszanie")</f>
        <v>zawieszanie</v>
      </c>
      <c r="W751" s="21" t="str">
        <f ca="1">IFERROR(__xludf.DUMMYFUNCTION("GOOGLETRANSLATE($B751,""en"",W$3)"),"суспендирующий")</f>
        <v>суспендирующий</v>
      </c>
      <c r="X751" s="21" t="str">
        <f ca="1">IFERROR(__xludf.DUMMYFUNCTION("GOOGLETRANSLATE($B751,""en"",X$3)"),"suspender")</f>
        <v>suspender</v>
      </c>
      <c r="Y751" s="21"/>
      <c r="Z751" s="21"/>
    </row>
    <row r="752" spans="1:26" ht="32.25" customHeight="1" x14ac:dyDescent="0.2">
      <c r="A752" s="10" t="s">
        <v>2</v>
      </c>
      <c r="B752" s="10" t="s">
        <v>2</v>
      </c>
      <c r="C752" s="11" t="str">
        <f ca="1">IFERROR(__xludf.DUMMYFUNCTION("GOOGLETRANSLATE($B752,""en"",C$3)"),"Schwedisch")</f>
        <v>Schwedisch</v>
      </c>
      <c r="D752" s="11" t="str">
        <f ca="1">IFERROR(__xludf.DUMMYFUNCTION("GOOGLETRANSLATE($B752,""en"",D$3)"),"svenska")</f>
        <v>svenska</v>
      </c>
      <c r="E752" s="11" t="str">
        <f ca="1">IFERROR(__xludf.DUMMYFUNCTION("GOOGLETRANSLATE($B752,""en"",E$3)"),"sueco")</f>
        <v>sueco</v>
      </c>
      <c r="F752" s="11" t="str">
        <f ca="1">IFERROR(__xludf.DUMMYFUNCTION("GOOGLETRANSLATE($B752,""en"",F$3)"),"sueco")</f>
        <v>sueco</v>
      </c>
      <c r="G752" s="11" t="str">
        <f ca="1">IFERROR(__xludf.DUMMYFUNCTION("GOOGLETRANSLATE($B752,""en"",G$3)"),"suédois")</f>
        <v>suédois</v>
      </c>
      <c r="H752" s="11" t="str">
        <f ca="1">IFERROR(__xludf.DUMMYFUNCTION("GOOGLETRANSLATE($B752,""en"",H$3)"),"Suediako")</f>
        <v>Suediako</v>
      </c>
      <c r="I752" s="11" t="str">
        <f ca="1">IFERROR(__xludf.DUMMYFUNCTION("GOOGLETRANSLATE($B752,""en"",I$3)"),"suec")</f>
        <v>suec</v>
      </c>
      <c r="J752" s="11" t="str">
        <f ca="1">IFERROR(__xludf.DUMMYFUNCTION("GOOGLETRANSLATE($B752,""en"",J$3)"),"švédský")</f>
        <v>švédský</v>
      </c>
      <c r="K752" s="11" t="str">
        <f ca="1">IFERROR(__xludf.DUMMYFUNCTION("GOOGLETRANSLATE($B752,""en"",K$3)"),"瑞典")</f>
        <v>瑞典</v>
      </c>
      <c r="L752" s="11" t="str">
        <f ca="1">IFERROR(__xludf.DUMMYFUNCTION("GOOGLETRANSLATE($B752,""en"",L$3)"),"瑞典")</f>
        <v>瑞典</v>
      </c>
      <c r="M752" s="11" t="str">
        <f ca="1">IFERROR(__xludf.DUMMYFUNCTION("GOOGLETRANSLATE($B752,""en"",M$3)"),"Zweeds")</f>
        <v>Zweeds</v>
      </c>
      <c r="N752" s="11" t="str">
        <f ca="1">IFERROR(__xludf.DUMMYFUNCTION("GOOGLETRANSLATE($B752,""en"",N$3)"),"Σουηδικά")</f>
        <v>Σουηδικά</v>
      </c>
      <c r="O752" s="11" t="str">
        <f ca="1">IFERROR(__xludf.DUMMYFUNCTION("GOOGLETRANSLATE($B752,""en"",O$3)"),"Ruotsin kieli")</f>
        <v>Ruotsin kieli</v>
      </c>
      <c r="P752" s="11" t="str">
        <f ca="1">IFERROR(__xludf.DUMMYFUNCTION("GOOGLETRANSLATE($B752,""en"",P$3)"),"Sualainnis")</f>
        <v>Sualainnis</v>
      </c>
      <c r="Q752" s="11" t="str">
        <f ca="1">IFERROR(__xludf.DUMMYFUNCTION("GOOGLETRANSLATE($B752,""en"",Q$3)"),"سوئد")</f>
        <v>سوئد</v>
      </c>
      <c r="R752" s="11" t="str">
        <f ca="1">IFERROR(__xludf.DUMMYFUNCTION("GOOGLETRANSLATE($B752,""en"",R$3)"),"שוודית")</f>
        <v>שוודית</v>
      </c>
      <c r="S752" s="11" t="str">
        <f ca="1">IFERROR(__xludf.DUMMYFUNCTION("GOOGLETRANSLATE($B752,""en"",S$3)"),"Sænska")</f>
        <v>Sænska</v>
      </c>
      <c r="T752" s="11" t="str">
        <f ca="1">IFERROR(__xludf.DUMMYFUNCTION("GOOGLETRANSLATE($B752,""en"",T$3)"),"svensk")</f>
        <v>svensk</v>
      </c>
      <c r="U752" s="11" t="str">
        <f ca="1">IFERROR(__xludf.DUMMYFUNCTION("GOOGLETRANSLATE($B752,""en"",U$3)"),"اللغة السويدية")</f>
        <v>اللغة السويدية</v>
      </c>
      <c r="V752" s="11" t="str">
        <f ca="1">IFERROR(__xludf.DUMMYFUNCTION("GOOGLETRANSLATE($B752,""en"",V$3)"),"szwedzki")</f>
        <v>szwedzki</v>
      </c>
      <c r="W752" s="11" t="str">
        <f ca="1">IFERROR(__xludf.DUMMYFUNCTION("GOOGLETRANSLATE($B752,""en"",W$3)"),"шведский")</f>
        <v>шведский</v>
      </c>
      <c r="X752" s="11" t="str">
        <f ca="1">IFERROR(__xludf.DUMMYFUNCTION("GOOGLETRANSLATE($B752,""en"",X$3)"),"sueco")</f>
        <v>sueco</v>
      </c>
    </row>
    <row r="753" spans="1:26" ht="32.25" customHeight="1" x14ac:dyDescent="0.2">
      <c r="A753" s="17" t="s">
        <v>1601</v>
      </c>
      <c r="B753" s="17" t="s">
        <v>1602</v>
      </c>
      <c r="C753" s="21" t="str">
        <f ca="1">IFERROR(__xludf.DUMMYFUNCTION("GOOGLETRANSLATE($B753,""en"",C$3)"),"System Backup")</f>
        <v>System Backup</v>
      </c>
      <c r="D753" s="21" t="str">
        <f ca="1">IFERROR(__xludf.DUMMYFUNCTION("GOOGLETRANSLATE($B753,""en"",D$3)"),"System Backup")</f>
        <v>System Backup</v>
      </c>
      <c r="E753" s="21" t="str">
        <f ca="1">IFERROR(__xludf.DUMMYFUNCTION("GOOGLETRANSLATE($B753,""en"",E$3)"),"backup System")</f>
        <v>backup System</v>
      </c>
      <c r="F753" s="21" t="str">
        <f ca="1">IFERROR(__xludf.DUMMYFUNCTION("GOOGLETRANSLATE($B753,""en"",F$3)"),"backup System")</f>
        <v>backup System</v>
      </c>
      <c r="G753" s="21" t="str">
        <f ca="1">IFERROR(__xludf.DUMMYFUNCTION("GOOGLETRANSLATE($B753,""en"",G$3)"),"système de sauvegarde")</f>
        <v>système de sauvegarde</v>
      </c>
      <c r="H753" s="21" t="str">
        <f ca="1">IFERROR(__xludf.DUMMYFUNCTION("GOOGLETRANSLATE($B753,""en"",H$3)"),"Sistema Backup")</f>
        <v>Sistema Backup</v>
      </c>
      <c r="I753" s="21" t="str">
        <f ca="1">IFERROR(__xludf.DUMMYFUNCTION("GOOGLETRANSLATE($B753,""en"",I$3)"),"sistema de còpia de seguretat")</f>
        <v>sistema de còpia de seguretat</v>
      </c>
      <c r="J753" s="21" t="str">
        <f ca="1">IFERROR(__xludf.DUMMYFUNCTION("GOOGLETRANSLATE($B753,""en"",J$3)"),"System Backup")</f>
        <v>System Backup</v>
      </c>
      <c r="K753" s="21" t="str">
        <f ca="1">IFERROR(__xludf.DUMMYFUNCTION("GOOGLETRANSLATE($B753,""en"",K$3)"),"系统备份")</f>
        <v>系统备份</v>
      </c>
      <c r="L753" s="21" t="str">
        <f ca="1">IFERROR(__xludf.DUMMYFUNCTION("GOOGLETRANSLATE($B753,""en"",L$3)"),"系統備份")</f>
        <v>系統備份</v>
      </c>
      <c r="M753" s="21" t="str">
        <f ca="1">IFERROR(__xludf.DUMMYFUNCTION("GOOGLETRANSLATE($B753,""en"",M$3)"),"System Backup")</f>
        <v>System Backup</v>
      </c>
      <c r="N753" s="21" t="str">
        <f ca="1">IFERROR(__xludf.DUMMYFUNCTION("GOOGLETRANSLATE($B753,""en"",N$3)"),"Backup System")</f>
        <v>Backup System</v>
      </c>
      <c r="O753" s="21" t="str">
        <f ca="1">IFERROR(__xludf.DUMMYFUNCTION("GOOGLETRANSLATE($B753,""en"",O$3)"),"järjestelmän varmuuskopiointi")</f>
        <v>järjestelmän varmuuskopiointi</v>
      </c>
      <c r="P753" s="21" t="str">
        <f ca="1">IFERROR(__xludf.DUMMYFUNCTION("GOOGLETRANSLATE($B753,""en"",P$3)"),"Córas Cúltaca")</f>
        <v>Córas Cúltaca</v>
      </c>
      <c r="Q753" s="21" t="str">
        <f ca="1">IFERROR(__xludf.DUMMYFUNCTION("GOOGLETRANSLATE($B753,""en"",Q$3)"),"سیستم پشتیبان گیری")</f>
        <v>سیستم پشتیبان گیری</v>
      </c>
      <c r="R753" s="21" t="str">
        <f ca="1">IFERROR(__xludf.DUMMYFUNCTION("GOOGLETRANSLATE($B753,""en"",R$3)"),"גיבוי מערכת")</f>
        <v>גיבוי מערכת</v>
      </c>
      <c r="S753" s="21" t="str">
        <f ca="1">IFERROR(__xludf.DUMMYFUNCTION("GOOGLETRANSLATE($B753,""en"",S$3)"),"System Backup")</f>
        <v>System Backup</v>
      </c>
      <c r="T753" s="21" t="str">
        <f ca="1">IFERROR(__xludf.DUMMYFUNCTION("GOOGLETRANSLATE($B753,""en"",T$3)"),"system Backup")</f>
        <v>system Backup</v>
      </c>
      <c r="U753" s="21" t="str">
        <f ca="1">IFERROR(__xludf.DUMMYFUNCTION("GOOGLETRANSLATE($B753,""en"",U$3)"),"نظام النسخ الاحتياطي")</f>
        <v>نظام النسخ الاحتياطي</v>
      </c>
      <c r="V753" s="21" t="str">
        <f ca="1">IFERROR(__xludf.DUMMYFUNCTION("GOOGLETRANSLATE($B753,""en"",V$3)"),"backup System")</f>
        <v>backup System</v>
      </c>
      <c r="W753" s="21" t="str">
        <f ca="1">IFERROR(__xludf.DUMMYFUNCTION("GOOGLETRANSLATE($B753,""en"",W$3)"),"система резервного копирования")</f>
        <v>система резервного копирования</v>
      </c>
      <c r="X753" s="21" t="str">
        <f ca="1">IFERROR(__xludf.DUMMYFUNCTION("GOOGLETRANSLATE($B753,""en"",X$3)"),"sistema de copia de seguridad")</f>
        <v>sistema de copia de seguridad</v>
      </c>
      <c r="Y753" s="21"/>
      <c r="Z753" s="21"/>
    </row>
    <row r="754" spans="1:26" ht="32.25" customHeight="1" x14ac:dyDescent="0.2">
      <c r="A754" s="17" t="s">
        <v>1603</v>
      </c>
      <c r="B754" s="17" t="s">
        <v>1604</v>
      </c>
      <c r="C754" s="21" t="str">
        <f ca="1">IFERROR(__xludf.DUMMYFUNCTION("GOOGLETRANSLATE($B754,""en"",C$3)"),"Dies kann längere Zeit dauern")</f>
        <v>Dies kann längere Zeit dauern</v>
      </c>
      <c r="D754" s="21" t="str">
        <f ca="1">IFERROR(__xludf.DUMMYFUNCTION("GOOGLETRANSLATE($B754,""en"",D$3)"),"Det kan ta tid att ladda")</f>
        <v>Det kan ta tid att ladda</v>
      </c>
      <c r="E754" s="21" t="str">
        <f ca="1">IFERROR(__xludf.DUMMYFUNCTION("GOOGLETRANSLATE($B754,""en"",E$3)"),"Isso pode levar algum tempo para carga")</f>
        <v>Isso pode levar algum tempo para carga</v>
      </c>
      <c r="F754" s="21" t="str">
        <f ca="1">IFERROR(__xludf.DUMMYFUNCTION("GOOGLETRANSLATE($B754,""en"",F$3)"),"Isso pode levar algum tempo para carga")</f>
        <v>Isso pode levar algum tempo para carga</v>
      </c>
      <c r="G754" s="21" t="str">
        <f ca="1">IFERROR(__xludf.DUMMYFUNCTION("GOOGLETRANSLATE($B754,""en"",G$3)"),"Cela peut prendre du temps à la charge")</f>
        <v>Cela peut prendre du temps à la charge</v>
      </c>
      <c r="H754" s="21" t="str">
        <f ca="1">IFERROR(__xludf.DUMMYFUNCTION("GOOGLETRANSLATE($B754,""en"",H$3)"),"Honek denbora behar izan daitezke karga")</f>
        <v>Honek denbora behar izan daitezke karga</v>
      </c>
      <c r="I754" s="21" t="str">
        <f ca="1">IFERROR(__xludf.DUMMYFUNCTION("GOOGLETRANSLATE($B754,""en"",I$3)"),"Això pot prendre temps per carregar")</f>
        <v>Això pot prendre temps per carregar</v>
      </c>
      <c r="J754" s="21" t="str">
        <f ca="1">IFERROR(__xludf.DUMMYFUNCTION("GOOGLETRANSLATE($B754,""en"",J$3)"),"To může nějakou dobu trvat, aby zatížení")</f>
        <v>To může nějakou dobu trvat, aby zatížení</v>
      </c>
      <c r="K754" s="21" t="str">
        <f ca="1">IFERROR(__xludf.DUMMYFUNCTION("GOOGLETRANSLATE($B754,""en"",K$3)"),"这可能需要时间来加载")</f>
        <v>这可能需要时间来加载</v>
      </c>
      <c r="L754" s="21" t="str">
        <f ca="1">IFERROR(__xludf.DUMMYFUNCTION("GOOGLETRANSLATE($B754,""en"",L$3)"),"這可能需要時間來加載")</f>
        <v>這可能需要時間來加載</v>
      </c>
      <c r="M754" s="21" t="str">
        <f ca="1">IFERROR(__xludf.DUMMYFUNCTION("GOOGLETRANSLATE($B754,""en"",M$3)"),"Dit kan enige tijd duren om te laden")</f>
        <v>Dit kan enige tijd duren om te laden</v>
      </c>
      <c r="N754" s="21" t="str">
        <f ca="1">IFERROR(__xludf.DUMMYFUNCTION("GOOGLETRANSLATE($B754,""en"",N$3)"),"Αυτό μπορεί να πάρει χρόνο για να φορτώσει")</f>
        <v>Αυτό μπορεί να πάρει χρόνο για να φορτώσει</v>
      </c>
      <c r="O754" s="21" t="str">
        <f ca="1">IFERROR(__xludf.DUMMYFUNCTION("GOOGLETRANSLATE($B754,""en"",O$3)"),"Tämä voi kestää kauan")</f>
        <v>Tämä voi kestää kauan</v>
      </c>
      <c r="P754" s="21" t="str">
        <f ca="1">IFERROR(__xludf.DUMMYFUNCTION("GOOGLETRANSLATE($B754,""en"",P$3)"),"D'fhéadfadh an t-am a ghlacadh chun luchtú")</f>
        <v>D'fhéadfadh an t-am a ghlacadh chun luchtú</v>
      </c>
      <c r="Q754" s="21" t="str">
        <f ca="1">IFERROR(__xludf.DUMMYFUNCTION("GOOGLETRANSLATE($B754,""en"",Q$3)"),"این ممکن است زمان برای بارگذاری")</f>
        <v>این ممکن است زمان برای بارگذاری</v>
      </c>
      <c r="R754" s="21" t="str">
        <f ca="1">IFERROR(__xludf.DUMMYFUNCTION("GOOGLETRANSLATE($B754,""en"",R$3)"),"פעולה זו עשויה להימשך זמן הטעינה")</f>
        <v>פעולה זו עשויה להימשך זמן הטעינה</v>
      </c>
      <c r="S754" s="21" t="str">
        <f ca="1">IFERROR(__xludf.DUMMYFUNCTION("GOOGLETRANSLATE($B754,""en"",S$3)"),"Þetta getur tekið tíma að hlaða")</f>
        <v>Þetta getur tekið tíma að hlaða</v>
      </c>
      <c r="T754" s="21" t="str">
        <f ca="1">IFERROR(__xludf.DUMMYFUNCTION("GOOGLETRANSLATE($B754,""en"",T$3)"),"Dette kan ta tid å laste")</f>
        <v>Dette kan ta tid å laste</v>
      </c>
      <c r="U754" s="21" t="str">
        <f ca="1">IFERROR(__xludf.DUMMYFUNCTION("GOOGLETRANSLATE($B754,""en"",U$3)"),"وهذا قد يستغرق وقتا طويلا للتحميل")</f>
        <v>وهذا قد يستغرق وقتا طويلا للتحميل</v>
      </c>
      <c r="V754" s="21" t="str">
        <f ca="1">IFERROR(__xludf.DUMMYFUNCTION("GOOGLETRANSLATE($B754,""en"",V$3)"),"Może to zająć trochę czasu, aby obciążenia")</f>
        <v>Może to zająć trochę czasu, aby obciążenia</v>
      </c>
      <c r="W754" s="21" t="str">
        <f ca="1">IFERROR(__xludf.DUMMYFUNCTION("GOOGLETRANSLATE($B754,""en"",W$3)"),"Это может занять некоторое время нагрузки")</f>
        <v>Это может занять некоторое время нагрузки</v>
      </c>
      <c r="X754" s="21" t="str">
        <f ca="1">IFERROR(__xludf.DUMMYFUNCTION("GOOGLETRANSLATE($B754,""en"",X$3)"),"Esto puede tomar tiempo para cargar")</f>
        <v>Esto puede tomar tiempo para cargar</v>
      </c>
      <c r="Y754" s="21"/>
      <c r="Z754" s="21"/>
    </row>
    <row r="755" spans="1:26" ht="32.25" customHeight="1" x14ac:dyDescent="0.2">
      <c r="A755" s="17" t="s">
        <v>1605</v>
      </c>
      <c r="B755" s="17" t="s">
        <v>1606</v>
      </c>
      <c r="C755" s="21" t="str">
        <f ca="1">IFERROR(__xludf.DUMMYFUNCTION("GOOGLETRANSLATE($B755,""en"",C$3)"),"Technische Information")</f>
        <v>Technische Information</v>
      </c>
      <c r="D755" s="21" t="str">
        <f ca="1">IFERROR(__xludf.DUMMYFUNCTION("GOOGLETRANSLATE($B755,""en"",D$3)"),"Teknisk information")</f>
        <v>Teknisk information</v>
      </c>
      <c r="E755" s="21" t="str">
        <f ca="1">IFERROR(__xludf.DUMMYFUNCTION("GOOGLETRANSLATE($B755,""en"",E$3)"),"Informação técnica")</f>
        <v>Informação técnica</v>
      </c>
      <c r="F755" s="21" t="str">
        <f ca="1">IFERROR(__xludf.DUMMYFUNCTION("GOOGLETRANSLATE($B755,""en"",F$3)"),"Informação técnica")</f>
        <v>Informação técnica</v>
      </c>
      <c r="G755" s="21" t="str">
        <f ca="1">IFERROR(__xludf.DUMMYFUNCTION("GOOGLETRANSLATE($B755,""en"",G$3)"),"Informations techniques")</f>
        <v>Informations techniques</v>
      </c>
      <c r="H755" s="21" t="str">
        <f ca="1">IFERROR(__xludf.DUMMYFUNCTION("GOOGLETRANSLATE($B755,""en"",H$3)"),"Informazio teknikoa")</f>
        <v>Informazio teknikoa</v>
      </c>
      <c r="I755" s="21" t="str">
        <f ca="1">IFERROR(__xludf.DUMMYFUNCTION("GOOGLETRANSLATE($B755,""en"",I$3)"),"Informació tècnica")</f>
        <v>Informació tècnica</v>
      </c>
      <c r="J755" s="21" t="str">
        <f ca="1">IFERROR(__xludf.DUMMYFUNCTION("GOOGLETRANSLATE($B755,""en"",J$3)"),"Technické informace")</f>
        <v>Technické informace</v>
      </c>
      <c r="K755" s="21" t="str">
        <f ca="1">IFERROR(__xludf.DUMMYFUNCTION("GOOGLETRANSLATE($B755,""en"",K$3)"),"技术信息")</f>
        <v>技术信息</v>
      </c>
      <c r="L755" s="21" t="str">
        <f ca="1">IFERROR(__xludf.DUMMYFUNCTION("GOOGLETRANSLATE($B755,""en"",L$3)"),"技術信息")</f>
        <v>技術信息</v>
      </c>
      <c r="M755" s="21" t="str">
        <f ca="1">IFERROR(__xludf.DUMMYFUNCTION("GOOGLETRANSLATE($B755,""en"",M$3)"),"Technische informatie")</f>
        <v>Technische informatie</v>
      </c>
      <c r="N755" s="21" t="str">
        <f ca="1">IFERROR(__xludf.DUMMYFUNCTION("GOOGLETRANSLATE($B755,""en"",N$3)"),"Τεχνικές πληροφορίες")</f>
        <v>Τεχνικές πληροφορίες</v>
      </c>
      <c r="O755" s="21" t="str">
        <f ca="1">IFERROR(__xludf.DUMMYFUNCTION("GOOGLETRANSLATE($B755,""en"",O$3)"),"Tekninen informaatio")</f>
        <v>Tekninen informaatio</v>
      </c>
      <c r="P755" s="21" t="str">
        <f ca="1">IFERROR(__xludf.DUMMYFUNCTION("GOOGLETRANSLATE($B755,""en"",P$3)"),"Faisnéis theicniúil")</f>
        <v>Faisnéis theicniúil</v>
      </c>
      <c r="Q755" s="21" t="str">
        <f ca="1">IFERROR(__xludf.DUMMYFUNCTION("GOOGLETRANSLATE($B755,""en"",Q$3)"),"اطلاعات فنی")</f>
        <v>اطلاعات فنی</v>
      </c>
      <c r="R755" s="21" t="str">
        <f ca="1">IFERROR(__xludf.DUMMYFUNCTION("GOOGLETRANSLATE($B755,""en"",R$3)"),"מידע טכני")</f>
        <v>מידע טכני</v>
      </c>
      <c r="S755" s="21" t="str">
        <f ca="1">IFERROR(__xludf.DUMMYFUNCTION("GOOGLETRANSLATE($B755,""en"",S$3)"),"Tæknilegar upplýsingar")</f>
        <v>Tæknilegar upplýsingar</v>
      </c>
      <c r="T755" s="21" t="str">
        <f ca="1">IFERROR(__xludf.DUMMYFUNCTION("GOOGLETRANSLATE($B755,""en"",T$3)"),"Teknisk informasjon")</f>
        <v>Teknisk informasjon</v>
      </c>
      <c r="U755" s="21" t="str">
        <f ca="1">IFERROR(__xludf.DUMMYFUNCTION("GOOGLETRANSLATE($B755,""en"",U$3)"),"معلومات تقنية")</f>
        <v>معلومات تقنية</v>
      </c>
      <c r="V755" s="21" t="str">
        <f ca="1">IFERROR(__xludf.DUMMYFUNCTION("GOOGLETRANSLATE($B755,""en"",V$3)"),"Specyfikacja")</f>
        <v>Specyfikacja</v>
      </c>
      <c r="W755" s="21" t="str">
        <f ca="1">IFERROR(__xludf.DUMMYFUNCTION("GOOGLETRANSLATE($B755,""en"",W$3)"),"Техническая информация")</f>
        <v>Техническая информация</v>
      </c>
      <c r="X755" s="21" t="str">
        <f ca="1">IFERROR(__xludf.DUMMYFUNCTION("GOOGLETRANSLATE($B755,""en"",X$3)"),"Información técnica")</f>
        <v>Información técnica</v>
      </c>
      <c r="Y755" s="21"/>
      <c r="Z755" s="21"/>
    </row>
    <row r="756" spans="1:26" ht="32.25" customHeight="1" x14ac:dyDescent="0.2">
      <c r="A756" s="10" t="s">
        <v>1607</v>
      </c>
      <c r="B756" s="10" t="s">
        <v>1608</v>
      </c>
      <c r="C756" s="11" t="str">
        <f ca="1">IFERROR(__xludf.DUMMYFUNCTION("GOOGLETRANSLATE($B756,""en"",C$3)"),"Sendet diese Region Status an die Outworldz tele Zeichen")</f>
        <v>Sendet diese Region Status an die Outworldz tele Zeichen</v>
      </c>
      <c r="D756" s="11" t="str">
        <f ca="1">IFERROR(__xludf.DUMMYFUNCTION("GOOGLETRANSLATE($B756,""en"",D$3)"),"Sänder denna region status till Outworldz Teleport tecken")</f>
        <v>Sänder denna region status till Outworldz Teleport tecken</v>
      </c>
      <c r="E756" s="11" t="str">
        <f ca="1">IFERROR(__xludf.DUMMYFUNCTION("GOOGLETRANSLATE($B756,""en"",E$3)"),"Envia esse status região para os sinais Outworldz Teleport")</f>
        <v>Envia esse status região para os sinais Outworldz Teleport</v>
      </c>
      <c r="F756" s="11" t="str">
        <f ca="1">IFERROR(__xludf.DUMMYFUNCTION("GOOGLETRANSLATE($B756,""en"",F$3)"),"Envia esse status região para os sinais Outworldz Teleport")</f>
        <v>Envia esse status região para os sinais Outworldz Teleport</v>
      </c>
      <c r="G756" s="11" t="str">
        <f ca="1">IFERROR(__xludf.DUMMYFUNCTION("GOOGLETRANSLATE($B756,""en"",G$3)"),"Envoie ce statut de région aux signes Outworldz Teleport")</f>
        <v>Envoie ce statut de région aux signes Outworldz Teleport</v>
      </c>
      <c r="H756" s="11" t="str">
        <f ca="1">IFERROR(__xludf.DUMMYFUNCTION("GOOGLETRANSLATE($B756,""en"",H$3)"),"eskualde Outworldz Teleport seinaleak egoera hau bidaltzen")</f>
        <v>eskualde Outworldz Teleport seinaleak egoera hau bidaltzen</v>
      </c>
      <c r="I756" s="11" t="str">
        <f ca="1">IFERROR(__xludf.DUMMYFUNCTION("GOOGLETRANSLATE($B756,""en"",I$3)"),"Envia aquest estat de la regió als signes Outworldz Teleport")</f>
        <v>Envia aquest estat de la regió als signes Outworldz Teleport</v>
      </c>
      <c r="J756" s="11" t="str">
        <f ca="1">IFERROR(__xludf.DUMMYFUNCTION("GOOGLETRANSLATE($B756,""en"",J$3)"),"Odešle tento stav regionu, aby znamení Outworldz Teleport")</f>
        <v>Odešle tento stav regionu, aby znamení Outworldz Teleport</v>
      </c>
      <c r="K756" s="11" t="str">
        <f ca="1">IFERROR(__xludf.DUMMYFUNCTION("GOOGLETRANSLATE($B756,""en"",K$3)"),"发送该区域地位的Outworldz瞬移迹象")</f>
        <v>发送该区域地位的Outworldz瞬移迹象</v>
      </c>
      <c r="L756" s="11" t="str">
        <f ca="1">IFERROR(__xludf.DUMMYFUNCTION("GOOGLETRANSLATE($B756,""en"",L$3)"),"發送該區域地位的Outworldz瞬移跡象")</f>
        <v>發送該區域地位的Outworldz瞬移跡象</v>
      </c>
      <c r="M756" s="11" t="str">
        <f ca="1">IFERROR(__xludf.DUMMYFUNCTION("GOOGLETRANSLATE($B756,""en"",M$3)"),"Stuurt deze regio status aan de Outworldz Teleport borden")</f>
        <v>Stuurt deze regio status aan de Outworldz Teleport borden</v>
      </c>
      <c r="N756" s="11" t="str">
        <f ca="1">IFERROR(__xludf.DUMMYFUNCTION("GOOGLETRANSLATE($B756,""en"",N$3)"),"Στέλνει αυτήν την κατάσταση την περιοχή με τα σημάδια Outworldz Teleport")</f>
        <v>Στέλνει αυτήν την κατάσταση την περιοχή με τα σημάδια Outworldz Teleport</v>
      </c>
      <c r="O756" s="11" t="str">
        <f ca="1">IFERROR(__xludf.DUMMYFUNCTION("GOOGLETRANSLATE($B756,""en"",O$3)"),"Lähettää tämän alueen statuksen Outworldz Teleport merkkejä")</f>
        <v>Lähettää tämän alueen statuksen Outworldz Teleport merkkejä</v>
      </c>
      <c r="P756" s="11" t="str">
        <f ca="1">IFERROR(__xludf.DUMMYFUNCTION("GOOGLETRANSLATE($B756,""en"",P$3)"),"Seolann an stádas réigiún leis na comharthaí Outworldz Teleport")</f>
        <v>Seolann an stádas réigiún leis na comharthaí Outworldz Teleport</v>
      </c>
      <c r="Q756" s="11" t="str">
        <f ca="1">IFERROR(__xludf.DUMMYFUNCTION("GOOGLETRANSLATE($B756,""en"",Q$3)"),"می فرستد این وضعیت منطقه را به نشانه Outworldz دوربری")</f>
        <v>می فرستد این وضعیت منطقه را به نشانه Outworldz دوربری</v>
      </c>
      <c r="R756" s="11" t="str">
        <f ca="1">IFERROR(__xludf.DUMMYFUNCTION("GOOGLETRANSLATE($B756,""en"",R$3)"),"שולח מעמד האזור הזה כדי הסימנים טלפורט Outworldz")</f>
        <v>שולח מעמד האזור הזה כדי הסימנים טלפורט Outworldz</v>
      </c>
      <c r="S756" s="11" t="str">
        <f ca="1">IFERROR(__xludf.DUMMYFUNCTION("GOOGLETRANSLATE($B756,""en"",S$3)"),"Sendir þetta svæði stöðu til að Outworldz teleport merki")</f>
        <v>Sendir þetta svæði stöðu til að Outworldz teleport merki</v>
      </c>
      <c r="T756" s="11" t="str">
        <f ca="1">IFERROR(__xludf.DUMMYFUNCTION("GOOGLETRANSLATE($B756,""en"",T$3)"),"Sender denne regionen status til de Outworldz Teleport tegn")</f>
        <v>Sender denne regionen status til de Outworldz Teleport tegn</v>
      </c>
      <c r="U756" s="11" t="str">
        <f ca="1">IFERROR(__xludf.DUMMYFUNCTION("GOOGLETRANSLATE($B756,""en"",U$3)"),"يرسل هذا الوضع المنطقة إلى علامات Outworldz فوري")</f>
        <v>يرسل هذا الوضع المنطقة إلى علامات Outworldz فوري</v>
      </c>
      <c r="V756" s="11" t="str">
        <f ca="1">IFERROR(__xludf.DUMMYFUNCTION("GOOGLETRANSLATE($B756,""en"",V$3)"),"Przesyła ten status regionu do znaków Outworldz teleportować")</f>
        <v>Przesyła ten status regionu do znaków Outworldz teleportować</v>
      </c>
      <c r="W756" s="11" t="str">
        <f ca="1">IFERROR(__xludf.DUMMYFUNCTION("GOOGLETRANSLATE($B756,""en"",W$3)"),"Посылает этот статус региона с признаками Outworldz Телепорт")</f>
        <v>Посылает этот статус региона с признаками Outworldz Телепорт</v>
      </c>
      <c r="X756" s="11" t="str">
        <f ca="1">IFERROR(__xludf.DUMMYFUNCTION("GOOGLETRANSLATE($B756,""en"",X$3)"),"Envía este estado de la región a los signos Outworldz Teleport")</f>
        <v>Envía este estado de la región a los signos Outworldz Teleport</v>
      </c>
    </row>
    <row r="757" spans="1:26" ht="32.25" customHeight="1" x14ac:dyDescent="0.2">
      <c r="A757" s="17" t="s">
        <v>1609</v>
      </c>
      <c r="B757" s="17" t="s">
        <v>1610</v>
      </c>
      <c r="C757" s="21" t="str">
        <f ca="1">IFERROR(__xludf.DUMMYFUNCTION("GOOGLETRANSLATE($B757,""en"",C$3)"),"teleportieren")</f>
        <v>teleportieren</v>
      </c>
      <c r="D757" s="21" t="str">
        <f ca="1">IFERROR(__xludf.DUMMYFUNCTION("GOOGLETRANSLATE($B757,""en"",D$3)"),"Teleport")</f>
        <v>Teleport</v>
      </c>
      <c r="E757" s="21" t="str">
        <f ca="1">IFERROR(__xludf.DUMMYFUNCTION("GOOGLETRANSLATE($B757,""en"",E$3)"),"teleporte")</f>
        <v>teleporte</v>
      </c>
      <c r="F757" s="21" t="str">
        <f ca="1">IFERROR(__xludf.DUMMYFUNCTION("GOOGLETRANSLATE($B757,""en"",F$3)"),"teleporte")</f>
        <v>teleporte</v>
      </c>
      <c r="G757" s="21" t="str">
        <f ca="1">IFERROR(__xludf.DUMMYFUNCTION("GOOGLETRANSLATE($B757,""en"",G$3)"),"téléportation")</f>
        <v>téléportation</v>
      </c>
      <c r="H757" s="21" t="str">
        <f ca="1">IFERROR(__xludf.DUMMYFUNCTION("GOOGLETRANSLATE($B757,""en"",H$3)"),"Teleport")</f>
        <v>Teleport</v>
      </c>
      <c r="I757" s="21" t="str">
        <f ca="1">IFERROR(__xludf.DUMMYFUNCTION("GOOGLETRANSLATE($B757,""en"",I$3)"),"Teleport")</f>
        <v>Teleport</v>
      </c>
      <c r="J757" s="21" t="str">
        <f ca="1">IFERROR(__xludf.DUMMYFUNCTION("GOOGLETRANSLATE($B757,""en"",J$3)"),"Teleport")</f>
        <v>Teleport</v>
      </c>
      <c r="K757" s="21" t="str">
        <f ca="1">IFERROR(__xludf.DUMMYFUNCTION("GOOGLETRANSLATE($B757,""en"",K$3)"),"瞬移")</f>
        <v>瞬移</v>
      </c>
      <c r="L757" s="21" t="str">
        <f ca="1">IFERROR(__xludf.DUMMYFUNCTION("GOOGLETRANSLATE($B757,""en"",L$3)"),"瞬移")</f>
        <v>瞬移</v>
      </c>
      <c r="M757" s="21" t="str">
        <f ca="1">IFERROR(__xludf.DUMMYFUNCTION("GOOGLETRANSLATE($B757,""en"",M$3)"),"Teleport")</f>
        <v>Teleport</v>
      </c>
      <c r="N757" s="21" t="str">
        <f ca="1">IFERROR(__xludf.DUMMYFUNCTION("GOOGLETRANSLATE($B757,""en"",N$3)"),"teleport")</f>
        <v>teleport</v>
      </c>
      <c r="O757" s="21" t="str">
        <f ca="1">IFERROR(__xludf.DUMMYFUNCTION("GOOGLETRANSLATE($B757,""en"",O$3)"),"Teleport")</f>
        <v>Teleport</v>
      </c>
      <c r="P757" s="21" t="str">
        <f ca="1">IFERROR(__xludf.DUMMYFUNCTION("GOOGLETRANSLATE($B757,""en"",P$3)"),"Teleport")</f>
        <v>Teleport</v>
      </c>
      <c r="Q757" s="21" t="str">
        <f ca="1">IFERROR(__xludf.DUMMYFUNCTION("GOOGLETRANSLATE($B757,""en"",Q$3)"),"دوربری")</f>
        <v>دوربری</v>
      </c>
      <c r="R757" s="21" t="str">
        <f ca="1">IFERROR(__xludf.DUMMYFUNCTION("GOOGLETRANSLATE($B757,""en"",R$3)"),"טלפורט")</f>
        <v>טלפורט</v>
      </c>
      <c r="S757" s="21" t="str">
        <f ca="1">IFERROR(__xludf.DUMMYFUNCTION("GOOGLETRANSLATE($B757,""en"",S$3)"),"teleport")</f>
        <v>teleport</v>
      </c>
      <c r="T757" s="21" t="str">
        <f ca="1">IFERROR(__xludf.DUMMYFUNCTION("GOOGLETRANSLATE($B757,""en"",T$3)"),"Teleport")</f>
        <v>Teleport</v>
      </c>
      <c r="U757" s="21" t="str">
        <f ca="1">IFERROR(__xludf.DUMMYFUNCTION("GOOGLETRANSLATE($B757,""en"",U$3)"),"النقل الفضائي")</f>
        <v>النقل الفضائي</v>
      </c>
      <c r="V757" s="21" t="str">
        <f ca="1">IFERROR(__xludf.DUMMYFUNCTION("GOOGLETRANSLATE($B757,""en"",V$3)"),"teleport")</f>
        <v>teleport</v>
      </c>
      <c r="W757" s="21" t="str">
        <f ca="1">IFERROR(__xludf.DUMMYFUNCTION("GOOGLETRANSLATE($B757,""en"",W$3)"),"Телепорт")</f>
        <v>Телепорт</v>
      </c>
      <c r="X757" s="21" t="str">
        <f ca="1">IFERROR(__xludf.DUMMYFUNCTION("GOOGLETRANSLATE($B757,""en"",X$3)"),"Teleport")</f>
        <v>Teleport</v>
      </c>
      <c r="Y757" s="21"/>
      <c r="Z757" s="21"/>
    </row>
    <row r="758" spans="1:26" ht="32.25" customHeight="1" x14ac:dyDescent="0.2">
      <c r="A758" s="17" t="s">
        <v>1611</v>
      </c>
      <c r="B758" s="17" t="s">
        <v>1612</v>
      </c>
      <c r="C758" s="21" t="str">
        <f ca="1">IFERROR(__xludf.DUMMYFUNCTION("GOOGLETRANSLATE($B758,""en"",C$3)"),"Aktivieren Teleporter")</f>
        <v>Aktivieren Teleporter</v>
      </c>
      <c r="D758" s="21" t="str">
        <f ca="1">IFERROR(__xludf.DUMMYFUNCTION("GOOGLETRANSLATE($B758,""en"",D$3)"),"teleporter Aktivera")</f>
        <v>teleporter Aktivera</v>
      </c>
      <c r="E758" s="21" t="str">
        <f ca="1">IFERROR(__xludf.DUMMYFUNCTION("GOOGLETRANSLATE($B758,""en"",E$3)"),"teleporter Ativar")</f>
        <v>teleporter Ativar</v>
      </c>
      <c r="F758" s="21" t="str">
        <f ca="1">IFERROR(__xludf.DUMMYFUNCTION("GOOGLETRANSLATE($B758,""en"",F$3)"),"teleporter Ativar")</f>
        <v>teleporter Ativar</v>
      </c>
      <c r="G758" s="21" t="str">
        <f ca="1">IFERROR(__xludf.DUMMYFUNCTION("GOOGLETRANSLATE($B758,""en"",G$3)"),"Activer téléporteur")</f>
        <v>Activer téléporteur</v>
      </c>
      <c r="H758" s="21" t="str">
        <f ca="1">IFERROR(__xludf.DUMMYFUNCTION("GOOGLETRANSLATE($B758,""en"",H$3)"),"teleporter gaitu")</f>
        <v>teleporter gaitu</v>
      </c>
      <c r="I758" s="21" t="str">
        <f ca="1">IFERROR(__xludf.DUMMYFUNCTION("GOOGLETRANSLATE($B758,""en"",I$3)"),"teletransportador Habilitar")</f>
        <v>teletransportador Habilitar</v>
      </c>
      <c r="J758" s="21" t="str">
        <f ca="1">IFERROR(__xludf.DUMMYFUNCTION("GOOGLETRANSLATE($B758,""en"",J$3)"),"Teleporter Enable")</f>
        <v>Teleporter Enable</v>
      </c>
      <c r="K758" s="21" t="str">
        <f ca="1">IFERROR(__xludf.DUMMYFUNCTION("GOOGLETRANSLATE($B758,""en"",K$3)"),"传送师启用")</f>
        <v>传送师启用</v>
      </c>
      <c r="L758" s="21" t="str">
        <f ca="1">IFERROR(__xludf.DUMMYFUNCTION("GOOGLETRANSLATE($B758,""en"",L$3)"),"傳送師啟用")</f>
        <v>傳送師啟用</v>
      </c>
      <c r="M758" s="21" t="str">
        <f ca="1">IFERROR(__xludf.DUMMYFUNCTION("GOOGLETRANSLATE($B758,""en"",M$3)"),"teleporter inschakelen")</f>
        <v>teleporter inschakelen</v>
      </c>
      <c r="N758" s="21" t="str">
        <f ca="1">IFERROR(__xludf.DUMMYFUNCTION("GOOGLETRANSLATE($B758,""en"",N$3)"),"Teleporter Ενεργοποίηση")</f>
        <v>Teleporter Ενεργοποίηση</v>
      </c>
      <c r="O758" s="21" t="str">
        <f ca="1">IFERROR(__xludf.DUMMYFUNCTION("GOOGLETRANSLATE($B758,""en"",O$3)"),"Teleporter Ota")</f>
        <v>Teleporter Ota</v>
      </c>
      <c r="P758" s="21" t="str">
        <f ca="1">IFERROR(__xludf.DUMMYFUNCTION("GOOGLETRANSLATE($B758,""en"",P$3)"),"Teleporter Cumasaigh")</f>
        <v>Teleporter Cumasaigh</v>
      </c>
      <c r="Q758" s="21" t="str">
        <f ca="1">IFERROR(__xludf.DUMMYFUNCTION("GOOGLETRANSLATE($B758,""en"",Q$3)"),"تلهپورتر فعال")</f>
        <v>تلهپورتر فعال</v>
      </c>
      <c r="R758" s="21" t="str">
        <f ca="1">IFERROR(__xludf.DUMMYFUNCTION("GOOGLETRANSLATE($B758,""en"",R$3)"),"טלפורטר אפשר")</f>
        <v>טלפורטר אפשר</v>
      </c>
      <c r="S758" s="21" t="str">
        <f ca="1">IFERROR(__xludf.DUMMYFUNCTION("GOOGLETRANSLATE($B758,""en"",S$3)"),"teleporter Virkja")</f>
        <v>teleporter Virkja</v>
      </c>
      <c r="T758" s="21" t="str">
        <f ca="1">IFERROR(__xludf.DUMMYFUNCTION("GOOGLETRANSLATE($B758,""en"",T$3)"),"teleporter Aktiver")</f>
        <v>teleporter Aktiver</v>
      </c>
      <c r="U758" s="21" t="str">
        <f ca="1">IFERROR(__xludf.DUMMYFUNCTION("GOOGLETRANSLATE($B758,""en"",U$3)"),"التيليبورتر تمكين")</f>
        <v>التيليبورتر تمكين</v>
      </c>
      <c r="V758" s="21" t="str">
        <f ca="1">IFERROR(__xludf.DUMMYFUNCTION("GOOGLETRANSLATE($B758,""en"",V$3)"),"Włącz teleporter")</f>
        <v>Włącz teleporter</v>
      </c>
      <c r="W758" s="21" t="str">
        <f ca="1">IFERROR(__xludf.DUMMYFUNCTION("GOOGLETRANSLATE($B758,""en"",W$3)"),"телепорт Включить")</f>
        <v>телепорт Включить</v>
      </c>
      <c r="X758" s="21" t="str">
        <f ca="1">IFERROR(__xludf.DUMMYFUNCTION("GOOGLETRANSLATE($B758,""en"",X$3)"),"teletransportador Habilitar")</f>
        <v>teletransportador Habilitar</v>
      </c>
      <c r="Y758" s="21"/>
      <c r="Z758" s="21"/>
    </row>
    <row r="759" spans="1:26" ht="32.25" customHeight="1" x14ac:dyDescent="0.2">
      <c r="A759" s="17" t="s">
        <v>1613</v>
      </c>
      <c r="B759" s="17" t="s">
        <v>1614</v>
      </c>
      <c r="C759" s="21" t="str">
        <f ca="1">IFERROR(__xludf.DUMMYFUNCTION("GOOGLETRANSLATE($B759,""en"",C$3)"),"Teleporting")</f>
        <v>Teleporting</v>
      </c>
      <c r="D759" s="21" t="str">
        <f ca="1">IFERROR(__xludf.DUMMYFUNCTION("GOOGLETRANSLATE($B759,""en"",D$3)"),"Teleporting")</f>
        <v>Teleporting</v>
      </c>
      <c r="E759" s="21" t="str">
        <f ca="1">IFERROR(__xludf.DUMMYFUNCTION("GOOGLETRANSLATE($B759,""en"",E$3)"),"teleporting")</f>
        <v>teleporting</v>
      </c>
      <c r="F759" s="21" t="str">
        <f ca="1">IFERROR(__xludf.DUMMYFUNCTION("GOOGLETRANSLATE($B759,""en"",F$3)"),"teleporting")</f>
        <v>teleporting</v>
      </c>
      <c r="G759" s="21" t="str">
        <f ca="1">IFERROR(__xludf.DUMMYFUNCTION("GOOGLETRANSLATE($B759,""en"",G$3)"),"téléportation")</f>
        <v>téléportation</v>
      </c>
      <c r="H759" s="21" t="str">
        <f ca="1">IFERROR(__xludf.DUMMYFUNCTION("GOOGLETRANSLATE($B759,""en"",H$3)"),"aldendu")</f>
        <v>aldendu</v>
      </c>
      <c r="I759" s="21" t="str">
        <f ca="1">IFERROR(__xludf.DUMMYFUNCTION("GOOGLETRANSLATE($B759,""en"",I$3)"),"Teleporting")</f>
        <v>Teleporting</v>
      </c>
      <c r="J759" s="21" t="str">
        <f ca="1">IFERROR(__xludf.DUMMYFUNCTION("GOOGLETRANSLATE($B759,""en"",J$3)"),"teleportuje")</f>
        <v>teleportuje</v>
      </c>
      <c r="K759" s="21" t="str">
        <f ca="1">IFERROR(__xludf.DUMMYFUNCTION("GOOGLETRANSLATE($B759,""en"",K$3)"),"隐形传态")</f>
        <v>隐形传态</v>
      </c>
      <c r="L759" s="21" t="str">
        <f ca="1">IFERROR(__xludf.DUMMYFUNCTION("GOOGLETRANSLATE($B759,""en"",L$3)"),"隱形傳態")</f>
        <v>隱形傳態</v>
      </c>
      <c r="M759" s="21" t="str">
        <f ca="1">IFERROR(__xludf.DUMMYFUNCTION("GOOGLETRANSLATE($B759,""en"",M$3)"),"teleporting")</f>
        <v>teleporting</v>
      </c>
      <c r="N759" s="21" t="str">
        <f ca="1">IFERROR(__xludf.DUMMYFUNCTION("GOOGLETRANSLATE($B759,""en"",N$3)"),"τηλεμεταφορά")</f>
        <v>τηλεμεταφορά</v>
      </c>
      <c r="O759" s="21" t="str">
        <f ca="1">IFERROR(__xludf.DUMMYFUNCTION("GOOGLETRANSLATE($B759,""en"",O$3)"),"teleporting")</f>
        <v>teleporting</v>
      </c>
      <c r="P759" s="21" t="str">
        <f ca="1">IFERROR(__xludf.DUMMYFUNCTION("GOOGLETRANSLATE($B759,""en"",P$3)"),"teleporting")</f>
        <v>teleporting</v>
      </c>
      <c r="Q759" s="21" t="str">
        <f ca="1">IFERROR(__xludf.DUMMYFUNCTION("GOOGLETRANSLATE($B759,""en"",Q$3)"),"از teleporting")</f>
        <v>از teleporting</v>
      </c>
      <c r="R759" s="21" t="str">
        <f ca="1">IFERROR(__xludf.DUMMYFUNCTION("GOOGLETRANSLATE($B759,""en"",R$3)"),"teleporting")</f>
        <v>teleporting</v>
      </c>
      <c r="S759" s="21" t="str">
        <f ca="1">IFERROR(__xludf.DUMMYFUNCTION("GOOGLETRANSLATE($B759,""en"",S$3)"),"teleporting")</f>
        <v>teleporting</v>
      </c>
      <c r="T759" s="21" t="str">
        <f ca="1">IFERROR(__xludf.DUMMYFUNCTION("GOOGLETRANSLATE($B759,""en"",T$3)"),"teleportere")</f>
        <v>teleportere</v>
      </c>
      <c r="U759" s="21" t="str">
        <f ca="1">IFERROR(__xludf.DUMMYFUNCTION("GOOGLETRANSLATE($B759,""en"",U$3)"),"تلبورتينغ")</f>
        <v>تلبورتينغ</v>
      </c>
      <c r="V759" s="21" t="str">
        <f ca="1">IFERROR(__xludf.DUMMYFUNCTION("GOOGLETRANSLATE($B759,""en"",V$3)"),"teleportacji")</f>
        <v>teleportacji</v>
      </c>
      <c r="W759" s="21" t="str">
        <f ca="1">IFERROR(__xludf.DUMMYFUNCTION("GOOGLETRANSLATE($B759,""en"",W$3)"),"телепортации")</f>
        <v>телепортации</v>
      </c>
      <c r="X759" s="21" t="str">
        <f ca="1">IFERROR(__xludf.DUMMYFUNCTION("GOOGLETRANSLATE($B759,""en"",X$3)"),"teleporting")</f>
        <v>teleporting</v>
      </c>
      <c r="Y759" s="21"/>
      <c r="Z759" s="21"/>
    </row>
    <row r="760" spans="1:26" ht="32.25" customHeight="1" x14ac:dyDescent="0.2">
      <c r="A760" s="17" t="s">
        <v>1615</v>
      </c>
      <c r="B760" s="17" t="s">
        <v>1616</v>
      </c>
      <c r="C760" s="21" t="str">
        <f ca="1">IFERROR(__xludf.DUMMYFUNCTION("GOOGLETRANSLATE($B760,""en"",C$3)"),"Nutzungsbedingungen")</f>
        <v>Nutzungsbedingungen</v>
      </c>
      <c r="D760" s="21" t="str">
        <f ca="1">IFERROR(__xludf.DUMMYFUNCTION("GOOGLETRANSLATE($B760,""en"",D$3)"),"Användarvillkor")</f>
        <v>Användarvillkor</v>
      </c>
      <c r="E760" s="21" t="str">
        <f ca="1">IFERROR(__xludf.DUMMYFUNCTION("GOOGLETRANSLATE($B760,""en"",E$3)"),"Termos de serviço")</f>
        <v>Termos de serviço</v>
      </c>
      <c r="F760" s="21" t="str">
        <f ca="1">IFERROR(__xludf.DUMMYFUNCTION("GOOGLETRANSLATE($B760,""en"",F$3)"),"Termos de serviço")</f>
        <v>Termos de serviço</v>
      </c>
      <c r="G760" s="21" t="str">
        <f ca="1">IFERROR(__xludf.DUMMYFUNCTION("GOOGLETRANSLATE($B760,""en"",G$3)"),"Conditions d'utilisation")</f>
        <v>Conditions d'utilisation</v>
      </c>
      <c r="H760" s="21" t="str">
        <f ca="1">IFERROR(__xludf.DUMMYFUNCTION("GOOGLETRANSLATE($B760,""en"",H$3)"),"Zerbitzu-baldintzak")</f>
        <v>Zerbitzu-baldintzak</v>
      </c>
      <c r="I760" s="21" t="str">
        <f ca="1">IFERROR(__xludf.DUMMYFUNCTION("GOOGLETRANSLATE($B760,""en"",I$3)"),"Termes del servei")</f>
        <v>Termes del servei</v>
      </c>
      <c r="J760" s="21" t="str">
        <f ca="1">IFERROR(__xludf.DUMMYFUNCTION("GOOGLETRANSLATE($B760,""en"",J$3)"),"Podmínky služby")</f>
        <v>Podmínky služby</v>
      </c>
      <c r="K760" s="21" t="str">
        <f ca="1">IFERROR(__xludf.DUMMYFUNCTION("GOOGLETRANSLATE($B760,""en"",K$3)"),"服务条款")</f>
        <v>服务条款</v>
      </c>
      <c r="L760" s="21" t="str">
        <f ca="1">IFERROR(__xludf.DUMMYFUNCTION("GOOGLETRANSLATE($B760,""en"",L$3)"),"服務條款")</f>
        <v>服務條款</v>
      </c>
      <c r="M760" s="21" t="str">
        <f ca="1">IFERROR(__xludf.DUMMYFUNCTION("GOOGLETRANSLATE($B760,""en"",M$3)"),"Servicevoorwaarden")</f>
        <v>Servicevoorwaarden</v>
      </c>
      <c r="N760" s="21" t="str">
        <f ca="1">IFERROR(__xludf.DUMMYFUNCTION("GOOGLETRANSLATE($B760,""en"",N$3)"),"Όροι χρήσης")</f>
        <v>Όροι χρήσης</v>
      </c>
      <c r="O760" s="21" t="str">
        <f ca="1">IFERROR(__xludf.DUMMYFUNCTION("GOOGLETRANSLATE($B760,""en"",O$3)"),"Käyttöehdot")</f>
        <v>Käyttöehdot</v>
      </c>
      <c r="P760" s="21" t="str">
        <f ca="1">IFERROR(__xludf.DUMMYFUNCTION("GOOGLETRANSLATE($B760,""en"",P$3)"),"Tearmaí Seirbhís")</f>
        <v>Tearmaí Seirbhís</v>
      </c>
      <c r="Q760" s="21" t="str">
        <f ca="1">IFERROR(__xludf.DUMMYFUNCTION("GOOGLETRANSLATE($B760,""en"",Q$3)"),"شرایط استفاده از خدمات")</f>
        <v>شرایط استفاده از خدمات</v>
      </c>
      <c r="R760" s="21" t="str">
        <f ca="1">IFERROR(__xludf.DUMMYFUNCTION("GOOGLETRANSLATE($B760,""en"",R$3)"),"תנאי השירות")</f>
        <v>תנאי השירות</v>
      </c>
      <c r="S760" s="21" t="str">
        <f ca="1">IFERROR(__xludf.DUMMYFUNCTION("GOOGLETRANSLATE($B760,""en"",S$3)"),"Skilmálar þjónustu")</f>
        <v>Skilmálar þjónustu</v>
      </c>
      <c r="T760" s="21" t="str">
        <f ca="1">IFERROR(__xludf.DUMMYFUNCTION("GOOGLETRANSLATE($B760,""en"",T$3)"),"Vilkår for bruk")</f>
        <v>Vilkår for bruk</v>
      </c>
      <c r="U760" s="21" t="str">
        <f ca="1">IFERROR(__xludf.DUMMYFUNCTION("GOOGLETRANSLATE($B760,""en"",U$3)"),"شروط الخدمة")</f>
        <v>شروط الخدمة</v>
      </c>
      <c r="V760" s="21" t="str">
        <f ca="1">IFERROR(__xludf.DUMMYFUNCTION("GOOGLETRANSLATE($B760,""en"",V$3)"),"Warunki usługi")</f>
        <v>Warunki usługi</v>
      </c>
      <c r="W760" s="21" t="str">
        <f ca="1">IFERROR(__xludf.DUMMYFUNCTION("GOOGLETRANSLATE($B760,""en"",W$3)"),"Условия использования")</f>
        <v>Условия использования</v>
      </c>
      <c r="X760" s="21" t="str">
        <f ca="1">IFERROR(__xludf.DUMMYFUNCTION("GOOGLETRANSLATE($B760,""en"",X$3)"),"Términos de servicio")</f>
        <v>Términos de servicio</v>
      </c>
      <c r="Y760" s="21"/>
      <c r="Z760" s="21"/>
    </row>
    <row r="761" spans="1:26" ht="32.25" customHeight="1" x14ac:dyDescent="0.2">
      <c r="A761" s="17" t="s">
        <v>1617</v>
      </c>
      <c r="B761" s="17" t="s">
        <v>1618</v>
      </c>
      <c r="C761" s="21" t="str">
        <f ca="1">IFERROR(__xludf.DUMMYFUNCTION("GOOGLETRANSLATE($B761,""en"",C$3)"),"Terrain")</f>
        <v>Terrain</v>
      </c>
      <c r="D761" s="21" t="str">
        <f ca="1">IFERROR(__xludf.DUMMYFUNCTION("GOOGLETRANSLATE($B761,""en"",D$3)"),"Terräng")</f>
        <v>Terräng</v>
      </c>
      <c r="E761" s="21" t="str">
        <f ca="1">IFERROR(__xludf.DUMMYFUNCTION("GOOGLETRANSLATE($B761,""en"",E$3)"),"Terreno")</f>
        <v>Terreno</v>
      </c>
      <c r="F761" s="21" t="str">
        <f ca="1">IFERROR(__xludf.DUMMYFUNCTION("GOOGLETRANSLATE($B761,""en"",F$3)"),"Terreno")</f>
        <v>Terreno</v>
      </c>
      <c r="G761" s="21" t="str">
        <f ca="1">IFERROR(__xludf.DUMMYFUNCTION("GOOGLETRANSLATE($B761,""en"",G$3)"),"Terrain")</f>
        <v>Terrain</v>
      </c>
      <c r="H761" s="21" t="str">
        <f ca="1">IFERROR(__xludf.DUMMYFUNCTION("GOOGLETRANSLATE($B761,""en"",H$3)"),"Lur")</f>
        <v>Lur</v>
      </c>
      <c r="I761" s="21" t="str">
        <f ca="1">IFERROR(__xludf.DUMMYFUNCTION("GOOGLETRANSLATE($B761,""en"",I$3)"),"terreny")</f>
        <v>terreny</v>
      </c>
      <c r="J761" s="21" t="str">
        <f ca="1">IFERROR(__xludf.DUMMYFUNCTION("GOOGLETRANSLATE($B761,""en"",J$3)"),"Terén")</f>
        <v>Terén</v>
      </c>
      <c r="K761" s="21" t="str">
        <f ca="1">IFERROR(__xludf.DUMMYFUNCTION("GOOGLETRANSLATE($B761,""en"",K$3)"),"地形")</f>
        <v>地形</v>
      </c>
      <c r="L761" s="21" t="str">
        <f ca="1">IFERROR(__xludf.DUMMYFUNCTION("GOOGLETRANSLATE($B761,""en"",L$3)"),"地形")</f>
        <v>地形</v>
      </c>
      <c r="M761" s="21" t="str">
        <f ca="1">IFERROR(__xludf.DUMMYFUNCTION("GOOGLETRANSLATE($B761,""en"",M$3)"),"Terrein")</f>
        <v>Terrein</v>
      </c>
      <c r="N761" s="21" t="str">
        <f ca="1">IFERROR(__xludf.DUMMYFUNCTION("GOOGLETRANSLATE($B761,""en"",N$3)"),"Εδαφος")</f>
        <v>Εδαφος</v>
      </c>
      <c r="O761" s="21" t="str">
        <f ca="1">IFERROR(__xludf.DUMMYFUNCTION("GOOGLETRANSLATE($B761,""en"",O$3)"),"maasto")</f>
        <v>maasto</v>
      </c>
      <c r="P761" s="21" t="str">
        <f ca="1">IFERROR(__xludf.DUMMYFUNCTION("GOOGLETRANSLATE($B761,""en"",P$3)"),"Tír-raon")</f>
        <v>Tír-raon</v>
      </c>
      <c r="Q761" s="21" t="str">
        <f ca="1">IFERROR(__xludf.DUMMYFUNCTION("GOOGLETRANSLATE($B761,""en"",Q$3)"),"زمین")</f>
        <v>زمین</v>
      </c>
      <c r="R761" s="21" t="str">
        <f ca="1">IFERROR(__xludf.DUMMYFUNCTION("GOOGLETRANSLATE($B761,""en"",R$3)"),"פְּנֵי הַשֵׁטַח")</f>
        <v>פְּנֵי הַשֵׁטַח</v>
      </c>
      <c r="S761" s="21" t="str">
        <f ca="1">IFERROR(__xludf.DUMMYFUNCTION("GOOGLETRANSLATE($B761,""en"",S$3)"),"Landslag")</f>
        <v>Landslag</v>
      </c>
      <c r="T761" s="21" t="str">
        <f ca="1">IFERROR(__xludf.DUMMYFUNCTION("GOOGLETRANSLATE($B761,""en"",T$3)"),"Terreng")</f>
        <v>Terreng</v>
      </c>
      <c r="U761" s="21" t="str">
        <f ca="1">IFERROR(__xludf.DUMMYFUNCTION("GOOGLETRANSLATE($B761,""en"",U$3)"),"تضاريس")</f>
        <v>تضاريس</v>
      </c>
      <c r="V761" s="21" t="str">
        <f ca="1">IFERROR(__xludf.DUMMYFUNCTION("GOOGLETRANSLATE($B761,""en"",V$3)"),"Teren")</f>
        <v>Teren</v>
      </c>
      <c r="W761" s="21" t="str">
        <f ca="1">IFERROR(__xludf.DUMMYFUNCTION("GOOGLETRANSLATE($B761,""en"",W$3)"),"местность")</f>
        <v>местность</v>
      </c>
      <c r="X761" s="21" t="str">
        <f ca="1">IFERROR(__xludf.DUMMYFUNCTION("GOOGLETRANSLATE($B761,""en"",X$3)"),"Terreno")</f>
        <v>Terreno</v>
      </c>
      <c r="Y761" s="21"/>
      <c r="Z761" s="21"/>
    </row>
    <row r="762" spans="1:26" ht="32.25" customHeight="1" x14ac:dyDescent="0.2">
      <c r="A762" s="17" t="s">
        <v>1619</v>
      </c>
      <c r="B762" s="17" t="s">
        <v>1620</v>
      </c>
      <c r="C762" s="21" t="str">
        <f ca="1">IFERROR(__xludf.DUMMYFUNCTION("GOOGLETRANSLATE($B762,""en"",C$3)"),"Test DNS")</f>
        <v>Test DNS</v>
      </c>
      <c r="D762" s="21" t="str">
        <f ca="1">IFERROR(__xludf.DUMMYFUNCTION("GOOGLETRANSLATE($B762,""en"",D$3)"),"testet DNS")</f>
        <v>testet DNS</v>
      </c>
      <c r="E762" s="21" t="str">
        <f ca="1">IFERROR(__xludf.DUMMYFUNCTION("GOOGLETRANSLATE($B762,""en"",E$3)"),"teste DNS")</f>
        <v>teste DNS</v>
      </c>
      <c r="F762" s="21" t="str">
        <f ca="1">IFERROR(__xludf.DUMMYFUNCTION("GOOGLETRANSLATE($B762,""en"",F$3)"),"teste DNS")</f>
        <v>teste DNS</v>
      </c>
      <c r="G762" s="21" t="str">
        <f ca="1">IFERROR(__xludf.DUMMYFUNCTION("GOOGLETRANSLATE($B762,""en"",G$3)"),"test DNS")</f>
        <v>test DNS</v>
      </c>
      <c r="H762" s="21" t="str">
        <f ca="1">IFERROR(__xludf.DUMMYFUNCTION("GOOGLETRANSLATE($B762,""en"",H$3)"),"Test DNS")</f>
        <v>Test DNS</v>
      </c>
      <c r="I762" s="21" t="str">
        <f ca="1">IFERROR(__xludf.DUMMYFUNCTION("GOOGLETRANSLATE($B762,""en"",I$3)"),"prova de DNS")</f>
        <v>prova de DNS</v>
      </c>
      <c r="J762" s="21" t="str">
        <f ca="1">IFERROR(__xludf.DUMMYFUNCTION("GOOGLETRANSLATE($B762,""en"",J$3)"),"Test DNS")</f>
        <v>Test DNS</v>
      </c>
      <c r="K762" s="21" t="str">
        <f ca="1">IFERROR(__xludf.DUMMYFUNCTION("GOOGLETRANSLATE($B762,""en"",K$3)"),"测试DNS")</f>
        <v>测试DNS</v>
      </c>
      <c r="L762" s="21" t="str">
        <f ca="1">IFERROR(__xludf.DUMMYFUNCTION("GOOGLETRANSLATE($B762,""en"",L$3)"),"測試DNS")</f>
        <v>測試DNS</v>
      </c>
      <c r="M762" s="21" t="str">
        <f ca="1">IFERROR(__xludf.DUMMYFUNCTION("GOOGLETRANSLATE($B762,""en"",M$3)"),"Test DNS")</f>
        <v>Test DNS</v>
      </c>
      <c r="N762" s="21" t="str">
        <f ca="1">IFERROR(__xludf.DUMMYFUNCTION("GOOGLETRANSLATE($B762,""en"",N$3)"),"δοκιμή DNS")</f>
        <v>δοκιμή DNS</v>
      </c>
      <c r="O762" s="21" t="str">
        <f ca="1">IFERROR(__xludf.DUMMYFUNCTION("GOOGLETRANSLATE($B762,""en"",O$3)"),"testi DNS")</f>
        <v>testi DNS</v>
      </c>
      <c r="P762" s="21" t="str">
        <f ca="1">IFERROR(__xludf.DUMMYFUNCTION("GOOGLETRANSLATE($B762,""en"",P$3)"),"tástáil DNS")</f>
        <v>tástáil DNS</v>
      </c>
      <c r="Q762" s="21" t="str">
        <f ca="1">IFERROR(__xludf.DUMMYFUNCTION("GOOGLETRANSLATE($B762,""en"",Q$3)"),"تست دی ان اس")</f>
        <v>تست دی ان اس</v>
      </c>
      <c r="R762" s="21" t="str">
        <f ca="1">IFERROR(__xludf.DUMMYFUNCTION("GOOGLETRANSLATE($B762,""en"",R$3)"),"מבחן ה- DNS")</f>
        <v>מבחן ה- DNS</v>
      </c>
      <c r="S762" s="21" t="str">
        <f ca="1">IFERROR(__xludf.DUMMYFUNCTION("GOOGLETRANSLATE($B762,""en"",S$3)"),"próf DNS")</f>
        <v>próf DNS</v>
      </c>
      <c r="T762" s="21" t="str">
        <f ca="1">IFERROR(__xludf.DUMMYFUNCTION("GOOGLETRANSLATE($B762,""en"",T$3)"),"test DNS")</f>
        <v>test DNS</v>
      </c>
      <c r="U762" s="21" t="str">
        <f ca="1">IFERROR(__xludf.DUMMYFUNCTION("GOOGLETRANSLATE($B762,""en"",U$3)"),"اختبار DNS")</f>
        <v>اختبار DNS</v>
      </c>
      <c r="V762" s="21" t="str">
        <f ca="1">IFERROR(__xludf.DUMMYFUNCTION("GOOGLETRANSLATE($B762,""en"",V$3)"),"Test DNS")</f>
        <v>Test DNS</v>
      </c>
      <c r="W762" s="21" t="str">
        <f ca="1">IFERROR(__xludf.DUMMYFUNCTION("GOOGLETRANSLATE($B762,""en"",W$3)"),"Тест DNS")</f>
        <v>Тест DNS</v>
      </c>
      <c r="X762" s="21" t="str">
        <f ca="1">IFERROR(__xludf.DUMMYFUNCTION("GOOGLETRANSLATE($B762,""en"",X$3)"),"prueba de DNS")</f>
        <v>prueba de DNS</v>
      </c>
      <c r="Y762" s="21"/>
      <c r="Z762" s="21"/>
    </row>
    <row r="763" spans="1:26" ht="32.25" customHeight="1" x14ac:dyDescent="0.2">
      <c r="A763" s="17" t="s">
        <v>1621</v>
      </c>
      <c r="B763" s="17" t="s">
        <v>1622</v>
      </c>
      <c r="C763" s="21" t="str">
        <f ca="1">IFERROR(__xludf.DUMMYFUNCTION("GOOGLETRANSLATE($B763,""en"",C$3)"),"Theme Set Schwarz")</f>
        <v>Theme Set Schwarz</v>
      </c>
      <c r="D763" s="21" t="str">
        <f ca="1">IFERROR(__xludf.DUMMYFUNCTION("GOOGLETRANSLATE($B763,""en"",D$3)"),"Tema set Black")</f>
        <v>Tema set Black</v>
      </c>
      <c r="E763" s="21" t="str">
        <f ca="1">IFERROR(__xludf.DUMMYFUNCTION("GOOGLETRANSLATE($B763,""en"",E$3)"),"set tema to Black")</f>
        <v>set tema to Black</v>
      </c>
      <c r="F763" s="21" t="str">
        <f ca="1">IFERROR(__xludf.DUMMYFUNCTION("GOOGLETRANSLATE($B763,""en"",F$3)"),"set tema to Black")</f>
        <v>set tema to Black</v>
      </c>
      <c r="G763" s="21" t="str">
        <f ca="1">IFERROR(__xludf.DUMMYFUNCTION("GOOGLETRANSLATE($B763,""en"",G$3)"),"jeu Thème Black")</f>
        <v>jeu Thème Black</v>
      </c>
      <c r="H763" s="21" t="str">
        <f ca="1">IFERROR(__xludf.DUMMYFUNCTION("GOOGLETRANSLATE($B763,""en"",H$3)"),"Gaia Black to set")</f>
        <v>Gaia Black to set</v>
      </c>
      <c r="I763" s="21" t="str">
        <f ca="1">IFERROR(__xludf.DUMMYFUNCTION("GOOGLETRANSLATE($B763,""en"",I$3)"),"Establir tema de Negre")</f>
        <v>Establir tema de Negre</v>
      </c>
      <c r="J763" s="21" t="str">
        <f ca="1">IFERROR(__xludf.DUMMYFUNCTION("GOOGLETRANSLATE($B763,""en"",J$3)"),"Téma nastavena na černou")</f>
        <v>Téma nastavena na černou</v>
      </c>
      <c r="K763" s="21" t="str">
        <f ca="1">IFERROR(__xludf.DUMMYFUNCTION("GOOGLETRANSLATE($B763,""en"",K$3)"),"主题设置为黑色")</f>
        <v>主题设置为黑色</v>
      </c>
      <c r="L763" s="21" t="str">
        <f ca="1">IFERROR(__xludf.DUMMYFUNCTION("GOOGLETRANSLATE($B763,""en"",L$3)"),"主題設置為黑色")</f>
        <v>主題設置為黑色</v>
      </c>
      <c r="M763" s="21" t="str">
        <f ca="1">IFERROR(__xludf.DUMMYFUNCTION("GOOGLETRANSLATE($B763,""en"",M$3)"),"Thema set to Black")</f>
        <v>Thema set to Black</v>
      </c>
      <c r="N763" s="21" t="str">
        <f ca="1">IFERROR(__xludf.DUMMYFUNCTION("GOOGLETRANSLATE($B763,""en"",N$3)"),"Θέμα σύνολο με μαύρο")</f>
        <v>Θέμα σύνολο με μαύρο</v>
      </c>
      <c r="O763" s="21" t="str">
        <f ca="1">IFERROR(__xludf.DUMMYFUNCTION("GOOGLETRANSLATE($B763,""en"",O$3)"),"Teema setti Black")</f>
        <v>Teema setti Black</v>
      </c>
      <c r="P763" s="21" t="str">
        <f ca="1">IFERROR(__xludf.DUMMYFUNCTION("GOOGLETRANSLATE($B763,""en"",P$3)"),"leagtar Téama go Dubh")</f>
        <v>leagtar Téama go Dubh</v>
      </c>
      <c r="Q763" s="21" t="str">
        <f ca="1">IFERROR(__xludf.DUMMYFUNCTION("GOOGLETRANSLATE($B763,""en"",Q$3)"),"مجموعه تم برای سیاه")</f>
        <v>مجموعه تم برای سیاه</v>
      </c>
      <c r="R763" s="21" t="str">
        <f ca="1">IFERROR(__xludf.DUMMYFUNCTION("GOOGLETRANSLATE($B763,""en"",R$3)"),"סט Theme to Black")</f>
        <v>סט Theme to Black</v>
      </c>
      <c r="S763" s="21" t="str">
        <f ca="1">IFERROR(__xludf.DUMMYFUNCTION("GOOGLETRANSLATE($B763,""en"",S$3)"),"Þema sett í Black")</f>
        <v>Þema sett í Black</v>
      </c>
      <c r="T763" s="21" t="str">
        <f ca="1">IFERROR(__xludf.DUMMYFUNCTION("GOOGLETRANSLATE($B763,""en"",T$3)"),"Tema satt til Sort")</f>
        <v>Tema satt til Sort</v>
      </c>
      <c r="U763" s="21" t="str">
        <f ca="1">IFERROR(__xludf.DUMMYFUNCTION("GOOGLETRANSLATE($B763,""en"",U$3)"),"موضوع تعيين إلى Black")</f>
        <v>موضوع تعيين إلى Black</v>
      </c>
      <c r="V763" s="21" t="str">
        <f ca="1">IFERROR(__xludf.DUMMYFUNCTION("GOOGLETRANSLATE($B763,""en"",V$3)"),"Motyw zestaw do czerni")</f>
        <v>Motyw zestaw do czerni</v>
      </c>
      <c r="W763" s="21" t="str">
        <f ca="1">IFERROR(__xludf.DUMMYFUNCTION("GOOGLETRANSLATE($B763,""en"",W$3)"),"Тема набор Блэку")</f>
        <v>Тема набор Блэку</v>
      </c>
      <c r="X763" s="21" t="str">
        <f ca="1">IFERROR(__xludf.DUMMYFUNCTION("GOOGLETRANSLATE($B763,""en"",X$3)"),"Establecer tema de Negro")</f>
        <v>Establecer tema de Negro</v>
      </c>
      <c r="Y763" s="21"/>
      <c r="Z763" s="21"/>
    </row>
    <row r="764" spans="1:26" ht="32.25" customHeight="1" x14ac:dyDescent="0.2">
      <c r="A764" s="17" t="s">
        <v>1623</v>
      </c>
      <c r="B764" s="17" t="s">
        <v>1624</v>
      </c>
      <c r="C764" s="21" t="str">
        <f ca="1">IFERROR(__xludf.DUMMYFUNCTION("GOOGLETRANSLATE($B764,""en"",C$3)"),"Theme Set Benutzerdefinierte")</f>
        <v>Theme Set Benutzerdefinierte</v>
      </c>
      <c r="D764" s="21" t="str">
        <f ca="1">IFERROR(__xludf.DUMMYFUNCTION("GOOGLETRANSLATE($B764,""en"",D$3)"),"Tema set till Custom")</f>
        <v>Tema set till Custom</v>
      </c>
      <c r="E764" s="21" t="str">
        <f ca="1">IFERROR(__xludf.DUMMYFUNCTION("GOOGLETRANSLATE($B764,""en"",E$3)"),"set tema personalizado")</f>
        <v>set tema personalizado</v>
      </c>
      <c r="F764" s="21" t="str">
        <f ca="1">IFERROR(__xludf.DUMMYFUNCTION("GOOGLETRANSLATE($B764,""en"",F$3)"),"set tema personalizado")</f>
        <v>set tema personalizado</v>
      </c>
      <c r="G764" s="21" t="str">
        <f ca="1">IFERROR(__xludf.DUMMYFUNCTION("GOOGLETRANSLATE($B764,""en"",G$3)"),"jeu Thème Personnalisé")</f>
        <v>jeu Thème Personnalisé</v>
      </c>
      <c r="H764" s="21" t="str">
        <f ca="1">IFERROR(__xludf.DUMMYFUNCTION("GOOGLETRANSLATE($B764,""en"",H$3)"),"Gaia pertsonalizatua multzo")</f>
        <v>Gaia pertsonalizatua multzo</v>
      </c>
      <c r="I764" s="21" t="str">
        <f ca="1">IFERROR(__xludf.DUMMYFUNCTION("GOOGLETRANSLATE($B764,""en"",I$3)"),"Establir tema a Personalitzat")</f>
        <v>Establir tema a Personalitzat</v>
      </c>
      <c r="J764" s="21" t="str">
        <f ca="1">IFERROR(__xludf.DUMMYFUNCTION("GOOGLETRANSLATE($B764,""en"",J$3)"),"Téma Vlastní nastavení")</f>
        <v>Téma Vlastní nastavení</v>
      </c>
      <c r="K764" s="21" t="str">
        <f ca="1">IFERROR(__xludf.DUMMYFUNCTION("GOOGLETRANSLATE($B764,""en"",K$3)"),"主题设置为自定义")</f>
        <v>主题设置为自定义</v>
      </c>
      <c r="L764" s="21" t="str">
        <f ca="1">IFERROR(__xludf.DUMMYFUNCTION("GOOGLETRANSLATE($B764,""en"",L$3)"),"主題設置為自定義")</f>
        <v>主題設置為自定義</v>
      </c>
      <c r="M764" s="21" t="str">
        <f ca="1">IFERROR(__xludf.DUMMYFUNCTION("GOOGLETRANSLATE($B764,""en"",M$3)"),"Thema ingesteld op Custom")</f>
        <v>Thema ingesteld op Custom</v>
      </c>
      <c r="N764" s="21" t="str">
        <f ca="1">IFERROR(__xludf.DUMMYFUNCTION("GOOGLETRANSLATE($B764,""en"",N$3)"),"Θέμα σύνολο συνήθειας")</f>
        <v>Θέμα σύνολο συνήθειας</v>
      </c>
      <c r="O764" s="21" t="str">
        <f ca="1">IFERROR(__xludf.DUMMYFUNCTION("GOOGLETRANSLATE($B764,""en"",O$3)"),"Teema asetuksena")</f>
        <v>Teema asetuksena</v>
      </c>
      <c r="P764" s="21" t="str">
        <f ca="1">IFERROR(__xludf.DUMMYFUNCTION("GOOGLETRANSLATE($B764,""en"",P$3)"),"leagtar Téama go Saincheaptha")</f>
        <v>leagtar Téama go Saincheaptha</v>
      </c>
      <c r="Q764" s="21" t="str">
        <f ca="1">IFERROR(__xludf.DUMMYFUNCTION("GOOGLETRANSLATE($B764,""en"",Q$3)"),"مجموعه تم برای سفارشی")</f>
        <v>مجموعه تم برای سفارشی</v>
      </c>
      <c r="R764" s="21" t="str">
        <f ca="1">IFERROR(__xludf.DUMMYFUNCTION("GOOGLETRANSLATE($B764,""en"",R$3)"),"הגדרת עיצוב מותאם אישית")</f>
        <v>הגדרת עיצוב מותאם אישית</v>
      </c>
      <c r="S764" s="21" t="str">
        <f ca="1">IFERROR(__xludf.DUMMYFUNCTION("GOOGLETRANSLATE($B764,""en"",S$3)"),"Þema stillt á valmöguleika")</f>
        <v>Þema stillt á valmöguleika</v>
      </c>
      <c r="T764" s="21" t="str">
        <f ca="1">IFERROR(__xludf.DUMMYFUNCTION("GOOGLETRANSLATE($B764,""en"",T$3)"),"Tema satt til Custom")</f>
        <v>Tema satt til Custom</v>
      </c>
      <c r="U764" s="21" t="str">
        <f ca="1">IFERROR(__xludf.DUMMYFUNCTION("GOOGLETRANSLATE($B764,""en"",U$3)"),"موضوع تعيين إلى مخصص")</f>
        <v>موضوع تعيين إلى مخصص</v>
      </c>
      <c r="V764" s="21" t="str">
        <f ca="1">IFERROR(__xludf.DUMMYFUNCTION("GOOGLETRANSLATE($B764,""en"",V$3)"),"Motyw zestaw do Niestandardowy")</f>
        <v>Motyw zestaw do Niestandardowy</v>
      </c>
      <c r="W764" s="21" t="str">
        <f ca="1">IFERROR(__xludf.DUMMYFUNCTION("GOOGLETRANSLATE($B764,""en"",W$3)"),"Тема набор для Настраиваемого")</f>
        <v>Тема набор для Настраиваемого</v>
      </c>
      <c r="X764" s="21" t="str">
        <f ca="1">IFERROR(__xludf.DUMMYFUNCTION("GOOGLETRANSLATE($B764,""en"",X$3)"),"Establecer tema a Personalizado")</f>
        <v>Establecer tema a Personalizado</v>
      </c>
      <c r="Y764" s="21"/>
      <c r="Z764" s="21"/>
    </row>
    <row r="765" spans="1:26" ht="32.25" customHeight="1" x14ac:dyDescent="0.2">
      <c r="A765" s="17" t="s">
        <v>1625</v>
      </c>
      <c r="B765" s="17" t="s">
        <v>1626</v>
      </c>
      <c r="C765" s="21" t="str">
        <f ca="1">IFERROR(__xludf.DUMMYFUNCTION("GOOGLETRANSLATE($B765,""en"",C$3)"),"Theme-Set Weiß")</f>
        <v>Theme-Set Weiß</v>
      </c>
      <c r="D765" s="21" t="str">
        <f ca="1">IFERROR(__xludf.DUMMYFUNCTION("GOOGLETRANSLATE($B765,""en"",D$3)"),"Tema set till White")</f>
        <v>Tema set till White</v>
      </c>
      <c r="E765" s="21" t="str">
        <f ca="1">IFERROR(__xludf.DUMMYFUNCTION("GOOGLETRANSLATE($B765,""en"",E$3)"),"set tema Branco")</f>
        <v>set tema Branco</v>
      </c>
      <c r="F765" s="21" t="str">
        <f ca="1">IFERROR(__xludf.DUMMYFUNCTION("GOOGLETRANSLATE($B765,""en"",F$3)"),"set tema Branco")</f>
        <v>set tema Branco</v>
      </c>
      <c r="G765" s="21" t="str">
        <f ca="1">IFERROR(__xludf.DUMMYFUNCTION("GOOGLETRANSLATE($B765,""en"",G$3)"),"ensemble thématique à blanc")</f>
        <v>ensemble thématique à blanc</v>
      </c>
      <c r="H765" s="21" t="str">
        <f ca="1">IFERROR(__xludf.DUMMYFUNCTION("GOOGLETRANSLATE($B765,""en"",H$3)"),"Gaia White multzo")</f>
        <v>Gaia White multzo</v>
      </c>
      <c r="I765" s="21" t="str">
        <f ca="1">IFERROR(__xludf.DUMMYFUNCTION("GOOGLETRANSLATE($B765,""en"",I$3)"),"Establir tema a White")</f>
        <v>Establir tema a White</v>
      </c>
      <c r="J765" s="21" t="str">
        <f ca="1">IFERROR(__xludf.DUMMYFUNCTION("GOOGLETRANSLATE($B765,""en"",J$3)"),"Téma set na bílém")</f>
        <v>Téma set na bílém</v>
      </c>
      <c r="K765" s="21" t="str">
        <f ca="1">IFERROR(__xludf.DUMMYFUNCTION("GOOGLETRANSLATE($B765,""en"",K$3)"),"主题设置为白色")</f>
        <v>主题设置为白色</v>
      </c>
      <c r="L765" s="21" t="str">
        <f ca="1">IFERROR(__xludf.DUMMYFUNCTION("GOOGLETRANSLATE($B765,""en"",L$3)"),"主題設置為白色")</f>
        <v>主題設置為白色</v>
      </c>
      <c r="M765" s="21" t="str">
        <f ca="1">IFERROR(__xludf.DUMMYFUNCTION("GOOGLETRANSLATE($B765,""en"",M$3)"),"Thema set naar White")</f>
        <v>Thema set naar White</v>
      </c>
      <c r="N765" s="21" t="str">
        <f ca="1">IFERROR(__xludf.DUMMYFUNCTION("GOOGLETRANSLATE($B765,""en"",N$3)"),"Θέμα σύνολο της Λευκής")</f>
        <v>Θέμα σύνολο της Λευκής</v>
      </c>
      <c r="O765" s="21" t="str">
        <f ca="1">IFERROR(__xludf.DUMMYFUNCTION("GOOGLETRANSLATE($B765,""en"",O$3)"),"Teema asetettu White")</f>
        <v>Teema asetettu White</v>
      </c>
      <c r="P765" s="21" t="str">
        <f ca="1">IFERROR(__xludf.DUMMYFUNCTION("GOOGLETRANSLATE($B765,""en"",P$3)"),"leagtar Téama go White")</f>
        <v>leagtar Téama go White</v>
      </c>
      <c r="Q765" s="21" t="str">
        <f ca="1">IFERROR(__xludf.DUMMYFUNCTION("GOOGLETRANSLATE($B765,""en"",Q$3)"),"مجموعه تم برای سفید")</f>
        <v>مجموعه تم برای سفید</v>
      </c>
      <c r="R765" s="21" t="str">
        <f ca="1">IFERROR(__xludf.DUMMYFUNCTION("GOOGLETRANSLATE($B765,""en"",R$3)"),"סט Theme ל White")</f>
        <v>סט Theme ל White</v>
      </c>
      <c r="S765" s="21" t="str">
        <f ca="1">IFERROR(__xludf.DUMMYFUNCTION("GOOGLETRANSLATE($B765,""en"",S$3)"),"Þema stillt á White")</f>
        <v>Þema stillt á White</v>
      </c>
      <c r="T765" s="21" t="str">
        <f ca="1">IFERROR(__xludf.DUMMYFUNCTION("GOOGLETRANSLATE($B765,""en"",T$3)"),"Tema sett til White")</f>
        <v>Tema sett til White</v>
      </c>
      <c r="U765" s="21" t="str">
        <f ca="1">IFERROR(__xludf.DUMMYFUNCTION("GOOGLETRANSLATE($B765,""en"",U$3)"),"موضوع تعيين إلى الأبيض")</f>
        <v>موضوع تعيين إلى الأبيض</v>
      </c>
      <c r="V765" s="21" t="str">
        <f ca="1">IFERROR(__xludf.DUMMYFUNCTION("GOOGLETRANSLATE($B765,""en"",V$3)"),"Motyw zestaw do Białej")</f>
        <v>Motyw zestaw do Białej</v>
      </c>
      <c r="W765" s="21" t="str">
        <f ca="1">IFERROR(__xludf.DUMMYFUNCTION("GOOGLETRANSLATE($B765,""en"",W$3)"),"Тема набор Уайт")</f>
        <v>Тема набор Уайт</v>
      </c>
      <c r="X765" s="21" t="str">
        <f ca="1">IFERROR(__xludf.DUMMYFUNCTION("GOOGLETRANSLATE($B765,""en"",X$3)"),"Establecer tema a White")</f>
        <v>Establecer tema a White</v>
      </c>
      <c r="Y765" s="21"/>
      <c r="Z765" s="21"/>
    </row>
    <row r="766" spans="1:26" ht="32.25" customHeight="1" x14ac:dyDescent="0.2">
      <c r="A766" s="17" t="s">
        <v>1627</v>
      </c>
      <c r="B766" s="17" t="s">
        <v>1628</v>
      </c>
      <c r="C766" s="21" t="str">
        <f ca="1">IFERROR(__xludf.DUMMYFUNCTION("GOOGLETRANSLATE($B766,""en"",C$3)"),"Thema:")</f>
        <v>Thema:</v>
      </c>
      <c r="D766" s="21" t="str">
        <f ca="1">IFERROR(__xludf.DUMMYFUNCTION("GOOGLETRANSLATE($B766,""en"",D$3)"),"Tema:")</f>
        <v>Tema:</v>
      </c>
      <c r="E766" s="21" t="str">
        <f ca="1">IFERROR(__xludf.DUMMYFUNCTION("GOOGLETRANSLATE($B766,""en"",E$3)"),"Tema:")</f>
        <v>Tema:</v>
      </c>
      <c r="F766" s="21" t="str">
        <f ca="1">IFERROR(__xludf.DUMMYFUNCTION("GOOGLETRANSLATE($B766,""en"",F$3)"),"Tema:")</f>
        <v>Tema:</v>
      </c>
      <c r="G766" s="21" t="str">
        <f ca="1">IFERROR(__xludf.DUMMYFUNCTION("GOOGLETRANSLATE($B766,""en"",G$3)"),"Thème:")</f>
        <v>Thème:</v>
      </c>
      <c r="H766" s="21" t="str">
        <f ca="1">IFERROR(__xludf.DUMMYFUNCTION("GOOGLETRANSLATE($B766,""en"",H$3)"),"Gaia:")</f>
        <v>Gaia:</v>
      </c>
      <c r="I766" s="21" t="str">
        <f ca="1">IFERROR(__xludf.DUMMYFUNCTION("GOOGLETRANSLATE($B766,""en"",I$3)"),"tema:")</f>
        <v>tema:</v>
      </c>
      <c r="J766" s="21" t="str">
        <f ca="1">IFERROR(__xludf.DUMMYFUNCTION("GOOGLETRANSLATE($B766,""en"",J$3)"),"Téma:")</f>
        <v>Téma:</v>
      </c>
      <c r="K766" s="21" t="str">
        <f ca="1">IFERROR(__xludf.DUMMYFUNCTION("GOOGLETRANSLATE($B766,""en"",K$3)"),"主题：")</f>
        <v>主题：</v>
      </c>
      <c r="L766" s="21" t="str">
        <f ca="1">IFERROR(__xludf.DUMMYFUNCTION("GOOGLETRANSLATE($B766,""en"",L$3)"),"主題：")</f>
        <v>主題：</v>
      </c>
      <c r="M766" s="21" t="str">
        <f ca="1">IFERROR(__xludf.DUMMYFUNCTION("GOOGLETRANSLATE($B766,""en"",M$3)"),"Thema:")</f>
        <v>Thema:</v>
      </c>
      <c r="N766" s="21" t="str">
        <f ca="1">IFERROR(__xludf.DUMMYFUNCTION("GOOGLETRANSLATE($B766,""en"",N$3)"),"Θέμα:")</f>
        <v>Θέμα:</v>
      </c>
      <c r="O766" s="21" t="str">
        <f ca="1">IFERROR(__xludf.DUMMYFUNCTION("GOOGLETRANSLATE($B766,""en"",O$3)"),"Teema:")</f>
        <v>Teema:</v>
      </c>
      <c r="P766" s="21" t="str">
        <f ca="1">IFERROR(__xludf.DUMMYFUNCTION("GOOGLETRANSLATE($B766,""en"",P$3)"),"Téama:")</f>
        <v>Téama:</v>
      </c>
      <c r="Q766" s="21" t="str">
        <f ca="1">IFERROR(__xludf.DUMMYFUNCTION("GOOGLETRANSLATE($B766,""en"",Q$3)"),"موضوع:")</f>
        <v>موضوع:</v>
      </c>
      <c r="R766" s="21" t="str">
        <f ca="1">IFERROR(__xludf.DUMMYFUNCTION("GOOGLETRANSLATE($B766,""en"",R$3)"),"נושא:")</f>
        <v>נושא:</v>
      </c>
      <c r="S766" s="21" t="str">
        <f ca="1">IFERROR(__xludf.DUMMYFUNCTION("GOOGLETRANSLATE($B766,""en"",S$3)"),"Þema:")</f>
        <v>Þema:</v>
      </c>
      <c r="T766" s="21" t="str">
        <f ca="1">IFERROR(__xludf.DUMMYFUNCTION("GOOGLETRANSLATE($B766,""en"",T$3)"),"Tema:")</f>
        <v>Tema:</v>
      </c>
      <c r="U766" s="21" t="str">
        <f ca="1">IFERROR(__xludf.DUMMYFUNCTION("GOOGLETRANSLATE($B766,""en"",U$3)"),"موضوع:")</f>
        <v>موضوع:</v>
      </c>
      <c r="V766" s="21" t="str">
        <f ca="1">IFERROR(__xludf.DUMMYFUNCTION("GOOGLETRANSLATE($B766,""en"",V$3)"),"Motyw:")</f>
        <v>Motyw:</v>
      </c>
      <c r="W766" s="21" t="str">
        <f ca="1">IFERROR(__xludf.DUMMYFUNCTION("GOOGLETRANSLATE($B766,""en"",W$3)"),"тема:")</f>
        <v>тема:</v>
      </c>
      <c r="X766" s="21" t="str">
        <f ca="1">IFERROR(__xludf.DUMMYFUNCTION("GOOGLETRANSLATE($B766,""en"",X$3)"),"Tema:")</f>
        <v>Tema:</v>
      </c>
      <c r="Y766" s="21"/>
      <c r="Z766" s="21"/>
    </row>
    <row r="767" spans="1:26" ht="32.25" customHeight="1" x14ac:dyDescent="0.2">
      <c r="A767" s="17" t="s">
        <v>1629</v>
      </c>
      <c r="B767" s="17" t="s">
        <v>1630</v>
      </c>
      <c r="C767" s="21" t="str">
        <f ca="1">IFERROR(__xludf.DUMMYFUNCTION("GOOGLETRANSLATE($B767,""en"",C$3)"),"Dies verschiebt alle Regionen so die gewählte Region bei 1000,1000 ist die Karte zu passen. Vorgehen?")</f>
        <v>Dies verschiebt alle Regionen so die gewählte Region bei 1000,1000 ist die Karte zu passen. Vorgehen?</v>
      </c>
      <c r="D767" s="21" t="str">
        <f ca="1">IFERROR(__xludf.DUMMYFUNCTION("GOOGLETRANSLATE($B767,""en"",D$3)"),"Detta flyttar alla regioner så valda regionen är vid 1000,1000 att passa kartan. Fortsätt?")</f>
        <v>Detta flyttar alla regioner så valda regionen är vid 1000,1000 att passa kartan. Fortsätt?</v>
      </c>
      <c r="E767" s="21" t="str">
        <f ca="1">IFERROR(__xludf.DUMMYFUNCTION("GOOGLETRANSLATE($B767,""en"",E$3)"),"Isso move todas as regiões para que a região escolhida está em 1000,1000 para se ajustar ao mapa. Continuar?")</f>
        <v>Isso move todas as regiões para que a região escolhida está em 1000,1000 para se ajustar ao mapa. Continuar?</v>
      </c>
      <c r="F767" s="21" t="str">
        <f ca="1">IFERROR(__xludf.DUMMYFUNCTION("GOOGLETRANSLATE($B767,""en"",F$3)"),"Isso move todas as regiões para que a região escolhida está em 1000,1000 para se ajustar ao mapa. Continuar?")</f>
        <v>Isso move todas as regiões para que a região escolhida está em 1000,1000 para se ajustar ao mapa. Continuar?</v>
      </c>
      <c r="G767" s="21" t="str">
        <f ca="1">IFERROR(__xludf.DUMMYFUNCTION("GOOGLETRANSLATE($B767,""en"",G$3)"),"Cela déplace toutes les régions afin que la région choisie est à 1000,1000 pour adapter la carte. Procéder?")</f>
        <v>Cela déplace toutes les régions afin que la région choisie est à 1000,1000 pour adapter la carte. Procéder?</v>
      </c>
      <c r="H767" s="21" t="str">
        <f ca="1">IFERROR(__xludf.DUMMYFUNCTION("GOOGLETRANSLATE($B767,""en"",H$3)"),"Hau mugitzen eskualde guztietan hain aukeratutako eskualde 1000,1000 da maparen egokitzeko. Jarraitu?")</f>
        <v>Hau mugitzen eskualde guztietan hain aukeratutako eskualde 1000,1000 da maparen egokitzeko. Jarraitu?</v>
      </c>
      <c r="I767" s="21" t="str">
        <f ca="1">IFERROR(__xludf.DUMMYFUNCTION("GOOGLETRANSLATE($B767,""en"",I$3)"),"Això mou totes les regions de manera que la regió escollida està en 1000,1000 per encaixar el mapa. Procedir?")</f>
        <v>Això mou totes les regions de manera que la regió escollida està en 1000,1000 per encaixar el mapa. Procedir?</v>
      </c>
      <c r="J767" s="21" t="str">
        <f ca="1">IFERROR(__xludf.DUMMYFUNCTION("GOOGLETRANSLATE($B767,""en"",J$3)"),"To přesune všechny regiony, aby zvolený region je 1000,1000, aby se vešly do mapy. Pokračovat?")</f>
        <v>To přesune všechny regiony, aby zvolený region je 1000,1000, aby se vešly do mapy. Pokračovat?</v>
      </c>
      <c r="K767" s="21" t="str">
        <f ca="1">IFERROR(__xludf.DUMMYFUNCTION("GOOGLETRANSLATE($B767,""en"",K$3)"),"这使所有的区域，从而所选择的区域是在1000,1000，以适应地图。继续？")</f>
        <v>这使所有的区域，从而所选择的区域是在1000,1000，以适应地图。继续？</v>
      </c>
      <c r="L767" s="21" t="str">
        <f ca="1">IFERROR(__xludf.DUMMYFUNCTION("GOOGLETRANSLATE($B767,""en"",L$3)"),"這使所有的區域，從而所選擇的區域是在1000,1000，以適應地圖。繼續？")</f>
        <v>這使所有的區域，從而所選擇的區域是在1000,1000，以適應地圖。繼續？</v>
      </c>
      <c r="M767" s="21" t="str">
        <f ca="1">IFERROR(__xludf.DUMMYFUNCTION("GOOGLETRANSLATE($B767,""en"",M$3)"),"Dit brengt alle regio's, zodat de gekozen regio bij 1000,1000 om de kaart te passen. Doorgaan?")</f>
        <v>Dit brengt alle regio's, zodat de gekozen regio bij 1000,1000 om de kaart te passen. Doorgaan?</v>
      </c>
      <c r="N767" s="21" t="str">
        <f ca="1">IFERROR(__xludf.DUMMYFUNCTION("GOOGLETRANSLATE($B767,""en"",N$3)"),"Αυτό μετακινεί όλες τις περιφέρειες, ώστε η επιλεγμένη περιοχή είναι 1000,1000 για να χωρέσει το χάρτη. Προχωρώ?")</f>
        <v>Αυτό μετακινεί όλες τις περιφέρειες, ώστε η επιλεγμένη περιοχή είναι 1000,1000 για να χωρέσει το χάρτη. Προχωρώ?</v>
      </c>
      <c r="O767" s="21" t="str">
        <f ca="1">IFERROR(__xludf.DUMMYFUNCTION("GOOGLETRANSLATE($B767,""en"",O$3)"),"Tämä siirtää kaikki alueet joten valittu alue on 1000,1000 sopivaksi kartan. Edetä?")</f>
        <v>Tämä siirtää kaikki alueet joten valittu alue on 1000,1000 sopivaksi kartan. Edetä?</v>
      </c>
      <c r="P767" s="21" t="str">
        <f ca="1">IFERROR(__xludf.DUMMYFUNCTION("GOOGLETRANSLATE($B767,""en"",P$3)"),"Gluaiseann sé seo gach réigiún mar sin tá an réigiún roghnaithe ag 1000,1000 a d'oirfeadh an léarscáil. Lean ar aghaidh?")</f>
        <v>Gluaiseann sé seo gach réigiún mar sin tá an réigiún roghnaithe ag 1000,1000 a d'oirfeadh an léarscáil. Lean ar aghaidh?</v>
      </c>
      <c r="Q767" s="21" t="str">
        <f ca="1">IFERROR(__xludf.DUMMYFUNCTION("GOOGLETRANSLATE($B767,""en"",Q$3)"),"این حرکت می کند تمام مناطق بنابراین منطقه انتخاب شده است در 1000،1000 به تناسب روی نقشه. ادامه می دهید؟")</f>
        <v>این حرکت می کند تمام مناطق بنابراین منطقه انتخاب شده است در 1000،1000 به تناسب روی نقشه. ادامه می دهید؟</v>
      </c>
      <c r="R767" s="21" t="str">
        <f ca="1">IFERROR(__xludf.DUMMYFUNCTION("GOOGLETRANSLATE($B767,""en"",R$3)"),"זה מעביר כל האזורים כך האזור שנבחר הוא ב 1000,1000 כדי להתאים את המפה. להמשיך?")</f>
        <v>זה מעביר כל האזורים כך האזור שנבחר הוא ב 1000,1000 כדי להתאים את המפה. להמשיך?</v>
      </c>
      <c r="S767" s="21" t="str">
        <f ca="1">IFERROR(__xludf.DUMMYFUNCTION("GOOGLETRANSLATE($B767,""en"",S$3)"),"Þetta færir öll svæði þannig að valið svæði er 1000,1000 að passa kortið. Halda áfram?")</f>
        <v>Þetta færir öll svæði þannig að valið svæði er 1000,1000 að passa kortið. Halda áfram?</v>
      </c>
      <c r="T767" s="21" t="str">
        <f ca="1">IFERROR(__xludf.DUMMYFUNCTION("GOOGLETRANSLATE($B767,""en"",T$3)"),"Dette flytter alle regioner så den valgte regionen er på 1000,1000 å passe på kartet. Fortsette?")</f>
        <v>Dette flytter alle regioner så den valgte regionen er på 1000,1000 å passe på kartet. Fortsette?</v>
      </c>
      <c r="U767" s="21" t="str">
        <f ca="1">IFERROR(__xludf.DUMMYFUNCTION("GOOGLETRANSLATE($B767,""en"",U$3)"),"هذه التحركات جميع المناطق حتى المنطقة التي تم اختيارها في 1000،1000 لتناسب الخريطة. تقدم؟")</f>
        <v>هذه التحركات جميع المناطق حتى المنطقة التي تم اختيارها في 1000،1000 لتناسب الخريطة. تقدم؟</v>
      </c>
      <c r="V767" s="21" t="str">
        <f ca="1">IFERROR(__xludf.DUMMYFUNCTION("GOOGLETRANSLATE($B767,""en"",V$3)"),"Przenosi wszystkie regiony tak wybrany region jest w 1000,1000, aby dopasować mapę. Kontynuować?")</f>
        <v>Przenosi wszystkie regiony tak wybrany region jest w 1000,1000, aby dopasować mapę. Kontynuować?</v>
      </c>
      <c r="W767" s="21" t="str">
        <f ca="1">IFERROR(__xludf.DUMMYFUNCTION("GOOGLETRANSLATE($B767,""en"",W$3)"),"Это перемещает все регионы так выбранный регион в 1000,1000, чтобы соответствовать карте. Продолжить?")</f>
        <v>Это перемещает все регионы так выбранный регион в 1000,1000, чтобы соответствовать карте. Продолжить?</v>
      </c>
      <c r="X767" s="21" t="str">
        <f ca="1">IFERROR(__xludf.DUMMYFUNCTION("GOOGLETRANSLATE($B767,""en"",X$3)"),"Esto mueve todas las regiones por lo que la región elegida está en 1000,1000 para encajar el mapa. ¿Continuar?")</f>
        <v>Esto mueve todas las regiones por lo que la región elegida está en 1000,1000 para encajar el mapa. ¿Continuar?</v>
      </c>
      <c r="Y767" s="21"/>
      <c r="Z767" s="21"/>
    </row>
    <row r="768" spans="1:26" ht="32.25" customHeight="1" x14ac:dyDescent="0.2">
      <c r="A768" s="17" t="s">
        <v>1631</v>
      </c>
      <c r="B768" s="17" t="s">
        <v>1632</v>
      </c>
      <c r="C768" s="21" t="str">
        <f ca="1">IFERROR(__xludf.DUMMYFUNCTION("GOOGLETRANSLATE($B768,""en"",C$3)"),"Thread-Pools")</f>
        <v>Thread-Pools</v>
      </c>
      <c r="D768" s="21" t="str">
        <f ca="1">IFERROR(__xludf.DUMMYFUNCTION("GOOGLETRANSLATE($B768,""en"",D$3)"),"Ämnes pooler")</f>
        <v>Ämnes pooler</v>
      </c>
      <c r="E768" s="21" t="str">
        <f ca="1">IFERROR(__xludf.DUMMYFUNCTION("GOOGLETRANSLATE($B768,""en"",E$3)"),"Thread pools")</f>
        <v>Thread pools</v>
      </c>
      <c r="F768" s="21" t="str">
        <f ca="1">IFERROR(__xludf.DUMMYFUNCTION("GOOGLETRANSLATE($B768,""en"",F$3)"),"Thread pools")</f>
        <v>Thread pools</v>
      </c>
      <c r="G768" s="21" t="str">
        <f ca="1">IFERROR(__xludf.DUMMYFUNCTION("GOOGLETRANSLATE($B768,""en"",G$3)"),"Les pools de threads")</f>
        <v>Les pools de threads</v>
      </c>
      <c r="H768" s="21" t="str">
        <f ca="1">IFERROR(__xludf.DUMMYFUNCTION("GOOGLETRANSLATE($B768,""en"",H$3)"),"haria igerilekuak")</f>
        <v>haria igerilekuak</v>
      </c>
      <c r="I768" s="21" t="str">
        <f ca="1">IFERROR(__xludf.DUMMYFUNCTION("GOOGLETRANSLATE($B768,""en"",I$3)"),"Agrupacions de fils")</f>
        <v>Agrupacions de fils</v>
      </c>
      <c r="J768" s="21" t="str">
        <f ca="1">IFERROR(__xludf.DUMMYFUNCTION("GOOGLETRANSLATE($B768,""en"",J$3)"),"závit bazény")</f>
        <v>závit bazény</v>
      </c>
      <c r="K768" s="21" t="str">
        <f ca="1">IFERROR(__xludf.DUMMYFUNCTION("GOOGLETRANSLATE($B768,""en"",K$3)"),"线程池")</f>
        <v>线程池</v>
      </c>
      <c r="L768" s="21" t="str">
        <f ca="1">IFERROR(__xludf.DUMMYFUNCTION("GOOGLETRANSLATE($B768,""en"",L$3)"),"線程池")</f>
        <v>線程池</v>
      </c>
      <c r="M768" s="21" t="str">
        <f ca="1">IFERROR(__xludf.DUMMYFUNCTION("GOOGLETRANSLATE($B768,""en"",M$3)"),"draad zwembaden")</f>
        <v>draad zwembaden</v>
      </c>
      <c r="N768" s="21" t="str">
        <f ca="1">IFERROR(__xludf.DUMMYFUNCTION("GOOGLETRANSLATE($B768,""en"",N$3)"),"πισίνες Θέματος")</f>
        <v>πισίνες Θέματος</v>
      </c>
      <c r="O768" s="21" t="str">
        <f ca="1">IFERROR(__xludf.DUMMYFUNCTION("GOOGLETRANSLATE($B768,""en"",O$3)"),"thread altaat")</f>
        <v>thread altaat</v>
      </c>
      <c r="P768" s="21" t="str">
        <f ca="1">IFERROR(__xludf.DUMMYFUNCTION("GOOGLETRANSLATE($B768,""en"",P$3)"),"linnte snáithe")</f>
        <v>linnte snáithe</v>
      </c>
      <c r="Q768" s="21" t="str">
        <f ca="1">IFERROR(__xludf.DUMMYFUNCTION("GOOGLETRANSLATE($B768,""en"",Q$3)"),"استخر موضوع")</f>
        <v>استخر موضوع</v>
      </c>
      <c r="R768" s="21" t="str">
        <f ca="1">IFERROR(__xludf.DUMMYFUNCTION("GOOGLETRANSLATE($B768,""en"",R$3)"),"ברכות אשכול")</f>
        <v>ברכות אשכול</v>
      </c>
      <c r="S768" s="21" t="str">
        <f ca="1">IFERROR(__xludf.DUMMYFUNCTION("GOOGLETRANSLATE($B768,""en"",S$3)"),"Thread laugar")</f>
        <v>Thread laugar</v>
      </c>
      <c r="T768" s="21" t="str">
        <f ca="1">IFERROR(__xludf.DUMMYFUNCTION("GOOGLETRANSLATE($B768,""en"",T$3)"),"Tråd bassenger")</f>
        <v>Tråd bassenger</v>
      </c>
      <c r="U768" s="21" t="str">
        <f ca="1">IFERROR(__xludf.DUMMYFUNCTION("GOOGLETRANSLATE($B768,""en"",U$3)"),"حمامات الموضوع")</f>
        <v>حمامات الموضوع</v>
      </c>
      <c r="V768" s="21" t="str">
        <f ca="1">IFERROR(__xludf.DUMMYFUNCTION("GOOGLETRANSLATE($B768,""en"",V$3)"),"baseny wątku")</f>
        <v>baseny wątku</v>
      </c>
      <c r="W768" s="21" t="str">
        <f ca="1">IFERROR(__xludf.DUMMYFUNCTION("GOOGLETRANSLATE($B768,""en"",W$3)"),"пулы потоков")</f>
        <v>пулы потоков</v>
      </c>
      <c r="X768" s="21" t="str">
        <f ca="1">IFERROR(__xludf.DUMMYFUNCTION("GOOGLETRANSLATE($B768,""en"",X$3)"),"Agrupaciones de hebras")</f>
        <v>Agrupaciones de hebras</v>
      </c>
      <c r="Y768" s="21"/>
      <c r="Z768" s="21"/>
    </row>
    <row r="769" spans="1:26" ht="32.25" customHeight="1" x14ac:dyDescent="0.2">
      <c r="A769" s="17" t="s">
        <v>1633</v>
      </c>
      <c r="B769" s="17" t="s">
        <v>1634</v>
      </c>
      <c r="C769" s="18" t="s">
        <v>1635</v>
      </c>
      <c r="D769" s="12" t="str">
        <f ca="1">IFERROR(__xludf.DUMMYFUNCTION("GOOGLETRANSLATE($B768,""en"",D$3)"),"Ämnes pooler")</f>
        <v>Ämnes pooler</v>
      </c>
      <c r="E769" s="12" t="str">
        <f ca="1">IFERROR(__xludf.DUMMYFUNCTION("GOOGLETRANSLATE($B768,""en"",E$3)"),"Thread pools")</f>
        <v>Thread pools</v>
      </c>
      <c r="F769" s="12" t="str">
        <f ca="1">IFERROR(__xludf.DUMMYFUNCTION("GOOGLETRANSLATE($B768,""en"",F$3)"),"Thread pools")</f>
        <v>Thread pools</v>
      </c>
      <c r="G769" s="12" t="str">
        <f ca="1">IFERROR(__xludf.DUMMYFUNCTION("GOOGLETRANSLATE($B768,""en"",G$3)"),"Les pools de threads")</f>
        <v>Les pools de threads</v>
      </c>
      <c r="H769" s="12" t="str">
        <f ca="1">IFERROR(__xludf.DUMMYFUNCTION("GOOGLETRANSLATE($B768,""en"",H$3)"),"haria igerilekuak")</f>
        <v>haria igerilekuak</v>
      </c>
      <c r="I769" s="12" t="str">
        <f ca="1">IFERROR(__xludf.DUMMYFUNCTION("GOOGLETRANSLATE($B768,""en"",I$3)"),"Agrupacions de fils")</f>
        <v>Agrupacions de fils</v>
      </c>
      <c r="J769" s="12" t="str">
        <f ca="1">IFERROR(__xludf.DUMMYFUNCTION("GOOGLETRANSLATE($B768,""en"",J$3)"),"závit bazény")</f>
        <v>závit bazény</v>
      </c>
      <c r="K769" s="12" t="str">
        <f ca="1">IFERROR(__xludf.DUMMYFUNCTION("GOOGLETRANSLATE($B768,""en"",K$3)"),"线程池")</f>
        <v>线程池</v>
      </c>
      <c r="L769" s="12" t="str">
        <f ca="1">IFERROR(__xludf.DUMMYFUNCTION("GOOGLETRANSLATE($B768,""en"",L$3)"),"線程池")</f>
        <v>線程池</v>
      </c>
      <c r="M769" s="12" t="str">
        <f ca="1">IFERROR(__xludf.DUMMYFUNCTION("GOOGLETRANSLATE($B768,""en"",M$3)"),"draad zwembaden")</f>
        <v>draad zwembaden</v>
      </c>
      <c r="N769" s="12" t="str">
        <f ca="1">IFERROR(__xludf.DUMMYFUNCTION("GOOGLETRANSLATE($B768,""en"",N$3)"),"πισίνες Θέματος")</f>
        <v>πισίνες Θέματος</v>
      </c>
      <c r="O769" s="12" t="str">
        <f ca="1">IFERROR(__xludf.DUMMYFUNCTION("GOOGLETRANSLATE($B768,""en"",O$3)"),"thread altaat")</f>
        <v>thread altaat</v>
      </c>
      <c r="P769" s="12" t="str">
        <f ca="1">IFERROR(__xludf.DUMMYFUNCTION("GOOGLETRANSLATE($B768,""en"",P$3)"),"linnte snáithe")</f>
        <v>linnte snáithe</v>
      </c>
      <c r="Q769" s="12" t="str">
        <f ca="1">IFERROR(__xludf.DUMMYFUNCTION("GOOGLETRANSLATE($B768,""en"",Q$3)"),"استخر موضوع")</f>
        <v>استخر موضوع</v>
      </c>
      <c r="R769" s="12" t="str">
        <f ca="1">IFERROR(__xludf.DUMMYFUNCTION("GOOGLETRANSLATE($B768,""en"",R$3)"),"ברכות אשכול")</f>
        <v>ברכות אשכול</v>
      </c>
      <c r="S769" s="12" t="str">
        <f ca="1">IFERROR(__xludf.DUMMYFUNCTION("GOOGLETRANSLATE($B768,""en"",S$3)"),"Thread laugar")</f>
        <v>Thread laugar</v>
      </c>
      <c r="T769" s="12" t="str">
        <f ca="1">IFERROR(__xludf.DUMMYFUNCTION("GOOGLETRANSLATE($B768,""en"",T$3)"),"Tråd bassenger")</f>
        <v>Tråd bassenger</v>
      </c>
      <c r="U769" s="12" t="str">
        <f ca="1">IFERROR(__xludf.DUMMYFUNCTION("GOOGLETRANSLATE($B768,""en"",U$3)"),"حمامات الموضوع")</f>
        <v>حمامات الموضوع</v>
      </c>
      <c r="V769" s="12" t="str">
        <f ca="1">IFERROR(__xludf.DUMMYFUNCTION("GOOGLETRANSLATE($B768,""en"",V$3)"),"baseny wątku")</f>
        <v>baseny wątku</v>
      </c>
      <c r="W769" s="12" t="str">
        <f ca="1">IFERROR(__xludf.DUMMYFUNCTION("GOOGLETRANSLATE($B768,""en"",W$3)"),"пулы потоков")</f>
        <v>пулы потоков</v>
      </c>
      <c r="X769" s="12" t="str">
        <f ca="1">IFERROR(__xludf.DUMMYFUNCTION("GOOGLETRANSLATE($B768,""en"",X$3)"),"Agrupaciones de hebras")</f>
        <v>Agrupaciones de hebras</v>
      </c>
      <c r="Y769" s="12"/>
      <c r="Z769" s="12"/>
    </row>
    <row r="770" spans="1:26" ht="32.25" customHeight="1" x14ac:dyDescent="0.2">
      <c r="A770" s="17" t="s">
        <v>1636</v>
      </c>
      <c r="B770" s="17" t="s">
        <v>1637</v>
      </c>
      <c r="C770" s="21" t="str">
        <f ca="1">IFERROR(__xludf.DUMMYFUNCTION("GOOGLETRANSLATE($B770,""en"",C$3)"),"Tide Hallo / Lo-Kanal")</f>
        <v>Tide Hallo / Lo-Kanal</v>
      </c>
      <c r="D770" s="21" t="str">
        <f ca="1">IFERROR(__xludf.DUMMYFUNCTION("GOOGLETRANSLATE($B770,""en"",D$3)"),"Tide Hi / Lo Channel")</f>
        <v>Tide Hi / Lo Channel</v>
      </c>
      <c r="E770" s="21" t="str">
        <f ca="1">IFERROR(__xludf.DUMMYFUNCTION("GOOGLETRANSLATE($B770,""en"",E$3)"),"Tide Hi / Lo Canal")</f>
        <v>Tide Hi / Lo Canal</v>
      </c>
      <c r="F770" s="21" t="str">
        <f ca="1">IFERROR(__xludf.DUMMYFUNCTION("GOOGLETRANSLATE($B770,""en"",F$3)"),"Tide Hi / Lo Canal")</f>
        <v>Tide Hi / Lo Canal</v>
      </c>
      <c r="G770" s="21" t="str">
        <f ca="1">IFERROR(__xludf.DUMMYFUNCTION("GOOGLETRANSLATE($B770,""en"",G$3)"),"Tide Salut / Lo canal")</f>
        <v>Tide Salut / Lo canal</v>
      </c>
      <c r="H770" s="21" t="str">
        <f ca="1">IFERROR(__xludf.DUMMYFUNCTION("GOOGLETRANSLATE($B770,""en"",H$3)"),"Marea Hi / Lo Channel")</f>
        <v>Marea Hi / Lo Channel</v>
      </c>
      <c r="I770" s="21" t="str">
        <f ca="1">IFERROR(__xludf.DUMMYFUNCTION("GOOGLETRANSLATE($B770,""en"",I$3)"),"Canal marea alta / baixa")</f>
        <v>Canal marea alta / baixa</v>
      </c>
      <c r="J770" s="21" t="str">
        <f ca="1">IFERROR(__xludf.DUMMYFUNCTION("GOOGLETRANSLATE($B770,""en"",J$3)"),"Tide Hi / Lo Channel")</f>
        <v>Tide Hi / Lo Channel</v>
      </c>
      <c r="K770" s="21" t="str">
        <f ca="1">IFERROR(__xludf.DUMMYFUNCTION("GOOGLETRANSLATE($B770,""en"",K$3)"),"潮高/低通道")</f>
        <v>潮高/低通道</v>
      </c>
      <c r="L770" s="21" t="str">
        <f ca="1">IFERROR(__xludf.DUMMYFUNCTION("GOOGLETRANSLATE($B770,""en"",L$3)"),"潮高/低通道")</f>
        <v>潮高/低通道</v>
      </c>
      <c r="M770" s="21" t="str">
        <f ca="1">IFERROR(__xludf.DUMMYFUNCTION("GOOGLETRANSLATE($B770,""en"",M$3)"),"Tide Hi / Lo Channel")</f>
        <v>Tide Hi / Lo Channel</v>
      </c>
      <c r="N770" s="21" t="str">
        <f ca="1">IFERROR(__xludf.DUMMYFUNCTION("GOOGLETRANSLATE($B770,""en"",N$3)"),"Tide Hi / Lo Κανάλι")</f>
        <v>Tide Hi / Lo Κανάλι</v>
      </c>
      <c r="O770" s="21" t="str">
        <f ca="1">IFERROR(__xludf.DUMMYFUNCTION("GOOGLETRANSLATE($B770,""en"",O$3)"),"Tide Hi / Lo Channel")</f>
        <v>Tide Hi / Lo Channel</v>
      </c>
      <c r="P770" s="21" t="str">
        <f ca="1">IFERROR(__xludf.DUMMYFUNCTION("GOOGLETRANSLATE($B770,""en"",P$3)"),"Tide Hi / Lo Cainéal")</f>
        <v>Tide Hi / Lo Cainéal</v>
      </c>
      <c r="Q770" s="21" t="str">
        <f ca="1">IFERROR(__xludf.DUMMYFUNCTION("GOOGLETRANSLATE($B770,""en"",Q$3)"),"جزر و مد سلام / حقیقت کانال")</f>
        <v>جزر و مد سلام / حقیقت کانال</v>
      </c>
      <c r="R770" s="21" t="str">
        <f ca="1">IFERROR(__xludf.DUMMYFUNCTION("GOOGLETRANSLATE($B770,""en"",R$3)"),"Tide Hi / Lo ערוץ")</f>
        <v>Tide Hi / Lo ערוץ</v>
      </c>
      <c r="S770" s="21" t="str">
        <f ca="1">IFERROR(__xludf.DUMMYFUNCTION("GOOGLETRANSLATE($B770,""en"",S$3)"),"Sjávarföll Hi / Lo Channel")</f>
        <v>Sjávarföll Hi / Lo Channel</v>
      </c>
      <c r="T770" s="21" t="str">
        <f ca="1">IFERROR(__xludf.DUMMYFUNCTION("GOOGLETRANSLATE($B770,""en"",T$3)"),"Tide Hi / Lo Channel")</f>
        <v>Tide Hi / Lo Channel</v>
      </c>
      <c r="U770" s="21" t="str">
        <f ca="1">IFERROR(__xludf.DUMMYFUNCTION("GOOGLETRANSLATE($B770,""en"",U$3)"),"المد مرحبا / لو القناة")</f>
        <v>المد مرحبا / لو القناة</v>
      </c>
      <c r="V770" s="21" t="str">
        <f ca="1">IFERROR(__xludf.DUMMYFUNCTION("GOOGLETRANSLATE($B770,""en"",V$3)"),"Tide Hi / Lo Kanał")</f>
        <v>Tide Hi / Lo Kanał</v>
      </c>
      <c r="W770" s="21" t="str">
        <f ca="1">IFERROR(__xludf.DUMMYFUNCTION("GOOGLETRANSLATE($B770,""en"",W$3)"),"Tide Привет / Lo Channel")</f>
        <v>Tide Привет / Lo Channel</v>
      </c>
      <c r="X770" s="21" t="str">
        <f ca="1">IFERROR(__xludf.DUMMYFUNCTION("GOOGLETRANSLATE($B770,""en"",X$3)"),"Canal marea alta / baja")</f>
        <v>Canal marea alta / baja</v>
      </c>
      <c r="Y770" s="21"/>
      <c r="Z770" s="21"/>
    </row>
    <row r="771" spans="1:26" ht="32.25" customHeight="1" x14ac:dyDescent="0.2">
      <c r="A771" s="17" t="s">
        <v>1638</v>
      </c>
      <c r="B771" s="17" t="s">
        <v>1639</v>
      </c>
      <c r="C771" s="18" t="s">
        <v>1640</v>
      </c>
      <c r="D771" s="12" t="str">
        <f ca="1">IFERROR(__xludf.DUMMYFUNCTION("GOOGLETRANSLATE($B770,""en"",D$3)"),"Tide Hi / Lo Channel")</f>
        <v>Tide Hi / Lo Channel</v>
      </c>
      <c r="E771" s="12" t="str">
        <f ca="1">IFERROR(__xludf.DUMMYFUNCTION("GOOGLETRANSLATE($B770,""en"",E$3)"),"Tide Hi / Lo Canal")</f>
        <v>Tide Hi / Lo Canal</v>
      </c>
      <c r="F771" s="12" t="str">
        <f ca="1">IFERROR(__xludf.DUMMYFUNCTION("GOOGLETRANSLATE($B770,""en"",F$3)"),"Tide Hi / Lo Canal")</f>
        <v>Tide Hi / Lo Canal</v>
      </c>
      <c r="G771" s="12" t="str">
        <f ca="1">IFERROR(__xludf.DUMMYFUNCTION("GOOGLETRANSLATE($B770,""en"",G$3)"),"Tide Salut / Lo canal")</f>
        <v>Tide Salut / Lo canal</v>
      </c>
      <c r="H771" s="12" t="str">
        <f ca="1">IFERROR(__xludf.DUMMYFUNCTION("GOOGLETRANSLATE($B770,""en"",H$3)"),"Marea Hi / Lo Channel")</f>
        <v>Marea Hi / Lo Channel</v>
      </c>
      <c r="I771" s="12" t="str">
        <f ca="1">IFERROR(__xludf.DUMMYFUNCTION("GOOGLETRANSLATE($B770,""en"",I$3)"),"Canal marea alta / baixa")</f>
        <v>Canal marea alta / baixa</v>
      </c>
      <c r="J771" s="12" t="str">
        <f ca="1">IFERROR(__xludf.DUMMYFUNCTION("GOOGLETRANSLATE($B770,""en"",J$3)"),"Tide Hi / Lo Channel")</f>
        <v>Tide Hi / Lo Channel</v>
      </c>
      <c r="K771" s="12" t="str">
        <f ca="1">IFERROR(__xludf.DUMMYFUNCTION("GOOGLETRANSLATE($B770,""en"",K$3)"),"潮高/低通道")</f>
        <v>潮高/低通道</v>
      </c>
      <c r="L771" s="12" t="str">
        <f ca="1">IFERROR(__xludf.DUMMYFUNCTION("GOOGLETRANSLATE($B770,""en"",L$3)"),"潮高/低通道")</f>
        <v>潮高/低通道</v>
      </c>
      <c r="M771" s="12" t="str">
        <f ca="1">IFERROR(__xludf.DUMMYFUNCTION("GOOGLETRANSLATE($B770,""en"",M$3)"),"Tide Hi / Lo Channel")</f>
        <v>Tide Hi / Lo Channel</v>
      </c>
      <c r="N771" s="12" t="str">
        <f ca="1">IFERROR(__xludf.DUMMYFUNCTION("GOOGLETRANSLATE($B770,""en"",N$3)"),"Tide Hi / Lo Κανάλι")</f>
        <v>Tide Hi / Lo Κανάλι</v>
      </c>
      <c r="O771" s="12" t="str">
        <f ca="1">IFERROR(__xludf.DUMMYFUNCTION("GOOGLETRANSLATE($B770,""en"",O$3)"),"Tide Hi / Lo Channel")</f>
        <v>Tide Hi / Lo Channel</v>
      </c>
      <c r="P771" s="12" t="str">
        <f ca="1">IFERROR(__xludf.DUMMYFUNCTION("GOOGLETRANSLATE($B770,""en"",P$3)"),"Tide Hi / Lo Cainéal")</f>
        <v>Tide Hi / Lo Cainéal</v>
      </c>
      <c r="Q771" s="12" t="str">
        <f ca="1">IFERROR(__xludf.DUMMYFUNCTION("GOOGLETRANSLATE($B770,""en"",Q$3)"),"جزر و مد سلام / حقیقت کانال")</f>
        <v>جزر و مد سلام / حقیقت کانال</v>
      </c>
      <c r="R771" s="12" t="str">
        <f ca="1">IFERROR(__xludf.DUMMYFUNCTION("GOOGLETRANSLATE($B770,""en"",R$3)"),"Tide Hi / Lo ערוץ")</f>
        <v>Tide Hi / Lo ערוץ</v>
      </c>
      <c r="S771" s="12" t="str">
        <f ca="1">IFERROR(__xludf.DUMMYFUNCTION("GOOGLETRANSLATE($B770,""en"",S$3)"),"Sjávarföll Hi / Lo Channel")</f>
        <v>Sjávarföll Hi / Lo Channel</v>
      </c>
      <c r="T771" s="12" t="str">
        <f ca="1">IFERROR(__xludf.DUMMYFUNCTION("GOOGLETRANSLATE($B770,""en"",T$3)"),"Tide Hi / Lo Channel")</f>
        <v>Tide Hi / Lo Channel</v>
      </c>
      <c r="U771" s="12" t="str">
        <f ca="1">IFERROR(__xludf.DUMMYFUNCTION("GOOGLETRANSLATE($B770,""en"",U$3)"),"المد مرحبا / لو القناة")</f>
        <v>المد مرحبا / لو القناة</v>
      </c>
      <c r="V771" s="12" t="str">
        <f ca="1">IFERROR(__xludf.DUMMYFUNCTION("GOOGLETRANSLATE($B770,""en"",V$3)"),"Tide Hi / Lo Kanał")</f>
        <v>Tide Hi / Lo Kanał</v>
      </c>
      <c r="W771" s="12" t="str">
        <f ca="1">IFERROR(__xludf.DUMMYFUNCTION("GOOGLETRANSLATE($B770,""en"",W$3)"),"Tide Привет / Lo Channel")</f>
        <v>Tide Привет / Lo Channel</v>
      </c>
      <c r="X771" s="12" t="str">
        <f ca="1">IFERROR(__xludf.DUMMYFUNCTION("GOOGLETRANSLATE($B770,""en"",X$3)"),"Canal marea alta / baja")</f>
        <v>Canal marea alta / baja</v>
      </c>
      <c r="Y771" s="12"/>
      <c r="Z771" s="12"/>
    </row>
    <row r="772" spans="1:26" ht="32.25" customHeight="1" x14ac:dyDescent="0.2">
      <c r="A772" s="17" t="s">
        <v>1641</v>
      </c>
      <c r="B772" s="17" t="s">
        <v>1642</v>
      </c>
      <c r="C772" s="18" t="s">
        <v>1643</v>
      </c>
      <c r="D772" s="12" t="str">
        <f ca="1">IFERROR(__xludf.DUMMYFUNCTION("GOOGLETRANSLATE($B771,""en"",D$3)"),"Tide Info Channel")</f>
        <v>Tide Info Channel</v>
      </c>
      <c r="E772" s="12" t="str">
        <f ca="1">IFERROR(__xludf.DUMMYFUNCTION("GOOGLETRANSLATE($B771,""en"",E$3)"),"Tide Informação do canal")</f>
        <v>Tide Informação do canal</v>
      </c>
      <c r="F772" s="12" t="str">
        <f ca="1">IFERROR(__xludf.DUMMYFUNCTION("GOOGLETRANSLATE($B771,""en"",F$3)"),"Tide Informação do canal")</f>
        <v>Tide Informação do canal</v>
      </c>
      <c r="G772" s="12" t="str">
        <f ca="1">IFERROR(__xludf.DUMMYFUNCTION("GOOGLETRANSLATE($B771,""en"",G$3)"),"Tide Infos sur la chaîne")</f>
        <v>Tide Infos sur la chaîne</v>
      </c>
      <c r="H772" s="12" t="str">
        <f ca="1">IFERROR(__xludf.DUMMYFUNCTION("GOOGLETRANSLATE($B771,""en"",H$3)"),"Marea Info Channel")</f>
        <v>Marea Info Channel</v>
      </c>
      <c r="I772" s="12" t="str">
        <f ca="1">IFERROR(__xludf.DUMMYFUNCTION("GOOGLETRANSLATE($B771,""en"",I$3)"),"Tide Informació de Canal")</f>
        <v>Tide Informació de Canal</v>
      </c>
      <c r="J772" s="12" t="str">
        <f ca="1">IFERROR(__xludf.DUMMYFUNCTION("GOOGLETRANSLATE($B771,""en"",J$3)"),"Tide Informace o kanálu")</f>
        <v>Tide Informace o kanálu</v>
      </c>
      <c r="K772" s="12" t="str">
        <f ca="1">IFERROR(__xludf.DUMMYFUNCTION("GOOGLETRANSLATE($B771,""en"",K$3)"),"潮资讯频道")</f>
        <v>潮资讯频道</v>
      </c>
      <c r="L772" s="12" t="str">
        <f ca="1">IFERROR(__xludf.DUMMYFUNCTION("GOOGLETRANSLATE($B771,""en"",L$3)"),"潮資訊頻道")</f>
        <v>潮資訊頻道</v>
      </c>
      <c r="M772" s="12" t="str">
        <f ca="1">IFERROR(__xludf.DUMMYFUNCTION("GOOGLETRANSLATE($B771,""en"",M$3)"),"Tide Info Channel")</f>
        <v>Tide Info Channel</v>
      </c>
      <c r="N772" s="12" t="str">
        <f ca="1">IFERROR(__xludf.DUMMYFUNCTION("GOOGLETRANSLATE($B771,""en"",N$3)"),"Tide Πληροφορίες καναλιού")</f>
        <v>Tide Πληροφορίες καναλιού</v>
      </c>
      <c r="O772" s="12" t="str">
        <f ca="1">IFERROR(__xludf.DUMMYFUNCTION("GOOGLETRANSLATE($B771,""en"",O$3)"),"Tide Info Channel")</f>
        <v>Tide Info Channel</v>
      </c>
      <c r="P772" s="12" t="str">
        <f ca="1">IFERROR(__xludf.DUMMYFUNCTION("GOOGLETRANSLATE($B771,""en"",P$3)"),"Tide Info Channel")</f>
        <v>Tide Info Channel</v>
      </c>
      <c r="Q772" s="12" t="str">
        <f ca="1">IFERROR(__xludf.DUMMYFUNCTION("GOOGLETRANSLATE($B771,""en"",Q$3)"),"جزر و مد اطلاعات کانال")</f>
        <v>جزر و مد اطلاعات کانال</v>
      </c>
      <c r="R772" s="12" t="str">
        <f ca="1">IFERROR(__xludf.DUMMYFUNCTION("GOOGLETRANSLATE($B771,""en"",R$3)"),"Tide מידע בערוץ")</f>
        <v>Tide מידע בערוץ</v>
      </c>
      <c r="S772" s="12" t="str">
        <f ca="1">IFERROR(__xludf.DUMMYFUNCTION("GOOGLETRANSLATE($B771,""en"",S$3)"),"Fjöru Info Channel")</f>
        <v>Fjöru Info Channel</v>
      </c>
      <c r="T772" s="12" t="str">
        <f ca="1">IFERROR(__xludf.DUMMYFUNCTION("GOOGLETRANSLATE($B771,""en"",T$3)"),"Tide Info Channel")</f>
        <v>Tide Info Channel</v>
      </c>
      <c r="U772" s="12" t="str">
        <f ca="1">IFERROR(__xludf.DUMMYFUNCTION("GOOGLETRANSLATE($B771,""en"",U$3)"),"معلومات المد القناة")</f>
        <v>معلومات المد القناة</v>
      </c>
      <c r="V772" s="12" t="str">
        <f ca="1">IFERROR(__xludf.DUMMYFUNCTION("GOOGLETRANSLATE($B771,""en"",V$3)"),"Tide Kanał Info")</f>
        <v>Tide Kanał Info</v>
      </c>
      <c r="W772" s="12" t="str">
        <f ca="1">IFERROR(__xludf.DUMMYFUNCTION("GOOGLETRANSLATE($B771,""en"",W$3)"),"Tide Info Channel")</f>
        <v>Tide Info Channel</v>
      </c>
      <c r="X772" s="12" t="str">
        <f ca="1">IFERROR(__xludf.DUMMYFUNCTION("GOOGLETRANSLATE($B771,""en"",X$3)"),"Tide Información de Canal")</f>
        <v>Tide Información de Canal</v>
      </c>
      <c r="Y772" s="12"/>
      <c r="Z772" s="12"/>
    </row>
    <row r="773" spans="1:26" ht="32.25" customHeight="1" x14ac:dyDescent="0.2">
      <c r="A773" s="17" t="s">
        <v>1644</v>
      </c>
      <c r="B773" s="17" t="s">
        <v>1645</v>
      </c>
      <c r="C773" s="21" t="str">
        <f ca="1">IFERROR(__xludf.DUMMYFUNCTION("GOOGLETRANSLATE($B773,""en"",C$3)"),"Timeout in Stunden")</f>
        <v>Timeout in Stunden</v>
      </c>
      <c r="D773" s="21" t="str">
        <f ca="1">IFERROR(__xludf.DUMMYFUNCTION("GOOGLETRANSLATE($B773,""en"",D$3)"),"Timeout i timmar")</f>
        <v>Timeout i timmar</v>
      </c>
      <c r="E773" s="21" t="str">
        <f ca="1">IFERROR(__xludf.DUMMYFUNCTION("GOOGLETRANSLATE($B773,""en"",E$3)"),"Tempo de espera em hora")</f>
        <v>Tempo de espera em hora</v>
      </c>
      <c r="F773" s="21" t="str">
        <f ca="1">IFERROR(__xludf.DUMMYFUNCTION("GOOGLETRANSLATE($B773,""en"",F$3)"),"Tempo de espera em hora")</f>
        <v>Tempo de espera em hora</v>
      </c>
      <c r="G773" s="21" t="str">
        <f ca="1">IFERROR(__xludf.DUMMYFUNCTION("GOOGLETRANSLATE($B773,""en"",G$3)"),"Délai d'attente en heures")</f>
        <v>Délai d'attente en heures</v>
      </c>
      <c r="H773" s="21" t="str">
        <f ca="1">IFERROR(__xludf.DUMMYFUNCTION("GOOGLETRANSLATE($B773,""en"",H$3)"),"orduetan Timeout")</f>
        <v>orduetan Timeout</v>
      </c>
      <c r="I773" s="21" t="str">
        <f ca="1">IFERROR(__xludf.DUMMYFUNCTION("GOOGLETRANSLATE($B773,""en"",I$3)"),"Temps d'espera en hores")</f>
        <v>Temps d'espera en hores</v>
      </c>
      <c r="J773" s="21" t="str">
        <f ca="1">IFERROR(__xludf.DUMMYFUNCTION("GOOGLETRANSLATE($B773,""en"",J$3)"),"Prodleva v hodinách")</f>
        <v>Prodleva v hodinách</v>
      </c>
      <c r="K773" s="21" t="str">
        <f ca="1">IFERROR(__xludf.DUMMYFUNCTION("GOOGLETRANSLATE($B773,""en"",K$3)"),"超时以小时为单位")</f>
        <v>超时以小时为单位</v>
      </c>
      <c r="L773" s="21" t="str">
        <f ca="1">IFERROR(__xludf.DUMMYFUNCTION("GOOGLETRANSLATE($B773,""en"",L$3)"),"超時以小時為單位")</f>
        <v>超時以小時為單位</v>
      </c>
      <c r="M773" s="21" t="str">
        <f ca="1">IFERROR(__xludf.DUMMYFUNCTION("GOOGLETRANSLATE($B773,""en"",M$3)"),"Timeout in uren")</f>
        <v>Timeout in uren</v>
      </c>
      <c r="N773" s="21" t="str">
        <f ca="1">IFERROR(__xludf.DUMMYFUNCTION("GOOGLETRANSLATE($B773,""en"",N$3)"),"Timeout σε ώρες")</f>
        <v>Timeout σε ώρες</v>
      </c>
      <c r="O773" s="21" t="str">
        <f ca="1">IFERROR(__xludf.DUMMYFUNCTION("GOOGLETRANSLATE($B773,""en"",O$3)"),"Aikakatkaisu tuntia")</f>
        <v>Aikakatkaisu tuntia</v>
      </c>
      <c r="P773" s="21" t="str">
        <f ca="1">IFERROR(__xludf.DUMMYFUNCTION("GOOGLETRANSLATE($B773,""en"",P$3)"),"Teorainn Ama i uair an chloig")</f>
        <v>Teorainn Ama i uair an chloig</v>
      </c>
      <c r="Q773" s="21" t="str">
        <f ca="1">IFERROR(__xludf.DUMMYFUNCTION("GOOGLETRANSLATE($B773,""en"",Q$3)"),"اتمام مهلت در ساعت")</f>
        <v>اتمام مهلت در ساعت</v>
      </c>
      <c r="R773" s="21" t="str">
        <f ca="1">IFERROR(__xludf.DUMMYFUNCTION("GOOGLETRANSLATE($B773,""en"",R$3)"),"Timeout בשעות")</f>
        <v>Timeout בשעות</v>
      </c>
      <c r="S773" s="21" t="str">
        <f ca="1">IFERROR(__xludf.DUMMYFUNCTION("GOOGLETRANSLATE($B773,""en"",S$3)"),"Rann út á tíma í klukkustundum")</f>
        <v>Rann út á tíma í klukkustundum</v>
      </c>
      <c r="T773" s="21" t="str">
        <f ca="1">IFERROR(__xludf.DUMMYFUNCTION("GOOGLETRANSLATE($B773,""en"",T$3)"),"Timeout i timer")</f>
        <v>Timeout i timer</v>
      </c>
      <c r="U773" s="21" t="str">
        <f ca="1">IFERROR(__xludf.DUMMYFUNCTION("GOOGLETRANSLATE($B773,""en"",U$3)"),"المهلة في ساعات")</f>
        <v>المهلة في ساعات</v>
      </c>
      <c r="V773" s="21" t="str">
        <f ca="1">IFERROR(__xludf.DUMMYFUNCTION("GOOGLETRANSLATE($B773,""en"",V$3)"),"Limit czasu w godzinach")</f>
        <v>Limit czasu w godzinach</v>
      </c>
      <c r="W773" s="21" t="str">
        <f ca="1">IFERROR(__xludf.DUMMYFUNCTION("GOOGLETRANSLATE($B773,""en"",W$3)"),"Тайм-аут в часах")</f>
        <v>Тайм-аут в часах</v>
      </c>
      <c r="X773" s="21" t="str">
        <f ca="1">IFERROR(__xludf.DUMMYFUNCTION("GOOGLETRANSLATE($B773,""en"",X$3)"),"Tiempo de espera en horas")</f>
        <v>Tiempo de espera en horas</v>
      </c>
      <c r="Y773" s="21"/>
      <c r="Z773" s="21"/>
    </row>
    <row r="774" spans="1:26" ht="32.25" customHeight="1" x14ac:dyDescent="0.2">
      <c r="A774" s="17" t="s">
        <v>1646</v>
      </c>
      <c r="B774" s="17" t="s">
        <v>1647</v>
      </c>
      <c r="C774" s="18" t="s">
        <v>1648</v>
      </c>
      <c r="D774" s="12" t="str">
        <f ca="1">IFERROR(__xludf.DUMMYFUNCTION("GOOGLETRANSLATE($B773,""en"",D$3)"),"Timeout i timmar")</f>
        <v>Timeout i timmar</v>
      </c>
      <c r="E774" s="12" t="str">
        <f ca="1">IFERROR(__xludf.DUMMYFUNCTION("GOOGLETRANSLATE($B773,""en"",E$3)"),"Tempo de espera em hora")</f>
        <v>Tempo de espera em hora</v>
      </c>
      <c r="F774" s="12" t="str">
        <f ca="1">IFERROR(__xludf.DUMMYFUNCTION("GOOGLETRANSLATE($B773,""en"",F$3)"),"Tempo de espera em hora")</f>
        <v>Tempo de espera em hora</v>
      </c>
      <c r="G774" s="12" t="str">
        <f ca="1">IFERROR(__xludf.DUMMYFUNCTION("GOOGLETRANSLATE($B773,""en"",G$3)"),"Délai d'attente en heures")</f>
        <v>Délai d'attente en heures</v>
      </c>
      <c r="H774" s="12" t="str">
        <f ca="1">IFERROR(__xludf.DUMMYFUNCTION("GOOGLETRANSLATE($B773,""en"",H$3)"),"orduetan Timeout")</f>
        <v>orduetan Timeout</v>
      </c>
      <c r="I774" s="12" t="str">
        <f ca="1">IFERROR(__xludf.DUMMYFUNCTION("GOOGLETRANSLATE($B773,""en"",I$3)"),"Temps d'espera en hores")</f>
        <v>Temps d'espera en hores</v>
      </c>
      <c r="J774" s="12" t="str">
        <f ca="1">IFERROR(__xludf.DUMMYFUNCTION("GOOGLETRANSLATE($B773,""en"",J$3)"),"Prodleva v hodinách")</f>
        <v>Prodleva v hodinách</v>
      </c>
      <c r="K774" s="12" t="str">
        <f ca="1">IFERROR(__xludf.DUMMYFUNCTION("GOOGLETRANSLATE($B773,""en"",K$3)"),"超时以小时为单位")</f>
        <v>超时以小时为单位</v>
      </c>
      <c r="L774" s="12" t="str">
        <f ca="1">IFERROR(__xludf.DUMMYFUNCTION("GOOGLETRANSLATE($B773,""en"",L$3)"),"超時以小時為單位")</f>
        <v>超時以小時為單位</v>
      </c>
      <c r="M774" s="12" t="str">
        <f ca="1">IFERROR(__xludf.DUMMYFUNCTION("GOOGLETRANSLATE($B773,""en"",M$3)"),"Timeout in uren")</f>
        <v>Timeout in uren</v>
      </c>
      <c r="N774" s="12" t="str">
        <f ca="1">IFERROR(__xludf.DUMMYFUNCTION("GOOGLETRANSLATE($B773,""en"",N$3)"),"Timeout σε ώρες")</f>
        <v>Timeout σε ώρες</v>
      </c>
      <c r="O774" s="12" t="str">
        <f ca="1">IFERROR(__xludf.DUMMYFUNCTION("GOOGLETRANSLATE($B773,""en"",O$3)"),"Aikakatkaisu tuntia")</f>
        <v>Aikakatkaisu tuntia</v>
      </c>
      <c r="P774" s="12" t="str">
        <f ca="1">IFERROR(__xludf.DUMMYFUNCTION("GOOGLETRANSLATE($B773,""en"",P$3)"),"Teorainn Ama i uair an chloig")</f>
        <v>Teorainn Ama i uair an chloig</v>
      </c>
      <c r="Q774" s="12" t="str">
        <f ca="1">IFERROR(__xludf.DUMMYFUNCTION("GOOGLETRANSLATE($B773,""en"",Q$3)"),"اتمام مهلت در ساعت")</f>
        <v>اتمام مهلت در ساعت</v>
      </c>
      <c r="R774" s="12" t="str">
        <f ca="1">IFERROR(__xludf.DUMMYFUNCTION("GOOGLETRANSLATE($B773,""en"",R$3)"),"Timeout בשעות")</f>
        <v>Timeout בשעות</v>
      </c>
      <c r="S774" s="12" t="str">
        <f ca="1">IFERROR(__xludf.DUMMYFUNCTION("GOOGLETRANSLATE($B773,""en"",S$3)"),"Rann út á tíma í klukkustundum")</f>
        <v>Rann út á tíma í klukkustundum</v>
      </c>
      <c r="T774" s="12" t="str">
        <f ca="1">IFERROR(__xludf.DUMMYFUNCTION("GOOGLETRANSLATE($B773,""en"",T$3)"),"Timeout i timer")</f>
        <v>Timeout i timer</v>
      </c>
      <c r="U774" s="12" t="str">
        <f ca="1">IFERROR(__xludf.DUMMYFUNCTION("GOOGLETRANSLATE($B773,""en"",U$3)"),"المهلة في ساعات")</f>
        <v>المهلة في ساعات</v>
      </c>
      <c r="V774" s="12" t="str">
        <f ca="1">IFERROR(__xludf.DUMMYFUNCTION("GOOGLETRANSLATE($B773,""en"",V$3)"),"Limit czasu w godzinach")</f>
        <v>Limit czasu w godzinach</v>
      </c>
      <c r="W774" s="12" t="str">
        <f ca="1">IFERROR(__xludf.DUMMYFUNCTION("GOOGLETRANSLATE($B773,""en"",W$3)"),"Тайм-аут в часах")</f>
        <v>Тайм-аут в часах</v>
      </c>
      <c r="X774" s="12" t="str">
        <f ca="1">IFERROR(__xludf.DUMMYFUNCTION("GOOGLETRANSLATE($B773,""en"",X$3)"),"Tiempo de espera en horas")</f>
        <v>Tiempo de espera en horas</v>
      </c>
      <c r="Y774" s="12"/>
      <c r="Z774" s="12"/>
    </row>
    <row r="775" spans="1:26" ht="32.25" customHeight="1" x14ac:dyDescent="0.2">
      <c r="A775" s="17" t="s">
        <v>1649</v>
      </c>
      <c r="B775" s="17" t="s">
        <v>1650</v>
      </c>
      <c r="C775" s="21" t="str">
        <f ca="1">IFERROR(__xludf.DUMMYFUNCTION("GOOGLETRANSLATE($B775,""en"",C$3)"),"Das TOS-Modul zeigt die Benutzer und / oder Besuchern dieser HTML-Text.")</f>
        <v>Das TOS-Modul zeigt die Benutzer und / oder Besuchern dieser HTML-Text.</v>
      </c>
      <c r="D775" s="21" t="str">
        <f ca="1">IFERROR(__xludf.DUMMYFUNCTION("GOOGLETRANSLATE($B775,""en"",D$3)"),"TOS-modulen visar dina användare och / eller besökare denna HTML.")</f>
        <v>TOS-modulen visar dina användare och / eller besökare denna HTML.</v>
      </c>
      <c r="E775" s="21" t="str">
        <f ca="1">IFERROR(__xludf.DUMMYFUNCTION("GOOGLETRANSLATE($B775,""en"",E$3)"),"O módulo TOS mostra seus usuários e / ou visitantes este texto HTML.")</f>
        <v>O módulo TOS mostra seus usuários e / ou visitantes este texto HTML.</v>
      </c>
      <c r="F775" s="21" t="str">
        <f ca="1">IFERROR(__xludf.DUMMYFUNCTION("GOOGLETRANSLATE($B775,""en"",F$3)"),"O módulo TOS mostra seus usuários e / ou visitantes este texto HTML.")</f>
        <v>O módulo TOS mostra seus usuários e / ou visitantes este texto HTML.</v>
      </c>
      <c r="G775" s="21" t="str">
        <f ca="1">IFERROR(__xludf.DUMMYFUNCTION("GOOGLETRANSLATE($B775,""en"",G$3)"),"Le module TOS affiche vos utilisateurs et / ou visiteurs ce texte HTML.")</f>
        <v>Le module TOS affiche vos utilisateurs et / ou visiteurs ce texte HTML.</v>
      </c>
      <c r="H775" s="21" t="str">
        <f ca="1">IFERROR(__xludf.DUMMYFUNCTION("GOOGLETRANSLATE($B775,""en"",H$3)"),"TOS moduluak zure erabiltzaile eta / edo bisitari HTML testu hau erakusten ditu.")</f>
        <v>TOS moduluak zure erabiltzaile eta / edo bisitari HTML testu hau erakusten ditu.</v>
      </c>
      <c r="I775" s="21" t="str">
        <f ca="1">IFERROR(__xludf.DUMMYFUNCTION("GOOGLETRANSLATE($B775,""en"",I$3)"),"El mòdul de TOS mostra els seus usuaris i / o visitants aquest text HTML.")</f>
        <v>El mòdul de TOS mostra els seus usuaris i / o visitants aquest text HTML.</v>
      </c>
      <c r="J775" s="21" t="str">
        <f ca="1">IFERROR(__xludf.DUMMYFUNCTION("GOOGLETRANSLATE($B775,""en"",J$3)"),"Modul TOS zobrazuje uživatelům a / nebo návštěvníky to HTML textu.")</f>
        <v>Modul TOS zobrazuje uživatelům a / nebo návštěvníky to HTML textu.</v>
      </c>
      <c r="K775" s="21" t="str">
        <f ca="1">IFERROR(__xludf.DUMMYFUNCTION("GOOGLETRANSLATE($B775,""en"",K$3)"),"该TOS模块显示您的用户和/或访问者此HTML文本。")</f>
        <v>该TOS模块显示您的用户和/或访问者此HTML文本。</v>
      </c>
      <c r="L775" s="21" t="str">
        <f ca="1">IFERROR(__xludf.DUMMYFUNCTION("GOOGLETRANSLATE($B775,""en"",L$3)"),"該TOS模塊顯示您的用戶和/或訪問者此HTML文本。")</f>
        <v>該TOS模塊顯示您的用戶和/或訪問者此HTML文本。</v>
      </c>
      <c r="M775" s="21" t="str">
        <f ca="1">IFERROR(__xludf.DUMMYFUNCTION("GOOGLETRANSLATE($B775,""en"",M$3)"),"De TOS module geeft uw gebruikers en / of bezoekers deze HTML tekst.")</f>
        <v>De TOS module geeft uw gebruikers en / of bezoekers deze HTML tekst.</v>
      </c>
      <c r="N775" s="21" t="str">
        <f ca="1">IFERROR(__xludf.DUMMYFUNCTION("GOOGLETRANSLATE($B775,""en"",N$3)"),"Η μονάδα ΟΠΥ δείχνει χρηστών ή / και τους επισκέπτες σας αυτό το κείμενο HTML.")</f>
        <v>Η μονάδα ΟΠΥ δείχνει χρηστών ή / και τους επισκέπτες σας αυτό το κείμενο HTML.</v>
      </c>
      <c r="O775" s="21" t="str">
        <f ca="1">IFERROR(__xludf.DUMMYFUNCTION("GOOGLETRANSLATE($B775,""en"",O$3)"),"TOS-moduuli näyttää käyttäjät ja / tai vierailijoita tämän HTML tekstiä.")</f>
        <v>TOS-moduuli näyttää käyttäjät ja / tai vierailijoita tämän HTML tekstiä.</v>
      </c>
      <c r="P775" s="21" t="str">
        <f ca="1">IFERROR(__xludf.DUMMYFUNCTION("GOOGLETRANSLATE($B775,""en"",P$3)"),"Taispeánann an modúl TOS do úsáideoirí agus / nó cuairteoirí an téacs HTML.")</f>
        <v>Taispeánann an modúl TOS do úsáideoirí agus / nó cuairteoirí an téacs HTML.</v>
      </c>
      <c r="Q775" s="21" t="str">
        <f ca="1">IFERROR(__xludf.DUMMYFUNCTION("GOOGLETRANSLATE($B775,""en"",Q$3)"),"ماژول TOS کاربران و / یا بازدید کنندگان خود را از این متن HTML را نشان می دهد.")</f>
        <v>ماژول TOS کاربران و / یا بازدید کنندگان خود را از این متن HTML را نشان می دهد.</v>
      </c>
      <c r="R775" s="21" t="str">
        <f ca="1">IFERROR(__xludf.DUMMYFUNCTION("GOOGLETRANSLATE($B775,""en"",R$3)"),"מודול TOS מציג למשתמשים שלך ו / או מבקרים הטקסט HTML זה.")</f>
        <v>מודול TOS מציג למשתמשים שלך ו / או מבקרים הטקסט HTML זה.</v>
      </c>
      <c r="S775" s="21" t="str">
        <f ca="1">IFERROR(__xludf.DUMMYFUNCTION("GOOGLETRANSLATE($B775,""en"",S$3)"),"TOS Einingin sýnir notendum og / eða gestir þessi HTML texta.")</f>
        <v>TOS Einingin sýnir notendum og / eða gestir þessi HTML texta.</v>
      </c>
      <c r="T775" s="21" t="str">
        <f ca="1">IFERROR(__xludf.DUMMYFUNCTION("GOOGLETRANSLATE($B775,""en"",T$3)"),"Betingelsene modulen viser brukerne og / eller besøkende denne HTML tekst.")</f>
        <v>Betingelsene modulen viser brukerne og / eller besøkende denne HTML tekst.</v>
      </c>
      <c r="U775" s="21" t="str">
        <f ca="1">IFERROR(__xludf.DUMMYFUNCTION("GOOGLETRANSLATE($B775,""en"",U$3)"),"تظهر وحدة TOS المستخدمين و / أو زوار هذا النص HTML.")</f>
        <v>تظهر وحدة TOS المستخدمين و / أو زوار هذا النص HTML.</v>
      </c>
      <c r="V775" s="21" t="str">
        <f ca="1">IFERROR(__xludf.DUMMYFUNCTION("GOOGLETRANSLATE($B775,""en"",V$3)"),"Moduł TOS pokazuje użytkownikom i / lub odwiedzających ten tekst HTML.")</f>
        <v>Moduł TOS pokazuje użytkownikom i / lub odwiedzających ten tekst HTML.</v>
      </c>
      <c r="W775" s="21" t="str">
        <f ca="1">IFERROR(__xludf.DUMMYFUNCTION("GOOGLETRANSLATE($B775,""en"",W$3)"),"Модуль ТОС показывает пользователям и / или посетителей этого HTML текст.")</f>
        <v>Модуль ТОС показывает пользователям и / или посетителей этого HTML текст.</v>
      </c>
      <c r="X775" s="21" t="str">
        <f ca="1">IFERROR(__xludf.DUMMYFUNCTION("GOOGLETRANSLATE($B775,""en"",X$3)"),"El módulo de TOS muestra sus usuarios y / o visitantes este texto HTML.")</f>
        <v>El módulo de TOS muestra sus usuarios y / o visitantes este texto HTML.</v>
      </c>
      <c r="Y775" s="21"/>
      <c r="Z775" s="21"/>
    </row>
    <row r="776" spans="1:26" ht="32.25" customHeight="1" x14ac:dyDescent="0.2">
      <c r="A776" s="17" t="s">
        <v>1651</v>
      </c>
      <c r="B776" s="17" t="s">
        <v>1652</v>
      </c>
      <c r="C776" s="21" t="str">
        <f ca="1">IFERROR(__xludf.DUMMYFUNCTION("GOOGLETRANSLATE($B776,""en"",C$3)"),"Fehlerbehebung")</f>
        <v>Fehlerbehebung</v>
      </c>
      <c r="D776" s="21" t="str">
        <f ca="1">IFERROR(__xludf.DUMMYFUNCTION("GOOGLETRANSLATE($B776,""en"",D$3)"),"Felsökning")</f>
        <v>Felsökning</v>
      </c>
      <c r="E776" s="21" t="str">
        <f ca="1">IFERROR(__xludf.DUMMYFUNCTION("GOOGLETRANSLATE($B776,""en"",E$3)"),"Solução de problemas")</f>
        <v>Solução de problemas</v>
      </c>
      <c r="F776" s="21" t="str">
        <f ca="1">IFERROR(__xludf.DUMMYFUNCTION("GOOGLETRANSLATE($B776,""en"",F$3)"),"Solução de problemas")</f>
        <v>Solução de problemas</v>
      </c>
      <c r="G776" s="21" t="str">
        <f ca="1">IFERROR(__xludf.DUMMYFUNCTION("GOOGLETRANSLATE($B776,""en"",G$3)"),"Dépannage")</f>
        <v>Dépannage</v>
      </c>
      <c r="H776" s="21" t="str">
        <f ca="1">IFERROR(__xludf.DUMMYFUNCTION("GOOGLETRANSLATE($B776,""en"",H$3)"),"Arazoak")</f>
        <v>Arazoak</v>
      </c>
      <c r="I776" s="21" t="str">
        <f ca="1">IFERROR(__xludf.DUMMYFUNCTION("GOOGLETRANSLATE($B776,""en"",I$3)"),"Solució de problemes")</f>
        <v>Solució de problemes</v>
      </c>
      <c r="J776" s="21" t="str">
        <f ca="1">IFERROR(__xludf.DUMMYFUNCTION("GOOGLETRANSLATE($B776,""en"",J$3)"),"Poradce při potížích")</f>
        <v>Poradce při potížích</v>
      </c>
      <c r="K776" s="21" t="str">
        <f ca="1">IFERROR(__xludf.DUMMYFUNCTION("GOOGLETRANSLATE($B776,""en"",K$3)"),"故障排除")</f>
        <v>故障排除</v>
      </c>
      <c r="L776" s="21" t="str">
        <f ca="1">IFERROR(__xludf.DUMMYFUNCTION("GOOGLETRANSLATE($B776,""en"",L$3)"),"故障排除")</f>
        <v>故障排除</v>
      </c>
      <c r="M776" s="21" t="str">
        <f ca="1">IFERROR(__xludf.DUMMYFUNCTION("GOOGLETRANSLATE($B776,""en"",M$3)"),"Probleemoplossen")</f>
        <v>Probleemoplossen</v>
      </c>
      <c r="N776" s="21" t="str">
        <f ca="1">IFERROR(__xludf.DUMMYFUNCTION("GOOGLETRANSLATE($B776,""en"",N$3)"),"Αντιμετώπιση προβλημάτων")</f>
        <v>Αντιμετώπιση προβλημάτων</v>
      </c>
      <c r="O776" s="21" t="str">
        <f ca="1">IFERROR(__xludf.DUMMYFUNCTION("GOOGLETRANSLATE($B776,""en"",O$3)"),"Ongelmien karttoittaminen")</f>
        <v>Ongelmien karttoittaminen</v>
      </c>
      <c r="P776" s="21" t="str">
        <f ca="1">IFERROR(__xludf.DUMMYFUNCTION("GOOGLETRANSLATE($B776,""en"",P$3)"),"Fabhtcheartú")</f>
        <v>Fabhtcheartú</v>
      </c>
      <c r="Q776" s="21" t="str">
        <f ca="1">IFERROR(__xludf.DUMMYFUNCTION("GOOGLETRANSLATE($B776,""en"",Q$3)"),"عیب یابی")</f>
        <v>عیب یابی</v>
      </c>
      <c r="R776" s="21" t="str">
        <f ca="1">IFERROR(__xludf.DUMMYFUNCTION("GOOGLETRANSLATE($B776,""en"",R$3)"),"פתרון תקלות")</f>
        <v>פתרון תקלות</v>
      </c>
      <c r="S776" s="21" t="str">
        <f ca="1">IFERROR(__xludf.DUMMYFUNCTION("GOOGLETRANSLATE($B776,""en"",S$3)"),"Bilanagreining")</f>
        <v>Bilanagreining</v>
      </c>
      <c r="T776" s="21" t="str">
        <f ca="1">IFERROR(__xludf.DUMMYFUNCTION("GOOGLETRANSLATE($B776,""en"",T$3)"),"Feilsøking")</f>
        <v>Feilsøking</v>
      </c>
      <c r="U776" s="21" t="str">
        <f ca="1">IFERROR(__xludf.DUMMYFUNCTION("GOOGLETRANSLATE($B776,""en"",U$3)"),"استكشاف الأخطاء وإصلاحها")</f>
        <v>استكشاف الأخطاء وإصلاحها</v>
      </c>
      <c r="V776" s="21" t="str">
        <f ca="1">IFERROR(__xludf.DUMMYFUNCTION("GOOGLETRANSLATE($B776,""en"",V$3)"),"Rozwiązywanie problemów")</f>
        <v>Rozwiązywanie problemów</v>
      </c>
      <c r="W776" s="21" t="str">
        <f ca="1">IFERROR(__xludf.DUMMYFUNCTION("GOOGLETRANSLATE($B776,""en"",W$3)"),"Исправление проблем")</f>
        <v>Исправление проблем</v>
      </c>
      <c r="X776" s="21" t="str">
        <f ca="1">IFERROR(__xludf.DUMMYFUNCTION("GOOGLETRANSLATE($B776,""en"",X$3)"),"Solución de problemas")</f>
        <v>Solución de problemas</v>
      </c>
      <c r="Y776" s="21"/>
      <c r="Z776" s="21"/>
    </row>
    <row r="777" spans="1:26" ht="32.25" customHeight="1" x14ac:dyDescent="0.2">
      <c r="A777" s="17" t="s">
        <v>1653</v>
      </c>
      <c r="B777" s="17" t="s">
        <v>1654</v>
      </c>
      <c r="C777" s="21" t="str">
        <f ca="1">IFERROR(__xludf.DUMMYFUNCTION("GOOGLETRANSLATE($B777,""en"",C$3)"),"Art")</f>
        <v>Art</v>
      </c>
      <c r="D777" s="21" t="str">
        <f ca="1">IFERROR(__xludf.DUMMYFUNCTION("GOOGLETRANSLATE($B777,""en"",D$3)"),"Typ")</f>
        <v>Typ</v>
      </c>
      <c r="E777" s="21" t="str">
        <f ca="1">IFERROR(__xludf.DUMMYFUNCTION("GOOGLETRANSLATE($B777,""en"",E$3)"),"Tipo")</f>
        <v>Tipo</v>
      </c>
      <c r="F777" s="21" t="str">
        <f ca="1">IFERROR(__xludf.DUMMYFUNCTION("GOOGLETRANSLATE($B777,""en"",F$3)"),"Tipo")</f>
        <v>Tipo</v>
      </c>
      <c r="G777" s="21" t="str">
        <f ca="1">IFERROR(__xludf.DUMMYFUNCTION("GOOGLETRANSLATE($B777,""en"",G$3)"),"Type")</f>
        <v>Type</v>
      </c>
      <c r="H777" s="21" t="str">
        <f ca="1">IFERROR(__xludf.DUMMYFUNCTION("GOOGLETRANSLATE($B777,""en"",H$3)"),"Mota")</f>
        <v>Mota</v>
      </c>
      <c r="I777" s="21" t="str">
        <f ca="1">IFERROR(__xludf.DUMMYFUNCTION("GOOGLETRANSLATE($B777,""en"",I$3)"),"tipus")</f>
        <v>tipus</v>
      </c>
      <c r="J777" s="21" t="str">
        <f ca="1">IFERROR(__xludf.DUMMYFUNCTION("GOOGLETRANSLATE($B777,""en"",J$3)"),"Typ")</f>
        <v>Typ</v>
      </c>
      <c r="K777" s="21" t="str">
        <f ca="1">IFERROR(__xludf.DUMMYFUNCTION("GOOGLETRANSLATE($B777,""en"",K$3)"),"类型")</f>
        <v>类型</v>
      </c>
      <c r="L777" s="21" t="str">
        <f ca="1">IFERROR(__xludf.DUMMYFUNCTION("GOOGLETRANSLATE($B777,""en"",L$3)"),"類型")</f>
        <v>類型</v>
      </c>
      <c r="M777" s="21" t="str">
        <f ca="1">IFERROR(__xludf.DUMMYFUNCTION("GOOGLETRANSLATE($B777,""en"",M$3)"),"Type")</f>
        <v>Type</v>
      </c>
      <c r="N777" s="21" t="str">
        <f ca="1">IFERROR(__xludf.DUMMYFUNCTION("GOOGLETRANSLATE($B777,""en"",N$3)"),"Τύπος")</f>
        <v>Τύπος</v>
      </c>
      <c r="O777" s="21" t="str">
        <f ca="1">IFERROR(__xludf.DUMMYFUNCTION("GOOGLETRANSLATE($B777,""en"",O$3)"),"Tyyppi")</f>
        <v>Tyyppi</v>
      </c>
      <c r="P777" s="21" t="str">
        <f ca="1">IFERROR(__xludf.DUMMYFUNCTION("GOOGLETRANSLATE($B777,""en"",P$3)"),"cineál")</f>
        <v>cineál</v>
      </c>
      <c r="Q777" s="21" t="str">
        <f ca="1">IFERROR(__xludf.DUMMYFUNCTION("GOOGLETRANSLATE($B777,""en"",Q$3)"),"نوع")</f>
        <v>نوع</v>
      </c>
      <c r="R777" s="21" t="str">
        <f ca="1">IFERROR(__xludf.DUMMYFUNCTION("GOOGLETRANSLATE($B777,""en"",R$3)"),"סוּג")</f>
        <v>סוּג</v>
      </c>
      <c r="S777" s="21" t="str">
        <f ca="1">IFERROR(__xludf.DUMMYFUNCTION("GOOGLETRANSLATE($B777,""en"",S$3)"),"Gerð")</f>
        <v>Gerð</v>
      </c>
      <c r="T777" s="21" t="str">
        <f ca="1">IFERROR(__xludf.DUMMYFUNCTION("GOOGLETRANSLATE($B777,""en"",T$3)"),"Type")</f>
        <v>Type</v>
      </c>
      <c r="U777" s="21" t="str">
        <f ca="1">IFERROR(__xludf.DUMMYFUNCTION("GOOGLETRANSLATE($B777,""en"",U$3)"),"نوع")</f>
        <v>نوع</v>
      </c>
      <c r="V777" s="21" t="str">
        <f ca="1">IFERROR(__xludf.DUMMYFUNCTION("GOOGLETRANSLATE($B777,""en"",V$3)"),"Rodzaj")</f>
        <v>Rodzaj</v>
      </c>
      <c r="W777" s="21" t="str">
        <f ca="1">IFERROR(__xludf.DUMMYFUNCTION("GOOGLETRANSLATE($B777,""en"",W$3)"),"Тип")</f>
        <v>Тип</v>
      </c>
      <c r="X777" s="21" t="str">
        <f ca="1">IFERROR(__xludf.DUMMYFUNCTION("GOOGLETRANSLATE($B777,""en"",X$3)"),"Tipo")</f>
        <v>Tipo</v>
      </c>
      <c r="Y777" s="21"/>
      <c r="Z777" s="21"/>
    </row>
    <row r="778" spans="1:26" ht="32.25" customHeight="1" x14ac:dyDescent="0.2">
      <c r="A778" s="17" t="s">
        <v>1655</v>
      </c>
      <c r="B778" s="17" t="s">
        <v>1656</v>
      </c>
      <c r="C778" s="21" t="str">
        <f ca="1">IFERROR(__xludf.DUMMYFUNCTION("GOOGLETRANSLATE($B778,""en"",C$3)"),"Ubit ODE / Kugel-Hybrid")</f>
        <v>Ubit ODE / Kugel-Hybrid</v>
      </c>
      <c r="D778" s="21" t="str">
        <f ca="1">IFERROR(__xludf.DUMMYFUNCTION("GOOGLETRANSLATE($B778,""en"",D$3)"),"UBIT ODE / Bullet Hybrid")</f>
        <v>UBIT ODE / Bullet Hybrid</v>
      </c>
      <c r="E778" s="21" t="str">
        <f ca="1">IFERROR(__xludf.DUMMYFUNCTION("GOOGLETRANSLATE($B778,""en"",E$3)"),"Ubit ODE / Bala híbrido")</f>
        <v>Ubit ODE / Bala híbrido</v>
      </c>
      <c r="F778" s="21" t="str">
        <f ca="1">IFERROR(__xludf.DUMMYFUNCTION("GOOGLETRANSLATE($B778,""en"",F$3)"),"Ubit ODE / Bala híbrido")</f>
        <v>Ubit ODE / Bala híbrido</v>
      </c>
      <c r="G778" s="21" t="str">
        <f ca="1">IFERROR(__xludf.DUMMYFUNCTION("GOOGLETRANSLATE($B778,""en"",G$3)"),"Ubit ODE / Bullet hybride")</f>
        <v>Ubit ODE / Bullet hybride</v>
      </c>
      <c r="H778" s="21" t="str">
        <f ca="1">IFERROR(__xludf.DUMMYFUNCTION("GOOGLETRANSLATE($B778,""en"",H$3)"),"Ubit ODE / Bullet hibridoak")</f>
        <v>Ubit ODE / Bullet hibridoak</v>
      </c>
      <c r="I778" s="21" t="str">
        <f ca="1">IFERROR(__xludf.DUMMYFUNCTION("GOOGLETRANSLATE($B778,""en"",I$3)"),"Ubit ODE / bala híbrid")</f>
        <v>Ubit ODE / bala híbrid</v>
      </c>
      <c r="J778" s="21" t="str">
        <f ca="1">IFERROR(__xludf.DUMMYFUNCTION("GOOGLETRANSLATE($B778,""en"",J$3)"),"Ubit ODE / Bullet Hybrid")</f>
        <v>Ubit ODE / Bullet Hybrid</v>
      </c>
      <c r="K778" s="21" t="str">
        <f ca="1">IFERROR(__xludf.DUMMYFUNCTION("GOOGLETRANSLATE($B778,""en"",K$3)"),"UBIT ODE /混合子弹")</f>
        <v>UBIT ODE /混合子弹</v>
      </c>
      <c r="L778" s="21" t="str">
        <f ca="1">IFERROR(__xludf.DUMMYFUNCTION("GOOGLETRANSLATE($B778,""en"",L$3)"),"UBIT ODE /混合子彈")</f>
        <v>UBIT ODE /混合子彈</v>
      </c>
      <c r="M778" s="21" t="str">
        <f ca="1">IFERROR(__xludf.DUMMYFUNCTION("GOOGLETRANSLATE($B778,""en"",M$3)"),"Ubit ODE / Bullet Hybrid")</f>
        <v>Ubit ODE / Bullet Hybrid</v>
      </c>
      <c r="N778" s="21" t="str">
        <f ca="1">IFERROR(__xludf.DUMMYFUNCTION("GOOGLETRANSLATE($B778,""en"",N$3)"),"Ubit ODE / Bullet Hybrid")</f>
        <v>Ubit ODE / Bullet Hybrid</v>
      </c>
      <c r="O778" s="21" t="str">
        <f ca="1">IFERROR(__xludf.DUMMYFUNCTION("GOOGLETRANSLATE($B778,""en"",O$3)"),"Ubit ODE / Bullet Hybrid")</f>
        <v>Ubit ODE / Bullet Hybrid</v>
      </c>
      <c r="P778" s="21" t="str">
        <f ca="1">IFERROR(__xludf.DUMMYFUNCTION("GOOGLETRANSLATE($B778,""en"",P$3)"),"Ubit Óid / Hibrid Bullet")</f>
        <v>Ubit Óid / Hibrid Bullet</v>
      </c>
      <c r="Q778" s="21" t="str">
        <f ca="1">IFERROR(__xludf.DUMMYFUNCTION("GOOGLETRANSLATE($B778,""en"",Q$3)"),"Ubit ODE / ترکیبی گلوله")</f>
        <v>Ubit ODE / ترکیبی گلوله</v>
      </c>
      <c r="R778" s="21" t="str">
        <f ca="1">IFERROR(__xludf.DUMMYFUNCTION("GOOGLETRANSLATE($B778,""en"",R$3)"),"Ubit תודה / Bullet היברידי")</f>
        <v>Ubit תודה / Bullet היברידי</v>
      </c>
      <c r="S778" s="21" t="str">
        <f ca="1">IFERROR(__xludf.DUMMYFUNCTION("GOOGLETRANSLATE($B778,""en"",S$3)"),"Ubit Nethönnunarumhverfi / Bullet Hybrid")</f>
        <v>Ubit Nethönnunarumhverfi / Bullet Hybrid</v>
      </c>
      <c r="T778" s="21" t="str">
        <f ca="1">IFERROR(__xludf.DUMMYFUNCTION("GOOGLETRANSLATE($B778,""en"",T$3)"),"UBiT ODE / Bullet Hybrid")</f>
        <v>UBiT ODE / Bullet Hybrid</v>
      </c>
      <c r="U778" s="21" t="str">
        <f ca="1">IFERROR(__xludf.DUMMYFUNCTION("GOOGLETRANSLATE($B778,""en"",U$3)"),"Ubit ODE / رصاصة الهجين")</f>
        <v>Ubit ODE / رصاصة الهجين</v>
      </c>
      <c r="V778" s="21" t="str">
        <f ca="1">IFERROR(__xludf.DUMMYFUNCTION("GOOGLETRANSLATE($B778,""en"",V$3)"),"Ubit ODE / Bullet Hybrid")</f>
        <v>Ubit ODE / Bullet Hybrid</v>
      </c>
      <c r="W778" s="21" t="str">
        <f ca="1">IFERROR(__xludf.DUMMYFUNCTION("GOOGLETRANSLATE($B778,""en"",W$3)"),"Убить ОДА / Пуля Hybrid")</f>
        <v>Убить ОДА / Пуля Hybrid</v>
      </c>
      <c r="X778" s="21" t="str">
        <f ca="1">IFERROR(__xludf.DUMMYFUNCTION("GOOGLETRANSLATE($B778,""en"",X$3)"),"Ubit ODE / bala híbrido")</f>
        <v>Ubit ODE / bala híbrido</v>
      </c>
      <c r="Y778" s="21"/>
      <c r="Z778" s="21"/>
    </row>
    <row r="779" spans="1:26" ht="32.25" customHeight="1" x14ac:dyDescent="0.2">
      <c r="A779" s="17" t="s">
        <v>1657</v>
      </c>
      <c r="B779" s="17" t="s">
        <v>1658</v>
      </c>
      <c r="C779" s="21" t="str">
        <f ca="1">IFERROR(__xludf.DUMMYFUNCTION("GOOGLETRANSLATE($B779,""en"",C$3)"),"ubODE Hybrid")</f>
        <v>ubODE Hybrid</v>
      </c>
      <c r="D779" s="21" t="str">
        <f ca="1">IFERROR(__xludf.DUMMYFUNCTION("GOOGLETRANSLATE($B779,""en"",D$3)"),"ubODE Hybrid")</f>
        <v>ubODE Hybrid</v>
      </c>
      <c r="E779" s="21" t="str">
        <f ca="1">IFERROR(__xludf.DUMMYFUNCTION("GOOGLETRANSLATE($B779,""en"",E$3)"),"ubODE híbrido")</f>
        <v>ubODE híbrido</v>
      </c>
      <c r="F779" s="21" t="str">
        <f ca="1">IFERROR(__xludf.DUMMYFUNCTION("GOOGLETRANSLATE($B779,""en"",F$3)"),"ubODE híbrido")</f>
        <v>ubODE híbrido</v>
      </c>
      <c r="G779" s="21" t="str">
        <f ca="1">IFERROR(__xludf.DUMMYFUNCTION("GOOGLETRANSLATE($B779,""en"",G$3)"),"ubODE hybride")</f>
        <v>ubODE hybride</v>
      </c>
      <c r="H779" s="21" t="str">
        <f ca="1">IFERROR(__xludf.DUMMYFUNCTION("GOOGLETRANSLATE($B779,""en"",H$3)"),"ubODE hibridoak")</f>
        <v>ubODE hibridoak</v>
      </c>
      <c r="I779" s="21" t="str">
        <f ca="1">IFERROR(__xludf.DUMMYFUNCTION("GOOGLETRANSLATE($B779,""en"",I$3)"),"ubODE híbrid")</f>
        <v>ubODE híbrid</v>
      </c>
      <c r="J779" s="21" t="str">
        <f ca="1">IFERROR(__xludf.DUMMYFUNCTION("GOOGLETRANSLATE($B779,""en"",J$3)"),"ubODE Hybrid")</f>
        <v>ubODE Hybrid</v>
      </c>
      <c r="K779" s="21" t="str">
        <f ca="1">IFERROR(__xludf.DUMMYFUNCTION("GOOGLETRANSLATE($B779,""en"",K$3)"),"ubODE混合")</f>
        <v>ubODE混合</v>
      </c>
      <c r="L779" s="21" t="str">
        <f ca="1">IFERROR(__xludf.DUMMYFUNCTION("GOOGLETRANSLATE($B779,""en"",L$3)"),"ubODE混合")</f>
        <v>ubODE混合</v>
      </c>
      <c r="M779" s="21" t="str">
        <f ca="1">IFERROR(__xludf.DUMMYFUNCTION("GOOGLETRANSLATE($B779,""en"",M$3)"),"ubODE Hybrid")</f>
        <v>ubODE Hybrid</v>
      </c>
      <c r="N779" s="21" t="str">
        <f ca="1">IFERROR(__xludf.DUMMYFUNCTION("GOOGLETRANSLATE($B779,""en"",N$3)"),"ubODE Hybrid")</f>
        <v>ubODE Hybrid</v>
      </c>
      <c r="O779" s="21" t="str">
        <f ca="1">IFERROR(__xludf.DUMMYFUNCTION("GOOGLETRANSLATE($B779,""en"",O$3)"),"ubODE Hybrid")</f>
        <v>ubODE Hybrid</v>
      </c>
      <c r="P779" s="21" t="str">
        <f ca="1">IFERROR(__xludf.DUMMYFUNCTION("GOOGLETRANSLATE($B779,""en"",P$3)"),"ubODE Hybrid")</f>
        <v>ubODE Hybrid</v>
      </c>
      <c r="Q779" s="21" t="str">
        <f ca="1">IFERROR(__xludf.DUMMYFUNCTION("GOOGLETRANSLATE($B779,""en"",Q$3)"),"ترکیبی ubODE")</f>
        <v>ترکیبی ubODE</v>
      </c>
      <c r="R779" s="21" t="str">
        <f ca="1">IFERROR(__xludf.DUMMYFUNCTION("GOOGLETRANSLATE($B779,""en"",R$3)"),"Hybrid ubODE")</f>
        <v>Hybrid ubODE</v>
      </c>
      <c r="S779" s="21" t="str">
        <f ca="1">IFERROR(__xludf.DUMMYFUNCTION("GOOGLETRANSLATE($B779,""en"",S$3)"),"ubODE Hybrid")</f>
        <v>ubODE Hybrid</v>
      </c>
      <c r="T779" s="21" t="str">
        <f ca="1">IFERROR(__xludf.DUMMYFUNCTION("GOOGLETRANSLATE($B779,""en"",T$3)"),"ubODE hybrid")</f>
        <v>ubODE hybrid</v>
      </c>
      <c r="U779" s="21" t="str">
        <f ca="1">IFERROR(__xludf.DUMMYFUNCTION("GOOGLETRANSLATE($B779,""en"",U$3)"),"ubODE الهجين")</f>
        <v>ubODE الهجين</v>
      </c>
      <c r="V779" s="21" t="str">
        <f ca="1">IFERROR(__xludf.DUMMYFUNCTION("GOOGLETRANSLATE($B779,""en"",V$3)"),"ubODE Hybrid")</f>
        <v>ubODE Hybrid</v>
      </c>
      <c r="W779" s="21" t="str">
        <f ca="1">IFERROR(__xludf.DUMMYFUNCTION("GOOGLETRANSLATE($B779,""en"",W$3)"),"ubODE Hybrid")</f>
        <v>ubODE Hybrid</v>
      </c>
      <c r="X779" s="21" t="str">
        <f ca="1">IFERROR(__xludf.DUMMYFUNCTION("GOOGLETRANSLATE($B779,""en"",X$3)"),"ubODE híbrido")</f>
        <v>ubODE híbrido</v>
      </c>
      <c r="Y779" s="21"/>
      <c r="Z779" s="21"/>
    </row>
    <row r="780" spans="1:26" ht="32.25" customHeight="1" x14ac:dyDescent="0.2">
      <c r="A780" s="17" t="s">
        <v>1659</v>
      </c>
      <c r="B780" s="17" t="s">
        <v>1660</v>
      </c>
      <c r="C780" s="21" t="str">
        <f ca="1">IFERROR(__xludf.DUMMYFUNCTION("GOOGLETRANSLATE($B780,""en"",C$3)"),"ubODE")</f>
        <v>ubODE</v>
      </c>
      <c r="D780" s="21" t="str">
        <f ca="1">IFERROR(__xludf.DUMMYFUNCTION("GOOGLETRANSLATE($B780,""en"",D$3)"),"ubODE")</f>
        <v>ubODE</v>
      </c>
      <c r="E780" s="21" t="str">
        <f ca="1">IFERROR(__xludf.DUMMYFUNCTION("GOOGLETRANSLATE($B780,""en"",E$3)"),"ubODE")</f>
        <v>ubODE</v>
      </c>
      <c r="F780" s="21" t="str">
        <f ca="1">IFERROR(__xludf.DUMMYFUNCTION("GOOGLETRANSLATE($B780,""en"",F$3)"),"ubODE")</f>
        <v>ubODE</v>
      </c>
      <c r="G780" s="21" t="str">
        <f ca="1">IFERROR(__xludf.DUMMYFUNCTION("GOOGLETRANSLATE($B780,""en"",G$3)"),"ubODE")</f>
        <v>ubODE</v>
      </c>
      <c r="H780" s="21" t="str">
        <f ca="1">IFERROR(__xludf.DUMMYFUNCTION("GOOGLETRANSLATE($B780,""en"",H$3)"),"ubODE")</f>
        <v>ubODE</v>
      </c>
      <c r="I780" s="21" t="str">
        <f ca="1">IFERROR(__xludf.DUMMYFUNCTION("GOOGLETRANSLATE($B780,""en"",I$3)"),"ubODE")</f>
        <v>ubODE</v>
      </c>
      <c r="J780" s="21" t="str">
        <f ca="1">IFERROR(__xludf.DUMMYFUNCTION("GOOGLETRANSLATE($B780,""en"",J$3)"),"ubODE")</f>
        <v>ubODE</v>
      </c>
      <c r="K780" s="21" t="str">
        <f ca="1">IFERROR(__xludf.DUMMYFUNCTION("GOOGLETRANSLATE($B780,""en"",K$3)"),"ubODE")</f>
        <v>ubODE</v>
      </c>
      <c r="L780" s="21" t="str">
        <f ca="1">IFERROR(__xludf.DUMMYFUNCTION("GOOGLETRANSLATE($B780,""en"",L$3)"),"ubODE")</f>
        <v>ubODE</v>
      </c>
      <c r="M780" s="21" t="str">
        <f ca="1">IFERROR(__xludf.DUMMYFUNCTION("GOOGLETRANSLATE($B780,""en"",M$3)"),"ubODE")</f>
        <v>ubODE</v>
      </c>
      <c r="N780" s="21" t="str">
        <f ca="1">IFERROR(__xludf.DUMMYFUNCTION("GOOGLETRANSLATE($B780,""en"",N$3)"),"ubODE")</f>
        <v>ubODE</v>
      </c>
      <c r="O780" s="21" t="str">
        <f ca="1">IFERROR(__xludf.DUMMYFUNCTION("GOOGLETRANSLATE($B780,""en"",O$3)"),"ubODE")</f>
        <v>ubODE</v>
      </c>
      <c r="P780" s="21" t="str">
        <f ca="1">IFERROR(__xludf.DUMMYFUNCTION("GOOGLETRANSLATE($B780,""en"",P$3)"),"ubODE")</f>
        <v>ubODE</v>
      </c>
      <c r="Q780" s="21" t="str">
        <f ca="1">IFERROR(__xludf.DUMMYFUNCTION("GOOGLETRANSLATE($B780,""en"",Q$3)"),"ubODE")</f>
        <v>ubODE</v>
      </c>
      <c r="R780" s="21" t="str">
        <f ca="1">IFERROR(__xludf.DUMMYFUNCTION("GOOGLETRANSLATE($B780,""en"",R$3)"),"ubODE")</f>
        <v>ubODE</v>
      </c>
      <c r="S780" s="21" t="str">
        <f ca="1">IFERROR(__xludf.DUMMYFUNCTION("GOOGLETRANSLATE($B780,""en"",S$3)"),"ubODE")</f>
        <v>ubODE</v>
      </c>
      <c r="T780" s="21" t="str">
        <f ca="1">IFERROR(__xludf.DUMMYFUNCTION("GOOGLETRANSLATE($B780,""en"",T$3)"),"ubODE")</f>
        <v>ubODE</v>
      </c>
      <c r="U780" s="21" t="str">
        <f ca="1">IFERROR(__xludf.DUMMYFUNCTION("GOOGLETRANSLATE($B780,""en"",U$3)"),"ubODE")</f>
        <v>ubODE</v>
      </c>
      <c r="V780" s="21" t="str">
        <f ca="1">IFERROR(__xludf.DUMMYFUNCTION("GOOGLETRANSLATE($B780,""en"",V$3)"),"ubODE")</f>
        <v>ubODE</v>
      </c>
      <c r="W780" s="21" t="str">
        <f ca="1">IFERROR(__xludf.DUMMYFUNCTION("GOOGLETRANSLATE($B780,""en"",W$3)"),"ubODE")</f>
        <v>ubODE</v>
      </c>
      <c r="X780" s="21" t="str">
        <f ca="1">IFERROR(__xludf.DUMMYFUNCTION("GOOGLETRANSLATE($B780,""en"",X$3)"),"ubODE")</f>
        <v>ubODE</v>
      </c>
      <c r="Y780" s="21"/>
      <c r="Z780" s="21"/>
    </row>
    <row r="781" spans="1:26" ht="32.25" customHeight="1" x14ac:dyDescent="0.2">
      <c r="A781" s="10" t="s">
        <v>1661</v>
      </c>
      <c r="B781" s="10" t="s">
        <v>1662</v>
      </c>
      <c r="C781" s="11" t="str">
        <f ca="1">IFERROR(__xludf.DUMMYFUNCTION("GOOGLETRANSLATE($B781,""en"",C$3)"),"Ubit Open Dynamics Engine")</f>
        <v>Ubit Open Dynamics Engine</v>
      </c>
      <c r="D781" s="11" t="str">
        <f ca="1">IFERROR(__xludf.DUMMYFUNCTION("GOOGLETRANSLATE($B781,""en"",D$3)"),"UBIT Open Dynamic Engine")</f>
        <v>UBIT Open Dynamic Engine</v>
      </c>
      <c r="E781" s="11" t="str">
        <f ca="1">IFERROR(__xludf.DUMMYFUNCTION("GOOGLETRANSLATE($B781,""en"",E$3)"),"Ubit Open Dynamics Engine")</f>
        <v>Ubit Open Dynamics Engine</v>
      </c>
      <c r="F781" s="11" t="str">
        <f ca="1">IFERROR(__xludf.DUMMYFUNCTION("GOOGLETRANSLATE($B781,""en"",F$3)"),"Ubit Open Dynamics Engine")</f>
        <v>Ubit Open Dynamics Engine</v>
      </c>
      <c r="G781" s="11" t="str">
        <f ca="1">IFERROR(__xludf.DUMMYFUNCTION("GOOGLETRANSLATE($B781,""en"",G$3)"),"Ubit Ouvrir dynamique du moteur")</f>
        <v>Ubit Ouvrir dynamique du moteur</v>
      </c>
      <c r="H781" s="11" t="str">
        <f ca="1">IFERROR(__xludf.DUMMYFUNCTION("GOOGLETRANSLATE($B781,""en"",H$3)"),"Ubit Open dinamikoa Motorra")</f>
        <v>Ubit Open dinamikoa Motorra</v>
      </c>
      <c r="I781" s="11" t="str">
        <f ca="1">IFERROR(__xludf.DUMMYFUNCTION("GOOGLETRANSLATE($B781,""en"",I$3)"),"Ubit obert motor dinàmic")</f>
        <v>Ubit obert motor dinàmic</v>
      </c>
      <c r="J781" s="11" t="str">
        <f ca="1">IFERROR(__xludf.DUMMYFUNCTION("GOOGLETRANSLATE($B781,""en"",J$3)"),"Ubit Otevřít Dynamic Engine")</f>
        <v>Ubit Otevřít Dynamic Engine</v>
      </c>
      <c r="K781" s="11" t="str">
        <f ca="1">IFERROR(__xludf.DUMMYFUNCTION("GOOGLETRANSLATE($B781,""en"",K$3)"),"UBIT打开动态引擎")</f>
        <v>UBIT打开动态引擎</v>
      </c>
      <c r="L781" s="11" t="str">
        <f ca="1">IFERROR(__xludf.DUMMYFUNCTION("GOOGLETRANSLATE($B781,""en"",L$3)"),"UBIT打開動態引擎")</f>
        <v>UBIT打開動態引擎</v>
      </c>
      <c r="M781" s="11" t="str">
        <f ca="1">IFERROR(__xludf.DUMMYFUNCTION("GOOGLETRANSLATE($B781,""en"",M$3)"),"Ubit Open Dynamic Engine")</f>
        <v>Ubit Open Dynamic Engine</v>
      </c>
      <c r="N781" s="11" t="str">
        <f ca="1">IFERROR(__xludf.DUMMYFUNCTION("GOOGLETRANSLATE($B781,""en"",N$3)"),"Ubit Δυναμική Μηχανή Open")</f>
        <v>Ubit Δυναμική Μηχανή Open</v>
      </c>
      <c r="O781" s="11" t="str">
        <f ca="1">IFERROR(__xludf.DUMMYFUNCTION("GOOGLETRANSLATE($B781,""en"",O$3)"),"Ubit Open Dynamics Engine")</f>
        <v>Ubit Open Dynamics Engine</v>
      </c>
      <c r="P781" s="11" t="str">
        <f ca="1">IFERROR(__xludf.DUMMYFUNCTION("GOOGLETRANSLATE($B781,""en"",P$3)"),"Ubit Inneall Dinimiciúla Oscailte")</f>
        <v>Ubit Inneall Dinimiciúla Oscailte</v>
      </c>
      <c r="Q781" s="11" t="str">
        <f ca="1">IFERROR(__xludf.DUMMYFUNCTION("GOOGLETRANSLATE($B781,""en"",Q$3)"),"Ubit گسترش دینامیک")</f>
        <v>Ubit گسترش دینامیک</v>
      </c>
      <c r="R781" s="11" t="str">
        <f ca="1">IFERROR(__xludf.DUMMYFUNCTION("GOOGLETRANSLATE($B781,""en"",R$3)"),"Ubit Open דינמי מנוע")</f>
        <v>Ubit Open דינמי מנוע</v>
      </c>
      <c r="S781" s="11" t="str">
        <f ca="1">IFERROR(__xludf.DUMMYFUNCTION("GOOGLETRANSLATE($B781,""en"",S$3)"),"Ubit Open Dynamic Vél")</f>
        <v>Ubit Open Dynamic Vél</v>
      </c>
      <c r="T781" s="11" t="str">
        <f ca="1">IFERROR(__xludf.DUMMYFUNCTION("GOOGLETRANSLATE($B781,""en"",T$3)"),"UBiT Åpne Dynamic Engine")</f>
        <v>UBiT Åpne Dynamic Engine</v>
      </c>
      <c r="U781" s="11" t="str">
        <f ca="1">IFERROR(__xludf.DUMMYFUNCTION("GOOGLETRANSLATE($B781,""en"",U$3)"),"Ubit توسيع المحرك الديناميكي")</f>
        <v>Ubit توسيع المحرك الديناميكي</v>
      </c>
      <c r="V781" s="11" t="str">
        <f ca="1">IFERROR(__xludf.DUMMYFUNCTION("GOOGLETRANSLATE($B781,""en"",V$3)"),"Ubit Otwarte dynamiczne silnika")</f>
        <v>Ubit Otwarte dynamiczne silnika</v>
      </c>
      <c r="W781" s="11" t="str">
        <f ca="1">IFERROR(__xludf.DUMMYFUNCTION("GOOGLETRANSLATE($B781,""en"",W$3)"),"Open Dynamic Убить двигатель")</f>
        <v>Open Dynamic Убить двигатель</v>
      </c>
      <c r="X781" s="11" t="str">
        <f ca="1">IFERROR(__xludf.DUMMYFUNCTION("GOOGLETRANSLATE($B781,""en"",X$3)"),"Ubit abierto motor dinámico")</f>
        <v>Ubit abierto motor dinámico</v>
      </c>
    </row>
    <row r="782" spans="1:26" ht="32.25" customHeight="1" x14ac:dyDescent="0.2">
      <c r="A782" s="17" t="s">
        <v>1663</v>
      </c>
      <c r="B782" s="17" t="s">
        <v>1664</v>
      </c>
      <c r="C782" s="21" t="str">
        <f ca="1">IFERROR(__xludf.DUMMYFUNCTION("GOOGLETRANSLATE($B782,""en"",C$3)"),"Einstellungen konnten nicht gespeichert:")</f>
        <v>Einstellungen konnten nicht gespeichert:</v>
      </c>
      <c r="D782" s="21" t="str">
        <f ca="1">IFERROR(__xludf.DUMMYFUNCTION("GOOGLETRANSLATE($B782,""en"",D$3)"),"Det går inte att spara inställningar:")</f>
        <v>Det går inte att spara inställningar:</v>
      </c>
      <c r="E782" s="21" t="str">
        <f ca="1">IFERROR(__xludf.DUMMYFUNCTION("GOOGLETRANSLATE($B782,""en"",E$3)"),"Não foi possível salvar as configurações:")</f>
        <v>Não foi possível salvar as configurações:</v>
      </c>
      <c r="F782" s="21" t="str">
        <f ca="1">IFERROR(__xludf.DUMMYFUNCTION("GOOGLETRANSLATE($B782,""en"",F$3)"),"Não foi possível salvar as configurações:")</f>
        <v>Não foi possível salvar as configurações:</v>
      </c>
      <c r="G782" s="21" t="str">
        <f ca="1">IFERROR(__xludf.DUMMYFUNCTION("GOOGLETRANSLATE($B782,""en"",G$3)"),"Impossible d'enregistrer les paramètres:")</f>
        <v>Impossible d'enregistrer les paramètres:</v>
      </c>
      <c r="H782" s="21" t="str">
        <f ca="1">IFERROR(__xludf.DUMMYFUNCTION("GOOGLETRANSLATE($B782,""en"",H$3)"),"Ezin ezarpenak gorde:")</f>
        <v>Ezin ezarpenak gorde:</v>
      </c>
      <c r="I782" s="21" t="str">
        <f ca="1">IFERROR(__xludf.DUMMYFUNCTION("GOOGLETRANSLATE($B782,""en"",I$3)"),"No es pot desar la configuració:")</f>
        <v>No es pot desar la configuració:</v>
      </c>
      <c r="J782" s="21" t="str">
        <f ca="1">IFERROR(__xludf.DUMMYFUNCTION("GOOGLETRANSLATE($B782,""en"",J$3)"),"Nelze uložit nastavení:")</f>
        <v>Nelze uložit nastavení:</v>
      </c>
      <c r="K782" s="21" t="str">
        <f ca="1">IFERROR(__xludf.DUMMYFUNCTION("GOOGLETRANSLATE($B782,""en"",K$3)"),"无法保存设置：")</f>
        <v>无法保存设置：</v>
      </c>
      <c r="L782" s="21" t="str">
        <f ca="1">IFERROR(__xludf.DUMMYFUNCTION("GOOGLETRANSLATE($B782,""en"",L$3)"),"無法保存設置：")</f>
        <v>無法保存設置：</v>
      </c>
      <c r="M782" s="21" t="str">
        <f ca="1">IFERROR(__xludf.DUMMYFUNCTION("GOOGLETRANSLATE($B782,""en"",M$3)"),"Kan instellingen op te slaan:")</f>
        <v>Kan instellingen op te slaan:</v>
      </c>
      <c r="N782" s="21" t="str">
        <f ca="1">IFERROR(__xludf.DUMMYFUNCTION("GOOGLETRANSLATE($B782,""en"",N$3)"),"Δεν είναι δυνατή η αποθήκευση των ρυθμίσεων:")</f>
        <v>Δεν είναι δυνατή η αποθήκευση των ρυθμίσεων:</v>
      </c>
      <c r="O782" s="21" t="str">
        <f ca="1">IFERROR(__xludf.DUMMYFUNCTION("GOOGLETRANSLATE($B782,""en"",O$3)"),"Asetuksia ei voi tallentaa:")</f>
        <v>Asetuksia ei voi tallentaa:</v>
      </c>
      <c r="P782" s="21" t="str">
        <f ca="1">IFERROR(__xludf.DUMMYFUNCTION("GOOGLETRANSLATE($B782,""en"",P$3)"),"Níféidir socruithe a shábháil:")</f>
        <v>Níféidir socruithe a shábháil:</v>
      </c>
      <c r="Q782" s="21" t="str">
        <f ca="1">IFERROR(__xludf.DUMMYFUNCTION("GOOGLETRANSLATE($B782,""en"",Q$3)"),"ذخیره تنظیمات ممکن:")</f>
        <v>ذخیره تنظیمات ممکن:</v>
      </c>
      <c r="R782" s="21" t="str">
        <f ca="1">IFERROR(__xludf.DUMMYFUNCTION("GOOGLETRANSLATE($B782,""en"",R$3)"),"אין אפשרות לשמור הגדרות:")</f>
        <v>אין אפשרות לשמור הגדרות:</v>
      </c>
      <c r="S782" s="21" t="str">
        <f ca="1">IFERROR(__xludf.DUMMYFUNCTION("GOOGLETRANSLATE($B782,""en"",S$3)"),"Ekki var hægt að vista stillingar:")</f>
        <v>Ekki var hægt að vista stillingar:</v>
      </c>
      <c r="T782" s="21" t="str">
        <f ca="1">IFERROR(__xludf.DUMMYFUNCTION("GOOGLETRANSLATE($B782,""en"",T$3)"),"Kan ikke lagre innstillinger:")</f>
        <v>Kan ikke lagre innstillinger:</v>
      </c>
      <c r="U782" s="21" t="str">
        <f ca="1">IFERROR(__xludf.DUMMYFUNCTION("GOOGLETRANSLATE($B782,""en"",U$3)"),"غير قادر على حفظ الإعدادات:")</f>
        <v>غير قادر على حفظ الإعدادات:</v>
      </c>
      <c r="V782" s="21" t="str">
        <f ca="1">IFERROR(__xludf.DUMMYFUNCTION("GOOGLETRANSLATE($B782,""en"",V$3)"),"Nie można zapisać ustawienia:")</f>
        <v>Nie można zapisać ustawienia:</v>
      </c>
      <c r="W782" s="21" t="str">
        <f ca="1">IFERROR(__xludf.DUMMYFUNCTION("GOOGLETRANSLATE($B782,""en"",W$3)"),"Не удалось сохранить настройки:")</f>
        <v>Не удалось сохранить настройки:</v>
      </c>
      <c r="X782" s="21" t="str">
        <f ca="1">IFERROR(__xludf.DUMMYFUNCTION("GOOGLETRANSLATE($B782,""en"",X$3)"),"No se puede guardar la configuración:")</f>
        <v>No se puede guardar la configuración:</v>
      </c>
      <c r="Y782" s="21"/>
      <c r="Z782" s="21"/>
    </row>
    <row r="783" spans="1:26" ht="32.25" customHeight="1" x14ac:dyDescent="0.2">
      <c r="A783" s="17" t="s">
        <v>1665</v>
      </c>
      <c r="B783" s="17" t="s">
        <v>1666</v>
      </c>
      <c r="C783" s="21" t="str">
        <f ca="1">IFERROR(__xludf.DUMMYFUNCTION("GOOGLETRANSLATE($B783,""en"",C$3)"),"Geben Sie den Vor- und Nachname der Person, die alle nicht zugeordneten Objekte besitzen wird")</f>
        <v>Geben Sie den Vor- und Nachname der Person, die alle nicht zugeordneten Objekte besitzen wird</v>
      </c>
      <c r="D783" s="21" t="str">
        <f ca="1">IFERROR(__xludf.DUMMYFUNCTION("GOOGLETRANSLATE($B783,""en"",D$3)"),"Ange det första och sista namnet på den person som kommer att äga några otilldelade föremål")</f>
        <v>Ange det första och sista namnet på den person som kommer att äga några otilldelade föremål</v>
      </c>
      <c r="E783" s="21" t="str">
        <f ca="1">IFERROR(__xludf.DUMMYFUNCTION("GOOGLETRANSLATE($B783,""en"",E$3)"),"Digite o primeiro e último nome da pessoa que será o dono quaisquer objetos não atribuídos")</f>
        <v>Digite o primeiro e último nome da pessoa que será o dono quaisquer objetos não atribuídos</v>
      </c>
      <c r="F783" s="21" t="str">
        <f ca="1">IFERROR(__xludf.DUMMYFUNCTION("GOOGLETRANSLATE($B783,""en"",F$3)"),"Digite o primeiro e último nome da pessoa que será o dono quaisquer objetos não atribuídos")</f>
        <v>Digite o primeiro e último nome da pessoa que será o dono quaisquer objetos não atribuídos</v>
      </c>
      <c r="G783" s="21" t="str">
        <f ca="1">IFERROR(__xludf.DUMMYFUNCTION("GOOGLETRANSLATE($B783,""en"",G$3)"),"Entrez le nom et prénom de la personne qui sera propriétaire des objets non affectés")</f>
        <v>Entrez le nom et prénom de la personne qui sera propriétaire des objets non affectés</v>
      </c>
      <c r="H783" s="21" t="str">
        <f ca="1">IFERROR(__xludf.DUMMYFUNCTION("GOOGLETRANSLATE($B783,""en"",H$3)"),"Idatzi Lehenik eta Last pertsonaren izena duten edozein unassigned objektu jabea izango")</f>
        <v>Idatzi Lehenik eta Last pertsonaren izena duten edozein unassigned objektu jabea izango</v>
      </c>
      <c r="I783" s="21" t="str">
        <f ca="1">IFERROR(__xludf.DUMMYFUNCTION("GOOGLETRANSLATE($B783,""en"",I$3)"),"Introduïu el nom i cognom de la persona que serà el propietari dels objectes no assignats")</f>
        <v>Introduïu el nom i cognom de la persona que serà el propietari dels objectes no assignats</v>
      </c>
      <c r="J783" s="21" t="str">
        <f ca="1">IFERROR(__xludf.DUMMYFUNCTION("GOOGLETRANSLATE($B783,""en"",J$3)"),"Zadejte jméno a příjmení osoby, která bude vlastnit žádné nepřiřazené objekty")</f>
        <v>Zadejte jméno a příjmení osoby, která bude vlastnit žádné nepřiřazené objekty</v>
      </c>
      <c r="K783" s="21" t="str">
        <f ca="1">IFERROR(__xludf.DUMMYFUNCTION("GOOGLETRANSLATE($B783,""en"",K$3)"),"输入联系人的姓氏和名字谁将会拥有任何未分配的对象")</f>
        <v>输入联系人的姓氏和名字谁将会拥有任何未分配的对象</v>
      </c>
      <c r="L783" s="21" t="str">
        <f ca="1">IFERROR(__xludf.DUMMYFUNCTION("GOOGLETRANSLATE($B783,""en"",L$3)"),"輸入聯繫人的姓氏和名字誰將會擁有任何未分配的對象")</f>
        <v>輸入聯繫人的姓氏和名字誰將會擁有任何未分配的對象</v>
      </c>
      <c r="M783" s="21" t="str">
        <f ca="1">IFERROR(__xludf.DUMMYFUNCTION("GOOGLETRANSLATE($B783,""en"",M$3)"),"Voer de voor- en achternaam van de persoon die elke niet-toegewezen objecten eigenaar")</f>
        <v>Voer de voor- en achternaam van de persoon die elke niet-toegewezen objecten eigenaar</v>
      </c>
      <c r="N783" s="21" t="str">
        <f ca="1">IFERROR(__xludf.DUMMYFUNCTION("GOOGLETRANSLATE($B783,""en"",N$3)"),"Πληκτρολογήστε το όνομα και το επώνυμο του ατόμου που θα κατέχει οποιεσδήποτε αδιάθετες αντικείμενα")</f>
        <v>Πληκτρολογήστε το όνομα και το επώνυμο του ατόμου που θα κατέχει οποιεσδήποτε αδιάθετες αντικείμενα</v>
      </c>
      <c r="O783" s="21" t="str">
        <f ca="1">IFERROR(__xludf.DUMMYFUNCTION("GOOGLETRANSLATE($B783,""en"",O$3)"),"Anna etu- ja sukunimi henkilön omistavat tahansa määrittämätön esineitä")</f>
        <v>Anna etu- ja sukunimi henkilön omistavat tahansa määrittämätön esineitä</v>
      </c>
      <c r="P783" s="21" t="str">
        <f ca="1">IFERROR(__xludf.DUMMYFUNCTION("GOOGLETRANSLATE($B783,""en"",P$3)"),"Cuir isteach an chéad agus an Last ainm an duine a bheidh ar leo aon rudaí neamhshannta")</f>
        <v>Cuir isteach an chéad agus an Last ainm an duine a bheidh ar leo aon rudaí neamhshannta</v>
      </c>
      <c r="Q783" s="21" t="str">
        <f ca="1">IFERROR(__xludf.DUMMYFUNCTION("GOOGLETRANSLATE($B783,""en"",Q$3)"),"اولین و آخرین نام فردی است که در هر نوع اشیاء اختصاص داده نشده خود را وارد کنید")</f>
        <v>اولین و آخرین نام فردی است که در هر نوع اشیاء اختصاص داده نشده خود را وارد کنید</v>
      </c>
      <c r="R783" s="21" t="str">
        <f ca="1">IFERROR(__xludf.DUMMYFUNCTION("GOOGLETRANSLATE($B783,""en"",R$3)"),"הזן את השם הפרטי ושם המשפחה של מי יהיה הבעלים של כל החפצים שלא הוקצה")</f>
        <v>הזן את השם הפרטי ושם המשפחה של מי יהיה הבעלים של כל החפצים שלא הוקצה</v>
      </c>
      <c r="S783" s="21" t="str">
        <f ca="1">IFERROR(__xludf.DUMMYFUNCTION("GOOGLETRANSLATE($B783,""en"",S$3)"),"Sláðu inn fyrst og síðast nafn þess aðila sem vilja eiga neina Unassigned hlutum")</f>
        <v>Sláðu inn fyrst og síðast nafn þess aðila sem vilja eiga neina Unassigned hlutum</v>
      </c>
      <c r="T783" s="21" t="str">
        <f ca="1">IFERROR(__xludf.DUMMYFUNCTION("GOOGLETRANSLATE($B783,""en"",T$3)"),"Skriv inn fornavn og etternavn på personen som vil eie noen ufordelte gjenstander")</f>
        <v>Skriv inn fornavn og etternavn på personen som vil eie noen ufordelte gjenstander</v>
      </c>
      <c r="U783" s="21" t="str">
        <f ca="1">IFERROR(__xludf.DUMMYFUNCTION("GOOGLETRANSLATE($B783,""en"",U$3)"),"أدخل الاسم الأول والأخير للشخص الذي سوف تملك أي كائنات غير المعينة")</f>
        <v>أدخل الاسم الأول والأخير للشخص الذي سوف تملك أي كائنات غير المعينة</v>
      </c>
      <c r="V783" s="21" t="str">
        <f ca="1">IFERROR(__xludf.DUMMYFUNCTION("GOOGLETRANSLATE($B783,""en"",V$3)"),"Wpisz nazwę pierwszy i ostatni osoby, która będzie posiadał żadnych nieprzypisanych obiektów")</f>
        <v>Wpisz nazwę pierwszy i ostatni osoby, która będzie posiadał żadnych nieprzypisanych obiektów</v>
      </c>
      <c r="W783" s="21" t="str">
        <f ca="1">IFERROR(__xludf.DUMMYFUNCTION("GOOGLETRANSLATE($B783,""en"",W$3)"),"Введите имя первого и последний человек, который будет владеть любые нераспределенные объектами")</f>
        <v>Введите имя первого и последний человек, который будет владеть любые нераспределенные объектами</v>
      </c>
      <c r="X783" s="21" t="str">
        <f ca="1">IFERROR(__xludf.DUMMYFUNCTION("GOOGLETRANSLATE($B783,""en"",X$3)"),"Introduzca el nombre y apellido de la persona que será el propietario de los objetos no asignados")</f>
        <v>Introduzca el nombre y apellido de la persona que será el propietario de los objetos no asignados</v>
      </c>
      <c r="Y783" s="21"/>
      <c r="Z783" s="21"/>
    </row>
    <row r="784" spans="1:26" ht="32.25" customHeight="1" x14ac:dyDescent="0.2">
      <c r="A784" s="17" t="s">
        <v>1667</v>
      </c>
      <c r="B784" s="17" t="s">
        <v>1668</v>
      </c>
      <c r="C784" s="21" t="str">
        <f ca="1">IFERROR(__xludf.DUMMYFUNCTION("GOOGLETRANSLATE($B784,""en"",C$3)"),"Nicht erkannte Dateityp")</f>
        <v>Nicht erkannte Dateityp</v>
      </c>
      <c r="D784" s="21" t="str">
        <f ca="1">IFERROR(__xludf.DUMMYFUNCTION("GOOGLETRANSLATE($B784,""en"",D$3)"),"Okänd filtyp")</f>
        <v>Okänd filtyp</v>
      </c>
      <c r="E784" s="21" t="str">
        <f ca="1">IFERROR(__xludf.DUMMYFUNCTION("GOOGLETRANSLATE($B784,""en"",E$3)"),"tipo de arquivo não reconhecido")</f>
        <v>tipo de arquivo não reconhecido</v>
      </c>
      <c r="F784" s="21" t="str">
        <f ca="1">IFERROR(__xludf.DUMMYFUNCTION("GOOGLETRANSLATE($B784,""en"",F$3)"),"tipo de arquivo não reconhecido")</f>
        <v>tipo de arquivo não reconhecido</v>
      </c>
      <c r="G784" s="21" t="str">
        <f ca="1">IFERROR(__xludf.DUMMYFUNCTION("GOOGLETRANSLATE($B784,""en"",G$3)"),"Type de fichier non reconnu")</f>
        <v>Type de fichier non reconnu</v>
      </c>
      <c r="H784" s="21" t="str">
        <f ca="1">IFERROR(__xludf.DUMMYFUNCTION("GOOGLETRANSLATE($B784,""en"",H$3)"),"Ezezaguna, fitxategi mota")</f>
        <v>Ezezaguna, fitxategi mota</v>
      </c>
      <c r="I784" s="21" t="str">
        <f ca="1">IFERROR(__xludf.DUMMYFUNCTION("GOOGLETRANSLATE($B784,""en"",I$3)"),"Tipus de fitxer no reconegut")</f>
        <v>Tipus de fitxer no reconegut</v>
      </c>
      <c r="J784" s="21" t="str">
        <f ca="1">IFERROR(__xludf.DUMMYFUNCTION("GOOGLETRANSLATE($B784,""en"",J$3)"),"Neznámého typu souboru")</f>
        <v>Neznámého typu souboru</v>
      </c>
      <c r="K784" s="21" t="str">
        <f ca="1">IFERROR(__xludf.DUMMYFUNCTION("GOOGLETRANSLATE($B784,""en"",K$3)"),"无法识别的文件类型")</f>
        <v>无法识别的文件类型</v>
      </c>
      <c r="L784" s="21" t="str">
        <f ca="1">IFERROR(__xludf.DUMMYFUNCTION("GOOGLETRANSLATE($B784,""en"",L$3)"),"無法識別的文件類型")</f>
        <v>無法識別的文件類型</v>
      </c>
      <c r="M784" s="21" t="str">
        <f ca="1">IFERROR(__xludf.DUMMYFUNCTION("GOOGLETRANSLATE($B784,""en"",M$3)"),"Niet-herkend bestandstype")</f>
        <v>Niet-herkend bestandstype</v>
      </c>
      <c r="N784" s="21" t="str">
        <f ca="1">IFERROR(__xludf.DUMMYFUNCTION("GOOGLETRANSLATE($B784,""en"",N$3)"),"Άγνωστος τύπος αρχείου")</f>
        <v>Άγνωστος τύπος αρχείου</v>
      </c>
      <c r="O784" s="21" t="str">
        <f ca="1">IFERROR(__xludf.DUMMYFUNCTION("GOOGLETRANSLATE($B784,""en"",O$3)"),"Tunnistamaton tiedostotyyppi")</f>
        <v>Tunnistamaton tiedostotyyppi</v>
      </c>
      <c r="P784" s="21" t="str">
        <f ca="1">IFERROR(__xludf.DUMMYFUNCTION("GOOGLETRANSLATE($B784,""en"",P$3)"),"Cineál comhaid anaithnid")</f>
        <v>Cineál comhaid anaithnid</v>
      </c>
      <c r="Q784" s="21" t="str">
        <f ca="1">IFERROR(__xludf.DUMMYFUNCTION("GOOGLETRANSLATE($B784,""en"",Q$3)"),"نوع فایل شناخته شده")</f>
        <v>نوع فایل شناخته شده</v>
      </c>
      <c r="R784" s="21" t="str">
        <f ca="1">IFERROR(__xludf.DUMMYFUNCTION("GOOGLETRANSLATE($B784,""en"",R$3)"),"סוג קובץ לא מזוהה")</f>
        <v>סוג קובץ לא מזוהה</v>
      </c>
      <c r="S784" s="21" t="str">
        <f ca="1">IFERROR(__xludf.DUMMYFUNCTION("GOOGLETRANSLATE($B784,""en"",S$3)"),"Óþekkt skráargerð")</f>
        <v>Óþekkt skráargerð</v>
      </c>
      <c r="T784" s="21" t="str">
        <f ca="1">IFERROR(__xludf.DUMMYFUNCTION("GOOGLETRANSLATE($B784,""en"",T$3)"),"Ukjent filtype")</f>
        <v>Ukjent filtype</v>
      </c>
      <c r="U784" s="21" t="str">
        <f ca="1">IFERROR(__xludf.DUMMYFUNCTION("GOOGLETRANSLATE($B784,""en"",U$3)"),"نوع ملف غير معروف")</f>
        <v>نوع ملف غير معروف</v>
      </c>
      <c r="V784" s="21" t="str">
        <f ca="1">IFERROR(__xludf.DUMMYFUNCTION("GOOGLETRANSLATE($B784,""en"",V$3)"),"Nierozpoznany typ pliku")</f>
        <v>Nierozpoznany typ pliku</v>
      </c>
      <c r="W784" s="21" t="str">
        <f ca="1">IFERROR(__xludf.DUMMYFUNCTION("GOOGLETRANSLATE($B784,""en"",W$3)"),"Непризнанный тип файла")</f>
        <v>Непризнанный тип файла</v>
      </c>
      <c r="X784" s="21" t="str">
        <f ca="1">IFERROR(__xludf.DUMMYFUNCTION("GOOGLETRANSLATE($B784,""en"",X$3)"),"Tipo de archivo no reconocido")</f>
        <v>Tipo de archivo no reconocido</v>
      </c>
      <c r="Y784" s="21"/>
      <c r="Z784" s="21"/>
    </row>
    <row r="785" spans="1:26" ht="32.25" customHeight="1" x14ac:dyDescent="0.2">
      <c r="A785" s="17" t="s">
        <v>1669</v>
      </c>
      <c r="B785" s="17" t="s">
        <v>1670</v>
      </c>
      <c r="C785" s="21" t="str">
        <f ca="1">IFERROR(__xludf.DUMMYFUNCTION("GOOGLETRANSLATE($B785,""en"",C$3)"),"Update heruntergeladen wurde. Installieren Sie es jetzt?")</f>
        <v>Update heruntergeladen wurde. Installieren Sie es jetzt?</v>
      </c>
      <c r="D785" s="21" t="str">
        <f ca="1">IFERROR(__xludf.DUMMYFUNCTION("GOOGLETRANSLATE($B785,""en"",D$3)"),"Update har laddats ner. Installera det nu?")</f>
        <v>Update har laddats ner. Installera det nu?</v>
      </c>
      <c r="E785" s="21" t="str">
        <f ca="1">IFERROR(__xludf.DUMMYFUNCTION("GOOGLETRANSLATE($B785,""en"",E$3)"),"Atualização foi baixada. Instalá-lo agora?")</f>
        <v>Atualização foi baixada. Instalá-lo agora?</v>
      </c>
      <c r="F785" s="21" t="str">
        <f ca="1">IFERROR(__xludf.DUMMYFUNCTION("GOOGLETRANSLATE($B785,""en"",F$3)"),"Atualização foi baixada. Instalá-lo agora?")</f>
        <v>Atualização foi baixada. Instalá-lo agora?</v>
      </c>
      <c r="G785" s="21" t="str">
        <f ca="1">IFERROR(__xludf.DUMMYFUNCTION("GOOGLETRANSLATE($B785,""en"",G$3)"),"Mise à jour a été téléchargé. Installez-le maintenant?")</f>
        <v>Mise à jour a été téléchargé. Installez-le maintenant?</v>
      </c>
      <c r="H785" s="21" t="str">
        <f ca="1">IFERROR(__xludf.DUMMYFUNCTION("GOOGLETRANSLATE($B785,""en"",H$3)"),"Update deskargatu da. Instalatu orain?")</f>
        <v>Update deskargatu da. Instalatu orain?</v>
      </c>
      <c r="I785" s="21" t="str">
        <f ca="1">IFERROR(__xludf.DUMMYFUNCTION("GOOGLETRANSLATE($B785,""en"",I$3)"),"Actualització s'ha descarregat. Instal·lar-ara?")</f>
        <v>Actualització s'ha descarregat. Instal·lar-ara?</v>
      </c>
      <c r="J785" s="21" t="str">
        <f ca="1">IFERROR(__xludf.DUMMYFUNCTION("GOOGLETRANSLATE($B785,""en"",J$3)"),"Aktualizace byla stažena. Nainstalovat jej nyní?")</f>
        <v>Aktualizace byla stažena. Nainstalovat jej nyní?</v>
      </c>
      <c r="K785" s="21" t="str">
        <f ca="1">IFERROR(__xludf.DUMMYFUNCTION("GOOGLETRANSLATE($B785,""en"",K$3)"),"更新已下载。现在安装？")</f>
        <v>更新已下载。现在安装？</v>
      </c>
      <c r="L785" s="21" t="str">
        <f ca="1">IFERROR(__xludf.DUMMYFUNCTION("GOOGLETRANSLATE($B785,""en"",L$3)"),"更新已下載。現在安裝？")</f>
        <v>更新已下載。現在安裝？</v>
      </c>
      <c r="M785" s="21" t="str">
        <f ca="1">IFERROR(__xludf.DUMMYFUNCTION("GOOGLETRANSLATE($B785,""en"",M$3)"),"Update is gedownload. Installeer het nu?")</f>
        <v>Update is gedownload. Installeer het nu?</v>
      </c>
      <c r="N785" s="21" t="str">
        <f ca="1">IFERROR(__xludf.DUMMYFUNCTION("GOOGLETRANSLATE($B785,""en"",N$3)"),"Ενημέρωση έχει κατεβάσει. Εγκαταστήστε το τώρα;")</f>
        <v>Ενημέρωση έχει κατεβάσει. Εγκαταστήστε το τώρα;</v>
      </c>
      <c r="O785" s="21" t="str">
        <f ca="1">IFERROR(__xludf.DUMMYFUNCTION("GOOGLETRANSLATE($B785,""en"",O$3)"),"Päivitys on ladattu. Asentaa sen nyt?")</f>
        <v>Päivitys on ladattu. Asentaa sen nyt?</v>
      </c>
      <c r="P785" s="21" t="str">
        <f ca="1">IFERROR(__xludf.DUMMYFUNCTION("GOOGLETRANSLATE($B785,""en"",P$3)"),"Update curtha íoslódáil. Suiteáil é anois?")</f>
        <v>Update curtha íoslódáil. Suiteáil é anois?</v>
      </c>
      <c r="Q785" s="21" t="str">
        <f ca="1">IFERROR(__xludf.DUMMYFUNCTION("GOOGLETRANSLATE($B785,""en"",Q$3)"),"به روز رسانی دانلود شده است. آن را نصب کنید؟")</f>
        <v>به روز رسانی دانلود شده است. آن را نصب کنید؟</v>
      </c>
      <c r="R785" s="21" t="str">
        <f ca="1">IFERROR(__xludf.DUMMYFUNCTION("GOOGLETRANSLATE($B785,""en"",R$3)"),"עדכון כבר הורד. התקן זה עכשיו?")</f>
        <v>עדכון כבר הורד. התקן זה עכשיו?</v>
      </c>
      <c r="S785" s="21" t="str">
        <f ca="1">IFERROR(__xludf.DUMMYFUNCTION("GOOGLETRANSLATE($B785,""en"",S$3)"),"Uppfærslan hefur verið hlaðið niður. Setja hana núna?")</f>
        <v>Uppfærslan hefur verið hlaðið niður. Setja hana núna?</v>
      </c>
      <c r="T785" s="21" t="str">
        <f ca="1">IFERROR(__xludf.DUMMYFUNCTION("GOOGLETRANSLATE($B785,""en"",T$3)"),"Oppdateringen er lastet ned. Installere det nå?")</f>
        <v>Oppdateringen er lastet ned. Installere det nå?</v>
      </c>
      <c r="U785" s="21" t="str">
        <f ca="1">IFERROR(__xludf.DUMMYFUNCTION("GOOGLETRANSLATE($B785,""en"",U$3)"),"وقد تم تحميل التحديث. تثبيته الآن؟")</f>
        <v>وقد تم تحميل التحديث. تثبيته الآن؟</v>
      </c>
      <c r="V785" s="21" t="str">
        <f ca="1">IFERROR(__xludf.DUMMYFUNCTION("GOOGLETRANSLATE($B785,""en"",V$3)"),"Aktualizacja została pobrana. Zainstalować go teraz?")</f>
        <v>Aktualizacja została pobrana. Zainstalować go teraz?</v>
      </c>
      <c r="W785" s="21" t="str">
        <f ca="1">IFERROR(__xludf.DUMMYFUNCTION("GOOGLETRANSLATE($B785,""en"",W$3)"),"Обновление было загружено. Установите его прямо сейчас?")</f>
        <v>Обновление было загружено. Установите его прямо сейчас?</v>
      </c>
      <c r="X785" s="21" t="str">
        <f ca="1">IFERROR(__xludf.DUMMYFUNCTION("GOOGLETRANSLATE($B785,""en"",X$3)"),"Actualización se ha descargado. Instalarlo ahora?")</f>
        <v>Actualización se ha descargado. Instalarlo ahora?</v>
      </c>
      <c r="Y785" s="21"/>
      <c r="Z785" s="21"/>
    </row>
    <row r="786" spans="1:26" ht="32.25" customHeight="1" x14ac:dyDescent="0.2">
      <c r="A786" s="17" t="s">
        <v>1671</v>
      </c>
      <c r="B786" s="17" t="s">
        <v>1672</v>
      </c>
      <c r="C786" s="21" t="str">
        <f ca="1">IFERROR(__xludf.DUMMYFUNCTION("GOOGLETRANSLATE($B786,""en"",C$3)"),"Update ist verfügbar. Download-Update im Hintergrund. Bitte lassen Sie es fertig.")</f>
        <v>Update ist verfügbar. Download-Update im Hintergrund. Bitte lassen Sie es fertig.</v>
      </c>
      <c r="D786" s="21" t="str">
        <f ca="1">IFERROR(__xludf.DUMMYFUNCTION("GOOGLETRANSLATE($B786,""en"",D$3)"),"Uppdatering finns tillgänglig. Nedladdning uppdatering i bakgrunden. Låt den är klar.")</f>
        <v>Uppdatering finns tillgänglig. Nedladdning uppdatering i bakgrunden. Låt den är klar.</v>
      </c>
      <c r="E786" s="21" t="str">
        <f ca="1">IFERROR(__xludf.DUMMYFUNCTION("GOOGLETRANSLATE($B786,""en"",E$3)"),"Atualização está disponível. Baixando atualização em segundo plano. Por favor, deixá-lo terminar.")</f>
        <v>Atualização está disponível. Baixando atualização em segundo plano. Por favor, deixá-lo terminar.</v>
      </c>
      <c r="F786" s="21" t="str">
        <f ca="1">IFERROR(__xludf.DUMMYFUNCTION("GOOGLETRANSLATE($B786,""en"",F$3)"),"Atualização está disponível. Baixando atualização em segundo plano. Por favor, deixá-lo terminar.")</f>
        <v>Atualização está disponível. Baixando atualização em segundo plano. Por favor, deixá-lo terminar.</v>
      </c>
      <c r="G786" s="21" t="str">
        <f ca="1">IFERROR(__xludf.DUMMYFUNCTION("GOOGLETRANSLATE($B786,""en"",G$3)"),"Mise à jour est disponible. Le téléchargement mise à jour en arrière-plan. S'il vous plaît laissez-le finir.")</f>
        <v>Mise à jour est disponible. Le téléchargement mise à jour en arrière-plan. S'il vous plaît laissez-le finir.</v>
      </c>
      <c r="H786" s="21" t="str">
        <f ca="1">IFERROR(__xludf.DUMMYFUNCTION("GOOGLETRANSLATE($B786,""en"",H$3)"),"Eguneratzea eskuragarri dago. planoan eguneratzea deskargatzen. Mesedez, utzi amaitzeko.")</f>
        <v>Eguneratzea eskuragarri dago. planoan eguneratzea deskargatzen. Mesedez, utzi amaitzeko.</v>
      </c>
      <c r="I786" s="21" t="str">
        <f ca="1">IFERROR(__xludf.DUMMYFUNCTION("GOOGLETRANSLATE($B786,""en"",I$3)"),"Actualització està disponible. La descàrrega de l'actualització en segon pla. Si us plau, deixeu que es finalitzi.")</f>
        <v>Actualització està disponible. La descàrrega de l'actualització en segon pla. Si us plau, deixeu que es finalitzi.</v>
      </c>
      <c r="J786" s="21" t="str">
        <f ca="1">IFERROR(__xludf.DUMMYFUNCTION("GOOGLETRANSLATE($B786,""en"",J$3)"),"Aktualizace je k dispozici. Stahování aktualizace v pozadí. Prosím, nechte ho dokončit.")</f>
        <v>Aktualizace je k dispozici. Stahování aktualizace v pozadí. Prosím, nechte ho dokončit.</v>
      </c>
      <c r="K786" s="21" t="str">
        <f ca="1">IFERROR(__xludf.DUMMYFUNCTION("GOOGLETRANSLATE($B786,""en"",K$3)"),"更新是可用的。在下载后台更新。请让它完成。")</f>
        <v>更新是可用的。在下载后台更新。请让它完成。</v>
      </c>
      <c r="L786" s="21" t="str">
        <f ca="1">IFERROR(__xludf.DUMMYFUNCTION("GOOGLETRANSLATE($B786,""en"",L$3)"),"更新是可用的。在下載後台更新。請讓它完成。")</f>
        <v>更新是可用的。在下載後台更新。請讓它完成。</v>
      </c>
      <c r="M786" s="21" t="str">
        <f ca="1">IFERROR(__xludf.DUMMYFUNCTION("GOOGLETRANSLATE($B786,""en"",M$3)"),"Update beschikbaar is. Update downloaden in de achtergrond. Laat het af.")</f>
        <v>Update beschikbaar is. Update downloaden in de achtergrond. Laat het af.</v>
      </c>
      <c r="N786" s="21" t="str">
        <f ca="1">IFERROR(__xludf.DUMMYFUNCTION("GOOGLETRANSLATE($B786,""en"",N$3)"),"Update είναι διαθέσιμο. Λήψη ενημέρωση στο παρασκήνιο. Παρακαλώ αφήστε το να τελειώσει.")</f>
        <v>Update είναι διαθέσιμο. Λήψη ενημέρωση στο παρασκήνιο. Παρακαλώ αφήστε το να τελειώσει.</v>
      </c>
      <c r="O786" s="21" t="str">
        <f ca="1">IFERROR(__xludf.DUMMYFUNCTION("GOOGLETRANSLATE($B786,""en"",O$3)"),"Päivitys on saatavilla. Ladataan päivitystä taustalla. Kerro sen loppuun.")</f>
        <v>Päivitys on saatavilla. Ladataan päivitystä taustalla. Kerro sen loppuun.</v>
      </c>
      <c r="P786" s="21" t="str">
        <f ca="1">IFERROR(__xludf.DUMMYFUNCTION("GOOGLETRANSLATE($B786,""en"",P$3)"),"Is Nuashonrú ar fáil. Íosluchtú nuashonrú sa chúlra. Cuir in iúl a chríochnú.")</f>
        <v>Is Nuashonrú ar fáil. Íosluchtú nuashonrú sa chúlra. Cuir in iúl a chríochnú.</v>
      </c>
      <c r="Q786" s="21" t="str">
        <f ca="1">IFERROR(__xludf.DUMMYFUNCTION("GOOGLETRANSLATE($B786,""en"",Q$3)"),"به روز رسانی در دسترس است. دانلود به روز رسانی در پس زمینه. لطفا اجازه دهید آن را به پایان برساند.")</f>
        <v>به روز رسانی در دسترس است. دانلود به روز رسانی در پس زمینه. لطفا اجازه دهید آن را به پایان برساند.</v>
      </c>
      <c r="R786" s="21" t="str">
        <f ca="1">IFERROR(__xludf.DUMMYFUNCTION("GOOGLETRANSLATE($B786,""en"",R$3)"),"עדכון זמין. מוריד עדכון ברקע. אנא תן לזה לסיים.")</f>
        <v>עדכון זמין. מוריד עדכון ברקע. אנא תן לזה לסיים.</v>
      </c>
      <c r="S786" s="21" t="str">
        <f ca="1">IFERROR(__xludf.DUMMYFUNCTION("GOOGLETRANSLATE($B786,""en"",S$3)"),"Uppfærsla er í boði. Sækir uppfærslu í bakgrunni. Vinsamlegast láttu það klára.")</f>
        <v>Uppfærsla er í boði. Sækir uppfærslu í bakgrunni. Vinsamlegast láttu það klára.</v>
      </c>
      <c r="T786" s="21" t="str">
        <f ca="1">IFERROR(__xludf.DUMMYFUNCTION("GOOGLETRANSLATE($B786,""en"",T$3)"),"Oppdatering er tilgjengelig. Laster ned oppdatering i bakgrunnen. Vennligst la den ferdig.")</f>
        <v>Oppdatering er tilgjengelig. Laster ned oppdatering i bakgrunnen. Vennligst la den ferdig.</v>
      </c>
      <c r="U786" s="21" t="str">
        <f ca="1">IFERROR(__xludf.DUMMYFUNCTION("GOOGLETRANSLATE($B786,""en"",U$3)"),"يتوفر التحديث. تحميل التحديث في الخلفية. واسمحوا انها النهاية.")</f>
        <v>يتوفر التحديث. تحميل التحديث في الخلفية. واسمحوا انها النهاية.</v>
      </c>
      <c r="V786" s="21" t="str">
        <f ca="1">IFERROR(__xludf.DUMMYFUNCTION("GOOGLETRANSLATE($B786,""en"",V$3)"),"Aktualizacja jest dostępna. Pobieranie aktualizacji w tle. Proszę pozwolić mu skończyć.")</f>
        <v>Aktualizacja jest dostępna. Pobieranie aktualizacji w tle. Proszę pozwolić mu skończyć.</v>
      </c>
      <c r="W786" s="21" t="str">
        <f ca="1">IFERROR(__xludf.DUMMYFUNCTION("GOOGLETRANSLATE($B786,""en"",W$3)"),"Обновление доступно. Загрузка обновления в фоновом режиме. Пожалуйста, дайте ему закончить.")</f>
        <v>Обновление доступно. Загрузка обновления в фоновом режиме. Пожалуйста, дайте ему закончить.</v>
      </c>
      <c r="X786" s="21" t="str">
        <f ca="1">IFERROR(__xludf.DUMMYFUNCTION("GOOGLETRANSLATE($B786,""en"",X$3)"),"Actualización disponible. La descarga de la actualización en segundo plano. Por favor, deje que se finalice.")</f>
        <v>Actualización disponible. La descarga de la actualización en segundo plano. Por favor, deje que se finalice.</v>
      </c>
      <c r="Y786" s="21"/>
      <c r="Z786" s="21"/>
    </row>
    <row r="787" spans="1:26" ht="32.25" customHeight="1" x14ac:dyDescent="0.2">
      <c r="A787" s="17" t="s">
        <v>1673</v>
      </c>
      <c r="B787" s="17" t="s">
        <v>1674</v>
      </c>
      <c r="C787" s="21" t="str">
        <f ca="1">IFERROR(__xludf.DUMMYFUNCTION("GOOGLETRANSLATE($B787,""en"",C$3)"),"Aktualisiert")</f>
        <v>Aktualisiert</v>
      </c>
      <c r="D787" s="21" t="str">
        <f ca="1">IFERROR(__xludf.DUMMYFUNCTION("GOOGLETRANSLATE($B787,""en"",D$3)"),"Uppdaterad")</f>
        <v>Uppdaterad</v>
      </c>
      <c r="E787" s="21" t="str">
        <f ca="1">IFERROR(__xludf.DUMMYFUNCTION("GOOGLETRANSLATE($B787,""en"",E$3)"),"Atualizada")</f>
        <v>Atualizada</v>
      </c>
      <c r="F787" s="21" t="str">
        <f ca="1">IFERROR(__xludf.DUMMYFUNCTION("GOOGLETRANSLATE($B787,""en"",F$3)"),"Atualizada")</f>
        <v>Atualizada</v>
      </c>
      <c r="G787" s="21" t="str">
        <f ca="1">IFERROR(__xludf.DUMMYFUNCTION("GOOGLETRANSLATE($B787,""en"",G$3)"),"Actualisé")</f>
        <v>Actualisé</v>
      </c>
      <c r="H787" s="21" t="str">
        <f ca="1">IFERROR(__xludf.DUMMYFUNCTION("GOOGLETRANSLATE($B787,""en"",H$3)"),"eguneratua")</f>
        <v>eguneratua</v>
      </c>
      <c r="I787" s="21" t="str">
        <f ca="1">IFERROR(__xludf.DUMMYFUNCTION("GOOGLETRANSLATE($B787,""en"",I$3)"),"actualitzat")</f>
        <v>actualitzat</v>
      </c>
      <c r="J787" s="21" t="str">
        <f ca="1">IFERROR(__xludf.DUMMYFUNCTION("GOOGLETRANSLATE($B787,""en"",J$3)"),"aktualizováno")</f>
        <v>aktualizováno</v>
      </c>
      <c r="K787" s="21" t="str">
        <f ca="1">IFERROR(__xludf.DUMMYFUNCTION("GOOGLETRANSLATE($B787,""en"",K$3)"),"更新")</f>
        <v>更新</v>
      </c>
      <c r="L787" s="21" t="str">
        <f ca="1">IFERROR(__xludf.DUMMYFUNCTION("GOOGLETRANSLATE($B787,""en"",L$3)"),"更新")</f>
        <v>更新</v>
      </c>
      <c r="M787" s="21" t="str">
        <f ca="1">IFERROR(__xludf.DUMMYFUNCTION("GOOGLETRANSLATE($B787,""en"",M$3)"),"bijgewerkt")</f>
        <v>bijgewerkt</v>
      </c>
      <c r="N787" s="21" t="str">
        <f ca="1">IFERROR(__xludf.DUMMYFUNCTION("GOOGLETRANSLATE($B787,""en"",N$3)"),"ΕΠΙΚΑΙΡΟΠΟΙΗΜΕΝΟ")</f>
        <v>ΕΠΙΚΑΙΡΟΠΟΙΗΜΕΝΟ</v>
      </c>
      <c r="O787" s="21" t="str">
        <f ca="1">IFERROR(__xludf.DUMMYFUNCTION("GOOGLETRANSLATE($B787,""en"",O$3)"),"Päivitetty")</f>
        <v>Päivitetty</v>
      </c>
      <c r="P787" s="21" t="str">
        <f ca="1">IFERROR(__xludf.DUMMYFUNCTION("GOOGLETRANSLATE($B787,""en"",P$3)"),"Nuashonraithe")</f>
        <v>Nuashonraithe</v>
      </c>
      <c r="Q787" s="21" t="str">
        <f ca="1">IFERROR(__xludf.DUMMYFUNCTION("GOOGLETRANSLATE($B787,""en"",Q$3)"),"به روز رسانی")</f>
        <v>به روز رسانی</v>
      </c>
      <c r="R787" s="21" t="str">
        <f ca="1">IFERROR(__xludf.DUMMYFUNCTION("GOOGLETRANSLATE($B787,""en"",R$3)"),"מְעוּדכָּן")</f>
        <v>מְעוּדכָּן</v>
      </c>
      <c r="S787" s="21" t="str">
        <f ca="1">IFERROR(__xludf.DUMMYFUNCTION("GOOGLETRANSLATE($B787,""en"",S$3)"),"Uppfært")</f>
        <v>Uppfært</v>
      </c>
      <c r="T787" s="21" t="str">
        <f ca="1">IFERROR(__xludf.DUMMYFUNCTION("GOOGLETRANSLATE($B787,""en"",T$3)"),"oppdatert")</f>
        <v>oppdatert</v>
      </c>
      <c r="U787" s="21" t="str">
        <f ca="1">IFERROR(__xludf.DUMMYFUNCTION("GOOGLETRANSLATE($B787,""en"",U$3)"),"محدث")</f>
        <v>محدث</v>
      </c>
      <c r="V787" s="21" t="str">
        <f ca="1">IFERROR(__xludf.DUMMYFUNCTION("GOOGLETRANSLATE($B787,""en"",V$3)"),"zaktualizowany")</f>
        <v>zaktualizowany</v>
      </c>
      <c r="W787" s="21" t="str">
        <f ca="1">IFERROR(__xludf.DUMMYFUNCTION("GOOGLETRANSLATE($B787,""en"",W$3)"),"обновленный")</f>
        <v>обновленный</v>
      </c>
      <c r="X787" s="21" t="str">
        <f ca="1">IFERROR(__xludf.DUMMYFUNCTION("GOOGLETRANSLATE($B787,""en"",X$3)"),"Actualizado")</f>
        <v>Actualizado</v>
      </c>
      <c r="Y787" s="21"/>
      <c r="Z787" s="21"/>
    </row>
    <row r="788" spans="1:26" ht="32.25" customHeight="1" x14ac:dyDescent="0.2">
      <c r="A788" s="17" t="s">
        <v>1675</v>
      </c>
      <c r="B788" s="17" t="s">
        <v>1676</v>
      </c>
      <c r="C788" s="21" t="str">
        <f ca="1">IFERROR(__xludf.DUMMYFUNCTION("GOOGLETRANSLATE($B788,""en"",C$3)"),"Die Aktualisierung des Ports")</f>
        <v>Die Aktualisierung des Ports</v>
      </c>
      <c r="D788" s="21" t="str">
        <f ca="1">IFERROR(__xludf.DUMMYFUNCTION("GOOGLETRANSLATE($B788,""en"",D$3)"),"Uppdatera Ports")</f>
        <v>Uppdatera Ports</v>
      </c>
      <c r="E788" s="21" t="str">
        <f ca="1">IFERROR(__xludf.DUMMYFUNCTION("GOOGLETRANSLATE($B788,""en"",E$3)"),"Portas Atualizando")</f>
        <v>Portas Atualizando</v>
      </c>
      <c r="F788" s="21" t="str">
        <f ca="1">IFERROR(__xludf.DUMMYFUNCTION("GOOGLETRANSLATE($B788,""en"",F$3)"),"Portas Atualizando")</f>
        <v>Portas Atualizando</v>
      </c>
      <c r="G788" s="21" t="str">
        <f ca="1">IFERROR(__xludf.DUMMYFUNCTION("GOOGLETRANSLATE($B788,""en"",G$3)"),"Ports Mise à jour")</f>
        <v>Ports Mise à jour</v>
      </c>
      <c r="H788" s="21" t="str">
        <f ca="1">IFERROR(__xludf.DUMMYFUNCTION("GOOGLETRANSLATE($B788,""en"",H$3)"),"eguneratzea Portuak")</f>
        <v>eguneratzea Portuak</v>
      </c>
      <c r="I788" s="21" t="str">
        <f ca="1">IFERROR(__xludf.DUMMYFUNCTION("GOOGLETRANSLATE($B788,""en"",I$3)"),"Ports d'actualització")</f>
        <v>Ports d'actualització</v>
      </c>
      <c r="J788" s="21" t="str">
        <f ca="1">IFERROR(__xludf.DUMMYFUNCTION("GOOGLETRANSLATE($B788,""en"",J$3)"),"Aktualizace Porty")</f>
        <v>Aktualizace Porty</v>
      </c>
      <c r="K788" s="21" t="str">
        <f ca="1">IFERROR(__xludf.DUMMYFUNCTION("GOOGLETRANSLATE($B788,""en"",K$3)"),"更新端口")</f>
        <v>更新端口</v>
      </c>
      <c r="L788" s="21" t="str">
        <f ca="1">IFERROR(__xludf.DUMMYFUNCTION("GOOGLETRANSLATE($B788,""en"",L$3)"),"更新端口")</f>
        <v>更新端口</v>
      </c>
      <c r="M788" s="21" t="str">
        <f ca="1">IFERROR(__xludf.DUMMYFUNCTION("GOOGLETRANSLATE($B788,""en"",M$3)"),"Updaten Ports")</f>
        <v>Updaten Ports</v>
      </c>
      <c r="N788" s="21" t="str">
        <f ca="1">IFERROR(__xludf.DUMMYFUNCTION("GOOGLETRANSLATE($B788,""en"",N$3)"),"Λιμάνια ενημέρωση")</f>
        <v>Λιμάνια ενημέρωση</v>
      </c>
      <c r="O788" s="21" t="str">
        <f ca="1">IFERROR(__xludf.DUMMYFUNCTION("GOOGLETRANSLATE($B788,""en"",O$3)"),"päivittäminen Portit")</f>
        <v>päivittäminen Portit</v>
      </c>
      <c r="P788" s="21" t="str">
        <f ca="1">IFERROR(__xludf.DUMMYFUNCTION("GOOGLETRANSLATE($B788,""en"",P$3)"),"Calafoirt nuashonrú")</f>
        <v>Calafoirt nuashonrú</v>
      </c>
      <c r="Q788" s="21" t="str">
        <f ca="1">IFERROR(__xludf.DUMMYFUNCTION("GOOGLETRANSLATE($B788,""en"",Q$3)"),"بنادر به روز رسانی")</f>
        <v>بنادر به روز رسانی</v>
      </c>
      <c r="R788" s="21" t="str">
        <f ca="1">IFERROR(__xludf.DUMMYFUNCTION("GOOGLETRANSLATE($B788,""en"",R$3)"),"יציאות עדכון")</f>
        <v>יציאות עדכון</v>
      </c>
      <c r="S788" s="21" t="str">
        <f ca="1">IFERROR(__xludf.DUMMYFUNCTION("GOOGLETRANSLATE($B788,""en"",S$3)"),"Uppfærir Hafnir")</f>
        <v>Uppfærir Hafnir</v>
      </c>
      <c r="T788" s="21" t="str">
        <f ca="1">IFERROR(__xludf.DUMMYFUNCTION("GOOGLETRANSLATE($B788,""en"",T$3)"),"oppdatering Ports")</f>
        <v>oppdatering Ports</v>
      </c>
      <c r="U788" s="21" t="str">
        <f ca="1">IFERROR(__xludf.DUMMYFUNCTION("GOOGLETRANSLATE($B788,""en"",U$3)"),"موانئ التحديث")</f>
        <v>موانئ التحديث</v>
      </c>
      <c r="V788" s="21" t="str">
        <f ca="1">IFERROR(__xludf.DUMMYFUNCTION("GOOGLETRANSLATE($B788,""en"",V$3)"),"Aktualizacja Porty")</f>
        <v>Aktualizacja Porty</v>
      </c>
      <c r="W788" s="21" t="str">
        <f ca="1">IFERROR(__xludf.DUMMYFUNCTION("GOOGLETRANSLATE($B788,""en"",W$3)"),"Обновление портов")</f>
        <v>Обновление портов</v>
      </c>
      <c r="X788" s="21" t="str">
        <f ca="1">IFERROR(__xludf.DUMMYFUNCTION("GOOGLETRANSLATE($B788,""en"",X$3)"),"Puertos de actualización")</f>
        <v>Puertos de actualización</v>
      </c>
      <c r="Y788" s="21"/>
      <c r="Z788" s="21"/>
    </row>
    <row r="789" spans="1:26" ht="32.25" customHeight="1" x14ac:dyDescent="0.2">
      <c r="A789" s="17" t="s">
        <v>1677</v>
      </c>
      <c r="B789" s="17" t="s">
        <v>1678</v>
      </c>
      <c r="C789" s="21" t="str">
        <f ca="1">IFERROR(__xludf.DUMMYFUNCTION("GOOGLETRANSLATE($B789,""en"",C$3)"),"UPnP Behinderte")</f>
        <v>UPnP Behinderte</v>
      </c>
      <c r="D789" s="21" t="str">
        <f ca="1">IFERROR(__xludf.DUMMYFUNCTION("GOOGLETRANSLATE($B789,""en"",D$3)"),"UPnP Disabled")</f>
        <v>UPnP Disabled</v>
      </c>
      <c r="E789" s="21" t="str">
        <f ca="1">IFERROR(__xludf.DUMMYFUNCTION("GOOGLETRANSLATE($B789,""en"",E$3)"),"UPnP pessoas com mobilidade condicionada")</f>
        <v>UPnP pessoas com mobilidade condicionada</v>
      </c>
      <c r="F789" s="21" t="str">
        <f ca="1">IFERROR(__xludf.DUMMYFUNCTION("GOOGLETRANSLATE($B789,""en"",F$3)"),"UPnP pessoas com mobilidade condicionada")</f>
        <v>UPnP pessoas com mobilidade condicionada</v>
      </c>
      <c r="G789" s="21" t="str">
        <f ca="1">IFERROR(__xludf.DUMMYFUNCTION("GOOGLETRANSLATE($B789,""en"",G$3)"),"UPnP handicapés")</f>
        <v>UPnP handicapés</v>
      </c>
      <c r="H789" s="21" t="str">
        <f ca="1">IFERROR(__xludf.DUMMYFUNCTION("GOOGLETRANSLATE($B789,""en"",H$3)"),"UPnP Ezinduen")</f>
        <v>UPnP Ezinduen</v>
      </c>
      <c r="I789" s="21" t="str">
        <f ca="1">IFERROR(__xludf.DUMMYFUNCTION("GOOGLETRANSLATE($B789,""en"",I$3)"),"UPnP persones de mobilitat reduïda")</f>
        <v>UPnP persones de mobilitat reduïda</v>
      </c>
      <c r="J789" s="21" t="str">
        <f ca="1">IFERROR(__xludf.DUMMYFUNCTION("GOOGLETRANSLATE($B789,""en"",J$3)"),"UPnP Disabled")</f>
        <v>UPnP Disabled</v>
      </c>
      <c r="K789" s="21" t="str">
        <f ca="1">IFERROR(__xludf.DUMMYFUNCTION("GOOGLETRANSLATE($B789,""en"",K$3)"),"UPnP的残疾人")</f>
        <v>UPnP的残疾人</v>
      </c>
      <c r="L789" s="21" t="str">
        <f ca="1">IFERROR(__xludf.DUMMYFUNCTION("GOOGLETRANSLATE($B789,""en"",L$3)"),"UPnP的殘疾人")</f>
        <v>UPnP的殘疾人</v>
      </c>
      <c r="M789" s="21" t="str">
        <f ca="1">IFERROR(__xludf.DUMMYFUNCTION("GOOGLETRANSLATE($B789,""en"",M$3)"),"UPnP met een handicap")</f>
        <v>UPnP met een handicap</v>
      </c>
      <c r="N789" s="21" t="str">
        <f ca="1">IFERROR(__xludf.DUMMYFUNCTION("GOOGLETRANSLATE($B789,""en"",N$3)"),"άτομα με ειδικές ανάγκες UPnP")</f>
        <v>άτομα με ειδικές ανάγκες UPnP</v>
      </c>
      <c r="O789" s="21" t="str">
        <f ca="1">IFERROR(__xludf.DUMMYFUNCTION("GOOGLETRANSLATE($B789,""en"",O$3)"),"UPnP Vammaiset")</f>
        <v>UPnP Vammaiset</v>
      </c>
      <c r="P789" s="21" t="str">
        <f ca="1">IFERROR(__xludf.DUMMYFUNCTION("GOOGLETRANSLATE($B789,""en"",P$3)"),"UPnP Disabled")</f>
        <v>UPnP Disabled</v>
      </c>
      <c r="Q789" s="21" t="str">
        <f ca="1">IFERROR(__xludf.DUMMYFUNCTION("GOOGLETRANSLATE($B789,""en"",Q$3)"),"از UPnP غیر فعال")</f>
        <v>از UPnP غیر فعال</v>
      </c>
      <c r="R789" s="21" t="str">
        <f ca="1">IFERROR(__xludf.DUMMYFUNCTION("GOOGLETRANSLATE($B789,""en"",R$3)"),"UPnP לנכים")</f>
        <v>UPnP לנכים</v>
      </c>
      <c r="S789" s="21" t="str">
        <f ca="1">IFERROR(__xludf.DUMMYFUNCTION("GOOGLETRANSLATE($B789,""en"",S$3)"),"UPnP Fatlaðir")</f>
        <v>UPnP Fatlaðir</v>
      </c>
      <c r="T789" s="21" t="str">
        <f ca="1">IFERROR(__xludf.DUMMYFUNCTION("GOOGLETRANSLATE($B789,""en"",T$3)"),"UPnP funksjonshemmede")</f>
        <v>UPnP funksjonshemmede</v>
      </c>
      <c r="U789" s="21" t="str">
        <f ca="1">IFERROR(__xludf.DUMMYFUNCTION("GOOGLETRANSLATE($B789,""en"",U$3)"),"بنب المعاقين")</f>
        <v>بنب المعاقين</v>
      </c>
      <c r="V789" s="21" t="str">
        <f ca="1">IFERROR(__xludf.DUMMYFUNCTION("GOOGLETRANSLATE($B789,""en"",V$3)"),"UPnP niepełnosprawnych")</f>
        <v>UPnP niepełnosprawnych</v>
      </c>
      <c r="W789" s="21" t="str">
        <f ca="1">IFERROR(__xludf.DUMMYFUNCTION("GOOGLETRANSLATE($B789,""en"",W$3)"),"UPnP для инвалидов")</f>
        <v>UPnP для инвалидов</v>
      </c>
      <c r="X789" s="21" t="str">
        <f ca="1">IFERROR(__xludf.DUMMYFUNCTION("GOOGLETRANSLATE($B789,""en"",X$3)"),"UPnP personas de movilidad reducida")</f>
        <v>UPnP personas de movilidad reducida</v>
      </c>
      <c r="Y789" s="21"/>
      <c r="Z789" s="21"/>
    </row>
    <row r="790" spans="1:26" ht="32.25" customHeight="1" x14ac:dyDescent="0.2">
      <c r="A790" s="17" t="s">
        <v>1679</v>
      </c>
      <c r="B790" s="17" t="s">
        <v>1680</v>
      </c>
      <c r="C790" s="21" t="str">
        <f ca="1">IFERROR(__xludf.DUMMYFUNCTION("GOOGLETRANSLATE($B790,""en"",C$3)"),"Aktivieren Sie diese Option ist, dass Sie ein kleines System haben und wollen, dass die Router-Ports automatisch eingestellt werden")</f>
        <v>Aktivieren Sie diese Option ist, dass Sie ein kleines System haben und wollen, dass die Router-Ports automatisch eingestellt werden</v>
      </c>
      <c r="D790" s="21" t="str">
        <f ca="1">IFERROR(__xludf.DUMMYFUNCTION("GOOGLETRANSLATE($B790,""en"",D$3)"),"Aktivera detta är att du har ett litet system och vill routern portarna för att automatiskt ställa in")</f>
        <v>Aktivera detta är att du har ett litet system och vill routern portarna för att automatiskt ställa in</v>
      </c>
      <c r="E790" s="21" t="str">
        <f ca="1">IFERROR(__xludf.DUMMYFUNCTION("GOOGLETRANSLATE($B790,""en"",E$3)"),"Ative essa é que você tem um sistema pequeno e quer as portas do roteador para ser ajustado automaticamente")</f>
        <v>Ative essa é que você tem um sistema pequeno e quer as portas do roteador para ser ajustado automaticamente</v>
      </c>
      <c r="F790" s="21" t="str">
        <f ca="1">IFERROR(__xludf.DUMMYFUNCTION("GOOGLETRANSLATE($B790,""en"",F$3)"),"Ative essa é que você tem um sistema pequeno e quer as portas do roteador para ser ajustado automaticamente")</f>
        <v>Ative essa é que você tem um sistema pequeno e quer as portas do roteador para ser ajustado automaticamente</v>
      </c>
      <c r="G790" s="21" t="str">
        <f ca="1">IFERROR(__xludf.DUMMYFUNCTION("GOOGLETRANSLATE($B790,""en"",G$3)"),"Activez cette est que vous avez un petit système et que vous voulez les ports du routeur seront automatiquement réglés")</f>
        <v>Activez cette est que vous avez un petit système et que vous voulez les ports du routeur seront automatiquement réglés</v>
      </c>
      <c r="H790" s="21" t="str">
        <f ca="1">IFERROR(__xludf.DUMMYFUNCTION("GOOGLETRANSLATE($B790,""en"",H$3)"),"Gaitu hau da sistema txiki bat duzu, eta nahi router portu automatikoki hautatu behar dela")</f>
        <v>Gaitu hau da sistema txiki bat duzu, eta nahi router portu automatikoki hautatu behar dela</v>
      </c>
      <c r="I790" s="21" t="str">
        <f ca="1">IFERROR(__xludf.DUMMYFUNCTION("GOOGLETRANSLATE($B790,""en"",I$3)"),"Habilitar aquest valor si té un petit sistema i desitja que els ports de el router que s'ajusten automàticament")</f>
        <v>Habilitar aquest valor si té un petit sistema i desitja que els ports de el router que s'ajusten automàticament</v>
      </c>
      <c r="J790" s="21" t="str">
        <f ca="1">IFERROR(__xludf.DUMMYFUNCTION("GOOGLETRANSLATE($B790,""en"",J$3)"),"Umožňují to máte malý systém a chcete, aby router porty se automaticky nastaví")</f>
        <v>Umožňují to máte malý systém a chcete, aby router porty se automaticky nastaví</v>
      </c>
      <c r="K790" s="21" t="str">
        <f ca="1">IFERROR(__xludf.DUMMYFUNCTION("GOOGLETRANSLATE($B790,""en"",K$3)"),"启用这个是你有一个小的系统，并希望路由器端口自动设置")</f>
        <v>启用这个是你有一个小的系统，并希望路由器端口自动设置</v>
      </c>
      <c r="L790" s="21" t="str">
        <f ca="1">IFERROR(__xludf.DUMMYFUNCTION("GOOGLETRANSLATE($B790,""en"",L$3)"),"啟用這個是你有一個小的系統，並希望路由器端口自動設置")</f>
        <v>啟用這個是你有一個小的系統，並希望路由器端口自動設置</v>
      </c>
      <c r="M790" s="21" t="str">
        <f ca="1">IFERROR(__xludf.DUMMYFUNCTION("GOOGLETRANSLATE($B790,""en"",M$3)"),"Schakel dit is heb je een klein systeem en willen dat de router poorten automatisch in te stellen")</f>
        <v>Schakel dit is heb je een klein systeem en willen dat de router poorten automatisch in te stellen</v>
      </c>
      <c r="N790" s="21" t="str">
        <f ca="1">IFERROR(__xludf.DUMMYFUNCTION("GOOGLETRANSLATE($B790,""en"",N$3)"),"Ενεργοποιήστε αυτό είναι έχετε ένα μικρό σύστημα και θέλετε οι θύρες του δρομολογητή για να ρυθμιστεί αυτόματα")</f>
        <v>Ενεργοποιήστε αυτό είναι έχετε ένα μικρό σύστημα και θέλετε οι θύρες του δρομολογητή για να ρυθμιστεί αυτόματα</v>
      </c>
      <c r="O790" s="21" t="str">
        <f ca="1">IFERROR(__xludf.DUMMYFUNCTION("GOOGLETRANSLATE($B790,""en"",O$3)"),"Ota tämä on sinulla pieni järjestelmä ja haluavat reitittimen portit automaattisesti asettaa")</f>
        <v>Ota tämä on sinulla pieni järjestelmä ja haluavat reitittimen portit automaattisesti asettaa</v>
      </c>
      <c r="P790" s="21" t="str">
        <f ca="1">IFERROR(__xludf.DUMMYFUNCTION("GOOGLETRANSLATE($B790,""en"",P$3)"),"Cumasaigh é seo a bhfuil tú córas beag agus ba mhaith liom na calafoirt ródaire le leagan huathoibríoch")</f>
        <v>Cumasaigh é seo a bhfuil tú córas beag agus ba mhaith liom na calafoirt ródaire le leagan huathoibríoch</v>
      </c>
      <c r="Q790" s="21" t="str">
        <f ca="1">IFERROR(__xludf.DUMMYFUNCTION("GOOGLETRANSLATE($B790,""en"",Q$3)"),"فعال کردن این است که شما یک سیستم کوچک و می خواهید پورت روتر برای به طور خودکار تنظیم")</f>
        <v>فعال کردن این است که شما یک سیستم کوچک و می خواهید پورت روتر برای به طور خودکار تنظیم</v>
      </c>
      <c r="R790" s="21" t="str">
        <f ca="1">IFERROR(__xludf.DUMMYFUNCTION("GOOGLETRANSLATE($B790,""en"",R$3)"),"Enable זה יש לך מערכת קטנה ורוצים יציאות הנתב להיות מוגדר באופן אוטומטי")</f>
        <v>Enable זה יש לך מערכת קטנה ורוצים יציאות הנתב להיות מוגדר באופן אוטומטי</v>
      </c>
      <c r="S790" s="21" t="str">
        <f ca="1">IFERROR(__xludf.DUMMYFUNCTION("GOOGLETRANSLATE($B790,""en"",S$3)"),"Virkja þetta er að þú ert með lítið kerfi og vilja á leið hafnir að sjálfkrafa stilla")</f>
        <v>Virkja þetta er að þú ert með lítið kerfi og vilja á leið hafnir að sjálfkrafa stilla</v>
      </c>
      <c r="T790" s="21" t="str">
        <f ca="1">IFERROR(__xludf.DUMMYFUNCTION("GOOGLETRANSLATE($B790,""en"",T$3)"),"Aktiver dette er at du har et lite system og ønsker ruteren portene automatisk skal sette")</f>
        <v>Aktiver dette er at du har et lite system og ønsker ruteren portene automatisk skal sette</v>
      </c>
      <c r="U790" s="21" t="str">
        <f ca="1">IFERROR(__xludf.DUMMYFUNCTION("GOOGLETRANSLATE($B790,""en"",U$3)"),"تمكين هذا هو لديك نظام صغير وتريد الموانئ الموجه إلى وضعها تلقائيا")</f>
        <v>تمكين هذا هو لديك نظام صغير وتريد الموانئ الموجه إلى وضعها تلقائيا</v>
      </c>
      <c r="V790" s="21" t="str">
        <f ca="1">IFERROR(__xludf.DUMMYFUNCTION("GOOGLETRANSLATE($B790,""en"",V$3)"),"Włącz to masz mały system i chcą porty routera, aby automatycznie ustawić")</f>
        <v>Włącz to masz mały system i chcą porty routera, aby automatycznie ustawić</v>
      </c>
      <c r="W790" s="21" t="str">
        <f ca="1">IFERROR(__xludf.DUMMYFUNCTION("GOOGLETRANSLATE($B790,""en"",W$3)"),"Включите это у вас есть небольшая система и хотите порты маршрутизатора для автоматической установки")</f>
        <v>Включите это у вас есть небольшая система и хотите порты маршрутизатора для автоматической установки</v>
      </c>
      <c r="X790" s="21" t="str">
        <f ca="1">IFERROR(__xludf.DUMMYFUNCTION("GOOGLETRANSLATE($B790,""en"",X$3)"),"Habilitar este valor si tiene un pequeño sistema y desea que los puertos del router que se ajustan automáticamente")</f>
        <v>Habilitar este valor si tiene un pequeño sistema y desea que los puertos del router que se ajustan automáticamente</v>
      </c>
      <c r="Y790" s="21"/>
      <c r="Z790" s="21"/>
    </row>
    <row r="791" spans="1:26" ht="32.25" customHeight="1" x14ac:dyDescent="0.2">
      <c r="A791" s="17" t="s">
        <v>1681</v>
      </c>
      <c r="B791" s="17" t="s">
        <v>1682</v>
      </c>
      <c r="C791" s="21" t="str">
        <f ca="1">IFERROR(__xludf.DUMMYFUNCTION("GOOGLETRANSLATE($B791,""en"",C$3)"),"UPnP Aktiviert")</f>
        <v>UPnP Aktiviert</v>
      </c>
      <c r="D791" s="21" t="str">
        <f ca="1">IFERROR(__xludf.DUMMYFUNCTION("GOOGLETRANSLATE($B791,""en"",D$3)"),"UPnP")</f>
        <v>UPnP</v>
      </c>
      <c r="E791" s="21" t="str">
        <f ca="1">IFERROR(__xludf.DUMMYFUNCTION("GOOGLETRANSLATE($B791,""en"",E$3)"),"UPnP Ativado")</f>
        <v>UPnP Ativado</v>
      </c>
      <c r="F791" s="21" t="str">
        <f ca="1">IFERROR(__xludf.DUMMYFUNCTION("GOOGLETRANSLATE($B791,""en"",F$3)"),"UPnP Ativado")</f>
        <v>UPnP Ativado</v>
      </c>
      <c r="G791" s="21" t="str">
        <f ca="1">IFERROR(__xludf.DUMMYFUNCTION("GOOGLETRANSLATE($B791,""en"",G$3)"),"Activé UPnP")</f>
        <v>Activé UPnP</v>
      </c>
      <c r="H791" s="21" t="str">
        <f ca="1">IFERROR(__xludf.DUMMYFUNCTION("GOOGLETRANSLATE($B791,""en"",H$3)"),"UPnP gaituta")</f>
        <v>UPnP gaituta</v>
      </c>
      <c r="I791" s="21" t="str">
        <f ca="1">IFERROR(__xludf.DUMMYFUNCTION("GOOGLETRANSLATE($B791,""en"",I$3)"),"UPnP habilitat")</f>
        <v>UPnP habilitat</v>
      </c>
      <c r="J791" s="21" t="str">
        <f ca="1">IFERROR(__xludf.DUMMYFUNCTION("GOOGLETRANSLATE($B791,""en"",J$3)"),"UPnP")</f>
        <v>UPnP</v>
      </c>
      <c r="K791" s="21" t="str">
        <f ca="1">IFERROR(__xludf.DUMMYFUNCTION("GOOGLETRANSLATE($B791,""en"",K$3)"),"支持UPnP")</f>
        <v>支持UPnP</v>
      </c>
      <c r="L791" s="21" t="str">
        <f ca="1">IFERROR(__xludf.DUMMYFUNCTION("GOOGLETRANSLATE($B791,""en"",L$3)"),"支持UPnP")</f>
        <v>支持UPnP</v>
      </c>
      <c r="M791" s="21" t="str">
        <f ca="1">IFERROR(__xludf.DUMMYFUNCTION("GOOGLETRANSLATE($B791,""en"",M$3)"),"UPnP")</f>
        <v>UPnP</v>
      </c>
      <c r="N791" s="21" t="str">
        <f ca="1">IFERROR(__xludf.DUMMYFUNCTION("GOOGLETRANSLATE($B791,""en"",N$3)"),"UPnP Ενεργοποιημένο")</f>
        <v>UPnP Ενεργοποιημένο</v>
      </c>
      <c r="O791" s="21" t="str">
        <f ca="1">IFERROR(__xludf.DUMMYFUNCTION("GOOGLETRANSLATE($B791,""en"",O$3)"),"UPnP Käytössä")</f>
        <v>UPnP Käytössä</v>
      </c>
      <c r="P791" s="21" t="str">
        <f ca="1">IFERROR(__xludf.DUMMYFUNCTION("GOOGLETRANSLATE($B791,""en"",P$3)"),"UPnP Cumasaithe")</f>
        <v>UPnP Cumasaithe</v>
      </c>
      <c r="Q791" s="21" t="str">
        <f ca="1">IFERROR(__xludf.DUMMYFUNCTION("GOOGLETRANSLATE($B791,""en"",Q$3)"),"UPnP را فعال کنید")</f>
        <v>UPnP را فعال کنید</v>
      </c>
      <c r="R791" s="21" t="str">
        <f ca="1">IFERROR(__xludf.DUMMYFUNCTION("GOOGLETRANSLATE($B791,""en"",R$3)"),"UPnP מופעל")</f>
        <v>UPnP מופעל</v>
      </c>
      <c r="S791" s="21" t="str">
        <f ca="1">IFERROR(__xludf.DUMMYFUNCTION("GOOGLETRANSLATE($B791,""en"",S$3)"),"UPnP")</f>
        <v>UPnP</v>
      </c>
      <c r="T791" s="21" t="str">
        <f ca="1">IFERROR(__xludf.DUMMYFUNCTION("GOOGLETRANSLATE($B791,""en"",T$3)"),"UPnP")</f>
        <v>UPnP</v>
      </c>
      <c r="U791" s="21" t="str">
        <f ca="1">IFERROR(__xludf.DUMMYFUNCTION("GOOGLETRANSLATE($B791,""en"",U$3)"),"بنب ممكن")</f>
        <v>بنب ممكن</v>
      </c>
      <c r="V791" s="21" t="str">
        <f ca="1">IFERROR(__xludf.DUMMYFUNCTION("GOOGLETRANSLATE($B791,""en"",V$3)"),"UPnP")</f>
        <v>UPnP</v>
      </c>
      <c r="W791" s="21" t="str">
        <f ca="1">IFERROR(__xludf.DUMMYFUNCTION("GOOGLETRANSLATE($B791,""en"",W$3)"),"UPnP включен")</f>
        <v>UPnP включен</v>
      </c>
      <c r="X791" s="21" t="str">
        <f ca="1">IFERROR(__xludf.DUMMYFUNCTION("GOOGLETRANSLATE($B791,""en"",X$3)"),"UPnP habilitado")</f>
        <v>UPnP habilitado</v>
      </c>
      <c r="Y791" s="21"/>
      <c r="Z791" s="21"/>
    </row>
    <row r="792" spans="1:26" ht="32.25" customHeight="1" x14ac:dyDescent="0.2">
      <c r="A792" s="17" t="s">
        <v>1683</v>
      </c>
      <c r="B792" s="17" t="s">
        <v>1684</v>
      </c>
      <c r="C792" s="21" t="str">
        <f ca="1">IFERROR(__xludf.DUMMYFUNCTION("GOOGLETRANSLATE($B792,""en"",C$3)"),"UPnP-Setup-Programm")</f>
        <v>UPnP-Setup-Programm</v>
      </c>
      <c r="D792" s="21" t="str">
        <f ca="1">IFERROR(__xludf.DUMMYFUNCTION("GOOGLETRANSLATE($B792,""en"",D$3)"),"UPnP inställningsprogrammet")</f>
        <v>UPnP inställningsprogrammet</v>
      </c>
      <c r="E792" s="21" t="str">
        <f ca="1">IFERROR(__xludf.DUMMYFUNCTION("GOOGLETRANSLATE($B792,""en"",E$3)"),"Configuração do programa UPnP")</f>
        <v>Configuração do programa UPnP</v>
      </c>
      <c r="F792" s="21" t="str">
        <f ca="1">IFERROR(__xludf.DUMMYFUNCTION("GOOGLETRANSLATE($B792,""en"",F$3)"),"Configuração do programa UPnP")</f>
        <v>Configuração do programa UPnP</v>
      </c>
      <c r="G792" s="21" t="str">
        <f ca="1">IFERROR(__xludf.DUMMYFUNCTION("GOOGLETRANSLATE($B792,""en"",G$3)"),"Programme d'installation UPnP")</f>
        <v>Programme d'installation UPnP</v>
      </c>
      <c r="H792" s="21" t="str">
        <f ca="1">IFERROR(__xludf.DUMMYFUNCTION("GOOGLETRANSLATE($B792,""en"",H$3)"),"UPnP Setup Programa")</f>
        <v>UPnP Setup Programa</v>
      </c>
      <c r="I792" s="21" t="str">
        <f ca="1">IFERROR(__xludf.DUMMYFUNCTION("GOOGLETRANSLATE($B792,""en"",I$3)"),"Programa de configuració UPnP")</f>
        <v>Programa de configuració UPnP</v>
      </c>
      <c r="J792" s="21" t="str">
        <f ca="1">IFERROR(__xludf.DUMMYFUNCTION("GOOGLETRANSLATE($B792,""en"",J$3)"),"UPnP Instalační program")</f>
        <v>UPnP Instalační program</v>
      </c>
      <c r="K792" s="21" t="str">
        <f ca="1">IFERROR(__xludf.DUMMYFUNCTION("GOOGLETRANSLATE($B792,""en"",K$3)"),"UPnP的安装程序")</f>
        <v>UPnP的安装程序</v>
      </c>
      <c r="L792" s="21" t="str">
        <f ca="1">IFERROR(__xludf.DUMMYFUNCTION("GOOGLETRANSLATE($B792,""en"",L$3)"),"UPnP的安裝程序")</f>
        <v>UPnP的安裝程序</v>
      </c>
      <c r="M792" s="21" t="str">
        <f ca="1">IFERROR(__xludf.DUMMYFUNCTION("GOOGLETRANSLATE($B792,""en"",M$3)"),"UPnP Setup-programma")</f>
        <v>UPnP Setup-programma</v>
      </c>
      <c r="N792" s="21" t="str">
        <f ca="1">IFERROR(__xludf.DUMMYFUNCTION("GOOGLETRANSLATE($B792,""en"",N$3)"),"UPnP Ρύθμιση του προγράμματος")</f>
        <v>UPnP Ρύθμιση του προγράμματος</v>
      </c>
      <c r="O792" s="21" t="str">
        <f ca="1">IFERROR(__xludf.DUMMYFUNCTION("GOOGLETRANSLATE($B792,""en"",O$3)"),"UPnP asennusohjelma")</f>
        <v>UPnP asennusohjelma</v>
      </c>
      <c r="P792" s="21" t="str">
        <f ca="1">IFERROR(__xludf.DUMMYFUNCTION("GOOGLETRANSLATE($B792,""en"",P$3)"),"UPnP Clár Socrú")</f>
        <v>UPnP Clár Socrú</v>
      </c>
      <c r="Q792" s="21" t="str">
        <f ca="1">IFERROR(__xludf.DUMMYFUNCTION("GOOGLETRANSLATE($B792,""en"",Q$3)"),"برنامه نصب از UPnP")</f>
        <v>برنامه نصب از UPnP</v>
      </c>
      <c r="R792" s="21" t="str">
        <f ca="1">IFERROR(__xludf.DUMMYFUNCTION("GOOGLETRANSLATE($B792,""en"",R$3)"),"תוכנית ההתקנה UPnP")</f>
        <v>תוכנית ההתקנה UPnP</v>
      </c>
      <c r="S792" s="21" t="str">
        <f ca="1">IFERROR(__xludf.DUMMYFUNCTION("GOOGLETRANSLATE($B792,""en"",S$3)"),"UPnP Skipulag Program")</f>
        <v>UPnP Skipulag Program</v>
      </c>
      <c r="T792" s="21" t="str">
        <f ca="1">IFERROR(__xludf.DUMMYFUNCTION("GOOGLETRANSLATE($B792,""en"",T$3)"),"UPnP Setup Program")</f>
        <v>UPnP Setup Program</v>
      </c>
      <c r="U792" s="21" t="str">
        <f ca="1">IFERROR(__xludf.DUMMYFUNCTION("GOOGLETRANSLATE($B792,""en"",U$3)"),"برنامج إعداد بنب")</f>
        <v>برنامج إعداد بنب</v>
      </c>
      <c r="V792" s="21" t="str">
        <f ca="1">IFERROR(__xludf.DUMMYFUNCTION("GOOGLETRANSLATE($B792,""en"",V$3)"),"Program instalacyjny UPnP")</f>
        <v>Program instalacyjny UPnP</v>
      </c>
      <c r="W792" s="21" t="str">
        <f ca="1">IFERROR(__xludf.DUMMYFUNCTION("GOOGLETRANSLATE($B792,""en"",W$3)"),"UPnP Программа установки")</f>
        <v>UPnP Программа установки</v>
      </c>
      <c r="X792" s="21" t="str">
        <f ca="1">IFERROR(__xludf.DUMMYFUNCTION("GOOGLETRANSLATE($B792,""en"",X$3)"),"Programa de configuración UPnP")</f>
        <v>Programa de configuración UPnP</v>
      </c>
      <c r="Y792" s="21"/>
      <c r="Z792" s="21"/>
    </row>
    <row r="793" spans="1:26" ht="32.25" customHeight="1" x14ac:dyDescent="0.2">
      <c r="A793" s="17" t="s">
        <v>1685</v>
      </c>
      <c r="B793" s="17" t="s">
        <v>1686</v>
      </c>
      <c r="C793" s="21" t="str">
        <f ca="1">IFERROR(__xludf.DUMMYFUNCTION("GOOGLETRANSLATE($B793,""en"",C$3)"),"Verwende den Standard")</f>
        <v>Verwende den Standard</v>
      </c>
      <c r="D793" s="21" t="str">
        <f ca="1">IFERROR(__xludf.DUMMYFUNCTION("GOOGLETRANSLATE($B793,""en"",D$3)"),"Använd standard")</f>
        <v>Använd standard</v>
      </c>
      <c r="E793" s="21" t="str">
        <f ca="1">IFERROR(__xludf.DUMMYFUNCTION("GOOGLETRANSLATE($B793,""en"",E$3)"),"Use o padrão")</f>
        <v>Use o padrão</v>
      </c>
      <c r="F793" s="21" t="str">
        <f ca="1">IFERROR(__xludf.DUMMYFUNCTION("GOOGLETRANSLATE($B793,""en"",F$3)"),"Use o padrão")</f>
        <v>Use o padrão</v>
      </c>
      <c r="G793" s="21" t="str">
        <f ca="1">IFERROR(__xludf.DUMMYFUNCTION("GOOGLETRANSLATE($B793,""en"",G$3)"),"L'utilisation par défaut")</f>
        <v>L'utilisation par défaut</v>
      </c>
      <c r="H793" s="21" t="str">
        <f ca="1">IFERROR(__xludf.DUMMYFUNCTION("GOOGLETRANSLATE($B793,""en"",H$3)"),"Erabili lehenetsia")</f>
        <v>Erabili lehenetsia</v>
      </c>
      <c r="I793" s="21" t="str">
        <f ca="1">IFERROR(__xludf.DUMMYFUNCTION("GOOGLETRANSLATE($B793,""en"",I$3)"),"Ús per defecte")</f>
        <v>Ús per defecte</v>
      </c>
      <c r="J793" s="21" t="str">
        <f ca="1">IFERROR(__xludf.DUMMYFUNCTION("GOOGLETRANSLATE($B793,""en"",J$3)"),"Použít výchozí")</f>
        <v>Použít výchozí</v>
      </c>
      <c r="K793" s="21" t="str">
        <f ca="1">IFERROR(__xludf.DUMMYFUNCTION("GOOGLETRANSLATE($B793,""en"",K$3)"),"默认情况下使用")</f>
        <v>默认情况下使用</v>
      </c>
      <c r="L793" s="21" t="str">
        <f ca="1">IFERROR(__xludf.DUMMYFUNCTION("GOOGLETRANSLATE($B793,""en"",L$3)"),"默認情況下使用")</f>
        <v>默認情況下使用</v>
      </c>
      <c r="M793" s="21" t="str">
        <f ca="1">IFERROR(__xludf.DUMMYFUNCTION("GOOGLETRANSLATE($B793,""en"",M$3)"),"Gebruik standaard")</f>
        <v>Gebruik standaard</v>
      </c>
      <c r="N793" s="21" t="str">
        <f ca="1">IFERROR(__xludf.DUMMYFUNCTION("GOOGLETRANSLATE($B793,""en"",N$3)"),"Use Default")</f>
        <v>Use Default</v>
      </c>
      <c r="O793" s="21" t="str">
        <f ca="1">IFERROR(__xludf.DUMMYFUNCTION("GOOGLETRANSLATE($B793,""en"",O$3)"),"Käytä oletusta")</f>
        <v>Käytä oletusta</v>
      </c>
      <c r="P793" s="21" t="str">
        <f ca="1">IFERROR(__xludf.DUMMYFUNCTION("GOOGLETRANSLATE($B793,""en"",P$3)"),"Bain úsáid as Default")</f>
        <v>Bain úsáid as Default</v>
      </c>
      <c r="Q793" s="21" t="str">
        <f ca="1">IFERROR(__xludf.DUMMYFUNCTION("GOOGLETRANSLATE($B793,""en"",Q$3)"),"استفاده به طور پیش فرض")</f>
        <v>استفاده به طور پیش فرض</v>
      </c>
      <c r="R793" s="21" t="str">
        <f ca="1">IFERROR(__xludf.DUMMYFUNCTION("GOOGLETRANSLATE($B793,""en"",R$3)"),"השתמש בברית המחדל")</f>
        <v>השתמש בברית המחדל</v>
      </c>
      <c r="S793" s="21" t="str">
        <f ca="1">IFERROR(__xludf.DUMMYFUNCTION("GOOGLETRANSLATE($B793,""en"",S$3)"),"Nota Default")</f>
        <v>Nota Default</v>
      </c>
      <c r="T793" s="21" t="str">
        <f ca="1">IFERROR(__xludf.DUMMYFUNCTION("GOOGLETRANSLATE($B793,""en"",T$3)"),"Bruk standard")</f>
        <v>Bruk standard</v>
      </c>
      <c r="U793" s="21" t="str">
        <f ca="1">IFERROR(__xludf.DUMMYFUNCTION("GOOGLETRANSLATE($B793,""en"",U$3)"),"استخدم الافتراضي")</f>
        <v>استخدم الافتراضي</v>
      </c>
      <c r="V793" s="21" t="str">
        <f ca="1">IFERROR(__xludf.DUMMYFUNCTION("GOOGLETRANSLATE($B793,""en"",V$3)"),"Zastosowanie domyślne")</f>
        <v>Zastosowanie domyślne</v>
      </c>
      <c r="W793" s="21" t="str">
        <f ca="1">IFERROR(__xludf.DUMMYFUNCTION("GOOGLETRANSLATE($B793,""en"",W$3)"),"Использовать по умолчанию")</f>
        <v>Использовать по умолчанию</v>
      </c>
      <c r="X793" s="21" t="str">
        <f ca="1">IFERROR(__xludf.DUMMYFUNCTION("GOOGLETRANSLATE($B793,""en"",X$3)"),"Uso por defecto")</f>
        <v>Uso por defecto</v>
      </c>
      <c r="Y793" s="21"/>
      <c r="Z793" s="21"/>
    </row>
    <row r="794" spans="1:26" ht="32.25" customHeight="1" x14ac:dyDescent="0.2">
      <c r="A794" s="17" t="s">
        <v>1687</v>
      </c>
      <c r="B794" s="17" t="s">
        <v>1688</v>
      </c>
      <c r="C794" s="21" t="str">
        <f ca="1">IFERROR(__xludf.DUMMYFUNCTION("GOOGLETRANSLATE($B794,""en"",C$3)"),"Je größer die Zahl, desto größer der Cache.")</f>
        <v>Je größer die Zahl, desto größer der Cache.</v>
      </c>
      <c r="D794" s="21" t="str">
        <f ca="1">IFERROR(__xludf.DUMMYFUNCTION("GOOGLETRANSLATE($B794,""en"",D$3)"),"Ju högre siffra, desto större cache.")</f>
        <v>Ju högre siffra, desto större cache.</v>
      </c>
      <c r="E794" s="21" t="str">
        <f ca="1">IFERROR(__xludf.DUMMYFUNCTION("GOOGLETRANSLATE($B794,""en"",E$3)"),"Quanto maior o número, maior o cache.")</f>
        <v>Quanto maior o número, maior o cache.</v>
      </c>
      <c r="F794" s="21" t="str">
        <f ca="1">IFERROR(__xludf.DUMMYFUNCTION("GOOGLETRANSLATE($B794,""en"",F$3)"),"Quanto maior o número, maior o cache.")</f>
        <v>Quanto maior o número, maior o cache.</v>
      </c>
      <c r="G794" s="21" t="str">
        <f ca="1">IFERROR(__xludf.DUMMYFUNCTION("GOOGLETRANSLATE($B794,""en"",G$3)"),"Plus le nombre, plus le cache.")</f>
        <v>Plus le nombre, plus le cache.</v>
      </c>
      <c r="H794" s="21" t="str">
        <f ca="1">IFERROR(__xludf.DUMMYFUNCTION("GOOGLETRANSLATE($B794,""en"",H$3)"),"Eta handiagoa kopurua, handiago cachea.")</f>
        <v>Eta handiagoa kopurua, handiago cachea.</v>
      </c>
      <c r="I794" s="21" t="str">
        <f ca="1">IFERROR(__xludf.DUMMYFUNCTION("GOOGLETRANSLATE($B794,""en"",I$3)"),"Com més gran sigui el nombre, més gran és la memòria cau.")</f>
        <v>Com més gran sigui el nombre, més gran és la memòria cau.</v>
      </c>
      <c r="J794" s="21" t="str">
        <f ca="1">IFERROR(__xludf.DUMMYFUNCTION("GOOGLETRANSLATE($B794,""en"",J$3)"),"Čím vyšší číslo, tím větší vyrovnávací paměť.")</f>
        <v>Čím vyšší číslo, tím větší vyrovnávací paměť.</v>
      </c>
      <c r="K794" s="21" t="str">
        <f ca="1">IFERROR(__xludf.DUMMYFUNCTION("GOOGLETRANSLATE($B794,""en"",K$3)"),"数字越大，缓存越大。")</f>
        <v>数字越大，缓存越大。</v>
      </c>
      <c r="L794" s="21" t="str">
        <f ca="1">IFERROR(__xludf.DUMMYFUNCTION("GOOGLETRANSLATE($B794,""en"",L$3)"),"數字越大，緩存越大。")</f>
        <v>數字越大，緩存越大。</v>
      </c>
      <c r="M794" s="21" t="str">
        <f ca="1">IFERROR(__xludf.DUMMYFUNCTION("GOOGLETRANSLATE($B794,""en"",M$3)"),"Hoe hoger het getal, hoe groter de cache.")</f>
        <v>Hoe hoger het getal, hoe groter de cache.</v>
      </c>
      <c r="N794" s="21" t="str">
        <f ca="1">IFERROR(__xludf.DUMMYFUNCTION("GOOGLETRANSLATE($B794,""en"",N$3)"),"Όσο μεγαλύτερος είναι ο αριθμός, τόσο μεγαλύτερη είναι η μνήμη cache.")</f>
        <v>Όσο μεγαλύτερος είναι ο αριθμός, τόσο μεγαλύτερη είναι η μνήμη cache.</v>
      </c>
      <c r="O794" s="21" t="str">
        <f ca="1">IFERROR(__xludf.DUMMYFUNCTION("GOOGLETRANSLATE($B794,""en"",O$3)"),"Mitä suurempi numero, sitä suurempi välimuisti.")</f>
        <v>Mitä suurempi numero, sitä suurempi välimuisti.</v>
      </c>
      <c r="P794" s="21" t="str">
        <f ca="1">IFERROR(__xludf.DUMMYFUNCTION("GOOGLETRANSLATE($B794,""en"",P$3)"),"An mó an uimhir, an níos mó an taisce.")</f>
        <v>An mó an uimhir, an níos mó an taisce.</v>
      </c>
      <c r="Q794" s="21" t="str">
        <f ca="1">IFERROR(__xludf.DUMMYFUNCTION("GOOGLETRANSLATE($B794,""en"",Q$3)"),"هرچه تعداد، بزرگتر از کش.")</f>
        <v>هرچه تعداد، بزرگتر از کش.</v>
      </c>
      <c r="R794" s="21" t="str">
        <f ca="1">IFERROR(__xludf.DUMMYFUNCTION("GOOGLETRANSLATE($B794,""en"",R$3)"),"ככל שהמספר גדול יותר, גדול יותר מטמון.")</f>
        <v>ככל שהמספר גדול יותר, גדול יותר מטמון.</v>
      </c>
      <c r="S794" s="21" t="str">
        <f ca="1">IFERROR(__xludf.DUMMYFUNCTION("GOOGLETRANSLATE($B794,""en"",S$3)"),"Stærri talan er stærri skyndiminni.")</f>
        <v>Stærri talan er stærri skyndiminni.</v>
      </c>
      <c r="T794" s="21" t="str">
        <f ca="1">IFERROR(__xludf.DUMMYFUNCTION("GOOGLETRANSLATE($B794,""en"",T$3)"),"Jo høyere tallet er, jo større cache.")</f>
        <v>Jo høyere tallet er, jo større cache.</v>
      </c>
      <c r="U794" s="21" t="str">
        <f ca="1">IFERROR(__xludf.DUMMYFUNCTION("GOOGLETRANSLATE($B794,""en"",U$3)"),"أكبر عدد، وأكبر ذاكرة التخزين المؤقت.")</f>
        <v>أكبر عدد، وأكبر ذاكرة التخزين المؤقت.</v>
      </c>
      <c r="V794" s="21" t="str">
        <f ca="1">IFERROR(__xludf.DUMMYFUNCTION("GOOGLETRANSLATE($B794,""en"",V$3)"),"Im większa liczba, tym większa pamięć podręczna.")</f>
        <v>Im większa liczba, tym większa pamięć podręczna.</v>
      </c>
      <c r="W794" s="21" t="str">
        <f ca="1">IFERROR(__xludf.DUMMYFUNCTION("GOOGLETRANSLATE($B794,""en"",W$3)"),"Чем больше число, тем больше кэш.")</f>
        <v>Чем больше число, тем больше кэш.</v>
      </c>
      <c r="X794" s="21" t="str">
        <f ca="1">IFERROR(__xludf.DUMMYFUNCTION("GOOGLETRANSLATE($B794,""en"",X$3)"),"Cuanto mayor sea el número, mayor es la memoria caché.")</f>
        <v>Cuanto mayor sea el número, mayor es la memoria caché.</v>
      </c>
      <c r="Y794" s="21"/>
      <c r="Z794" s="21"/>
    </row>
    <row r="795" spans="1:26" ht="32.25" customHeight="1" x14ac:dyDescent="0.2">
      <c r="A795" s="17" t="s">
        <v>1689</v>
      </c>
      <c r="B795" s="17" t="s">
        <v>1690</v>
      </c>
      <c r="C795" s="21" t="str">
        <f ca="1">IFERROR(__xludf.DUMMYFUNCTION("GOOGLETRANSLATE($B795,""en"",C$3)"),"Benutzeridentifikation")</f>
        <v>Benutzeridentifikation</v>
      </c>
      <c r="D795" s="21" t="str">
        <f ca="1">IFERROR(__xludf.DUMMYFUNCTION("GOOGLETRANSLATE($B795,""en"",D$3)"),"användar ID")</f>
        <v>användar ID</v>
      </c>
      <c r="E795" s="21" t="str">
        <f ca="1">IFERROR(__xludf.DUMMYFUNCTION("GOOGLETRANSLATE($B795,""en"",E$3)"),"ID do usuário")</f>
        <v>ID do usuário</v>
      </c>
      <c r="F795" s="21" t="str">
        <f ca="1">IFERROR(__xludf.DUMMYFUNCTION("GOOGLETRANSLATE($B795,""en"",F$3)"),"ID do usuário")</f>
        <v>ID do usuário</v>
      </c>
      <c r="G795" s="21" t="str">
        <f ca="1">IFERROR(__xludf.DUMMYFUNCTION("GOOGLETRANSLATE($B795,""en"",G$3)"),"Identifiant d'utilisateur")</f>
        <v>Identifiant d'utilisateur</v>
      </c>
      <c r="H795" s="21" t="str">
        <f ca="1">IFERROR(__xludf.DUMMYFUNCTION("GOOGLETRANSLATE($B795,""en"",H$3)"),"Erabiltzaile ID")</f>
        <v>Erabiltzaile ID</v>
      </c>
      <c r="I795" s="21" t="str">
        <f ca="1">IFERROR(__xludf.DUMMYFUNCTION("GOOGLETRANSLATE($B795,""en"",I$3)"),"ID d'usuari")</f>
        <v>ID d'usuari</v>
      </c>
      <c r="J795" s="21" t="str">
        <f ca="1">IFERROR(__xludf.DUMMYFUNCTION("GOOGLETRANSLATE($B795,""en"",J$3)"),"uživatelské ID")</f>
        <v>uživatelské ID</v>
      </c>
      <c r="K795" s="21" t="str">
        <f ca="1">IFERROR(__xludf.DUMMYFUNCTION("GOOGLETRANSLATE($B795,""en"",K$3)"),"用户身份")</f>
        <v>用户身份</v>
      </c>
      <c r="L795" s="21" t="str">
        <f ca="1">IFERROR(__xludf.DUMMYFUNCTION("GOOGLETRANSLATE($B795,""en"",L$3)"),"用戶身份")</f>
        <v>用戶身份</v>
      </c>
      <c r="M795" s="21" t="str">
        <f ca="1">IFERROR(__xludf.DUMMYFUNCTION("GOOGLETRANSLATE($B795,""en"",M$3)"),"gebruikersnaam")</f>
        <v>gebruikersnaam</v>
      </c>
      <c r="N795" s="21" t="str">
        <f ca="1">IFERROR(__xludf.DUMMYFUNCTION("GOOGLETRANSLATE($B795,""en"",N$3)"),"ταυτότητα χρήστη")</f>
        <v>ταυτότητα χρήστη</v>
      </c>
      <c r="O795" s="21" t="str">
        <f ca="1">IFERROR(__xludf.DUMMYFUNCTION("GOOGLETRANSLATE($B795,""en"",O$3)"),"käyttäjätunnus")</f>
        <v>käyttäjätunnus</v>
      </c>
      <c r="P795" s="21" t="str">
        <f ca="1">IFERROR(__xludf.DUMMYFUNCTION("GOOGLETRANSLATE($B795,""en"",P$3)"),"ID Úsáideora")</f>
        <v>ID Úsáideora</v>
      </c>
      <c r="Q795" s="21" t="str">
        <f ca="1">IFERROR(__xludf.DUMMYFUNCTION("GOOGLETRANSLATE($B795,""en"",Q$3)"),"شناسه کاربر")</f>
        <v>شناسه کاربر</v>
      </c>
      <c r="R795" s="21" t="str">
        <f ca="1">IFERROR(__xludf.DUMMYFUNCTION("GOOGLETRANSLATE($B795,""en"",R$3)"),"זהות המשתמש")</f>
        <v>זהות המשתמש</v>
      </c>
      <c r="S795" s="21" t="str">
        <f ca="1">IFERROR(__xludf.DUMMYFUNCTION("GOOGLETRANSLATE($B795,""en"",S$3)"),"notandanafn")</f>
        <v>notandanafn</v>
      </c>
      <c r="T795" s="21" t="str">
        <f ca="1">IFERROR(__xludf.DUMMYFUNCTION("GOOGLETRANSLATE($B795,""en"",T$3)"),"bruker-ID")</f>
        <v>bruker-ID</v>
      </c>
      <c r="U795" s="21" t="str">
        <f ca="1">IFERROR(__xludf.DUMMYFUNCTION("GOOGLETRANSLATE($B795,""en"",U$3)"),"معرف المستخدم")</f>
        <v>معرف المستخدم</v>
      </c>
      <c r="V795" s="21" t="str">
        <f ca="1">IFERROR(__xludf.DUMMYFUNCTION("GOOGLETRANSLATE($B795,""en"",V$3)"),"Identyfikator użytkownika")</f>
        <v>Identyfikator użytkownika</v>
      </c>
      <c r="W795" s="21" t="str">
        <f ca="1">IFERROR(__xludf.DUMMYFUNCTION("GOOGLETRANSLATE($B795,""en"",W$3)"),"Логин пользователя")</f>
        <v>Логин пользователя</v>
      </c>
      <c r="X795" s="21" t="str">
        <f ca="1">IFERROR(__xludf.DUMMYFUNCTION("GOOGLETRANSLATE($B795,""en"",X$3)"),"ID de usuario")</f>
        <v>ID de usuario</v>
      </c>
      <c r="Y795" s="21"/>
      <c r="Z795" s="21"/>
    </row>
    <row r="796" spans="1:26" ht="32.25" customHeight="1" x14ac:dyDescent="0.2">
      <c r="A796" s="17" t="s">
        <v>1691</v>
      </c>
      <c r="B796" s="17" t="s">
        <v>1692</v>
      </c>
      <c r="C796" s="21" t="str">
        <f ca="1">IFERROR(__xludf.DUMMYFUNCTION("GOOGLETRANSLATE($B796,""en"",C$3)"),"Nutzername")</f>
        <v>Nutzername</v>
      </c>
      <c r="D796" s="21" t="str">
        <f ca="1">IFERROR(__xludf.DUMMYFUNCTION("GOOGLETRANSLATE($B796,""en"",D$3)"),"Användarnamn")</f>
        <v>Användarnamn</v>
      </c>
      <c r="E796" s="21" t="str">
        <f ca="1">IFERROR(__xludf.DUMMYFUNCTION("GOOGLETRANSLATE($B796,""en"",E$3)"),"Nome do usuário")</f>
        <v>Nome do usuário</v>
      </c>
      <c r="F796" s="21" t="str">
        <f ca="1">IFERROR(__xludf.DUMMYFUNCTION("GOOGLETRANSLATE($B796,""en"",F$3)"),"Nome do usuário")</f>
        <v>Nome do usuário</v>
      </c>
      <c r="G796" s="21" t="str">
        <f ca="1">IFERROR(__xludf.DUMMYFUNCTION("GOOGLETRANSLATE($B796,""en"",G$3)"),"Nom d'utilisateur")</f>
        <v>Nom d'utilisateur</v>
      </c>
      <c r="H796" s="21" t="str">
        <f ca="1">IFERROR(__xludf.DUMMYFUNCTION("GOOGLETRANSLATE($B796,""en"",H$3)"),"Erabiltzaile izena")</f>
        <v>Erabiltzaile izena</v>
      </c>
      <c r="I796" s="21" t="str">
        <f ca="1">IFERROR(__xludf.DUMMYFUNCTION("GOOGLETRANSLATE($B796,""en"",I$3)"),"Nom d'usuari")</f>
        <v>Nom d'usuari</v>
      </c>
      <c r="J796" s="21" t="str">
        <f ca="1">IFERROR(__xludf.DUMMYFUNCTION("GOOGLETRANSLATE($B796,""en"",J$3)"),"Uživatelské jméno")</f>
        <v>Uživatelské jméno</v>
      </c>
      <c r="K796" s="21" t="str">
        <f ca="1">IFERROR(__xludf.DUMMYFUNCTION("GOOGLETRANSLATE($B796,""en"",K$3)"),"用户名")</f>
        <v>用户名</v>
      </c>
      <c r="L796" s="21" t="str">
        <f ca="1">IFERROR(__xludf.DUMMYFUNCTION("GOOGLETRANSLATE($B796,""en"",L$3)"),"用戶名")</f>
        <v>用戶名</v>
      </c>
      <c r="M796" s="21" t="str">
        <f ca="1">IFERROR(__xludf.DUMMYFUNCTION("GOOGLETRANSLATE($B796,""en"",M$3)"),"Gebruikersnaam")</f>
        <v>Gebruikersnaam</v>
      </c>
      <c r="N796" s="21" t="str">
        <f ca="1">IFERROR(__xludf.DUMMYFUNCTION("GOOGLETRANSLATE($B796,""en"",N$3)"),"Ονομα χρήστη")</f>
        <v>Ονομα χρήστη</v>
      </c>
      <c r="O796" s="21" t="str">
        <f ca="1">IFERROR(__xludf.DUMMYFUNCTION("GOOGLETRANSLATE($B796,""en"",O$3)"),"käyttäjätunnus")</f>
        <v>käyttäjätunnus</v>
      </c>
      <c r="P796" s="21" t="str">
        <f ca="1">IFERROR(__xludf.DUMMYFUNCTION("GOOGLETRANSLATE($B796,""en"",P$3)"),"Ainm Úsáideora")</f>
        <v>Ainm Úsáideora</v>
      </c>
      <c r="Q796" s="21" t="str">
        <f ca="1">IFERROR(__xludf.DUMMYFUNCTION("GOOGLETRANSLATE($B796,""en"",Q$3)"),"نام کاربری")</f>
        <v>نام کاربری</v>
      </c>
      <c r="R796" s="21" t="str">
        <f ca="1">IFERROR(__xludf.DUMMYFUNCTION("GOOGLETRANSLATE($B796,""en"",R$3)"),"שם משתמש")</f>
        <v>שם משתמש</v>
      </c>
      <c r="S796" s="21" t="str">
        <f ca="1">IFERROR(__xludf.DUMMYFUNCTION("GOOGLETRANSLATE($B796,""en"",S$3)"),"User Name")</f>
        <v>User Name</v>
      </c>
      <c r="T796" s="21" t="str">
        <f ca="1">IFERROR(__xludf.DUMMYFUNCTION("GOOGLETRANSLATE($B796,""en"",T$3)"),"brukernavn")</f>
        <v>brukernavn</v>
      </c>
      <c r="U796" s="21" t="str">
        <f ca="1">IFERROR(__xludf.DUMMYFUNCTION("GOOGLETRANSLATE($B796,""en"",U$3)"),"اسم المستخدم")</f>
        <v>اسم المستخدم</v>
      </c>
      <c r="V796" s="21" t="str">
        <f ca="1">IFERROR(__xludf.DUMMYFUNCTION("GOOGLETRANSLATE($B796,""en"",V$3)"),"Nazwa Użytkownika")</f>
        <v>Nazwa Użytkownika</v>
      </c>
      <c r="W796" s="21" t="str">
        <f ca="1">IFERROR(__xludf.DUMMYFUNCTION("GOOGLETRANSLATE($B796,""en"",W$3)"),"имя пользователя")</f>
        <v>имя пользователя</v>
      </c>
      <c r="X796" s="21" t="str">
        <f ca="1">IFERROR(__xludf.DUMMYFUNCTION("GOOGLETRANSLATE($B796,""en"",X$3)"),"Nombre de usuario")</f>
        <v>Nombre de usuario</v>
      </c>
      <c r="Y796" s="21"/>
      <c r="Z796" s="21"/>
    </row>
    <row r="797" spans="1:26" ht="32.25" customHeight="1" x14ac:dyDescent="0.2">
      <c r="A797" s="17" t="s">
        <v>1693</v>
      </c>
      <c r="B797" s="17" t="s">
        <v>1694</v>
      </c>
      <c r="C797" s="21" t="str">
        <f ca="1">IFERROR(__xludf.DUMMYFUNCTION("GOOGLETRANSLATE($B797,""en"",C$3)"),"Benutzer")</f>
        <v>Benutzer</v>
      </c>
      <c r="D797" s="21" t="str">
        <f ca="1">IFERROR(__xludf.DUMMYFUNCTION("GOOGLETRANSLATE($B797,""en"",D$3)"),"användare")</f>
        <v>användare</v>
      </c>
      <c r="E797" s="21" t="str">
        <f ca="1">IFERROR(__xludf.DUMMYFUNCTION("GOOGLETRANSLATE($B797,""en"",E$3)"),"Comercial")</f>
        <v>Comercial</v>
      </c>
      <c r="F797" s="21" t="str">
        <f ca="1">IFERROR(__xludf.DUMMYFUNCTION("GOOGLETRANSLATE($B797,""en"",F$3)"),"Comercial")</f>
        <v>Comercial</v>
      </c>
      <c r="G797" s="21" t="str">
        <f ca="1">IFERROR(__xludf.DUMMYFUNCTION("GOOGLETRANSLATE($B797,""en"",G$3)"),"Utilisateurs")</f>
        <v>Utilisateurs</v>
      </c>
      <c r="H797" s="21" t="str">
        <f ca="1">IFERROR(__xludf.DUMMYFUNCTION("GOOGLETRANSLATE($B797,""en"",H$3)"),"erabiltzaileak")</f>
        <v>erabiltzaileak</v>
      </c>
      <c r="I797" s="21" t="str">
        <f ca="1">IFERROR(__xludf.DUMMYFUNCTION("GOOGLETRANSLATE($B797,""en"",I$3)"),"usuaris")</f>
        <v>usuaris</v>
      </c>
      <c r="J797" s="21" t="str">
        <f ca="1">IFERROR(__xludf.DUMMYFUNCTION("GOOGLETRANSLATE($B797,""en"",J$3)"),"uživatelé")</f>
        <v>uživatelé</v>
      </c>
      <c r="K797" s="21" t="str">
        <f ca="1">IFERROR(__xludf.DUMMYFUNCTION("GOOGLETRANSLATE($B797,""en"",K$3)"),"用户")</f>
        <v>用户</v>
      </c>
      <c r="L797" s="21" t="str">
        <f ca="1">IFERROR(__xludf.DUMMYFUNCTION("GOOGLETRANSLATE($B797,""en"",L$3)"),"用戶")</f>
        <v>用戶</v>
      </c>
      <c r="M797" s="21" t="str">
        <f ca="1">IFERROR(__xludf.DUMMYFUNCTION("GOOGLETRANSLATE($B797,""en"",M$3)"),"gebruikers")</f>
        <v>gebruikers</v>
      </c>
      <c r="N797" s="21" t="str">
        <f ca="1">IFERROR(__xludf.DUMMYFUNCTION("GOOGLETRANSLATE($B797,""en"",N$3)"),"χρήστες")</f>
        <v>χρήστες</v>
      </c>
      <c r="O797" s="21" t="str">
        <f ca="1">IFERROR(__xludf.DUMMYFUNCTION("GOOGLETRANSLATE($B797,""en"",O$3)"),"käyttäjät")</f>
        <v>käyttäjät</v>
      </c>
      <c r="P797" s="21" t="str">
        <f ca="1">IFERROR(__xludf.DUMMYFUNCTION("GOOGLETRANSLATE($B797,""en"",P$3)"),"Úsáideoirí")</f>
        <v>Úsáideoirí</v>
      </c>
      <c r="Q797" s="21" t="str">
        <f ca="1">IFERROR(__xludf.DUMMYFUNCTION("GOOGLETRANSLATE($B797,""en"",Q$3)"),"کاربران")</f>
        <v>کاربران</v>
      </c>
      <c r="R797" s="21" t="str">
        <f ca="1">IFERROR(__xludf.DUMMYFUNCTION("GOOGLETRANSLATE($B797,""en"",R$3)"),"משתמש")</f>
        <v>משתמש</v>
      </c>
      <c r="S797" s="21" t="str">
        <f ca="1">IFERROR(__xludf.DUMMYFUNCTION("GOOGLETRANSLATE($B797,""en"",S$3)"),"Notendur")</f>
        <v>Notendur</v>
      </c>
      <c r="T797" s="21" t="str">
        <f ca="1">IFERROR(__xludf.DUMMYFUNCTION("GOOGLETRANSLATE($B797,""en"",T$3)"),"brukere")</f>
        <v>brukere</v>
      </c>
      <c r="U797" s="21" t="str">
        <f ca="1">IFERROR(__xludf.DUMMYFUNCTION("GOOGLETRANSLATE($B797,""en"",U$3)"),"المستخدمين")</f>
        <v>المستخدمين</v>
      </c>
      <c r="V797" s="21" t="str">
        <f ca="1">IFERROR(__xludf.DUMMYFUNCTION("GOOGLETRANSLATE($B797,""en"",V$3)"),"użytkownicy")</f>
        <v>użytkownicy</v>
      </c>
      <c r="W797" s="21" t="str">
        <f ca="1">IFERROR(__xludf.DUMMYFUNCTION("GOOGLETRANSLATE($B797,""en"",W$3)"),"пользователей")</f>
        <v>пользователей</v>
      </c>
      <c r="X797" s="21" t="str">
        <f ca="1">IFERROR(__xludf.DUMMYFUNCTION("GOOGLETRANSLATE($B797,""en"",X$3)"),"usuarios")</f>
        <v>usuarios</v>
      </c>
      <c r="Y797" s="21"/>
      <c r="Z797" s="21"/>
    </row>
    <row r="798" spans="1:26" ht="32.25" customHeight="1" x14ac:dyDescent="0.2">
      <c r="A798" s="17" t="s">
        <v>1695</v>
      </c>
      <c r="B798" s="17" t="s">
        <v>1696</v>
      </c>
      <c r="C798" s="21" t="str">
        <f ca="1">IFERROR(__xludf.DUMMYFUNCTION("GOOGLETRANSLATE($B798,""en"",C$3)"),"Fehler: UUID ist nichts!")</f>
        <v>Fehler: UUID ist nichts!</v>
      </c>
      <c r="D798" s="21" t="str">
        <f ca="1">IFERROR(__xludf.DUMMYFUNCTION("GOOGLETRANSLATE($B798,""en"",D$3)"),"Fel: UUID är ingenting!")</f>
        <v>Fel: UUID är ingenting!</v>
      </c>
      <c r="E798" s="21" t="str">
        <f ca="1">IFERROR(__xludf.DUMMYFUNCTION("GOOGLETRANSLATE($B798,""en"",E$3)"),"Erro: UUID não é nada!")</f>
        <v>Erro: UUID não é nada!</v>
      </c>
      <c r="F798" s="21" t="str">
        <f ca="1">IFERROR(__xludf.DUMMYFUNCTION("GOOGLETRANSLATE($B798,""en"",F$3)"),"Erro: UUID não é nada!")</f>
        <v>Erro: UUID não é nada!</v>
      </c>
      <c r="G798" s="21" t="str">
        <f ca="1">IFERROR(__xludf.DUMMYFUNCTION("GOOGLETRANSLATE($B798,""en"",G$3)"),"Erreur: UUID Il n'y a rien!")</f>
        <v>Erreur: UUID Il n'y a rien!</v>
      </c>
      <c r="H798" s="21" t="str">
        <f ca="1">IFERROR(__xludf.DUMMYFUNCTION("GOOGLETRANSLATE($B798,""en"",H$3)"),"Akatsa: UUID dago ezer!")</f>
        <v>Akatsa: UUID dago ezer!</v>
      </c>
      <c r="I798" s="21" t="str">
        <f ca="1">IFERROR(__xludf.DUMMYFUNCTION("GOOGLETRANSLATE($B798,""en"",I$3)"),"Error: UUID és res!")</f>
        <v>Error: UUID és res!</v>
      </c>
      <c r="J798" s="21" t="str">
        <f ca="1">IFERROR(__xludf.DUMMYFUNCTION("GOOGLETRANSLATE($B798,""en"",J$3)"),"Chyba: UUID není nic!")</f>
        <v>Chyba: UUID není nic!</v>
      </c>
      <c r="K798" s="21" t="str">
        <f ca="1">IFERROR(__xludf.DUMMYFUNCTION("GOOGLETRANSLATE($B798,""en"",K$3)"),"错误：UUID是什么！")</f>
        <v>错误：UUID是什么！</v>
      </c>
      <c r="L798" s="21" t="str">
        <f ca="1">IFERROR(__xludf.DUMMYFUNCTION("GOOGLETRANSLATE($B798,""en"",L$3)"),"錯誤：UUID是什麼！")</f>
        <v>錯誤：UUID是什麼！</v>
      </c>
      <c r="M798" s="21" t="str">
        <f ca="1">IFERROR(__xludf.DUMMYFUNCTION("GOOGLETRANSLATE($B798,""en"",M$3)"),"Fout: UUID is niets!")</f>
        <v>Fout: UUID is niets!</v>
      </c>
      <c r="N798" s="21" t="str">
        <f ca="1">IFERROR(__xludf.DUMMYFUNCTION("GOOGLETRANSLATE($B798,""en"",N$3)"),"Σφάλμα: UUID δεν είναι τίποτα!")</f>
        <v>Σφάλμα: UUID δεν είναι τίποτα!</v>
      </c>
      <c r="O798" s="21" t="str">
        <f ca="1">IFERROR(__xludf.DUMMYFUNCTION("GOOGLETRANSLATE($B798,""en"",O$3)"),"Virhe: UUID ole mitään!")</f>
        <v>Virhe: UUID ole mitään!</v>
      </c>
      <c r="P798" s="21" t="str">
        <f ca="1">IFERROR(__xludf.DUMMYFUNCTION("GOOGLETRANSLATE($B798,""en"",P$3)"),"Earráid: UUID Is faic!")</f>
        <v>Earráid: UUID Is faic!</v>
      </c>
      <c r="Q798" s="21" t="str">
        <f ca="1">IFERROR(__xludf.DUMMYFUNCTION("GOOGLETRANSLATE($B798,""en"",Q$3)"),"خطا: UUID هیچ چیز!")</f>
        <v>خطا: UUID هیچ چیز!</v>
      </c>
      <c r="R798" s="21" t="str">
        <f ca="1">IFERROR(__xludf.DUMMYFUNCTION("GOOGLETRANSLATE($B798,""en"",R$3)"),"שגיאה: אין דבר UUID!")</f>
        <v>שגיאה: אין דבר UUID!</v>
      </c>
      <c r="S798" s="21" t="str">
        <f ca="1">IFERROR(__xludf.DUMMYFUNCTION("GOOGLETRANSLATE($B798,""en"",S$3)"),"VILLA: UUID er ekkert!")</f>
        <v>VILLA: UUID er ekkert!</v>
      </c>
      <c r="T798" s="21" t="str">
        <f ca="1">IFERROR(__xludf.DUMMYFUNCTION("GOOGLETRANSLATE($B798,""en"",T$3)"),"Feil: UUID er ingenting!")</f>
        <v>Feil: UUID er ingenting!</v>
      </c>
      <c r="U798" s="21" t="str">
        <f ca="1">IFERROR(__xludf.DUMMYFUNCTION("GOOGLETRANSLATE($B798,""en"",U$3)"),"خطأ: UUID شيء!")</f>
        <v>خطأ: UUID شيء!</v>
      </c>
      <c r="V798" s="21" t="str">
        <f ca="1">IFERROR(__xludf.DUMMYFUNCTION("GOOGLETRANSLATE($B798,""en"",V$3)"),"Błąd: UUID ma nic!")</f>
        <v>Błąd: UUID ma nic!</v>
      </c>
      <c r="W798" s="21" t="str">
        <f ca="1">IFERROR(__xludf.DUMMYFUNCTION("GOOGLETRANSLATE($B798,""en"",W$3)"),"нет ошибок: UUID что!")</f>
        <v>нет ошибок: UUID что!</v>
      </c>
      <c r="X798" s="21" t="str">
        <f ca="1">IFERROR(__xludf.DUMMYFUNCTION("GOOGLETRANSLATE($B798,""en"",X$3)"),"Error: UUID es nada!")</f>
        <v>Error: UUID es nada!</v>
      </c>
      <c r="Y798" s="21"/>
      <c r="Z798" s="21"/>
    </row>
    <row r="799" spans="1:26" ht="32.25" customHeight="1" x14ac:dyDescent="0.2">
      <c r="A799" s="17" t="s">
        <v>1697</v>
      </c>
      <c r="B799" s="17" t="s">
        <v>1698</v>
      </c>
      <c r="C799" s="21" t="str">
        <f ca="1">IFERROR(__xludf.DUMMYFUNCTION("GOOGLETRANSLATE($B799,""en"",C$3)"),"Ausführung")</f>
        <v>Ausführung</v>
      </c>
      <c r="D799" s="21" t="str">
        <f ca="1">IFERROR(__xludf.DUMMYFUNCTION("GOOGLETRANSLATE($B799,""en"",D$3)"),"Version")</f>
        <v>Version</v>
      </c>
      <c r="E799" s="21" t="str">
        <f ca="1">IFERROR(__xludf.DUMMYFUNCTION("GOOGLETRANSLATE($B799,""en"",E$3)"),"Versão")</f>
        <v>Versão</v>
      </c>
      <c r="F799" s="21" t="str">
        <f ca="1">IFERROR(__xludf.DUMMYFUNCTION("GOOGLETRANSLATE($B799,""en"",F$3)"),"Versão")</f>
        <v>Versão</v>
      </c>
      <c r="G799" s="21" t="str">
        <f ca="1">IFERROR(__xludf.DUMMYFUNCTION("GOOGLETRANSLATE($B799,""en"",G$3)"),"Version")</f>
        <v>Version</v>
      </c>
      <c r="H799" s="21" t="str">
        <f ca="1">IFERROR(__xludf.DUMMYFUNCTION("GOOGLETRANSLATE($B799,""en"",H$3)"),"Bertsio")</f>
        <v>Bertsio</v>
      </c>
      <c r="I799" s="21" t="str">
        <f ca="1">IFERROR(__xludf.DUMMYFUNCTION("GOOGLETRANSLATE($B799,""en"",I$3)"),"versió")</f>
        <v>versió</v>
      </c>
      <c r="J799" s="21" t="str">
        <f ca="1">IFERROR(__xludf.DUMMYFUNCTION("GOOGLETRANSLATE($B799,""en"",J$3)"),"Verze")</f>
        <v>Verze</v>
      </c>
      <c r="K799" s="21" t="str">
        <f ca="1">IFERROR(__xludf.DUMMYFUNCTION("GOOGLETRANSLATE($B799,""en"",K$3)"),"版")</f>
        <v>版</v>
      </c>
      <c r="L799" s="21" t="str">
        <f ca="1">IFERROR(__xludf.DUMMYFUNCTION("GOOGLETRANSLATE($B799,""en"",L$3)"),"版")</f>
        <v>版</v>
      </c>
      <c r="M799" s="21" t="str">
        <f ca="1">IFERROR(__xludf.DUMMYFUNCTION("GOOGLETRANSLATE($B799,""en"",M$3)"),"Versie")</f>
        <v>Versie</v>
      </c>
      <c r="N799" s="21" t="str">
        <f ca="1">IFERROR(__xludf.DUMMYFUNCTION("GOOGLETRANSLATE($B799,""en"",N$3)"),"Εκδοχή")</f>
        <v>Εκδοχή</v>
      </c>
      <c r="O799" s="21" t="str">
        <f ca="1">IFERROR(__xludf.DUMMYFUNCTION("GOOGLETRANSLATE($B799,""en"",O$3)"),"Versio")</f>
        <v>Versio</v>
      </c>
      <c r="P799" s="21" t="str">
        <f ca="1">IFERROR(__xludf.DUMMYFUNCTION("GOOGLETRANSLATE($B799,""en"",P$3)"),"Leagan")</f>
        <v>Leagan</v>
      </c>
      <c r="Q799" s="21" t="str">
        <f ca="1">IFERROR(__xludf.DUMMYFUNCTION("GOOGLETRANSLATE($B799,""en"",Q$3)"),"نسخه")</f>
        <v>نسخه</v>
      </c>
      <c r="R799" s="21" t="str">
        <f ca="1">IFERROR(__xludf.DUMMYFUNCTION("GOOGLETRANSLATE($B799,""en"",R$3)"),"גִרְסָה")</f>
        <v>גִרְסָה</v>
      </c>
      <c r="S799" s="21" t="str">
        <f ca="1">IFERROR(__xludf.DUMMYFUNCTION("GOOGLETRANSLATE($B799,""en"",S$3)"),"Version")</f>
        <v>Version</v>
      </c>
      <c r="T799" s="21" t="str">
        <f ca="1">IFERROR(__xludf.DUMMYFUNCTION("GOOGLETRANSLATE($B799,""en"",T$3)"),"Versjon")</f>
        <v>Versjon</v>
      </c>
      <c r="U799" s="21" t="str">
        <f ca="1">IFERROR(__xludf.DUMMYFUNCTION("GOOGLETRANSLATE($B799,""en"",U$3)"),"الإصدار")</f>
        <v>الإصدار</v>
      </c>
      <c r="V799" s="21" t="str">
        <f ca="1">IFERROR(__xludf.DUMMYFUNCTION("GOOGLETRANSLATE($B799,""en"",V$3)"),"Wersja")</f>
        <v>Wersja</v>
      </c>
      <c r="W799" s="21" t="str">
        <f ca="1">IFERROR(__xludf.DUMMYFUNCTION("GOOGLETRANSLATE($B799,""en"",W$3)"),"Версия")</f>
        <v>Версия</v>
      </c>
      <c r="X799" s="21" t="str">
        <f ca="1">IFERROR(__xludf.DUMMYFUNCTION("GOOGLETRANSLATE($B799,""en"",X$3)"),"Versión")</f>
        <v>Versión</v>
      </c>
      <c r="Y799" s="21"/>
      <c r="Z799" s="21"/>
    </row>
    <row r="800" spans="1:26" ht="32.25" customHeight="1" x14ac:dyDescent="0.2">
      <c r="A800" s="17" t="s">
        <v>1699</v>
      </c>
      <c r="B800" s="17" t="s">
        <v>1700</v>
      </c>
      <c r="C800" s="21" t="str">
        <f ca="1">IFERROR(__xludf.DUMMYFUNCTION("GOOGLETRANSLATE($B800,""en"",C$3)"),"Darstellung als Icons")</f>
        <v>Darstellung als Icons</v>
      </c>
      <c r="D800" s="21" t="str">
        <f ca="1">IFERROR(__xludf.DUMMYFUNCTION("GOOGLETRANSLATE($B800,""en"",D$3)"),"Visa som ikoner")</f>
        <v>Visa som ikoner</v>
      </c>
      <c r="E800" s="21" t="str">
        <f ca="1">IFERROR(__xludf.DUMMYFUNCTION("GOOGLETRANSLATE($B800,""en"",E$3)"),"Ver como ícones")</f>
        <v>Ver como ícones</v>
      </c>
      <c r="F800" s="21" t="str">
        <f ca="1">IFERROR(__xludf.DUMMYFUNCTION("GOOGLETRANSLATE($B800,""en"",F$3)"),"Ver como ícones")</f>
        <v>Ver como ícones</v>
      </c>
      <c r="G800" s="21" t="str">
        <f ca="1">IFERROR(__xludf.DUMMYFUNCTION("GOOGLETRANSLATE($B800,""en"",G$3)"),"Afficher en icônes")</f>
        <v>Afficher en icônes</v>
      </c>
      <c r="H800" s="21" t="str">
        <f ca="1">IFERROR(__xludf.DUMMYFUNCTION("GOOGLETRANSLATE($B800,""en"",H$3)"),"Ikusi ikono gisa")</f>
        <v>Ikusi ikono gisa</v>
      </c>
      <c r="I800" s="21" t="str">
        <f ca="1">IFERROR(__xludf.DUMMYFUNCTION("GOOGLETRANSLATE($B800,""en"",I$3)"),"Veure com a icones")</f>
        <v>Veure com a icones</v>
      </c>
      <c r="J800" s="21" t="str">
        <f ca="1">IFERROR(__xludf.DUMMYFUNCTION("GOOGLETRANSLATE($B800,""en"",J$3)"),"Zobrazit jako ikony")</f>
        <v>Zobrazit jako ikony</v>
      </c>
      <c r="K800" s="21" t="str">
        <f ca="1">IFERROR(__xludf.DUMMYFUNCTION("GOOGLETRANSLATE($B800,""en"",K$3)"),"查看图标")</f>
        <v>查看图标</v>
      </c>
      <c r="L800" s="21" t="str">
        <f ca="1">IFERROR(__xludf.DUMMYFUNCTION("GOOGLETRANSLATE($B800,""en"",L$3)"),"查看圖標")</f>
        <v>查看圖標</v>
      </c>
      <c r="M800" s="21" t="str">
        <f ca="1">IFERROR(__xludf.DUMMYFUNCTION("GOOGLETRANSLATE($B800,""en"",M$3)"),"Bekijk als Icons")</f>
        <v>Bekijk als Icons</v>
      </c>
      <c r="N800" s="21" t="str">
        <f ca="1">IFERROR(__xludf.DUMMYFUNCTION("GOOGLETRANSLATE($B800,""en"",N$3)"),"Προβολή ως εικονίδια")</f>
        <v>Προβολή ως εικονίδια</v>
      </c>
      <c r="O800" s="21" t="str">
        <f ca="1">IFERROR(__xludf.DUMMYFUNCTION("GOOGLETRANSLATE($B800,""en"",O$3)"),"Tarkastele kuvakkeet")</f>
        <v>Tarkastele kuvakkeet</v>
      </c>
      <c r="P800" s="21" t="str">
        <f ca="1">IFERROR(__xludf.DUMMYFUNCTION("GOOGLETRANSLATE($B800,""en"",P$3)"),"Feic mar Dheilbhíní")</f>
        <v>Feic mar Dheilbhíní</v>
      </c>
      <c r="Q800" s="21" t="str">
        <f ca="1">IFERROR(__xludf.DUMMYFUNCTION("GOOGLETRANSLATE($B800,""en"",Q$3)"),"مشاهده به عنوان آیکن")</f>
        <v>مشاهده به عنوان آیکن</v>
      </c>
      <c r="R800" s="21" t="str">
        <f ca="1">IFERROR(__xludf.DUMMYFUNCTION("GOOGLETRANSLATE($B800,""en"",R$3)"),"הצג כסמלים")</f>
        <v>הצג כסמלים</v>
      </c>
      <c r="S800" s="21" t="str">
        <f ca="1">IFERROR(__xludf.DUMMYFUNCTION("GOOGLETRANSLATE($B800,""en"",S$3)"),"Skoða sem Icons")</f>
        <v>Skoða sem Icons</v>
      </c>
      <c r="T800" s="21" t="str">
        <f ca="1">IFERROR(__xludf.DUMMYFUNCTION("GOOGLETRANSLATE($B800,""en"",T$3)"),"Visning Ikoner")</f>
        <v>Visning Ikoner</v>
      </c>
      <c r="U800" s="21" t="str">
        <f ca="1">IFERROR(__xludf.DUMMYFUNCTION("GOOGLETRANSLATE($B800,""en"",U$3)"),"كما عرض الأيقونات")</f>
        <v>كما عرض الأيقونات</v>
      </c>
      <c r="V800" s="21" t="str">
        <f ca="1">IFERROR(__xludf.DUMMYFUNCTION("GOOGLETRANSLATE($B800,""en"",V$3)"),"Zobacz jako ikony")</f>
        <v>Zobacz jako ikony</v>
      </c>
      <c r="W800" s="21" t="str">
        <f ca="1">IFERROR(__xludf.DUMMYFUNCTION("GOOGLETRANSLATE($B800,""en"",W$3)"),"Просмотр в виде иконок")</f>
        <v>Просмотр в виде иконок</v>
      </c>
      <c r="X800" s="21" t="str">
        <f ca="1">IFERROR(__xludf.DUMMYFUNCTION("GOOGLETRANSLATE($B800,""en"",X$3)"),"Ver como iconos")</f>
        <v>Ver como iconos</v>
      </c>
      <c r="Y800" s="21"/>
      <c r="Z800" s="21"/>
    </row>
    <row r="801" spans="1:26" ht="32.25" customHeight="1" x14ac:dyDescent="0.2">
      <c r="A801" s="1" t="s">
        <v>1701</v>
      </c>
      <c r="B801" s="1" t="s">
        <v>1702</v>
      </c>
      <c r="C801" s="11" t="str">
        <f ca="1">IFERROR(__xludf.DUMMYFUNCTION("GOOGLETRANSLATE($B801,""en"",C$3)"),"Ansicht Console")</f>
        <v>Ansicht Console</v>
      </c>
      <c r="D801" s="11" t="str">
        <f ca="1">IFERROR(__xludf.DUMMYFUNCTION("GOOGLETRANSLATE($B801,""en"",D$3)"),"Visa Console")</f>
        <v>Visa Console</v>
      </c>
      <c r="E801" s="11" t="str">
        <f ca="1">IFERROR(__xludf.DUMMYFUNCTION("GOOGLETRANSLATE($B801,""en"",E$3)"),"Ver Console")</f>
        <v>Ver Console</v>
      </c>
      <c r="F801" s="11" t="str">
        <f ca="1">IFERROR(__xludf.DUMMYFUNCTION("GOOGLETRANSLATE($B801,""en"",F$3)"),"Ver Console")</f>
        <v>Ver Console</v>
      </c>
      <c r="G801" s="11" t="str">
        <f ca="1">IFERROR(__xludf.DUMMYFUNCTION("GOOGLETRANSLATE($B801,""en"",G$3)"),"Voir Console")</f>
        <v>Voir Console</v>
      </c>
      <c r="H801" s="11" t="str">
        <f ca="1">IFERROR(__xludf.DUMMYFUNCTION("GOOGLETRANSLATE($B801,""en"",H$3)"),"ikusi Kontsola")</f>
        <v>ikusi Kontsola</v>
      </c>
      <c r="I801" s="11" t="str">
        <f ca="1">IFERROR(__xludf.DUMMYFUNCTION("GOOGLETRANSLATE($B801,""en"",I$3)"),"veure Consola")</f>
        <v>veure Consola</v>
      </c>
      <c r="J801" s="11" t="str">
        <f ca="1">IFERROR(__xludf.DUMMYFUNCTION("GOOGLETRANSLATE($B801,""en"",J$3)"),"pohled Console")</f>
        <v>pohled Console</v>
      </c>
      <c r="K801" s="11" t="str">
        <f ca="1">IFERROR(__xludf.DUMMYFUNCTION("GOOGLETRANSLATE($B801,""en"",K$3)"),"查看控制台")</f>
        <v>查看控制台</v>
      </c>
      <c r="L801" s="11" t="str">
        <f ca="1">IFERROR(__xludf.DUMMYFUNCTION("GOOGLETRANSLATE($B801,""en"",L$3)"),"查看控制台")</f>
        <v>查看控制台</v>
      </c>
      <c r="M801" s="11" t="str">
        <f ca="1">IFERROR(__xludf.DUMMYFUNCTION("GOOGLETRANSLATE($B801,""en"",M$3)"),"Bekijk Console")</f>
        <v>Bekijk Console</v>
      </c>
      <c r="N801" s="11" t="str">
        <f ca="1">IFERROR(__xludf.DUMMYFUNCTION("GOOGLETRANSLATE($B801,""en"",N$3)"),"Δείτε Console")</f>
        <v>Δείτε Console</v>
      </c>
      <c r="O801" s="11" t="str">
        <f ca="1">IFERROR(__xludf.DUMMYFUNCTION("GOOGLETRANSLATE($B801,""en"",O$3)"),"Näytä Console")</f>
        <v>Näytä Console</v>
      </c>
      <c r="P801" s="11" t="str">
        <f ca="1">IFERROR(__xludf.DUMMYFUNCTION("GOOGLETRANSLATE($B801,""en"",P$3)"),"Amharc Console")</f>
        <v>Amharc Console</v>
      </c>
      <c r="Q801" s="11" t="str">
        <f ca="1">IFERROR(__xludf.DUMMYFUNCTION("GOOGLETRANSLATE($B801,""en"",Q$3)"),"نمایش کنسول")</f>
        <v>نمایش کنسول</v>
      </c>
      <c r="R801" s="11" t="str">
        <f ca="1">IFERROR(__xludf.DUMMYFUNCTION("GOOGLETRANSLATE($B801,""en"",R$3)"),"מסוף צפה")</f>
        <v>מסוף צפה</v>
      </c>
      <c r="S801" s="11" t="str">
        <f ca="1">IFERROR(__xludf.DUMMYFUNCTION("GOOGLETRANSLATE($B801,""en"",S$3)"),"útsýni Console")</f>
        <v>útsýni Console</v>
      </c>
      <c r="T801" s="11" t="str">
        <f ca="1">IFERROR(__xludf.DUMMYFUNCTION("GOOGLETRANSLATE($B801,""en"",T$3)"),"Vis Console")</f>
        <v>Vis Console</v>
      </c>
      <c r="U801" s="11" t="str">
        <f ca="1">IFERROR(__xludf.DUMMYFUNCTION("GOOGLETRANSLATE($B801,""en"",U$3)"),"عرض وحدة التحكم")</f>
        <v>عرض وحدة التحكم</v>
      </c>
      <c r="V801" s="11" t="str">
        <f ca="1">IFERROR(__xludf.DUMMYFUNCTION("GOOGLETRANSLATE($B801,""en"",V$3)"),"Zobacz Console")</f>
        <v>Zobacz Console</v>
      </c>
      <c r="W801" s="11" t="str">
        <f ca="1">IFERROR(__xludf.DUMMYFUNCTION("GOOGLETRANSLATE($B801,""en"",W$3)"),"Просмотр консоли")</f>
        <v>Просмотр консоли</v>
      </c>
      <c r="X801" s="11" t="str">
        <f ca="1">IFERROR(__xludf.DUMMYFUNCTION("GOOGLETRANSLATE($B801,""en"",X$3)"),"Ver Consola")</f>
        <v>Ver Consola</v>
      </c>
    </row>
    <row r="802" spans="1:26" ht="32.25" customHeight="1" x14ac:dyDescent="0.2">
      <c r="A802" s="10" t="s">
        <v>1703</v>
      </c>
      <c r="B802" s="17" t="s">
        <v>1704</v>
      </c>
      <c r="C802" s="21" t="str">
        <f ca="1">IFERROR(__xludf.DUMMYFUNCTION("GOOGLETRANSLATE($B802,""en"",C$3)"),"Blick Region Details")</f>
        <v>Blick Region Details</v>
      </c>
      <c r="D802" s="21" t="str">
        <f ca="1">IFERROR(__xludf.DUMMYFUNCTION("GOOGLETRANSLATE($B802,""en"",D$3)"),"View Region Detaljer")</f>
        <v>View Region Detaljer</v>
      </c>
      <c r="E802" s="21" t="str">
        <f ca="1">IFERROR(__xludf.DUMMYFUNCTION("GOOGLETRANSLATE($B802,""en"",E$3)"),"Ver detalhes Região")</f>
        <v>Ver detalhes Região</v>
      </c>
      <c r="F802" s="21" t="str">
        <f ca="1">IFERROR(__xludf.DUMMYFUNCTION("GOOGLETRANSLATE($B802,""en"",F$3)"),"Ver detalhes Região")</f>
        <v>Ver detalhes Região</v>
      </c>
      <c r="G802" s="21" t="str">
        <f ca="1">IFERROR(__xludf.DUMMYFUNCTION("GOOGLETRANSLATE($B802,""en"",G$3)"),"Voir Région Détails")</f>
        <v>Voir Région Détails</v>
      </c>
      <c r="H802" s="21" t="str">
        <f ca="1">IFERROR(__xludf.DUMMYFUNCTION("GOOGLETRANSLATE($B802,""en"",H$3)"),"Ikusi eskualdea Xehetasunak")</f>
        <v>Ikusi eskualdea Xehetasunak</v>
      </c>
      <c r="I802" s="21" t="str">
        <f ca="1">IFERROR(__xludf.DUMMYFUNCTION("GOOGLETRANSLATE($B802,""en"",I$3)"),"Veure detalls Regió")</f>
        <v>Veure detalls Regió</v>
      </c>
      <c r="J802" s="21" t="str">
        <f ca="1">IFERROR(__xludf.DUMMYFUNCTION("GOOGLETRANSLATE($B802,""en"",J$3)"),"Pohled Region Podrobnosti")</f>
        <v>Pohled Region Podrobnosti</v>
      </c>
      <c r="K802" s="21" t="str">
        <f ca="1">IFERROR(__xludf.DUMMYFUNCTION("GOOGLETRANSLATE($B802,""en"",K$3)"),"查看详细资料区")</f>
        <v>查看详细资料区</v>
      </c>
      <c r="L802" s="21" t="str">
        <f ca="1">IFERROR(__xludf.DUMMYFUNCTION("GOOGLETRANSLATE($B802,""en"",L$3)"),"查看詳細資料區")</f>
        <v>查看詳細資料區</v>
      </c>
      <c r="M802" s="21" t="str">
        <f ca="1">IFERROR(__xludf.DUMMYFUNCTION("GOOGLETRANSLATE($B802,""en"",M$3)"),"Bekijk Region Details")</f>
        <v>Bekijk Region Details</v>
      </c>
      <c r="N802" s="21" t="str">
        <f ca="1">IFERROR(__xludf.DUMMYFUNCTION("GOOGLETRANSLATE($B802,""en"",N$3)"),"Δείτε Περιφέρεια Λεπτομέρειες")</f>
        <v>Δείτε Περιφέρεια Λεπτομέρειες</v>
      </c>
      <c r="O802" s="21" t="str">
        <f ca="1">IFERROR(__xludf.DUMMYFUNCTION("GOOGLETRANSLATE($B802,""en"",O$3)"),"Näytä alue Tiedot")</f>
        <v>Näytä alue Tiedot</v>
      </c>
      <c r="P802" s="21" t="str">
        <f ca="1">IFERROR(__xludf.DUMMYFUNCTION("GOOGLETRANSLATE($B802,""en"",P$3)"),"Amharc Réigiún Sonraí an")</f>
        <v>Amharc Réigiún Sonraí an</v>
      </c>
      <c r="Q802" s="21" t="str">
        <f ca="1">IFERROR(__xludf.DUMMYFUNCTION("GOOGLETRANSLATE($B802,""en"",Q$3)"),"مشاهده جزئیات منطقه")</f>
        <v>مشاهده جزئیات منطقه</v>
      </c>
      <c r="R802" s="21" t="str">
        <f ca="1">IFERROR(__xludf.DUMMYFUNCTION("GOOGLETRANSLATE($B802,""en"",R$3)"),"צפו אזור פרטים")</f>
        <v>צפו אזור פרטים</v>
      </c>
      <c r="S802" s="21" t="str">
        <f ca="1">IFERROR(__xludf.DUMMYFUNCTION("GOOGLETRANSLATE($B802,""en"",S$3)"),"Útsýni Region upplýsingar")</f>
        <v>Útsýni Region upplýsingar</v>
      </c>
      <c r="T802" s="21" t="str">
        <f ca="1">IFERROR(__xludf.DUMMYFUNCTION("GOOGLETRANSLATE($B802,""en"",T$3)"),"Vis Region Detaljer")</f>
        <v>Vis Region Detaljer</v>
      </c>
      <c r="U802" s="21" t="str">
        <f ca="1">IFERROR(__xludf.DUMMYFUNCTION("GOOGLETRANSLATE($B802,""en"",U$3)"),"عرض تفاصيل المنطقة")</f>
        <v>عرض تفاصيل المنطقة</v>
      </c>
      <c r="V802" s="21" t="str">
        <f ca="1">IFERROR(__xludf.DUMMYFUNCTION("GOOGLETRANSLATE($B802,""en"",V$3)"),"Zobacz Region Szczegóły")</f>
        <v>Zobacz Region Szczegóły</v>
      </c>
      <c r="W802" s="21" t="str">
        <f ca="1">IFERROR(__xludf.DUMMYFUNCTION("GOOGLETRANSLATE($B802,""en"",W$3)"),"Просмотреть подробности Регион")</f>
        <v>Просмотреть подробности Регион</v>
      </c>
      <c r="X802" s="21" t="str">
        <f ca="1">IFERROR(__xludf.DUMMYFUNCTION("GOOGLETRANSLATE($B802,""en"",X$3)"),"Ver detalles Región")</f>
        <v>Ver detalles Región</v>
      </c>
      <c r="Y802" s="21"/>
      <c r="Z802" s="21"/>
    </row>
    <row r="803" spans="1:26" ht="32.25" customHeight="1" x14ac:dyDescent="0.2">
      <c r="A803" s="1" t="s">
        <v>1705</v>
      </c>
      <c r="B803" s="10" t="s">
        <v>1706</v>
      </c>
      <c r="C803" s="21" t="str">
        <f ca="1">IFERROR(__xludf.DUMMYFUNCTION("GOOGLETRANSLATE($B803,""en"",C$3)"),"Ansicht Icecast Web-Seite")</f>
        <v>Ansicht Icecast Web-Seite</v>
      </c>
      <c r="D803" s="21" t="str">
        <f ca="1">IFERROR(__xludf.DUMMYFUNCTION("GOOGLETRANSLATE($B803,""en"",D$3)"),"Visa Icecast webbsida")</f>
        <v>Visa Icecast webbsida</v>
      </c>
      <c r="E803" s="21" t="str">
        <f ca="1">IFERROR(__xludf.DUMMYFUNCTION("GOOGLETRANSLATE($B803,""en"",E$3)"),"Ver página Web Icecast")</f>
        <v>Ver página Web Icecast</v>
      </c>
      <c r="F803" s="21" t="str">
        <f ca="1">IFERROR(__xludf.DUMMYFUNCTION("GOOGLETRANSLATE($B803,""en"",F$3)"),"Ver página Web Icecast")</f>
        <v>Ver página Web Icecast</v>
      </c>
      <c r="G803" s="21" t="str">
        <f ca="1">IFERROR(__xludf.DUMMYFUNCTION("GOOGLETRANSLATE($B803,""en"",G$3)"),"Voir Icecast Page Web")</f>
        <v>Voir Icecast Page Web</v>
      </c>
      <c r="H803" s="21" t="str">
        <f ca="1">IFERROR(__xludf.DUMMYFUNCTION("GOOGLETRANSLATE($B803,""en"",H$3)"),"Ikusi Icecast Web Page")</f>
        <v>Ikusi Icecast Web Page</v>
      </c>
      <c r="I803" s="21" t="str">
        <f ca="1">IFERROR(__xludf.DUMMYFUNCTION("GOOGLETRANSLATE($B803,""en"",I$3)"),"Veure Icecast pàgina web")</f>
        <v>Veure Icecast pàgina web</v>
      </c>
      <c r="J803" s="21" t="str">
        <f ca="1">IFERROR(__xludf.DUMMYFUNCTION("GOOGLETRANSLATE($B803,""en"",J$3)"),"Pohled Icecast webové stránky")</f>
        <v>Pohled Icecast webové stránky</v>
      </c>
      <c r="K803" s="21" t="str">
        <f ca="1">IFERROR(__xludf.DUMMYFUNCTION("GOOGLETRANSLATE($B803,""en"",K$3)"),"查看的Icecast网页")</f>
        <v>查看的Icecast网页</v>
      </c>
      <c r="L803" s="21" t="str">
        <f ca="1">IFERROR(__xludf.DUMMYFUNCTION("GOOGLETRANSLATE($B803,""en"",L$3)"),"查看的Icecast網頁")</f>
        <v>查看的Icecast網頁</v>
      </c>
      <c r="M803" s="21" t="str">
        <f ca="1">IFERROR(__xludf.DUMMYFUNCTION("GOOGLETRANSLATE($B803,""en"",M$3)"),"Bekijk Icecast Webpagina")</f>
        <v>Bekijk Icecast Webpagina</v>
      </c>
      <c r="N803" s="21" t="str">
        <f ca="1">IFERROR(__xludf.DUMMYFUNCTION("GOOGLETRANSLATE($B803,""en"",N$3)"),"Δείτε Icecast ιστοσελίδας")</f>
        <v>Δείτε Icecast ιστοσελίδας</v>
      </c>
      <c r="O803" s="21" t="str">
        <f ca="1">IFERROR(__xludf.DUMMYFUNCTION("GOOGLETRANSLATE($B803,""en"",O$3)"),"Näytä Icecast Verkkosivu")</f>
        <v>Näytä Icecast Verkkosivu</v>
      </c>
      <c r="P803" s="21" t="str">
        <f ca="1">IFERROR(__xludf.DUMMYFUNCTION("GOOGLETRANSLATE($B803,""en"",P$3)"),"Amharc Icecast Leathanach Gréasáin")</f>
        <v>Amharc Icecast Leathanach Gréasáin</v>
      </c>
      <c r="Q803" s="21" t="str">
        <f ca="1">IFERROR(__xludf.DUMMYFUNCTION("GOOGLETRANSLATE($B803,""en"",Q$3)"),"نمایش IceCast به صفحه وب")</f>
        <v>نمایش IceCast به صفحه وب</v>
      </c>
      <c r="R803" s="21" t="str">
        <f ca="1">IFERROR(__xludf.DUMMYFUNCTION("GOOGLETRANSLATE($B803,""en"",R$3)"),"צפה Icecast דף אינטרנט")</f>
        <v>צפה Icecast דף אינטרנט</v>
      </c>
      <c r="S803" s="21" t="str">
        <f ca="1">IFERROR(__xludf.DUMMYFUNCTION("GOOGLETRANSLATE($B803,""en"",S$3)"),"Skoða Icecast Web Page")</f>
        <v>Skoða Icecast Web Page</v>
      </c>
      <c r="T803" s="21" t="str">
        <f ca="1">IFERROR(__xludf.DUMMYFUNCTION("GOOGLETRANSLATE($B803,""en"",T$3)"),"Vis Icecast webside")</f>
        <v>Vis Icecast webside</v>
      </c>
      <c r="U803" s="21" t="str">
        <f ca="1">IFERROR(__xludf.DUMMYFUNCTION("GOOGLETRANSLATE($B803,""en"",U$3)"),"عرض صفحة ويب يسكاست")</f>
        <v>عرض صفحة ويب يسكاست</v>
      </c>
      <c r="V803" s="21" t="str">
        <f ca="1">IFERROR(__xludf.DUMMYFUNCTION("GOOGLETRANSLATE($B803,""en"",V$3)"),"Zobacz Icecast Web Page")</f>
        <v>Zobacz Icecast Web Page</v>
      </c>
      <c r="W803" s="21" t="str">
        <f ca="1">IFERROR(__xludf.DUMMYFUNCTION("GOOGLETRANSLATE($B803,""en"",W$3)"),"Просмотр Icecast веб-страницы")</f>
        <v>Просмотр Icecast веб-страницы</v>
      </c>
      <c r="X803" s="21" t="str">
        <f ca="1">IFERROR(__xludf.DUMMYFUNCTION("GOOGLETRANSLATE($B803,""en"",X$3)"),"Ver Icecast Página Web")</f>
        <v>Ver Icecast Página Web</v>
      </c>
      <c r="Y803" s="21"/>
      <c r="Z803" s="21"/>
    </row>
    <row r="804" spans="1:26" ht="32.25" customHeight="1" x14ac:dyDescent="0.2">
      <c r="A804" s="10" t="s">
        <v>1707</v>
      </c>
      <c r="B804" s="10" t="s">
        <v>1708</v>
      </c>
      <c r="C804" s="11" t="str">
        <f ca="1">IFERROR(__xludf.DUMMYFUNCTION("GOOGLETRANSLATE($B804,""en"",C$3)"),"View Log")</f>
        <v>View Log</v>
      </c>
      <c r="D804" s="11" t="str">
        <f ca="1">IFERROR(__xludf.DUMMYFUNCTION("GOOGLETRANSLATE($B804,""en"",D$3)"),"Visa logg")</f>
        <v>Visa logg</v>
      </c>
      <c r="E804" s="11" t="str">
        <f ca="1">IFERROR(__xludf.DUMMYFUNCTION("GOOGLETRANSLATE($B804,""en"",E$3)"),"View Log")</f>
        <v>View Log</v>
      </c>
      <c r="F804" s="11" t="str">
        <f ca="1">IFERROR(__xludf.DUMMYFUNCTION("GOOGLETRANSLATE($B804,""en"",F$3)"),"View Log")</f>
        <v>View Log</v>
      </c>
      <c r="G804" s="11" t="str">
        <f ca="1">IFERROR(__xludf.DUMMYFUNCTION("GOOGLETRANSLATE($B804,""en"",G$3)"),"Afficher le journal")</f>
        <v>Afficher le journal</v>
      </c>
      <c r="H804" s="11" t="str">
        <f ca="1">IFERROR(__xludf.DUMMYFUNCTION("GOOGLETRANSLATE($B804,""en"",H$3)"),"ikusi egunkaria")</f>
        <v>ikusi egunkaria</v>
      </c>
      <c r="I804" s="11" t="str">
        <f ca="1">IFERROR(__xludf.DUMMYFUNCTION("GOOGLETRANSLATE($B804,""en"",I$3)"),"Veure el registre")</f>
        <v>Veure el registre</v>
      </c>
      <c r="J804" s="11" t="str">
        <f ca="1">IFERROR(__xludf.DUMMYFUNCTION("GOOGLETRANSLATE($B804,""en"",J$3)"),"View Log")</f>
        <v>View Log</v>
      </c>
      <c r="K804" s="11" t="str">
        <f ca="1">IFERROR(__xludf.DUMMYFUNCTION("GOOGLETRANSLATE($B804,""en"",K$3)"),"查看日志")</f>
        <v>查看日志</v>
      </c>
      <c r="L804" s="11" t="str">
        <f ca="1">IFERROR(__xludf.DUMMYFUNCTION("GOOGLETRANSLATE($B804,""en"",L$3)"),"查看日誌")</f>
        <v>查看日誌</v>
      </c>
      <c r="M804" s="11" t="str">
        <f ca="1">IFERROR(__xludf.DUMMYFUNCTION("GOOGLETRANSLATE($B804,""en"",M$3)"),"View Log")</f>
        <v>View Log</v>
      </c>
      <c r="N804" s="11" t="str">
        <f ca="1">IFERROR(__xludf.DUMMYFUNCTION("GOOGLETRANSLATE($B804,""en"",N$3)"),"Προβολή αρχείου καταγραφής")</f>
        <v>Προβολή αρχείου καταγραφής</v>
      </c>
      <c r="O804" s="11" t="str">
        <f ca="1">IFERROR(__xludf.DUMMYFUNCTION("GOOGLETRANSLATE($B804,""en"",O$3)"),"View Log")</f>
        <v>View Log</v>
      </c>
      <c r="P804" s="11" t="str">
        <f ca="1">IFERROR(__xludf.DUMMYFUNCTION("GOOGLETRANSLATE($B804,""en"",P$3)"),"Amharc Logáil")</f>
        <v>Amharc Logáil</v>
      </c>
      <c r="Q804" s="11" t="str">
        <f ca="1">IFERROR(__xludf.DUMMYFUNCTION("GOOGLETRANSLATE($B804,""en"",Q$3)"),"نمایش ورود")</f>
        <v>نمایش ورود</v>
      </c>
      <c r="R804" s="11" t="str">
        <f ca="1">IFERROR(__xludf.DUMMYFUNCTION("GOOGLETRANSLATE($B804,""en"",R$3)"),"צפה בלוג")</f>
        <v>צפה בלוג</v>
      </c>
      <c r="S804" s="11" t="str">
        <f ca="1">IFERROR(__xludf.DUMMYFUNCTION("GOOGLETRANSLATE($B804,""en"",S$3)"),"útsýni Log")</f>
        <v>útsýni Log</v>
      </c>
      <c r="T804" s="11" t="str">
        <f ca="1">IFERROR(__xludf.DUMMYFUNCTION("GOOGLETRANSLATE($B804,""en"",T$3)"),"Se Logg")</f>
        <v>Se Logg</v>
      </c>
      <c r="U804" s="11" t="str">
        <f ca="1">IFERROR(__xludf.DUMMYFUNCTION("GOOGLETRANSLATE($B804,""en"",U$3)"),"سجل عرض")</f>
        <v>سجل عرض</v>
      </c>
      <c r="V804" s="11" t="str">
        <f ca="1">IFERROR(__xludf.DUMMYFUNCTION("GOOGLETRANSLATE($B804,""en"",V$3)"),"View Log")</f>
        <v>View Log</v>
      </c>
      <c r="W804" s="11" t="str">
        <f ca="1">IFERROR(__xludf.DUMMYFUNCTION("GOOGLETRANSLATE($B804,""en"",W$3)"),"Посмотреть журнал")</f>
        <v>Посмотреть журнал</v>
      </c>
      <c r="X804" s="11" t="str">
        <f ca="1">IFERROR(__xludf.DUMMYFUNCTION("GOOGLETRANSLATE($B804,""en"",X$3)"),"Ver registro")</f>
        <v>Ver registro</v>
      </c>
    </row>
    <row r="805" spans="1:26" ht="32.25" customHeight="1" x14ac:dyDescent="0.2">
      <c r="A805" s="17" t="s">
        <v>1709</v>
      </c>
      <c r="B805" s="17" t="s">
        <v>1710</v>
      </c>
      <c r="C805" s="21" t="str">
        <f ca="1">IFERROR(__xludf.DUMMYFUNCTION("GOOGLETRANSLATE($B805,""en"",C$3)"),"Log-Dateien anzeigen")</f>
        <v>Log-Dateien anzeigen</v>
      </c>
      <c r="D805" s="21" t="str">
        <f ca="1">IFERROR(__xludf.DUMMYFUNCTION("GOOGLETRANSLATE($B805,""en"",D$3)"),"Visa loggar")</f>
        <v>Visa loggar</v>
      </c>
      <c r="E805" s="21" t="str">
        <f ca="1">IFERROR(__xludf.DUMMYFUNCTION("GOOGLETRANSLATE($B805,""en"",E$3)"),"Ver registros")</f>
        <v>Ver registros</v>
      </c>
      <c r="F805" s="21" t="str">
        <f ca="1">IFERROR(__xludf.DUMMYFUNCTION("GOOGLETRANSLATE($B805,""en"",F$3)"),"Ver registros")</f>
        <v>Ver registros</v>
      </c>
      <c r="G805" s="21" t="str">
        <f ca="1">IFERROR(__xludf.DUMMYFUNCTION("GOOGLETRANSLATE($B805,""en"",G$3)"),"Regardes les connexions")</f>
        <v>Regardes les connexions</v>
      </c>
      <c r="H805" s="21" t="str">
        <f ca="1">IFERROR(__xludf.DUMMYFUNCTION("GOOGLETRANSLATE($B805,""en"",H$3)"),"ikusi egunkariak")</f>
        <v>ikusi egunkariak</v>
      </c>
      <c r="I805" s="21" t="str">
        <f ca="1">IFERROR(__xludf.DUMMYFUNCTION("GOOGLETRANSLATE($B805,""en"",I$3)"),"veure registres")</f>
        <v>veure registres</v>
      </c>
      <c r="J805" s="21" t="str">
        <f ca="1">IFERROR(__xludf.DUMMYFUNCTION("GOOGLETRANSLATE($B805,""en"",J$3)"),"pohled Záznamy")</f>
        <v>pohled Záznamy</v>
      </c>
      <c r="K805" s="21" t="str">
        <f ca="1">IFERROR(__xludf.DUMMYFUNCTION("GOOGLETRANSLATE($B805,""en"",K$3)"),"查看日志")</f>
        <v>查看日志</v>
      </c>
      <c r="L805" s="21" t="str">
        <f ca="1">IFERROR(__xludf.DUMMYFUNCTION("GOOGLETRANSLATE($B805,""en"",L$3)"),"查看日誌")</f>
        <v>查看日誌</v>
      </c>
      <c r="M805" s="21" t="str">
        <f ca="1">IFERROR(__xludf.DUMMYFUNCTION("GOOGLETRANSLATE($B805,""en"",M$3)"),"Logboeken")</f>
        <v>Logboeken</v>
      </c>
      <c r="N805" s="21" t="str">
        <f ca="1">IFERROR(__xludf.DUMMYFUNCTION("GOOGLETRANSLATE($B805,""en"",N$3)"),"Προβολή αρχείων καταγραφής")</f>
        <v>Προβολή αρχείων καταγραφής</v>
      </c>
      <c r="O805" s="21" t="str">
        <f ca="1">IFERROR(__xludf.DUMMYFUNCTION("GOOGLETRANSLATE($B805,""en"",O$3)"),"Näytä lokit")</f>
        <v>Näytä lokit</v>
      </c>
      <c r="P805" s="21" t="str">
        <f ca="1">IFERROR(__xludf.DUMMYFUNCTION("GOOGLETRANSLATE($B805,""en"",P$3)"),"Amharc Logchomhaid")</f>
        <v>Amharc Logchomhaid</v>
      </c>
      <c r="Q805" s="21" t="str">
        <f ca="1">IFERROR(__xludf.DUMMYFUNCTION("GOOGLETRANSLATE($B805,""en"",Q$3)"),"دیدن گزارش وقایع")</f>
        <v>دیدن گزارش وقایع</v>
      </c>
      <c r="R805" s="21" t="str">
        <f ca="1">IFERROR(__xludf.DUMMYFUNCTION("GOOGLETRANSLATE($B805,""en"",R$3)"),"הצגת יומנים")</f>
        <v>הצגת יומנים</v>
      </c>
      <c r="S805" s="21" t="str">
        <f ca="1">IFERROR(__xludf.DUMMYFUNCTION("GOOGLETRANSLATE($B805,""en"",S$3)"),"útsýni Logs")</f>
        <v>útsýni Logs</v>
      </c>
      <c r="T805" s="21" t="str">
        <f ca="1">IFERROR(__xludf.DUMMYFUNCTION("GOOGLETRANSLATE($B805,""en"",T$3)"),"Vis logger")</f>
        <v>Vis logger</v>
      </c>
      <c r="U805" s="21" t="str">
        <f ca="1">IFERROR(__xludf.DUMMYFUNCTION("GOOGLETRANSLATE($B805,""en"",U$3)"),"عرض السجلات")</f>
        <v>عرض السجلات</v>
      </c>
      <c r="V805" s="21" t="str">
        <f ca="1">IFERROR(__xludf.DUMMYFUNCTION("GOOGLETRANSLATE($B805,""en"",V$3)"),"Zobacz rejestry")</f>
        <v>Zobacz rejestry</v>
      </c>
      <c r="W805" s="21" t="str">
        <f ca="1">IFERROR(__xludf.DUMMYFUNCTION("GOOGLETRANSLATE($B805,""en"",W$3)"),"Просмотр журналов")</f>
        <v>Просмотр журналов</v>
      </c>
      <c r="X805" s="21" t="str">
        <f ca="1">IFERROR(__xludf.DUMMYFUNCTION("GOOGLETRANSLATE($B805,""en"",X$3)"),"Ver los registros")</f>
        <v>Ver los registros</v>
      </c>
      <c r="Y805" s="21"/>
      <c r="Z805" s="21"/>
    </row>
    <row r="806" spans="1:26" ht="32.25" customHeight="1" x14ac:dyDescent="0.2">
      <c r="A806" s="10" t="s">
        <v>1711</v>
      </c>
      <c r="B806" s="10" t="s">
        <v>1712</v>
      </c>
      <c r="C806" s="11" t="str">
        <f ca="1">IFERROR(__xludf.DUMMYFUNCTION("GOOGLETRANSLATE($B806,""en"",C$3)"),"Ansichts Karte")</f>
        <v>Ansichts Karte</v>
      </c>
      <c r="D806" s="11" t="str">
        <f ca="1">IFERROR(__xludf.DUMMYFUNCTION("GOOGLETRANSLATE($B806,""en"",D$3)"),"Visa karta")</f>
        <v>Visa karta</v>
      </c>
      <c r="E806" s="11" t="str">
        <f ca="1">IFERROR(__xludf.DUMMYFUNCTION("GOOGLETRANSLATE($B806,""en"",E$3)"),"Ver mapa")</f>
        <v>Ver mapa</v>
      </c>
      <c r="F806" s="11" t="str">
        <f ca="1">IFERROR(__xludf.DUMMYFUNCTION("GOOGLETRANSLATE($B806,""en"",F$3)"),"Ver mapa")</f>
        <v>Ver mapa</v>
      </c>
      <c r="G806" s="11" t="str">
        <f ca="1">IFERROR(__xludf.DUMMYFUNCTION("GOOGLETRANSLATE($B806,""en"",G$3)"),"Voir la carte")</f>
        <v>Voir la carte</v>
      </c>
      <c r="H806" s="11" t="str">
        <f ca="1">IFERROR(__xludf.DUMMYFUNCTION("GOOGLETRANSLATE($B806,""en"",H$3)"),"ikusi mapa")</f>
        <v>ikusi mapa</v>
      </c>
      <c r="I806" s="11" t="str">
        <f ca="1">IFERROR(__xludf.DUMMYFUNCTION("GOOGLETRANSLATE($B806,""en"",I$3)"),"veure Mapa")</f>
        <v>veure Mapa</v>
      </c>
      <c r="J806" s="11" t="str">
        <f ca="1">IFERROR(__xludf.DUMMYFUNCTION("GOOGLETRANSLATE($B806,""en"",J$3)"),"Zobrazit mapu")</f>
        <v>Zobrazit mapu</v>
      </c>
      <c r="K806" s="11" t="str">
        <f ca="1">IFERROR(__xludf.DUMMYFUNCTION("GOOGLETRANSLATE($B806,""en"",K$3)"),"查看地图")</f>
        <v>查看地图</v>
      </c>
      <c r="L806" s="11" t="str">
        <f ca="1">IFERROR(__xludf.DUMMYFUNCTION("GOOGLETRANSLATE($B806,""en"",L$3)"),"查看地圖")</f>
        <v>查看地圖</v>
      </c>
      <c r="M806" s="11" t="str">
        <f ca="1">IFERROR(__xludf.DUMMYFUNCTION("GOOGLETRANSLATE($B806,""en"",M$3)"),"Bekijk kaart")</f>
        <v>Bekijk kaart</v>
      </c>
      <c r="N806" s="11" t="str">
        <f ca="1">IFERROR(__xludf.DUMMYFUNCTION("GOOGLETRANSLATE($B806,""en"",N$3)"),"Δες τον χάρτη")</f>
        <v>Δες τον χάρτη</v>
      </c>
      <c r="O806" s="11" t="str">
        <f ca="1">IFERROR(__xludf.DUMMYFUNCTION("GOOGLETRANSLATE($B806,""en"",O$3)"),"Näytä kartta")</f>
        <v>Näytä kartta</v>
      </c>
      <c r="P806" s="11" t="str">
        <f ca="1">IFERROR(__xludf.DUMMYFUNCTION("GOOGLETRANSLATE($B806,""en"",P$3)"),"Féach Léarscáil")</f>
        <v>Féach Léarscáil</v>
      </c>
      <c r="Q806" s="11" t="str">
        <f ca="1">IFERROR(__xludf.DUMMYFUNCTION("GOOGLETRANSLATE($B806,""en"",Q$3)"),"مشاهده نقشه")</f>
        <v>مشاهده نقشه</v>
      </c>
      <c r="R806" s="11" t="str">
        <f ca="1">IFERROR(__xludf.DUMMYFUNCTION("GOOGLETRANSLATE($B806,""en"",R$3)"),"תצוגת מפה")</f>
        <v>תצוגת מפה</v>
      </c>
      <c r="S806" s="11" t="str">
        <f ca="1">IFERROR(__xludf.DUMMYFUNCTION("GOOGLETRANSLATE($B806,""en"",S$3)"),"Skoða kort")</f>
        <v>Skoða kort</v>
      </c>
      <c r="T806" s="11" t="str">
        <f ca="1">IFERROR(__xludf.DUMMYFUNCTION("GOOGLETRANSLATE($B806,""en"",T$3)"),"Se på kart")</f>
        <v>Se på kart</v>
      </c>
      <c r="U806" s="11" t="str">
        <f ca="1">IFERROR(__xludf.DUMMYFUNCTION("GOOGLETRANSLATE($B806,""en"",U$3)"),"إعرض الخريطة")</f>
        <v>إعرض الخريطة</v>
      </c>
      <c r="V806" s="11" t="str">
        <f ca="1">IFERROR(__xludf.DUMMYFUNCTION("GOOGLETRANSLATE($B806,""en"",V$3)"),"Pokaż mapę")</f>
        <v>Pokaż mapę</v>
      </c>
      <c r="W806" s="11" t="str">
        <f ca="1">IFERROR(__xludf.DUMMYFUNCTION("GOOGLETRANSLATE($B806,""en"",W$3)"),"Посмотреть карту")</f>
        <v>Посмотреть карту</v>
      </c>
      <c r="X806" s="11" t="str">
        <f ca="1">IFERROR(__xludf.DUMMYFUNCTION("GOOGLETRANSLATE($B806,""en"",X$3)"),"Ver el mapa")</f>
        <v>Ver el mapa</v>
      </c>
    </row>
    <row r="807" spans="1:26" ht="32.25" customHeight="1" x14ac:dyDescent="0.2">
      <c r="A807" s="17" t="s">
        <v>1713</v>
      </c>
      <c r="B807" s="17" t="s">
        <v>1714</v>
      </c>
      <c r="C807" s="21" t="str">
        <f ca="1">IFERROR(__xludf.DUMMYFUNCTION("GOOGLETRANSLATE($B807,""en"",C$3)"),"Ansicht Region Karten")</f>
        <v>Ansicht Region Karten</v>
      </c>
      <c r="D807" s="21" t="str">
        <f ca="1">IFERROR(__xludf.DUMMYFUNCTION("GOOGLETRANSLATE($B807,""en"",D$3)"),"Kartor View Region")</f>
        <v>Kartor View Region</v>
      </c>
      <c r="E807" s="21" t="str">
        <f ca="1">IFERROR(__xludf.DUMMYFUNCTION("GOOGLETRANSLATE($B807,""en"",E$3)"),"Visualização de mapas da região")</f>
        <v>Visualização de mapas da região</v>
      </c>
      <c r="F807" s="21" t="str">
        <f ca="1">IFERROR(__xludf.DUMMYFUNCTION("GOOGLETRANSLATE($B807,""en"",F$3)"),"Visualização de mapas da região")</f>
        <v>Visualização de mapas da região</v>
      </c>
      <c r="G807" s="21" t="str">
        <f ca="1">IFERROR(__xludf.DUMMYFUNCTION("GOOGLETRANSLATE($B807,""en"",G$3)"),"Voir Région Cartes")</f>
        <v>Voir Région Cartes</v>
      </c>
      <c r="H807" s="21" t="str">
        <f ca="1">IFERROR(__xludf.DUMMYFUNCTION("GOOGLETRANSLATE($B807,""en"",H$3)"),"Ikusi eskualdea Maps")</f>
        <v>Ikusi eskualdea Maps</v>
      </c>
      <c r="I807" s="21" t="str">
        <f ca="1">IFERROR(__xludf.DUMMYFUNCTION("GOOGLETRANSLATE($B807,""en"",I$3)"),"Veure mapes Regió")</f>
        <v>Veure mapes Regió</v>
      </c>
      <c r="J807" s="21" t="str">
        <f ca="1">IFERROR(__xludf.DUMMYFUNCTION("GOOGLETRANSLATE($B807,""en"",J$3)"),"Strojově Kraj Maps")</f>
        <v>Strojově Kraj Maps</v>
      </c>
      <c r="K807" s="21" t="str">
        <f ca="1">IFERROR(__xludf.DUMMYFUNCTION("GOOGLETRANSLATE($B807,""en"",K$3)"),"查看区域图")</f>
        <v>查看区域图</v>
      </c>
      <c r="L807" s="21" t="str">
        <f ca="1">IFERROR(__xludf.DUMMYFUNCTION("GOOGLETRANSLATE($B807,""en"",L$3)"),"查看區域圖")</f>
        <v>查看區域圖</v>
      </c>
      <c r="M807" s="21" t="str">
        <f ca="1">IFERROR(__xludf.DUMMYFUNCTION("GOOGLETRANSLATE($B807,""en"",M$3)"),"Kaarten View Region")</f>
        <v>Kaarten View Region</v>
      </c>
      <c r="N807" s="21" t="str">
        <f ca="1">IFERROR(__xludf.DUMMYFUNCTION("GOOGLETRANSLATE($B807,""en"",N$3)"),"Προβολή Περιοχή Χάρτες")</f>
        <v>Προβολή Περιοχή Χάρτες</v>
      </c>
      <c r="O807" s="21" t="str">
        <f ca="1">IFERROR(__xludf.DUMMYFUNCTION("GOOGLETRANSLATE($B807,""en"",O$3)"),"Näytä alueen mukaan Maps")</f>
        <v>Näytä alueen mukaan Maps</v>
      </c>
      <c r="P807" s="21" t="str">
        <f ca="1">IFERROR(__xludf.DUMMYFUNCTION("GOOGLETRANSLATE($B807,""en"",P$3)"),"Amharc Réigiún Léarscáileanna")</f>
        <v>Amharc Réigiún Léarscáileanna</v>
      </c>
      <c r="Q807" s="21" t="str">
        <f ca="1">IFERROR(__xludf.DUMMYFUNCTION("GOOGLETRANSLATE($B807,""en"",Q$3)"),"نمایش نقشه های منطقه")</f>
        <v>نمایش نقشه های منطقه</v>
      </c>
      <c r="R807" s="21" t="str">
        <f ca="1">IFERROR(__xludf.DUMMYFUNCTION("GOOGLETRANSLATE($B807,""en"",R$3)"),"מפות האזור צפה")</f>
        <v>מפות האזור צפה</v>
      </c>
      <c r="S807" s="21" t="str">
        <f ca="1">IFERROR(__xludf.DUMMYFUNCTION("GOOGLETRANSLATE($B807,""en"",S$3)"),"Skoða Region Maps")</f>
        <v>Skoða Region Maps</v>
      </c>
      <c r="T807" s="21" t="str">
        <f ca="1">IFERROR(__xludf.DUMMYFUNCTION("GOOGLETRANSLATE($B807,""en"",T$3)"),"Vis Maps Region")</f>
        <v>Vis Maps Region</v>
      </c>
      <c r="U807" s="21" t="str">
        <f ca="1">IFERROR(__xludf.DUMMYFUNCTION("GOOGLETRANSLATE($B807,""en"",U$3)"),"مشاهدة خرائط منطقة")</f>
        <v>مشاهدة خرائط منطقة</v>
      </c>
      <c r="V807" s="21" t="str">
        <f ca="1">IFERROR(__xludf.DUMMYFUNCTION("GOOGLETRANSLATE($B807,""en"",V$3)"),"Zobacz mapy Region")</f>
        <v>Zobacz mapy Region</v>
      </c>
      <c r="W807" s="21" t="str">
        <f ca="1">IFERROR(__xludf.DUMMYFUNCTION("GOOGLETRANSLATE($B807,""en"",W$3)"),"Просмотр карты региона")</f>
        <v>Просмотр карты региона</v>
      </c>
      <c r="X807" s="21" t="str">
        <f ca="1">IFERROR(__xludf.DUMMYFUNCTION("GOOGLETRANSLATE($B807,""en"",X$3)"),"Ver mapas Región")</f>
        <v>Ver mapas Región</v>
      </c>
      <c r="Y807" s="21"/>
      <c r="Z807" s="21"/>
    </row>
    <row r="808" spans="1:26" ht="32.25" customHeight="1" x14ac:dyDescent="0.2">
      <c r="A808" s="17" t="s">
        <v>1715</v>
      </c>
      <c r="B808" s="17" t="s">
        <v>1716</v>
      </c>
      <c r="C808" s="21" t="str">
        <f ca="1">IFERROR(__xludf.DUMMYFUNCTION("GOOGLETRANSLATE($B808,""en"",C$3)"),"Ansicht Simulator Statistik")</f>
        <v>Ansicht Simulator Statistik</v>
      </c>
      <c r="D808" s="21" t="str">
        <f ca="1">IFERROR(__xludf.DUMMYFUNCTION("GOOGLETRANSLATE($B808,""en"",D$3)"),"Visa Simulator Stats")</f>
        <v>Visa Simulator Stats</v>
      </c>
      <c r="E808" s="21" t="str">
        <f ca="1">IFERROR(__xludf.DUMMYFUNCTION("GOOGLETRANSLATE($B808,""en"",E$3)"),"Ver Simulator Stats")</f>
        <v>Ver Simulator Stats</v>
      </c>
      <c r="F808" s="21" t="str">
        <f ca="1">IFERROR(__xludf.DUMMYFUNCTION("GOOGLETRANSLATE($B808,""en"",F$3)"),"Ver Simulator Stats")</f>
        <v>Ver Simulator Stats</v>
      </c>
      <c r="G808" s="21" t="str">
        <f ca="1">IFERROR(__xludf.DUMMYFUNCTION("GOOGLETRANSLATE($B808,""en"",G$3)"),"Voir Simulator Statistiques")</f>
        <v>Voir Simulator Statistiques</v>
      </c>
      <c r="H808" s="21" t="str">
        <f ca="1">IFERROR(__xludf.DUMMYFUNCTION("GOOGLETRANSLATE($B808,""en"",H$3)"),"Ikusi Simulator Estatistikak")</f>
        <v>Ikusi Simulator Estatistikak</v>
      </c>
      <c r="I808" s="21" t="str">
        <f ca="1">IFERROR(__xludf.DUMMYFUNCTION("GOOGLETRANSLATE($B808,""en"",I$3)"),"Veure simulador Estadístiques")</f>
        <v>Veure simulador Estadístiques</v>
      </c>
      <c r="J808" s="21" t="str">
        <f ca="1">IFERROR(__xludf.DUMMYFUNCTION("GOOGLETRANSLATE($B808,""en"",J$3)"),"Pohled Simulator Statistiky")</f>
        <v>Pohled Simulator Statistiky</v>
      </c>
      <c r="K808" s="21" t="str">
        <f ca="1">IFERROR(__xludf.DUMMYFUNCTION("GOOGLETRANSLATE($B808,""en"",K$3)"),"查看模拟器统计")</f>
        <v>查看模拟器统计</v>
      </c>
      <c r="L808" s="21" t="str">
        <f ca="1">IFERROR(__xludf.DUMMYFUNCTION("GOOGLETRANSLATE($B808,""en"",L$3)"),"查看模擬器統計")</f>
        <v>查看模擬器統計</v>
      </c>
      <c r="M808" s="21" t="str">
        <f ca="1">IFERROR(__xludf.DUMMYFUNCTION("GOOGLETRANSLATE($B808,""en"",M$3)"),"Bekijk Simulator Stats")</f>
        <v>Bekijk Simulator Stats</v>
      </c>
      <c r="N808" s="21" t="str">
        <f ca="1">IFERROR(__xludf.DUMMYFUNCTION("GOOGLETRANSLATE($B808,""en"",N$3)"),"Δείτε Simulator Στατιστικά")</f>
        <v>Δείτε Simulator Στατιστικά</v>
      </c>
      <c r="O808" s="21" t="str">
        <f ca="1">IFERROR(__xludf.DUMMYFUNCTION("GOOGLETRANSLATE($B808,""en"",O$3)"),"Näytä Simulator tilastot")</f>
        <v>Näytä Simulator tilastot</v>
      </c>
      <c r="P808" s="21" t="str">
        <f ca="1">IFERROR(__xludf.DUMMYFUNCTION("GOOGLETRANSLATE($B808,""en"",P$3)"),"Amharc Insamhlóir Stats")</f>
        <v>Amharc Insamhlóir Stats</v>
      </c>
      <c r="Q808" s="21" t="str">
        <f ca="1">IFERROR(__xludf.DUMMYFUNCTION("GOOGLETRANSLATE($B808,""en"",Q$3)"),"نمایش شبیه ساز آمار")</f>
        <v>نمایش شبیه ساز آمار</v>
      </c>
      <c r="R808" s="21" t="str">
        <f ca="1">IFERROR(__xludf.DUMMYFUNCTION("GOOGLETRANSLATE($B808,""en"",R$3)"),"סטטיסטיקת סימולטור צפה")</f>
        <v>סטטיסטיקת סימולטור צפה</v>
      </c>
      <c r="S808" s="21" t="str">
        <f ca="1">IFERROR(__xludf.DUMMYFUNCTION("GOOGLETRANSLATE($B808,""en"",S$3)"),"Útsýni Simulator Stats")</f>
        <v>Útsýni Simulator Stats</v>
      </c>
      <c r="T808" s="21" t="str">
        <f ca="1">IFERROR(__xludf.DUMMYFUNCTION("GOOGLETRANSLATE($B808,""en"",T$3)"),"Vis Simulator Statistikk")</f>
        <v>Vis Simulator Statistikk</v>
      </c>
      <c r="U808" s="21" t="str">
        <f ca="1">IFERROR(__xludf.DUMMYFUNCTION("GOOGLETRANSLATE($B808,""en"",U$3)"),"عرض محاكي إحصائيات")</f>
        <v>عرض محاكي إحصائيات</v>
      </c>
      <c r="V808" s="21" t="str">
        <f ca="1">IFERROR(__xludf.DUMMYFUNCTION("GOOGLETRANSLATE($B808,""en"",V$3)"),"Zobacz Simulator Stats")</f>
        <v>Zobacz Simulator Stats</v>
      </c>
      <c r="W808" s="21" t="str">
        <f ca="1">IFERROR(__xludf.DUMMYFUNCTION("GOOGLETRANSLATE($B808,""en"",W$3)"),"Просмотр Тренажер Статистика")</f>
        <v>Просмотр Тренажер Статистика</v>
      </c>
      <c r="X808" s="21" t="str">
        <f ca="1">IFERROR(__xludf.DUMMYFUNCTION("GOOGLETRANSLATE($B808,""en"",X$3)"),"Ver Simulador Estadísticas")</f>
        <v>Ver Simulador Estadísticas</v>
      </c>
      <c r="Y808" s="21"/>
      <c r="Z808" s="21"/>
    </row>
    <row r="809" spans="1:26" ht="32.25" customHeight="1" x14ac:dyDescent="0.2">
      <c r="A809" s="10" t="s">
        <v>1717</v>
      </c>
      <c r="B809" s="10" t="s">
        <v>1718</v>
      </c>
      <c r="C809" s="11" t="str">
        <f ca="1">IFERROR(__xludf.DUMMYFUNCTION("GOOGLETRANSLATE($B809,""en"",C$3)"),"Statistiken anzeigen")</f>
        <v>Statistiken anzeigen</v>
      </c>
      <c r="D809" s="11" t="str">
        <f ca="1">IFERROR(__xludf.DUMMYFUNCTION("GOOGLETRANSLATE($B809,""en"",D$3)"),"Se statistik")</f>
        <v>Se statistik</v>
      </c>
      <c r="E809" s="11" t="str">
        <f ca="1">IFERROR(__xludf.DUMMYFUNCTION("GOOGLETRANSLATE($B809,""en"",E$3)"),"Ver Estatísticas")</f>
        <v>Ver Estatísticas</v>
      </c>
      <c r="F809" s="11" t="str">
        <f ca="1">IFERROR(__xludf.DUMMYFUNCTION("GOOGLETRANSLATE($B809,""en"",F$3)"),"Ver Estatísticas")</f>
        <v>Ver Estatísticas</v>
      </c>
      <c r="G809" s="11" t="str">
        <f ca="1">IFERROR(__xludf.DUMMYFUNCTION("GOOGLETRANSLATE($B809,""en"",G$3)"),"Voir les statistiques")</f>
        <v>Voir les statistiques</v>
      </c>
      <c r="H809" s="11" t="str">
        <f ca="1">IFERROR(__xludf.DUMMYFUNCTION("GOOGLETRANSLATE($B809,""en"",H$3)"),"ikusi Estatistikak")</f>
        <v>ikusi Estatistikak</v>
      </c>
      <c r="I809" s="11" t="str">
        <f ca="1">IFERROR(__xludf.DUMMYFUNCTION("GOOGLETRANSLATE($B809,""en"",I$3)"),"veure Estadístiques")</f>
        <v>veure Estadístiques</v>
      </c>
      <c r="J809" s="11" t="str">
        <f ca="1">IFERROR(__xludf.DUMMYFUNCTION("GOOGLETRANSLATE($B809,""en"",J$3)"),"Zobrazit statistiky")</f>
        <v>Zobrazit statistiky</v>
      </c>
      <c r="K809" s="11" t="str">
        <f ca="1">IFERROR(__xludf.DUMMYFUNCTION("GOOGLETRANSLATE($B809,""en"",K$3)"),"查看统计")</f>
        <v>查看统计</v>
      </c>
      <c r="L809" s="11" t="str">
        <f ca="1">IFERROR(__xludf.DUMMYFUNCTION("GOOGLETRANSLATE($B809,""en"",L$3)"),"查看統計")</f>
        <v>查看統計</v>
      </c>
      <c r="M809" s="11" t="str">
        <f ca="1">IFERROR(__xludf.DUMMYFUNCTION("GOOGLETRANSLATE($B809,""en"",M$3)"),"Statistieken")</f>
        <v>Statistieken</v>
      </c>
      <c r="N809" s="11" t="str">
        <f ca="1">IFERROR(__xludf.DUMMYFUNCTION("GOOGLETRANSLATE($B809,""en"",N$3)"),"Προβολή των Στατιστικών")</f>
        <v>Προβολή των Στατιστικών</v>
      </c>
      <c r="O809" s="11" t="str">
        <f ca="1">IFERROR(__xludf.DUMMYFUNCTION("GOOGLETRANSLATE($B809,""en"",O$3)"),"Näytä tilastot")</f>
        <v>Näytä tilastot</v>
      </c>
      <c r="P809" s="11" t="str">
        <f ca="1">IFERROR(__xludf.DUMMYFUNCTION("GOOGLETRANSLATE($B809,""en"",P$3)"),"Amharc ar Staitisticí")</f>
        <v>Amharc ar Staitisticí</v>
      </c>
      <c r="Q809" s="11" t="str">
        <f ca="1">IFERROR(__xludf.DUMMYFUNCTION("GOOGLETRANSLATE($B809,""en"",Q$3)"),"نمایش آمار")</f>
        <v>نمایش آمار</v>
      </c>
      <c r="R809" s="11" t="str">
        <f ca="1">IFERROR(__xludf.DUMMYFUNCTION("GOOGLETRANSLATE($B809,""en"",R$3)"),"צפה סטטיסטיקות")</f>
        <v>צפה סטטיסטיקות</v>
      </c>
      <c r="S809" s="11" t="str">
        <f ca="1">IFERROR(__xludf.DUMMYFUNCTION("GOOGLETRANSLATE($B809,""en"",S$3)"),"útsýni Tölfræði")</f>
        <v>útsýni Tölfræði</v>
      </c>
      <c r="T809" s="11" t="str">
        <f ca="1">IFERROR(__xludf.DUMMYFUNCTION("GOOGLETRANSLATE($B809,""en"",T$3)"),"Vis statistikk")</f>
        <v>Vis statistikk</v>
      </c>
      <c r="U809" s="11" t="str">
        <f ca="1">IFERROR(__xludf.DUMMYFUNCTION("GOOGLETRANSLATE($B809,""en"",U$3)"),"عرض الاحصائيات")</f>
        <v>عرض الاحصائيات</v>
      </c>
      <c r="V809" s="11" t="str">
        <f ca="1">IFERROR(__xludf.DUMMYFUNCTION("GOOGLETRANSLATE($B809,""en"",V$3)"),"Zobacz Statystyki")</f>
        <v>Zobacz Statystyki</v>
      </c>
      <c r="W809" s="11" t="str">
        <f ca="1">IFERROR(__xludf.DUMMYFUNCTION("GOOGLETRANSLATE($B809,""en"",W$3)"),"Просмотр статистики")</f>
        <v>Просмотр статистики</v>
      </c>
      <c r="X809" s="11" t="str">
        <f ca="1">IFERROR(__xludf.DUMMYFUNCTION("GOOGLETRANSLATE($B809,""en"",X$3)"),"Ver estadísticas")</f>
        <v>Ver estadísticas</v>
      </c>
    </row>
    <row r="810" spans="1:26" ht="32.25" customHeight="1" x14ac:dyDescent="0.2">
      <c r="A810" s="17" t="s">
        <v>1719</v>
      </c>
      <c r="B810" s="17" t="s">
        <v>1720</v>
      </c>
      <c r="C810" s="21" t="str">
        <f ca="1">IFERROR(__xludf.DUMMYFUNCTION("GOOGLETRANSLATE($B810,""en"",C$3)"),"Sehen Sie sich eine Web-Seite Statistik für jede Region zeigen")</f>
        <v>Sehen Sie sich eine Web-Seite Statistik für jede Region zeigen</v>
      </c>
      <c r="D810" s="21" t="str">
        <f ca="1">IFERROR(__xludf.DUMMYFUNCTION("GOOGLETRANSLATE($B810,""en"",D$3)"),"Visa en webbsida som visar statistik för varje region")</f>
        <v>Visa en webbsida som visar statistik för varje region</v>
      </c>
      <c r="E810" s="21" t="str">
        <f ca="1">IFERROR(__xludf.DUMMYFUNCTION("GOOGLETRANSLATE($B810,""en"",E$3)"),"Ver uma página web mostrando estatísticas para cada região")</f>
        <v>Ver uma página web mostrando estatísticas para cada região</v>
      </c>
      <c r="F810" s="21" t="str">
        <f ca="1">IFERROR(__xludf.DUMMYFUNCTION("GOOGLETRANSLATE($B810,""en"",F$3)"),"Ver uma página web mostrando estatísticas para cada região")</f>
        <v>Ver uma página web mostrando estatísticas para cada região</v>
      </c>
      <c r="G810" s="21" t="str">
        <f ca="1">IFERROR(__xludf.DUMMYFUNCTION("GOOGLETRANSLATE($B810,""en"",G$3)"),"Voir une page Web présentant les statistiques de chaque région")</f>
        <v>Voir une page Web présentant les statistiques de chaque région</v>
      </c>
      <c r="H810" s="21" t="str">
        <f ca="1">IFERROR(__xludf.DUMMYFUNCTION("GOOGLETRANSLATE($B810,""en"",H$3)"),"Web orri bat lurralde bakoitzeko estatistikak erakusten Ikusi")</f>
        <v>Web orri bat lurralde bakoitzeko estatistikak erakusten Ikusi</v>
      </c>
      <c r="I810" s="21" t="str">
        <f ca="1">IFERROR(__xludf.DUMMYFUNCTION("GOOGLETRANSLATE($B810,""en"",I$3)"),"Veure una pàgina web que mostra les estadístiques de cada regió")</f>
        <v>Veure una pàgina web que mostra les estadístiques de cada regió</v>
      </c>
      <c r="J810" s="21" t="str">
        <f ca="1">IFERROR(__xludf.DUMMYFUNCTION("GOOGLETRANSLATE($B810,""en"",J$3)"),"Zobrazit webovou stránku zobrazující statistiky pro každý region")</f>
        <v>Zobrazit webovou stránku zobrazující statistiky pro každý region</v>
      </c>
      <c r="K810" s="21" t="str">
        <f ca="1">IFERROR(__xludf.DUMMYFUNCTION("GOOGLETRANSLATE($B810,""en"",K$3)"),"查看显示每个区域的统计数字网页")</f>
        <v>查看显示每个区域的统计数字网页</v>
      </c>
      <c r="L810" s="21" t="str">
        <f ca="1">IFERROR(__xludf.DUMMYFUNCTION("GOOGLETRANSLATE($B810,""en"",L$3)"),"查看顯示每個區域的統計數字網頁")</f>
        <v>查看顯示每個區域的統計數字網頁</v>
      </c>
      <c r="M810" s="21" t="str">
        <f ca="1">IFERROR(__xludf.DUMMYFUNCTION("GOOGLETRANSLATE($B810,""en"",M$3)"),"Bekijk een webpagina met statistieken voor elke regio")</f>
        <v>Bekijk een webpagina met statistieken voor elke regio</v>
      </c>
      <c r="N810" s="21" t="str">
        <f ca="1">IFERROR(__xludf.DUMMYFUNCTION("GOOGLETRANSLATE($B810,""en"",N$3)"),"Δείτε μια ιστοσελίδα που δείχνει στατιστικά στοιχεία για κάθε περιοχή")</f>
        <v>Δείτε μια ιστοσελίδα που δείχνει στατιστικά στοιχεία για κάθε περιοχή</v>
      </c>
      <c r="O810" s="21" t="str">
        <f ca="1">IFERROR(__xludf.DUMMYFUNCTION("GOOGLETRANSLATE($B810,""en"",O$3)"),"Katsele verkkosivua tilastotiedot esittävän kullekin alueelle")</f>
        <v>Katsele verkkosivua tilastotiedot esittävän kullekin alueelle</v>
      </c>
      <c r="P810" s="21" t="str">
        <f ca="1">IFERROR(__xludf.DUMMYFUNCTION("GOOGLETRANSLATE($B810,""en"",P$3)"),"Féach ar an leathanach gréasáin a thaispeánann staitisticí do gach réigiún")</f>
        <v>Féach ar an leathanach gréasáin a thaispeánann staitisticí do gach réigiún</v>
      </c>
      <c r="Q810" s="21" t="str">
        <f ca="1">IFERROR(__xludf.DUMMYFUNCTION("GOOGLETRANSLATE($B810,""en"",Q$3)"),"مشاهده یک صفحه وب نشان دادن آمار برای هر منطقه")</f>
        <v>مشاهده یک صفحه وب نشان دادن آمار برای هر منطقه</v>
      </c>
      <c r="R810" s="21" t="str">
        <f ca="1">IFERROR(__xludf.DUMMYFUNCTION("GOOGLETRANSLATE($B810,""en"",R$3)"),"הצגת דף אינטרנט המציג נתונים סטטיסטיים עבור כל אזור")</f>
        <v>הצגת דף אינטרנט המציג נתונים סטטיסטיים עבור כל אזור</v>
      </c>
      <c r="S810" s="21" t="str">
        <f ca="1">IFERROR(__xludf.DUMMYFUNCTION("GOOGLETRANSLATE($B810,""en"",S$3)"),"Skoða vefsíðu sem sýnir tölfræði fyrir hvert svæði")</f>
        <v>Skoða vefsíðu sem sýnir tölfræði fyrir hvert svæði</v>
      </c>
      <c r="T810" s="21" t="str">
        <f ca="1">IFERROR(__xludf.DUMMYFUNCTION("GOOGLETRANSLATE($B810,""en"",T$3)"),"Se en nettside som viser statistikk for hver region")</f>
        <v>Se en nettside som viser statistikk for hver region</v>
      </c>
      <c r="U810" s="21" t="str">
        <f ca="1">IFERROR(__xludf.DUMMYFUNCTION("GOOGLETRANSLATE($B810,""en"",U$3)"),"عرض صفحة ويب تظهر إحصاءات لكل منطقة")</f>
        <v>عرض صفحة ويب تظهر إحصاءات لكل منطقة</v>
      </c>
      <c r="V810" s="21" t="str">
        <f ca="1">IFERROR(__xludf.DUMMYFUNCTION("GOOGLETRANSLATE($B810,""en"",V$3)"),"Zobacz stronę internetową pokazujący statystyki dla każdego regionu")</f>
        <v>Zobacz stronę internetową pokazujący statystyki dla każdego regionu</v>
      </c>
      <c r="W810" s="21" t="str">
        <f ca="1">IFERROR(__xludf.DUMMYFUNCTION("GOOGLETRANSLATE($B810,""en"",W$3)"),"Просмотр веб-страницы со статистикой по каждому региону")</f>
        <v>Просмотр веб-страницы со статистикой по каждому региону</v>
      </c>
      <c r="X810" s="21" t="str">
        <f ca="1">IFERROR(__xludf.DUMMYFUNCTION("GOOGLETRANSLATE($B810,""en"",X$3)"),"Ver una página web que muestra las estadísticas de cada región")</f>
        <v>Ver una página web que muestra las estadísticas de cada región</v>
      </c>
      <c r="Y810" s="21"/>
      <c r="Z810" s="21"/>
    </row>
    <row r="811" spans="1:26" ht="32.25" customHeight="1" x14ac:dyDescent="0.2">
      <c r="A811" s="17" t="s">
        <v>1721</v>
      </c>
      <c r="B811" s="17" t="s">
        <v>1722</v>
      </c>
      <c r="C811" s="21" t="str">
        <f ca="1">IFERROR(__xludf.DUMMYFUNCTION("GOOGLETRANSLATE($B811,""en"",C$3)"),"Ansicht Webinterface")</f>
        <v>Ansicht Webinterface</v>
      </c>
      <c r="D811" s="21" t="str">
        <f ca="1">IFERROR(__xludf.DUMMYFUNCTION("GOOGLETRANSLATE($B811,""en"",D$3)"),"Se webbgränssnitt")</f>
        <v>Se webbgränssnitt</v>
      </c>
      <c r="E811" s="21" t="str">
        <f ca="1">IFERROR(__xludf.DUMMYFUNCTION("GOOGLETRANSLATE($B811,""en"",E$3)"),"Ver interface Web")</f>
        <v>Ver interface Web</v>
      </c>
      <c r="F811" s="21" t="str">
        <f ca="1">IFERROR(__xludf.DUMMYFUNCTION("GOOGLETRANSLATE($B811,""en"",F$3)"),"Ver interface Web")</f>
        <v>Ver interface Web</v>
      </c>
      <c r="G811" s="21" t="str">
        <f ca="1">IFERROR(__xludf.DUMMYFUNCTION("GOOGLETRANSLATE($B811,""en"",G$3)"),"Voir Interface Web")</f>
        <v>Voir Interface Web</v>
      </c>
      <c r="H811" s="21" t="str">
        <f ca="1">IFERROR(__xludf.DUMMYFUNCTION("GOOGLETRANSLATE($B811,""en"",H$3)"),"Ikusi Web Interfazea")</f>
        <v>Ikusi Web Interfazea</v>
      </c>
      <c r="I811" s="21" t="str">
        <f ca="1">IFERROR(__xludf.DUMMYFUNCTION("GOOGLETRANSLATE($B811,""en"",I$3)"),"interfície Web")</f>
        <v>interfície Web</v>
      </c>
      <c r="J811" s="21" t="str">
        <f ca="1">IFERROR(__xludf.DUMMYFUNCTION("GOOGLETRANSLATE($B811,""en"",J$3)"),"Pohled Web Interface")</f>
        <v>Pohled Web Interface</v>
      </c>
      <c r="K811" s="21" t="str">
        <f ca="1">IFERROR(__xludf.DUMMYFUNCTION("GOOGLETRANSLATE($B811,""en"",K$3)"),"查看Web界面")</f>
        <v>查看Web界面</v>
      </c>
      <c r="L811" s="21" t="str">
        <f ca="1">IFERROR(__xludf.DUMMYFUNCTION("GOOGLETRANSLATE($B811,""en"",L$3)"),"查看Web界面")</f>
        <v>查看Web界面</v>
      </c>
      <c r="M811" s="21" t="str">
        <f ca="1">IFERROR(__xludf.DUMMYFUNCTION("GOOGLETRANSLATE($B811,""en"",M$3)"),"Bekijk Web Interface")</f>
        <v>Bekijk Web Interface</v>
      </c>
      <c r="N811" s="21" t="str">
        <f ca="1">IFERROR(__xludf.DUMMYFUNCTION("GOOGLETRANSLATE($B811,""en"",N$3)"),"Δείτε διασύνδεσης Web")</f>
        <v>Δείτε διασύνδεσης Web</v>
      </c>
      <c r="O811" s="21" t="str">
        <f ca="1">IFERROR(__xludf.DUMMYFUNCTION("GOOGLETRANSLATE($B811,""en"",O$3)"),"Näytä Web Interface")</f>
        <v>Näytä Web Interface</v>
      </c>
      <c r="P811" s="21" t="str">
        <f ca="1">IFERROR(__xludf.DUMMYFUNCTION("GOOGLETRANSLATE($B811,""en"",P$3)"),"Amharc Chomhéadain Gréasáin")</f>
        <v>Amharc Chomhéadain Gréasáin</v>
      </c>
      <c r="Q811" s="21" t="str">
        <f ca="1">IFERROR(__xludf.DUMMYFUNCTION("GOOGLETRANSLATE($B811,""en"",Q$3)"),"نمایش رابط وب")</f>
        <v>نمایش رابط وب</v>
      </c>
      <c r="R811" s="21" t="str">
        <f ca="1">IFERROR(__xludf.DUMMYFUNCTION("GOOGLETRANSLATE($B811,""en"",R$3)"),"תצוגת אינטרנט ממשק")</f>
        <v>תצוגת אינטרנט ממשק</v>
      </c>
      <c r="S811" s="21" t="str">
        <f ca="1">IFERROR(__xludf.DUMMYFUNCTION("GOOGLETRANSLATE($B811,""en"",S$3)"),"Útsýni Web Interface")</f>
        <v>Útsýni Web Interface</v>
      </c>
      <c r="T811" s="21" t="str">
        <f ca="1">IFERROR(__xludf.DUMMYFUNCTION("GOOGLETRANSLATE($B811,""en"",T$3)"),"Vis webgrensesnitt")</f>
        <v>Vis webgrensesnitt</v>
      </c>
      <c r="U811" s="21" t="str">
        <f ca="1">IFERROR(__xludf.DUMMYFUNCTION("GOOGLETRANSLATE($B811,""en"",U$3)"),"عرض واجهة الويب")</f>
        <v>عرض واجهة الويب</v>
      </c>
      <c r="V811" s="21" t="str">
        <f ca="1">IFERROR(__xludf.DUMMYFUNCTION("GOOGLETRANSLATE($B811,""en"",V$3)"),"Zobacz Interfejs Web")</f>
        <v>Zobacz Interfejs Web</v>
      </c>
      <c r="W811" s="21" t="str">
        <f ca="1">IFERROR(__xludf.DUMMYFUNCTION("GOOGLETRANSLATE($B811,""en"",W$3)"),"Просмотр веб-интерфейс")</f>
        <v>Просмотр веб-интерфейс</v>
      </c>
      <c r="X811" s="21" t="str">
        <f ca="1">IFERROR(__xludf.DUMMYFUNCTION("GOOGLETRANSLATE($B811,""en"",X$3)"),"Interfaz Web")</f>
        <v>Interfaz Web</v>
      </c>
      <c r="Y811" s="21"/>
      <c r="Z811" s="21"/>
    </row>
    <row r="812" spans="1:26" ht="32.25" customHeight="1" x14ac:dyDescent="0.2">
      <c r="A812" s="17" t="s">
        <v>1723</v>
      </c>
      <c r="B812" s="17" t="s">
        <v>1724</v>
      </c>
      <c r="C812" s="21" t="str">
        <f ca="1">IFERROR(__xludf.DUMMYFUNCTION("GOOGLETRANSLATE($B812,""en"",C$3)"),"Das Webinterface kann verwendet werden, um neue Benutzer hinzufügen")</f>
        <v>Das Webinterface kann verwendet werden, um neue Benutzer hinzufügen</v>
      </c>
      <c r="D812" s="21" t="str">
        <f ca="1">IFERROR(__xludf.DUMMYFUNCTION("GOOGLETRANSLATE($B812,""en"",D$3)"),"Webbgränssnittet kan användas för att lägga till nya användare")</f>
        <v>Webbgränssnittet kan användas för att lägga till nya användare</v>
      </c>
      <c r="E812" s="21" t="str">
        <f ca="1">IFERROR(__xludf.DUMMYFUNCTION("GOOGLETRANSLATE($B812,""en"",E$3)"),"A interface Web pode ser usado para adicionar novos usuários")</f>
        <v>A interface Web pode ser usado para adicionar novos usuários</v>
      </c>
      <c r="F812" s="21" t="str">
        <f ca="1">IFERROR(__xludf.DUMMYFUNCTION("GOOGLETRANSLATE($B812,""en"",F$3)"),"A interface Web pode ser usado para adicionar novos usuários")</f>
        <v>A interface Web pode ser usado para adicionar novos usuários</v>
      </c>
      <c r="G812" s="21" t="str">
        <f ca="1">IFERROR(__xludf.DUMMYFUNCTION("GOOGLETRANSLATE($B812,""en"",G$3)"),"L'interface Web peut être utilisé pour ajouter de nouveaux utilisateurs")</f>
        <v>L'interface Web peut être utilisé pour ajouter de nouveaux utilisateurs</v>
      </c>
      <c r="H812" s="21" t="str">
        <f ca="1">IFERROR(__xludf.DUMMYFUNCTION("GOOGLETRANSLATE($B812,""en"",H$3)"),"Web Interfazea erabil daiteke erabiltzaile berriak gehitzeko")</f>
        <v>Web Interfazea erabil daiteke erabiltzaile berriak gehitzeko</v>
      </c>
      <c r="I812" s="21" t="str">
        <f ca="1">IFERROR(__xludf.DUMMYFUNCTION("GOOGLETRANSLATE($B812,""en"",I$3)"),"La Interfície web es pot utilitzar per afegir nous usuaris")</f>
        <v>La Interfície web es pot utilitzar per afegir nous usuaris</v>
      </c>
      <c r="J812" s="21" t="str">
        <f ca="1">IFERROR(__xludf.DUMMYFUNCTION("GOOGLETRANSLATE($B812,""en"",J$3)"),"Webové rozhraní lze použít k přidání nových uživatelů")</f>
        <v>Webové rozhraní lze použít k přidání nových uživatelů</v>
      </c>
      <c r="K812" s="21" t="str">
        <f ca="1">IFERROR(__xludf.DUMMYFUNCTION("GOOGLETRANSLATE($B812,""en"",K$3)"),"Web界面可以用来添加新用户")</f>
        <v>Web界面可以用来添加新用户</v>
      </c>
      <c r="L812" s="21" t="str">
        <f ca="1">IFERROR(__xludf.DUMMYFUNCTION("GOOGLETRANSLATE($B812,""en"",L$3)"),"Web界面可以用來添加新用戶")</f>
        <v>Web界面可以用來添加新用戶</v>
      </c>
      <c r="M812" s="21" t="str">
        <f ca="1">IFERROR(__xludf.DUMMYFUNCTION("GOOGLETRANSLATE($B812,""en"",M$3)"),"De webinterface kan worden gebruikt om nieuwe gebruikers toe te voegen")</f>
        <v>De webinterface kan worden gebruikt om nieuwe gebruikers toe te voegen</v>
      </c>
      <c r="N812" s="21" t="str">
        <f ca="1">IFERROR(__xludf.DUMMYFUNCTION("GOOGLETRANSLATE($B812,""en"",N$3)"),"Η διασύνδεση Web μπορεί να χρησιμοποιηθεί για να προσθέσει νέους χρήστες")</f>
        <v>Η διασύνδεση Web μπορεί να χρησιμοποιηθεί για να προσθέσει νέους χρήστες</v>
      </c>
      <c r="O812" s="21" t="str">
        <f ca="1">IFERROR(__xludf.DUMMYFUNCTION("GOOGLETRANSLATE($B812,""en"",O$3)"),"Web Interface voidaan lisätä uusia käyttäjiä")</f>
        <v>Web Interface voidaan lisätä uusia käyttäjiä</v>
      </c>
      <c r="P812" s="21" t="str">
        <f ca="1">IFERROR(__xludf.DUMMYFUNCTION("GOOGLETRANSLATE($B812,""en"",P$3)"),"Is féidir leis an Chomhéadain Gréasáin a úsáid chun cur úsáideoirí nua")</f>
        <v>Is féidir leis an Chomhéadain Gréasáin a úsáid chun cur úsáideoirí nua</v>
      </c>
      <c r="Q812" s="21" t="str">
        <f ca="1">IFERROR(__xludf.DUMMYFUNCTION("GOOGLETRANSLATE($B812,""en"",Q$3)"),"رابط وب می توان برای اضافه کردن کاربران جدید")</f>
        <v>رابط وب می توان برای اضافه کردن کاربران جدید</v>
      </c>
      <c r="R812" s="21" t="str">
        <f ca="1">IFERROR(__xludf.DUMMYFUNCTION("GOOGLETRANSLATE($B812,""en"",R$3)"),"ממשק האינטרנט יכול לשמש כדי להוסיף משתמשים חדשים")</f>
        <v>ממשק האינטרנט יכול לשמש כדי להוסיף משתמשים חדשים</v>
      </c>
      <c r="S812" s="21" t="str">
        <f ca="1">IFERROR(__xludf.DUMMYFUNCTION("GOOGLETRANSLATE($B812,""en"",S$3)"),"The Web Interface er hægt að nota til að bæta við nýjum notendum")</f>
        <v>The Web Interface er hægt að nota til að bæta við nýjum notendum</v>
      </c>
      <c r="T812" s="21" t="str">
        <f ca="1">IFERROR(__xludf.DUMMYFUNCTION("GOOGLETRANSLATE($B812,""en"",T$3)"),"Webgrensesnittet kan brukes til å legge til nye brukere")</f>
        <v>Webgrensesnittet kan brukes til å legge til nye brukere</v>
      </c>
      <c r="U812" s="21" t="str">
        <f ca="1">IFERROR(__xludf.DUMMYFUNCTION("GOOGLETRANSLATE($B812,""en"",U$3)"),"واجهة ويب يمكن استخدامها لإضافة مستخدمين جدد")</f>
        <v>واجهة ويب يمكن استخدامها لإضافة مستخدمين جدد</v>
      </c>
      <c r="V812" s="21" t="str">
        <f ca="1">IFERROR(__xludf.DUMMYFUNCTION("GOOGLETRANSLATE($B812,""en"",V$3)"),"Interfejs sieci Web może być używany do dodawania nowych użytkowników")</f>
        <v>Interfejs sieci Web może być używany do dodawania nowych użytkowników</v>
      </c>
      <c r="W812" s="21" t="str">
        <f ca="1">IFERROR(__xludf.DUMMYFUNCTION("GOOGLETRANSLATE($B812,""en"",W$3)"),"Веб-интерфейс может быть использован для добавления новых пользователей")</f>
        <v>Веб-интерфейс может быть использован для добавления новых пользователей</v>
      </c>
      <c r="X812" s="21" t="str">
        <f ca="1">IFERROR(__xludf.DUMMYFUNCTION("GOOGLETRANSLATE($B812,""en"",X$3)"),"La Interfaz Web se puede utilizar para añadir nuevos usuarios")</f>
        <v>La Interfaz Web se puede utilizar para añadir nuevos usuarios</v>
      </c>
      <c r="Y812" s="21"/>
      <c r="Z812" s="21"/>
    </row>
    <row r="813" spans="1:26" ht="32.25" customHeight="1" x14ac:dyDescent="0.2">
      <c r="A813" s="17" t="s">
        <v>1725</v>
      </c>
      <c r="B813" s="17" t="s">
        <v>1726</v>
      </c>
      <c r="C813" s="21" t="str">
        <f ca="1">IFERROR(__xludf.DUMMYFUNCTION("GOOGLETRANSLATE($B813,""en"",C$3)"),"Standard: aktiviert. Benutzer müssen möglicherweise nicht zu rez Zuschauer Bandbreite, wenn einige Prims oder Geländeteile reduzieren. Schalte auf false, wenn Sie brauchen alte Zuschauer zu verwenden, die diese Funktion nicht unterstützen")</f>
        <v>Standard: aktiviert. Benutzer müssen möglicherweise nicht zu rez Zuschauer Bandbreite, wenn einige Prims oder Geländeteile reduzieren. Schalte auf false, wenn Sie brauchen alte Zuschauer zu verwenden, die diese Funktion nicht unterstützen</v>
      </c>
      <c r="D813" s="21" t="str">
        <f ca="1">IFERROR(__xludf.DUMMYFUNCTION("GOOGLETRANSLATE($B813,""en"",D$3)"),"Standard: Enabled. Användare kan behöva minska viewer bandbredd om vissa Prims eller terräng delar inte rez. Byt till false om du behöver använda gamla tittare som inte stöder denna funktion")</f>
        <v>Standard: Enabled. Användare kan behöva minska viewer bandbredd om vissa Prims eller terräng delar inte rez. Byt till false om du behöver använda gamla tittare som inte stöder denna funktion</v>
      </c>
      <c r="E813" s="21" t="str">
        <f ca="1">IFERROR(__xludf.DUMMYFUNCTION("GOOGLETRANSLATE($B813,""en"",E$3)"),"Padrão: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F813" s="21" t="str">
        <f ca="1">IFERROR(__xludf.DUMMYFUNCTION("GOOGLETRANSLATE($B813,""en"",F$3)"),"Padrão: Enabled. Os usuários podem precisar reduzir a largura de banda espectador se alguns prims ou partes do terreno não rez. Mudança para false se você precisa usar os espectadores antigos que não suportam esta funcionalidade")</f>
        <v>Padrão: Enabled. Os usuários podem precisar reduzir a largura de banda espectador se alguns prims ou partes do terreno não rez. Mudança para false se você precisa usar os espectadores antigos que não suportam esta funcionalidade</v>
      </c>
      <c r="G813" s="21" t="str">
        <f ca="1">IFERROR(__xludf.DUMMYFUNCTION("GOOGLETRANSLATE($B813,""en"",G$3)"),"Par défaut: Activé. Les utilisateurs peuvent avoir besoin de réduire la bande passante du spectateur si certains prims ou parties de terrain ne parviennent pas à rez. Modifier false si vous avez besoin d'utiliser les anciens téléspectateurs qui ne prennen"&amp;"t pas en charge cette fonctionnalité")</f>
        <v>Par défaut: Activé. Les utilisateurs peuvent avoir besoin de réduire la bande passante du spectateur si certains prims ou parties de terrain ne parviennent pas à rez. Modifier false si vous avez besoin d'utiliser les anciens téléspectateurs qui ne prennent pas en charge cette fonctionnalité</v>
      </c>
      <c r="H813" s="21" t="str">
        <f ca="1">IFERROR(__xludf.DUMMYFUNCTION("GOOGLETRANSLATE($B813,""en"",H$3)"),"Lehenetsia: Gaituta. Erabiltzaileak ikuslearen banda zabalera murrizteko Prims batzuk edo lur zati rez huts bada behar izatea. faltsua Aldatu ikusle zaharra ez duten ezaugarri hau onartzen erabili behar baduzu")</f>
        <v>Lehenetsia: Gaituta. Erabiltzaileak ikuslearen banda zabalera murrizteko Prims batzuk edo lur zati rez huts bada behar izatea. faltsua Aldatu ikusle zaharra ez duten ezaugarri hau onartzen erabili behar baduzu</v>
      </c>
      <c r="I813" s="21" t="str">
        <f ca="1">IFERROR(__xludf.DUMMYFUNCTION("GOOGLETRANSLATE($B813,""en"",I$3)"),"Per defecte: Actiu. Els usuaris poden necessitar per reduir l'ample de banda espectador si algunes parts de el terreny prims o fallen en rez. Canvi en false si necessita utilitzar espectadors vells que no suporten aquesta característica")</f>
        <v>Per defecte: Actiu. Els usuaris poden necessitar per reduir l'ample de banda espectador si algunes parts de el terreny prims o fallen en rez. Canvi en false si necessita utilitzar espectadors vells que no suporten aquesta característica</v>
      </c>
      <c r="J813" s="21" t="str">
        <f ca="1">IFERROR(__xludf.DUMMYFUNCTION("GOOGLETRANSLATE($B813,""en"",J$3)"),"Výchozí hodnota: Enabled. Uživatelé mohou potřebovat ke snížení šířky pásma diváka když některé prims nebo terénní části nepodaří rez. Nastavte na hodnotu false, pokud potřebujete používat staré diváky, které nemají tuto funkci podporují")</f>
        <v>Výchozí hodnota: Enabled. Uživatelé mohou potřebovat ke snížení šířky pásma diváka když některé prims nebo terénní části nepodaří rez. Nastavte na hodnotu false, pokud potřebujete používat staré diváky, které nemají tuto funkci podporují</v>
      </c>
      <c r="K813" s="21" t="str">
        <f ca="1">IFERROR(__xludf.DUMMYFUNCTION("GOOGLETRANSLATE($B813,""en"",K$3)"),"默认值：启用。用户可根据需要，以减少观众的带宽，如果一些prims或地形部分未能苏亚雷斯。更改为false，如果你需要使用不支持此功能的老观众")</f>
        <v>默认值：启用。用户可根据需要，以减少观众的带宽，如果一些prims或地形部分未能苏亚雷斯。更改为false，如果你需要使用不支持此功能的老观众</v>
      </c>
      <c r="L813" s="21" t="str">
        <f ca="1">IFERROR(__xludf.DUMMYFUNCTION("GOOGLETRANSLATE($B813,""en"",L$3)"),"默認值：啟用。用戶可根據需要，以減少觀眾的帶寬，如果一些prims或地形部分未能蘇亞雷斯。更改為false，如果你需要使用不支持此功能的老觀眾")</f>
        <v>默認值：啟用。用戶可根據需要，以減少觀眾的帶寬，如果一些prims或地形部分未能蘇亞雷斯。更改為false，如果你需要使用不支持此功能的老觀眾</v>
      </c>
      <c r="M813" s="21" t="str">
        <f ca="1">IFERROR(__xludf.DUMMYFUNCTION("GOOGLETRANSLATE($B813,""en"",M$3)"),"Standaard: ingeschakeld. Gebruikers kan nodig zijn om de bandbreedte kijker te verminderen als sommige prims of terrein onderdelen niet aan rez. Wissel naar false als je nodig hebt om de oude kijkers die deze functie niet ondersteunen gebruiken")</f>
        <v>Standaard: ingeschakeld. Gebruikers kan nodig zijn om de bandbreedte kijker te verminderen als sommige prims of terrein onderdelen niet aan rez. Wissel naar false als je nodig hebt om de oude kijkers die deze functie niet ondersteunen gebruiken</v>
      </c>
      <c r="N813" s="21" t="str">
        <f ca="1">IFERROR(__xludf.DUMMYFUNCTION("GOOGLETRANSLATE($B813,""en"",N$3)"),"Προεπιλογή: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f>
        <v>Προεπιλογή: Ενεργοποιημένο. Οι χρήστες μπορεί να χρειαστεί να μειώσει το εύρος ζώνης θεατή αν κάποιοι prims ή τμήματα εδάφους δεν Rez. Αλλαγή σε false αν χρειαστεί να χρησιμοποιήσετε παλιά τηλεθεατές που δεν υποστηρίζουν αυτή τη λειτουργία</v>
      </c>
      <c r="O813" s="21" t="str">
        <f ca="1">IFERROR(__xludf.DUMMYFUNCTION("GOOGLETRANSLATE($B813,""en"",O$3)"),"Oletus: Käytössä. Käyttäjät voivat joutua pienentämään katsoja kaistanleveyttä jos jotkut prims tai maaston osia eivät Rez. Vaihda false, jos haluat käyttää vanhaa katsojille, jotka eivät tue tätä ominaisuutta")</f>
        <v>Oletus: Käytössä. Käyttäjät voivat joutua pienentämään katsoja kaistanleveyttä jos jotkut prims tai maaston osia eivät Rez. Vaihda false, jos haluat käyttää vanhaa katsojille, jotka eivät tue tätä ominaisuutta</v>
      </c>
      <c r="P813" s="21" t="str">
        <f ca="1">IFERROR(__xludf.DUMMYFUNCTION("GOOGLETRANSLATE($B813,""en"",P$3)"),"Réamhshocrú: Cumasaithe. Is féidir le húsáideoirí gá le laghdú a bandaleithead breathnóir má theipeann roinnt prims nó codanna tír-raon a rez. Athraigh go bréagach más rud é ní mór duit a bhaint as lucht féachana d'aois nach bhfuil tacaíocht an ghné seo")</f>
        <v>Réamhshocrú: Cumasaithe. Is féidir le húsáideoirí gá le laghdú a bandaleithead breathnóir má theipeann roinnt prims nó codanna tír-raon a rez. Athraigh go bréagach más rud é ní mór duit a bhaint as lucht féachana d'aois nach bhfuil tacaíocht an ghné seo</v>
      </c>
      <c r="Q813" s="21" t="str">
        <f ca="1">IFERROR(__xludf.DUMMYFUNCTION("GOOGLETRANSLATE($B813,""en"",Q$3)"),"پیش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f>
        <v>پیش فرض: فعال شده است. کاربران ممکن است نیاز به کاهش پهنای باند بیننده اگر برخی از prims یا قطعات زمین به rez شکست. تغییر به false اگر شما نیاز به استفاده از بینندگان قدیمی که این ویژگی پشتیبانی نمی</v>
      </c>
      <c r="R813" s="21" t="str">
        <f ca="1">IFERROR(__xludf.DUMMYFUNCTION("GOOGLETRANSLATE($B813,""en"",R$3)"),"ברירת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f>
        <v>ברירת מחדל: Enabled. משתמשים יכולים צריכים לצמצם את רוחב הפס הצופה אם חלק prims או חלקי השטח מצליחים ורז. שינוי ל false אם אתה צריך להשתמש צופים ישנים שאינו תומכים בתכונה זו</v>
      </c>
      <c r="S813" s="21" t="str">
        <f ca="1">IFERROR(__xludf.DUMMYFUNCTION("GOOGLETRANSLATE($B813,""en"",S$3)"),"Default: Enabled. Notendur gætu þurft að minnka áhorfanda bandbreidd ef einhver prims eða landsvæði hlutar ekki að Rez. Breyta í False ef þú þarft að nota gamla áhorfendur sem styðja ekki þennan eiginleika")</f>
        <v>Default: Enabled. Notendur gætu þurft að minnka áhorfanda bandbreidd ef einhver prims eða landsvæði hlutar ekki að Rez. Breyta í False ef þú þarft að nota gamla áhorfendur sem styðja ekki þennan eiginleika</v>
      </c>
      <c r="T813" s="21" t="str">
        <f ca="1">IFERROR(__xludf.DUMMYFUNCTION("GOOGLETRANSLATE($B813,""en"",T$3)"),"Standard: Aktivert. Brukere kan være nødvendig å redusere betrakteren båndbredde hvis noen Prims eller terreng deler ikke klarer å rez. Bytt til usann hvis du trenger å bruke gamle seere som ikke støtter denne funksjonen")</f>
        <v>Standard: Aktivert. Brukere kan være nødvendig å redusere betrakteren båndbredde hvis noen Prims eller terreng deler ikke klarer å rez. Bytt til usann hvis du trenger å bruke gamle seere som ikke støtter denne funksjonen</v>
      </c>
      <c r="U813" s="21" t="str">
        <f ca="1">IFERROR(__xludf.DUMMYFUNCTION("GOOGLETRANSLATE($B813,""en"",U$3)"),"افتراضي: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f>
        <v>افتراضي: تمكين. قد يحتاج المستخدمون للحد من عرض النطاق الترددي المشاهد اذا فشلت بعض PRIMS أو أجزاء التضاريس لريز. التغيير إلى false إذا كنت في حاجة إلى استخدام مشاهد القديمة التي لا تدعم هذه الميزة</v>
      </c>
      <c r="V813" s="21" t="str">
        <f ca="1">IFERROR(__xludf.DUMMYFUNCTION("GOOGLETRANSLATE($B813,""en"",V$3)"),"Ustawienie domyślne: Enabled. Użytkowników może zmniejszyć przepustowość widza jeśli niektóre Prims lub części terenu nie rez. Zmiana na false, jeśli chcesz używać starych widzów, które nie obsługują tej funkcji")</f>
        <v>Ustawienie domyślne: Enabled. Użytkowników może zmniejszyć przepustowość widza jeśli niektóre Prims lub części terenu nie rez. Zmiana na false, jeśli chcesz używać starych widzów, które nie obsługują tej funkcji</v>
      </c>
      <c r="W813" s="21" t="str">
        <f ca="1">IFERROR(__xludf.DUMMYFUNCTION("GOOGLETRANSLATE($B813,""en"",W$3)"),"По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f>
        <v>По умолчанию: Enabled. Пользователи, возможно, потребуется уменьшить ширину полосы просмотра, если некоторые примы или части местности не резь. Изменение в ЛОЖЬ, если вам нужно использовать старые зрители, которые не поддерживают эту функцию</v>
      </c>
      <c r="X813" s="21" t="str">
        <f ca="1">IFERROR(__xludf.DUMMYFUNCTION("GOOGLETRANSLATE($B813,""en"",X$3)"),"Por defecto: Activado. Los usuarios pueden necesitar para reducir el ancho de banda espectador si algunas partes del terreno prims o fallan en rez. Cambio en false si necesita usar espectadores viejos que no soportan esta característica")</f>
        <v>Por defecto: Activado. Los usuarios pueden necesitar para reducir el ancho de banda espectador si algunas partes del terreno prims o fallan en rez. Cambio en false si necesita usar espectadores viejos que no soportan esta característica</v>
      </c>
      <c r="Y813" s="21"/>
      <c r="Z813" s="21"/>
    </row>
    <row r="814" spans="1:26" ht="32.25" customHeight="1" x14ac:dyDescent="0.2">
      <c r="A814" s="17" t="s">
        <v>1727</v>
      </c>
      <c r="B814" s="17" t="s">
        <v>1728</v>
      </c>
      <c r="C814" s="21" t="str">
        <f ca="1">IFERROR(__xludf.DUMMYFUNCTION("GOOGLETRANSLATE($B814,""en"",C$3)"),"Viewer-Cache")</f>
        <v>Viewer-Cache</v>
      </c>
      <c r="D814" s="21" t="str">
        <f ca="1">IFERROR(__xludf.DUMMYFUNCTION("GOOGLETRANSLATE($B814,""en"",D$3)"),"Viewer Cache")</f>
        <v>Viewer Cache</v>
      </c>
      <c r="E814" s="21" t="str">
        <f ca="1">IFERROR(__xludf.DUMMYFUNCTION("GOOGLETRANSLATE($B814,""en"",E$3)"),"visualizador de cache")</f>
        <v>visualizador de cache</v>
      </c>
      <c r="F814" s="21" t="str">
        <f ca="1">IFERROR(__xludf.DUMMYFUNCTION("GOOGLETRANSLATE($B814,""en"",F$3)"),"visualizador de cache")</f>
        <v>visualizador de cache</v>
      </c>
      <c r="G814" s="21" t="str">
        <f ca="1">IFERROR(__xludf.DUMMYFUNCTION("GOOGLETRANSLATE($B814,""en"",G$3)"),"Cache Viewer")</f>
        <v>Cache Viewer</v>
      </c>
      <c r="H814" s="21" t="str">
        <f ca="1">IFERROR(__xludf.DUMMYFUNCTION("GOOGLETRANSLATE($B814,""en"",H$3)"),"Viewer Cache")</f>
        <v>Viewer Cache</v>
      </c>
      <c r="I814" s="21" t="str">
        <f ca="1">IFERROR(__xludf.DUMMYFUNCTION("GOOGLETRANSLATE($B814,""en"",I$3)"),"visor de memòria cau")</f>
        <v>visor de memòria cau</v>
      </c>
      <c r="J814" s="21" t="str">
        <f ca="1">IFERROR(__xludf.DUMMYFUNCTION("GOOGLETRANSLATE($B814,""en"",J$3)"),"Viewer Cache")</f>
        <v>Viewer Cache</v>
      </c>
      <c r="K814" s="21" t="str">
        <f ca="1">IFERROR(__xludf.DUMMYFUNCTION("GOOGLETRANSLATE($B814,""en"",K$3)"),"浏览器缓存")</f>
        <v>浏览器缓存</v>
      </c>
      <c r="L814" s="21" t="str">
        <f ca="1">IFERROR(__xludf.DUMMYFUNCTION("GOOGLETRANSLATE($B814,""en"",L$3)"),"瀏覽器緩存")</f>
        <v>瀏覽器緩存</v>
      </c>
      <c r="M814" s="21" t="str">
        <f ca="1">IFERROR(__xludf.DUMMYFUNCTION("GOOGLETRANSLATE($B814,""en"",M$3)"),"viewer Cache")</f>
        <v>viewer Cache</v>
      </c>
      <c r="N814" s="21" t="str">
        <f ca="1">IFERROR(__xludf.DUMMYFUNCTION("GOOGLETRANSLATE($B814,""en"",N$3)"),"Viewer Cache")</f>
        <v>Viewer Cache</v>
      </c>
      <c r="O814" s="21" t="str">
        <f ca="1">IFERROR(__xludf.DUMMYFUNCTION("GOOGLETRANSLATE($B814,""en"",O$3)"),"katsoja Cache")</f>
        <v>katsoja Cache</v>
      </c>
      <c r="P814" s="21" t="str">
        <f ca="1">IFERROR(__xludf.DUMMYFUNCTION("GOOGLETRANSLATE($B814,""en"",P$3)"),"amharcán Cache")</f>
        <v>amharcán Cache</v>
      </c>
      <c r="Q814" s="21" t="str">
        <f ca="1">IFERROR(__xludf.DUMMYFUNCTION("GOOGLETRANSLATE($B814,""en"",Q$3)"),"کننده کش")</f>
        <v>کننده کش</v>
      </c>
      <c r="R814" s="21" t="str">
        <f ca="1">IFERROR(__xludf.DUMMYFUNCTION("GOOGLETRANSLATE($B814,""en"",R$3)"),"מטמון Viewer")</f>
        <v>מטמון Viewer</v>
      </c>
      <c r="S814" s="21" t="str">
        <f ca="1">IFERROR(__xludf.DUMMYFUNCTION("GOOGLETRANSLATE($B814,""en"",S$3)"),"áhorfandi Cache")</f>
        <v>áhorfandi Cache</v>
      </c>
      <c r="T814" s="21" t="str">
        <f ca="1">IFERROR(__xludf.DUMMYFUNCTION("GOOGLETRANSLATE($B814,""en"",T$3)"),"Viewer Cache")</f>
        <v>Viewer Cache</v>
      </c>
      <c r="U814" s="21" t="str">
        <f ca="1">IFERROR(__xludf.DUMMYFUNCTION("GOOGLETRANSLATE($B814,""en"",U$3)"),"عارض الكاش")</f>
        <v>عارض الكاش</v>
      </c>
      <c r="V814" s="21" t="str">
        <f ca="1">IFERROR(__xludf.DUMMYFUNCTION("GOOGLETRANSLATE($B814,""en"",V$3)"),"Cache Viewer")</f>
        <v>Cache Viewer</v>
      </c>
      <c r="W814" s="21" t="str">
        <f ca="1">IFERROR(__xludf.DUMMYFUNCTION("GOOGLETRANSLATE($B814,""en"",W$3)"),"Средство просмотра кэша")</f>
        <v>Средство просмотра кэша</v>
      </c>
      <c r="X814" s="21" t="str">
        <f ca="1">IFERROR(__xludf.DUMMYFUNCTION("GOOGLETRANSLATE($B814,""en"",X$3)"),"visor de caché")</f>
        <v>visor de caché</v>
      </c>
      <c r="Y814" s="21"/>
      <c r="Z814" s="21"/>
    </row>
    <row r="815" spans="1:26" ht="32.25" customHeight="1" x14ac:dyDescent="0.2">
      <c r="A815" s="17" t="s">
        <v>1729</v>
      </c>
      <c r="B815" s="17" t="s">
        <v>1730</v>
      </c>
      <c r="C815" s="21" t="str">
        <f ca="1">IFERROR(__xludf.DUMMYFUNCTION("GOOGLETRANSLATE($B815,""en"",C$3)"),"Viewer-Gruß")</f>
        <v>Viewer-Gruß</v>
      </c>
      <c r="D815" s="21" t="str">
        <f ca="1">IFERROR(__xludf.DUMMYFUNCTION("GOOGLETRANSLATE($B815,""en"",D$3)"),"Viewer hälsning")</f>
        <v>Viewer hälsning</v>
      </c>
      <c r="E815" s="21" t="str">
        <f ca="1">IFERROR(__xludf.DUMMYFUNCTION("GOOGLETRANSLATE($B815,""en"",E$3)"),"visualizador de saudação")</f>
        <v>visualizador de saudação</v>
      </c>
      <c r="F815" s="21" t="str">
        <f ca="1">IFERROR(__xludf.DUMMYFUNCTION("GOOGLETRANSLATE($B815,""en"",F$3)"),"visualizador de saudação")</f>
        <v>visualizador de saudação</v>
      </c>
      <c r="G815" s="21" t="str">
        <f ca="1">IFERROR(__xludf.DUMMYFUNCTION("GOOGLETRANSLATE($B815,""en"",G$3)"),"Salutation Viewer")</f>
        <v>Salutation Viewer</v>
      </c>
      <c r="H815" s="21" t="str">
        <f ca="1">IFERROR(__xludf.DUMMYFUNCTION("GOOGLETRANSLATE($B815,""en"",H$3)"),"Viewer Agurra")</f>
        <v>Viewer Agurra</v>
      </c>
      <c r="I815" s="21" t="str">
        <f ca="1">IFERROR(__xludf.DUMMYFUNCTION("GOOGLETRANSLATE($B815,""en"",I$3)"),"salutació visor")</f>
        <v>salutació visor</v>
      </c>
      <c r="J815" s="21" t="str">
        <f ca="1">IFERROR(__xludf.DUMMYFUNCTION("GOOGLETRANSLATE($B815,""en"",J$3)"),"prohlížeč Pozdrav")</f>
        <v>prohlížeč Pozdrav</v>
      </c>
      <c r="K815" s="21" t="str">
        <f ca="1">IFERROR(__xludf.DUMMYFUNCTION("GOOGLETRANSLATE($B815,""en"",K$3)"),"观众问候")</f>
        <v>观众问候</v>
      </c>
      <c r="L815" s="21" t="str">
        <f ca="1">IFERROR(__xludf.DUMMYFUNCTION("GOOGLETRANSLATE($B815,""en"",L$3)"),"觀眾問候")</f>
        <v>觀眾問候</v>
      </c>
      <c r="M815" s="21" t="str">
        <f ca="1">IFERROR(__xludf.DUMMYFUNCTION("GOOGLETRANSLATE($B815,""en"",M$3)"),"viewer Groet")</f>
        <v>viewer Groet</v>
      </c>
      <c r="N815" s="21" t="str">
        <f ca="1">IFERROR(__xludf.DUMMYFUNCTION("GOOGLETRANSLATE($B815,""en"",N$3)"),"Viewer Χαιρετισμός")</f>
        <v>Viewer Χαιρετισμός</v>
      </c>
      <c r="O815" s="21" t="str">
        <f ca="1">IFERROR(__xludf.DUMMYFUNCTION("GOOGLETRANSLATE($B815,""en"",O$3)"),"katsoja Tervehdys")</f>
        <v>katsoja Tervehdys</v>
      </c>
      <c r="P815" s="21" t="str">
        <f ca="1">IFERROR(__xludf.DUMMYFUNCTION("GOOGLETRANSLATE($B815,""en"",P$3)"),"amharcán Beannacht")</f>
        <v>amharcán Beannacht</v>
      </c>
      <c r="Q815" s="21" t="str">
        <f ca="1">IFERROR(__xludf.DUMMYFUNCTION("GOOGLETRANSLATE($B815,""en"",Q$3)"),"تبریک آمار بیننده")</f>
        <v>تبریک آمار بیننده</v>
      </c>
      <c r="R815" s="21" t="str">
        <f ca="1">IFERROR(__xludf.DUMMYFUNCTION("GOOGLETRANSLATE($B815,""en"",R$3)"),"ברכת Viewer")</f>
        <v>ברכת Viewer</v>
      </c>
      <c r="S815" s="21" t="str">
        <f ca="1">IFERROR(__xludf.DUMMYFUNCTION("GOOGLETRANSLATE($B815,""en"",S$3)"),"áhorfandi Kveðja")</f>
        <v>áhorfandi Kveðja</v>
      </c>
      <c r="T815" s="21" t="str">
        <f ca="1">IFERROR(__xludf.DUMMYFUNCTION("GOOGLETRANSLATE($B815,""en"",T$3)"),"Viewer Hilsen")</f>
        <v>Viewer Hilsen</v>
      </c>
      <c r="U815" s="21" t="str">
        <f ca="1">IFERROR(__xludf.DUMMYFUNCTION("GOOGLETRANSLATE($B815,""en"",U$3)"),"تحية المشاهد")</f>
        <v>تحية المشاهد</v>
      </c>
      <c r="V815" s="21" t="str">
        <f ca="1">IFERROR(__xludf.DUMMYFUNCTION("GOOGLETRANSLATE($B815,""en"",V$3)"),"Przeglądarka życzeniami")</f>
        <v>Przeglądarka życzeniami</v>
      </c>
      <c r="W815" s="21" t="str">
        <f ca="1">IFERROR(__xludf.DUMMYFUNCTION("GOOGLETRANSLATE($B815,""en"",W$3)"),"Просмотр приветствия")</f>
        <v>Просмотр приветствия</v>
      </c>
      <c r="X815" s="21" t="str">
        <f ca="1">IFERROR(__xludf.DUMMYFUNCTION("GOOGLETRANSLATE($B815,""en"",X$3)"),"saludo visor")</f>
        <v>saludo visor</v>
      </c>
      <c r="Y815" s="21"/>
      <c r="Z815" s="21"/>
    </row>
    <row r="816" spans="1:26" ht="32.25" customHeight="1" x14ac:dyDescent="0.2">
      <c r="A816" s="17" t="s">
        <v>1731</v>
      </c>
      <c r="B816" s="17" t="s">
        <v>1732</v>
      </c>
      <c r="C816" s="21" t="str">
        <f ca="1">IFERROR(__xludf.DUMMYFUNCTION("GOOGLETRANSLATE($B816,""en"",C$3)"),"Viewer stoppt das Zählen bei 45000")</f>
        <v>Viewer stoppt das Zählen bei 45000</v>
      </c>
      <c r="D816" s="21" t="str">
        <f ca="1">IFERROR(__xludf.DUMMYFUNCTION("GOOGLETRANSLATE($B816,""en"",D$3)"),"Viewer slutar räkna på 45.000")</f>
        <v>Viewer slutar räkna på 45.000</v>
      </c>
      <c r="E816" s="21" t="str">
        <f ca="1">IFERROR(__xludf.DUMMYFUNCTION("GOOGLETRANSLATE($B816,""en"",E$3)"),"Visualizador de pára contagem em 45.000")</f>
        <v>Visualizador de pára contagem em 45.000</v>
      </c>
      <c r="F816" s="21" t="str">
        <f ca="1">IFERROR(__xludf.DUMMYFUNCTION("GOOGLETRANSLATE($B816,""en"",F$3)"),"Visualizador de pára contagem em 45.000")</f>
        <v>Visualizador de pára contagem em 45.000</v>
      </c>
      <c r="G816" s="21" t="str">
        <f ca="1">IFERROR(__xludf.DUMMYFUNCTION("GOOGLETRANSLATE($B816,""en"",G$3)"),"Viewer arrête de compter à 45 000")</f>
        <v>Viewer arrête de compter à 45 000</v>
      </c>
      <c r="H816" s="21" t="str">
        <f ca="1">IFERROR(__xludf.DUMMYFUNCTION("GOOGLETRANSLATE($B816,""en"",H$3)"),"Viewer zenbaketa gelditzen 45.000 etan")</f>
        <v>Viewer zenbaketa gelditzen 45.000 etan</v>
      </c>
      <c r="I816" s="21" t="str">
        <f ca="1">IFERROR(__xludf.DUMMYFUNCTION("GOOGLETRANSLATE($B816,""en"",I$3)"),"Espectador deixa de comptar a 45.000")</f>
        <v>Espectador deixa de comptar a 45.000</v>
      </c>
      <c r="J816" s="21" t="str">
        <f ca="1">IFERROR(__xludf.DUMMYFUNCTION("GOOGLETRANSLATE($B816,""en"",J$3)"),"Divák se zastaví počítání na 45.000")</f>
        <v>Divák se zastaví počítání na 45.000</v>
      </c>
      <c r="K816" s="21" t="str">
        <f ca="1">IFERROR(__xludf.DUMMYFUNCTION("GOOGLETRANSLATE($B816,""en"",K$3)"),"观众45000停止计数")</f>
        <v>观众45000停止计数</v>
      </c>
      <c r="L816" s="21" t="str">
        <f ca="1">IFERROR(__xludf.DUMMYFUNCTION("GOOGLETRANSLATE($B816,""en"",L$3)"),"觀眾45000停止計數")</f>
        <v>觀眾45000停止計數</v>
      </c>
      <c r="M816" s="21" t="str">
        <f ca="1">IFERROR(__xludf.DUMMYFUNCTION("GOOGLETRANSLATE($B816,""en"",M$3)"),"Viewer stopt met tellen bij 45.000")</f>
        <v>Viewer stopt met tellen bij 45.000</v>
      </c>
      <c r="N816" s="21" t="str">
        <f ca="1">IFERROR(__xludf.DUMMYFUNCTION("GOOGLETRANSLATE($B816,""en"",N$3)"),"Viewer σταματά καταμέτρηση σε 45.000")</f>
        <v>Viewer σταματά καταμέτρηση σε 45.000</v>
      </c>
      <c r="O816" s="21" t="str">
        <f ca="1">IFERROR(__xludf.DUMMYFUNCTION("GOOGLETRANSLATE($B816,""en"",O$3)"),"Katsoja pysähtyy laskemisen 45000")</f>
        <v>Katsoja pysähtyy laskemisen 45000</v>
      </c>
      <c r="P816" s="21" t="str">
        <f ca="1">IFERROR(__xludf.DUMMYFUNCTION("GOOGLETRANSLATE($B816,""en"",P$3)"),"Viewer stadanna comhaireamh ag 45,000")</f>
        <v>Viewer stadanna comhaireamh ag 45,000</v>
      </c>
      <c r="Q816" s="21" t="str">
        <f ca="1">IFERROR(__xludf.DUMMYFUNCTION("GOOGLETRANSLATE($B816,""en"",Q$3)"),"نمایشگر متوقف می شود شمارش در 45،000")</f>
        <v>نمایشگر متوقف می شود شمارش در 45،000</v>
      </c>
      <c r="R816" s="21" t="str">
        <f ca="1">IFERROR(__xludf.DUMMYFUNCTION("GOOGLETRANSLATE($B816,""en"",R$3)"),"מציג מפסיק לספור על 45,000")</f>
        <v>מציג מפסיק לספור על 45,000</v>
      </c>
      <c r="S816" s="21" t="str">
        <f ca="1">IFERROR(__xludf.DUMMYFUNCTION("GOOGLETRANSLATE($B816,""en"",S$3)"),"Áhorfandinn hættir að telja á 45.000")</f>
        <v>Áhorfandinn hættir að telja á 45.000</v>
      </c>
      <c r="T816" s="21" t="str">
        <f ca="1">IFERROR(__xludf.DUMMYFUNCTION("GOOGLETRANSLATE($B816,""en"",T$3)"),"Seer stopper tellingen 45000")</f>
        <v>Seer stopper tellingen 45000</v>
      </c>
      <c r="U816" s="21" t="str">
        <f ca="1">IFERROR(__xludf.DUMMYFUNCTION("GOOGLETRANSLATE($B816,""en"",U$3)"),"يتوقف المشاهد العد في 45000")</f>
        <v>يتوقف المشاهد العد في 45000</v>
      </c>
      <c r="V816" s="21" t="str">
        <f ca="1">IFERROR(__xludf.DUMMYFUNCTION("GOOGLETRANSLATE($B816,""en"",V$3)"),"Przeglądarka zatrzymuje zliczanie na 45.000")</f>
        <v>Przeglądarka zatrzymuje zliczanie na 45.000</v>
      </c>
      <c r="W816" s="21" t="str">
        <f ca="1">IFERROR(__xludf.DUMMYFUNCTION("GOOGLETRANSLATE($B816,""en"",W$3)"),"Телезритель останавливает отсчет при 45000")</f>
        <v>Телезритель останавливает отсчет при 45000</v>
      </c>
      <c r="X816" s="21" t="str">
        <f ca="1">IFERROR(__xludf.DUMMYFUNCTION("GOOGLETRANSLATE($B816,""en"",X$3)"),"Espectador deja de contar a 45.000")</f>
        <v>Espectador deja de contar a 45.000</v>
      </c>
      <c r="Y816" s="21"/>
      <c r="Z816" s="21"/>
    </row>
    <row r="817" spans="1:26" ht="32.25" customHeight="1" x14ac:dyDescent="0.2">
      <c r="A817" s="17" t="s">
        <v>1733</v>
      </c>
      <c r="B817" s="17" t="s">
        <v>1734</v>
      </c>
      <c r="C817" s="21" t="str">
        <f ca="1">IFERROR(__xludf.DUMMYFUNCTION("GOOGLETRANSLATE($B817,""en"",C$3)"),"Vivox Stimme")</f>
        <v>Vivox Stimme</v>
      </c>
      <c r="D817" s="21" t="str">
        <f ca="1">IFERROR(__xludf.DUMMYFUNCTION("GOOGLETRANSLATE($B817,""en"",D$3)"),"Vivox Voice")</f>
        <v>Vivox Voice</v>
      </c>
      <c r="E817" s="21" t="str">
        <f ca="1">IFERROR(__xludf.DUMMYFUNCTION("GOOGLETRANSLATE($B817,""en"",E$3)"),"Vivox voz")</f>
        <v>Vivox voz</v>
      </c>
      <c r="F817" s="21" t="str">
        <f ca="1">IFERROR(__xludf.DUMMYFUNCTION("GOOGLETRANSLATE($B817,""en"",F$3)"),"Vivox voz")</f>
        <v>Vivox voz</v>
      </c>
      <c r="G817" s="21" t="str">
        <f ca="1">IFERROR(__xludf.DUMMYFUNCTION("GOOGLETRANSLATE($B817,""en"",G$3)"),"Vivox voix")</f>
        <v>Vivox voix</v>
      </c>
      <c r="H817" s="21" t="str">
        <f ca="1">IFERROR(__xludf.DUMMYFUNCTION("GOOGLETRANSLATE($B817,""en"",H$3)"),"Vivox Ahots")</f>
        <v>Vivox Ahots</v>
      </c>
      <c r="I817" s="21" t="str">
        <f ca="1">IFERROR(__xludf.DUMMYFUNCTION("GOOGLETRANSLATE($B817,""en"",I$3)"),"Vivox Veu")</f>
        <v>Vivox Veu</v>
      </c>
      <c r="J817" s="21" t="str">
        <f ca="1">IFERROR(__xludf.DUMMYFUNCTION("GOOGLETRANSLATE($B817,""en"",J$3)"),"Vivox Voice")</f>
        <v>Vivox Voice</v>
      </c>
      <c r="K817" s="21" t="str">
        <f ca="1">IFERROR(__xludf.DUMMYFUNCTION("GOOGLETRANSLATE($B817,""en"",K$3)"),"Vivox公司的语音")</f>
        <v>Vivox公司的语音</v>
      </c>
      <c r="L817" s="21" t="str">
        <f ca="1">IFERROR(__xludf.DUMMYFUNCTION("GOOGLETRANSLATE($B817,""en"",L$3)"),"Vivox公司的語音")</f>
        <v>Vivox公司的語音</v>
      </c>
      <c r="M817" s="21" t="str">
        <f ca="1">IFERROR(__xludf.DUMMYFUNCTION("GOOGLETRANSLATE($B817,""en"",M$3)"),"Vivox Voice")</f>
        <v>Vivox Voice</v>
      </c>
      <c r="N817" s="21" t="str">
        <f ca="1">IFERROR(__xludf.DUMMYFUNCTION("GOOGLETRANSLATE($B817,""en"",N$3)"),"Vivox Voice")</f>
        <v>Vivox Voice</v>
      </c>
      <c r="O817" s="21" t="str">
        <f ca="1">IFERROR(__xludf.DUMMYFUNCTION("GOOGLETRANSLATE($B817,""en"",O$3)"),"Vivox Voice")</f>
        <v>Vivox Voice</v>
      </c>
      <c r="P817" s="21" t="str">
        <f ca="1">IFERROR(__xludf.DUMMYFUNCTION("GOOGLETRANSLATE($B817,""en"",P$3)"),"Vivox Voice")</f>
        <v>Vivox Voice</v>
      </c>
      <c r="Q817" s="21" t="str">
        <f ca="1">IFERROR(__xludf.DUMMYFUNCTION("GOOGLETRANSLATE($B817,""en"",Q$3)"),"Vivox صدای")</f>
        <v>Vivox صدای</v>
      </c>
      <c r="R817" s="21" t="str">
        <f ca="1">IFERROR(__xludf.DUMMYFUNCTION("GOOGLETRANSLATE($B817,""en"",R$3)"),"Vivox קול")</f>
        <v>Vivox קול</v>
      </c>
      <c r="S817" s="21" t="str">
        <f ca="1">IFERROR(__xludf.DUMMYFUNCTION("GOOGLETRANSLATE($B817,""en"",S$3)"),"Vivox Voice")</f>
        <v>Vivox Voice</v>
      </c>
      <c r="T817" s="21" t="str">
        <f ca="1">IFERROR(__xludf.DUMMYFUNCTION("GOOGLETRANSLATE($B817,""en"",T$3)"),"Vivox Voice")</f>
        <v>Vivox Voice</v>
      </c>
      <c r="U817" s="21" t="str">
        <f ca="1">IFERROR(__xludf.DUMMYFUNCTION("GOOGLETRANSLATE($B817,""en"",U$3)"),"Vivox صوت")</f>
        <v>Vivox صوت</v>
      </c>
      <c r="V817" s="21" t="str">
        <f ca="1">IFERROR(__xludf.DUMMYFUNCTION("GOOGLETRANSLATE($B817,""en"",V$3)"),"Vivox Voice")</f>
        <v>Vivox Voice</v>
      </c>
      <c r="W817" s="21" t="str">
        <f ca="1">IFERROR(__xludf.DUMMYFUNCTION("GOOGLETRANSLATE($B817,""en"",W$3)"),"Vivox Voice")</f>
        <v>Vivox Voice</v>
      </c>
      <c r="X817" s="21" t="str">
        <f ca="1">IFERROR(__xludf.DUMMYFUNCTION("GOOGLETRANSLATE($B817,""en"",X$3)"),"Vivox Voz")</f>
        <v>Vivox Voz</v>
      </c>
      <c r="Y817" s="21"/>
      <c r="Z817" s="21"/>
    </row>
    <row r="818" spans="1:26" ht="32.25" customHeight="1" x14ac:dyDescent="0.2">
      <c r="A818" s="17" t="s">
        <v>1735</v>
      </c>
      <c r="B818" s="17" t="s">
        <v>1735</v>
      </c>
      <c r="C818" s="21" t="str">
        <f ca="1">IFERROR(__xludf.DUMMYFUNCTION("GOOGLETRANSLATE($B818,""en"",C$3)"),"Stimme")</f>
        <v>Stimme</v>
      </c>
      <c r="D818" s="21" t="str">
        <f ca="1">IFERROR(__xludf.DUMMYFUNCTION("GOOGLETRANSLATE($B818,""en"",D$3)"),"Röst")</f>
        <v>Röst</v>
      </c>
      <c r="E818" s="21" t="str">
        <f ca="1">IFERROR(__xludf.DUMMYFUNCTION("GOOGLETRANSLATE($B818,""en"",E$3)"),"Voz")</f>
        <v>Voz</v>
      </c>
      <c r="F818" s="21" t="str">
        <f ca="1">IFERROR(__xludf.DUMMYFUNCTION("GOOGLETRANSLATE($B818,""en"",F$3)"),"Voz")</f>
        <v>Voz</v>
      </c>
      <c r="G818" s="21" t="str">
        <f ca="1">IFERROR(__xludf.DUMMYFUNCTION("GOOGLETRANSLATE($B818,""en"",G$3)"),"Voix")</f>
        <v>Voix</v>
      </c>
      <c r="H818" s="21" t="str">
        <f ca="1">IFERROR(__xludf.DUMMYFUNCTION("GOOGLETRANSLATE($B818,""en"",H$3)"),"Ahots")</f>
        <v>Ahots</v>
      </c>
      <c r="I818" s="21" t="str">
        <f ca="1">IFERROR(__xludf.DUMMYFUNCTION("GOOGLETRANSLATE($B818,""en"",I$3)"),"veu")</f>
        <v>veu</v>
      </c>
      <c r="J818" s="21" t="str">
        <f ca="1">IFERROR(__xludf.DUMMYFUNCTION("GOOGLETRANSLATE($B818,""en"",J$3)"),"Hlas")</f>
        <v>Hlas</v>
      </c>
      <c r="K818" s="21" t="str">
        <f ca="1">IFERROR(__xludf.DUMMYFUNCTION("GOOGLETRANSLATE($B818,""en"",K$3)"),"语音")</f>
        <v>语音</v>
      </c>
      <c r="L818" s="21" t="str">
        <f ca="1">IFERROR(__xludf.DUMMYFUNCTION("GOOGLETRANSLATE($B818,""en"",L$3)"),"語音")</f>
        <v>語音</v>
      </c>
      <c r="M818" s="21" t="str">
        <f ca="1">IFERROR(__xludf.DUMMYFUNCTION("GOOGLETRANSLATE($B818,""en"",M$3)"),"Stem")</f>
        <v>Stem</v>
      </c>
      <c r="N818" s="21" t="str">
        <f ca="1">IFERROR(__xludf.DUMMYFUNCTION("GOOGLETRANSLATE($B818,""en"",N$3)"),"Φωνή")</f>
        <v>Φωνή</v>
      </c>
      <c r="O818" s="21" t="str">
        <f ca="1">IFERROR(__xludf.DUMMYFUNCTION("GOOGLETRANSLATE($B818,""en"",O$3)"),"Ääni")</f>
        <v>Ääni</v>
      </c>
      <c r="P818" s="21" t="str">
        <f ca="1">IFERROR(__xludf.DUMMYFUNCTION("GOOGLETRANSLATE($B818,""en"",P$3)"),"guth")</f>
        <v>guth</v>
      </c>
      <c r="Q818" s="21" t="str">
        <f ca="1">IFERROR(__xludf.DUMMYFUNCTION("GOOGLETRANSLATE($B818,""en"",Q$3)"),"صدا")</f>
        <v>صدا</v>
      </c>
      <c r="R818" s="21" t="str">
        <f ca="1">IFERROR(__xludf.DUMMYFUNCTION("GOOGLETRANSLATE($B818,""en"",R$3)"),"קוֹל")</f>
        <v>קוֹל</v>
      </c>
      <c r="S818" s="21" t="str">
        <f ca="1">IFERROR(__xludf.DUMMYFUNCTION("GOOGLETRANSLATE($B818,""en"",S$3)"),"Voice")</f>
        <v>Voice</v>
      </c>
      <c r="T818" s="21" t="str">
        <f ca="1">IFERROR(__xludf.DUMMYFUNCTION("GOOGLETRANSLATE($B818,""en"",T$3)"),"Stemme")</f>
        <v>Stemme</v>
      </c>
      <c r="U818" s="21" t="str">
        <f ca="1">IFERROR(__xludf.DUMMYFUNCTION("GOOGLETRANSLATE($B818,""en"",U$3)"),"صوت")</f>
        <v>صوت</v>
      </c>
      <c r="V818" s="21" t="str">
        <f ca="1">IFERROR(__xludf.DUMMYFUNCTION("GOOGLETRANSLATE($B818,""en"",V$3)"),"Głos")</f>
        <v>Głos</v>
      </c>
      <c r="W818" s="21" t="str">
        <f ca="1">IFERROR(__xludf.DUMMYFUNCTION("GOOGLETRANSLATE($B818,""en"",W$3)"),"голос")</f>
        <v>голос</v>
      </c>
      <c r="X818" s="21" t="str">
        <f ca="1">IFERROR(__xludf.DUMMYFUNCTION("GOOGLETRANSLATE($B818,""en"",X$3)"),"Voz")</f>
        <v>Voz</v>
      </c>
      <c r="Y818" s="21"/>
      <c r="Z818" s="21"/>
    </row>
    <row r="819" spans="1:26" ht="32.25" customHeight="1" x14ac:dyDescent="0.2">
      <c r="A819" s="17" t="s">
        <v>1736</v>
      </c>
      <c r="B819" s="17" t="s">
        <v>1737</v>
      </c>
      <c r="C819" s="21" t="str">
        <f ca="1">IFERROR(__xludf.DUMMYFUNCTION("GOOGLETRANSLATE($B819,""en"",C$3)"),"Spracheinstellungen")</f>
        <v>Spracheinstellungen</v>
      </c>
      <c r="D819" s="21" t="str">
        <f ca="1">IFERROR(__xludf.DUMMYFUNCTION("GOOGLETRANSLATE($B819,""en"",D$3)"),"Röstinställningar")</f>
        <v>Röstinställningar</v>
      </c>
      <c r="E819" s="21" t="str">
        <f ca="1">IFERROR(__xludf.DUMMYFUNCTION("GOOGLETRANSLATE($B819,""en"",E$3)"),"Configurações de voz")</f>
        <v>Configurações de voz</v>
      </c>
      <c r="F819" s="21" t="str">
        <f ca="1">IFERROR(__xludf.DUMMYFUNCTION("GOOGLETRANSLATE($B819,""en"",F$3)"),"Configurações de voz")</f>
        <v>Configurações de voz</v>
      </c>
      <c r="G819" s="21" t="str">
        <f ca="1">IFERROR(__xludf.DUMMYFUNCTION("GOOGLETRANSLATE($B819,""en"",G$3)"),"Paramètres de la voix")</f>
        <v>Paramètres de la voix</v>
      </c>
      <c r="H819" s="21" t="str">
        <f ca="1">IFERROR(__xludf.DUMMYFUNCTION("GOOGLETRANSLATE($B819,""en"",H$3)"),"Ahotsaren ezarpenak")</f>
        <v>Ahotsaren ezarpenak</v>
      </c>
      <c r="I819" s="21" t="str">
        <f ca="1">IFERROR(__xludf.DUMMYFUNCTION("GOOGLETRANSLATE($B819,""en"",I$3)"),"Configuració de veu")</f>
        <v>Configuració de veu</v>
      </c>
      <c r="J819" s="21" t="str">
        <f ca="1">IFERROR(__xludf.DUMMYFUNCTION("GOOGLETRANSLATE($B819,""en"",J$3)"),"Nastavení hlasové")</f>
        <v>Nastavení hlasové</v>
      </c>
      <c r="K819" s="21" t="str">
        <f ca="1">IFERROR(__xludf.DUMMYFUNCTION("GOOGLETRANSLATE($B819,""en"",K$3)"),"语音设置")</f>
        <v>语音设置</v>
      </c>
      <c r="L819" s="21" t="str">
        <f ca="1">IFERROR(__xludf.DUMMYFUNCTION("GOOGLETRANSLATE($B819,""en"",L$3)"),"語音設置")</f>
        <v>語音設置</v>
      </c>
      <c r="M819" s="21" t="str">
        <f ca="1">IFERROR(__xludf.DUMMYFUNCTION("GOOGLETRANSLATE($B819,""en"",M$3)"),"Voice-instellingen")</f>
        <v>Voice-instellingen</v>
      </c>
      <c r="N819" s="21" t="str">
        <f ca="1">IFERROR(__xludf.DUMMYFUNCTION("GOOGLETRANSLATE($B819,""en"",N$3)"),"Ρυθμίσεις Voice")</f>
        <v>Ρυθμίσεις Voice</v>
      </c>
      <c r="O819" s="21" t="str">
        <f ca="1">IFERROR(__xludf.DUMMYFUNCTION("GOOGLETRANSLATE($B819,""en"",O$3)"),"Puheasetukset")</f>
        <v>Puheasetukset</v>
      </c>
      <c r="P819" s="21" t="str">
        <f ca="1">IFERROR(__xludf.DUMMYFUNCTION("GOOGLETRANSLATE($B819,""en"",P$3)"),"Socruithe Voice")</f>
        <v>Socruithe Voice</v>
      </c>
      <c r="Q819" s="21" t="str">
        <f ca="1">IFERROR(__xludf.DUMMYFUNCTION("GOOGLETRANSLATE($B819,""en"",Q$3)"),"تنظیمات Voice")</f>
        <v>تنظیمات Voice</v>
      </c>
      <c r="R819" s="21" t="str">
        <f ca="1">IFERROR(__xludf.DUMMYFUNCTION("GOOGLETRANSLATE($B819,""en"",R$3)"),"הגדרות קול")</f>
        <v>הגדרות קול</v>
      </c>
      <c r="S819" s="21" t="str">
        <f ca="1">IFERROR(__xludf.DUMMYFUNCTION("GOOGLETRANSLATE($B819,""en"",S$3)"),"rödd Stillingar")</f>
        <v>rödd Stillingar</v>
      </c>
      <c r="T819" s="21" t="str">
        <f ca="1">IFERROR(__xludf.DUMMYFUNCTION("GOOGLETRANSLATE($B819,""en"",T$3)"),"Stemmeinnstillinger")</f>
        <v>Stemmeinnstillinger</v>
      </c>
      <c r="U819" s="21" t="str">
        <f ca="1">IFERROR(__xludf.DUMMYFUNCTION("GOOGLETRANSLATE($B819,""en"",U$3)"),"إعدادات الصوت")</f>
        <v>إعدادات الصوت</v>
      </c>
      <c r="V819" s="21" t="str">
        <f ca="1">IFERROR(__xludf.DUMMYFUNCTION("GOOGLETRANSLATE($B819,""en"",V$3)"),"Ustawienia głosowe")</f>
        <v>Ustawienia głosowe</v>
      </c>
      <c r="W819" s="21" t="str">
        <f ca="1">IFERROR(__xludf.DUMMYFUNCTION("GOOGLETRANSLATE($B819,""en"",W$3)"),"Настройки тембра")</f>
        <v>Настройки тембра</v>
      </c>
      <c r="X819" s="21" t="str">
        <f ca="1">IFERROR(__xludf.DUMMYFUNCTION("GOOGLETRANSLATE($B819,""en"",X$3)"),"Configuración de voz")</f>
        <v>Configuración de voz</v>
      </c>
      <c r="Y819" s="21"/>
      <c r="Z819" s="21"/>
    </row>
    <row r="820" spans="1:26" ht="32.25" customHeight="1" x14ac:dyDescent="0.2">
      <c r="A820" s="17" t="s">
        <v>1738</v>
      </c>
      <c r="B820" s="17" t="s">
        <v>1739</v>
      </c>
      <c r="C820" s="21" t="str">
        <f ca="1">IFERROR(__xludf.DUMMYFUNCTION("GOOGLETRANSLATE($B820,""en"",C$3)"),"Warten auf Robust zu starten")</f>
        <v>Warten auf Robust zu starten</v>
      </c>
      <c r="D820" s="21" t="str">
        <f ca="1">IFERROR(__xludf.DUMMYFUNCTION("GOOGLETRANSLATE($B820,""en"",D$3)"),"Väntar på Robust att starta")</f>
        <v>Väntar på Robust att starta</v>
      </c>
      <c r="E820" s="21" t="str">
        <f ca="1">IFERROR(__xludf.DUMMYFUNCTION("GOOGLETRANSLATE($B820,""en"",E$3)"),"Esperando em robusta para começar")</f>
        <v>Esperando em robusta para começar</v>
      </c>
      <c r="F820" s="21" t="str">
        <f ca="1">IFERROR(__xludf.DUMMYFUNCTION("GOOGLETRANSLATE($B820,""en"",F$3)"),"Esperando em robusta para começar")</f>
        <v>Esperando em robusta para começar</v>
      </c>
      <c r="G820" s="21" t="str">
        <f ca="1">IFERROR(__xludf.DUMMYFUNCTION("GOOGLETRANSLATE($B820,""en"",G$3)"),"En attendant le robuste pour démarrer")</f>
        <v>En attendant le robuste pour démarrer</v>
      </c>
      <c r="H820" s="21" t="str">
        <f ca="1">IFERROR(__xludf.DUMMYFUNCTION("GOOGLETRANSLATE($B820,""en"",H$3)"),"Sendoa zain hasten")</f>
        <v>Sendoa zain hasten</v>
      </c>
      <c r="I820" s="21" t="str">
        <f ca="1">IFERROR(__xludf.DUMMYFUNCTION("GOOGLETRANSLATE($B820,""en"",I$3)"),"Esperant en robust per iniciar")</f>
        <v>Esperant en robust per iniciar</v>
      </c>
      <c r="J820" s="21" t="str">
        <f ca="1">IFERROR(__xludf.DUMMYFUNCTION("GOOGLETRANSLATE($B820,""en"",J$3)"),"Čekání na Robustní zahájit")</f>
        <v>Čekání na Robustní zahájit</v>
      </c>
      <c r="K820" s="21" t="str">
        <f ca="1">IFERROR(__xludf.DUMMYFUNCTION("GOOGLETRANSLATE($B820,""en"",K$3)"),"等待稳健开始")</f>
        <v>等待稳健开始</v>
      </c>
      <c r="L820" s="21" t="str">
        <f ca="1">IFERROR(__xludf.DUMMYFUNCTION("GOOGLETRANSLATE($B820,""en"",L$3)"),"等待穩健開始")</f>
        <v>等待穩健開始</v>
      </c>
      <c r="M820" s="21" t="str">
        <f ca="1">IFERROR(__xludf.DUMMYFUNCTION("GOOGLETRANSLATE($B820,""en"",M$3)"),"Wachten op Robuuste om te beginnen")</f>
        <v>Wachten op Robuuste om te beginnen</v>
      </c>
      <c r="N820" s="21" t="str">
        <f ca="1">IFERROR(__xludf.DUMMYFUNCTION("GOOGLETRANSLATE($B820,""en"",N$3)"),"Αναμονή για Ανθεκτική να ξεκινήσετε")</f>
        <v>Αναμονή για Ανθεκτική να ξεκινήσετε</v>
      </c>
      <c r="O820" s="21" t="str">
        <f ca="1">IFERROR(__xludf.DUMMYFUNCTION("GOOGLETRANSLATE($B820,""en"",O$3)"),"Odotetaan Kestävä aloittaa")</f>
        <v>Odotetaan Kestävä aloittaa</v>
      </c>
      <c r="P820" s="21" t="str">
        <f ca="1">IFERROR(__xludf.DUMMYFUNCTION("GOOGLETRANSLATE($B820,""en"",P$3)"),"Ag feitheamh ar Láidir a thosú")</f>
        <v>Ag feitheamh ar Láidir a thosú</v>
      </c>
      <c r="Q820" s="21" t="str">
        <f ca="1">IFERROR(__xludf.DUMMYFUNCTION("GOOGLETRANSLATE($B820,""en"",Q$3)"),"انتظار در مقاوم به شروع")</f>
        <v>انتظار در مقاوم به شروع</v>
      </c>
      <c r="R820" s="21" t="str">
        <f ca="1">IFERROR(__xludf.DUMMYFUNCTION("GOOGLETRANSLATE($B820,""en"",R$3)"),"הממתין חזק כדי להתחיל")</f>
        <v>הממתין חזק כדי להתחיל</v>
      </c>
      <c r="S820" s="21" t="str">
        <f ca="1">IFERROR(__xludf.DUMMYFUNCTION("GOOGLETRANSLATE($B820,""en"",S$3)"),"Bíða á Sterkur til að byrja")</f>
        <v>Bíða á Sterkur til að byrja</v>
      </c>
      <c r="T820" s="21" t="str">
        <f ca="1">IFERROR(__xludf.DUMMYFUNCTION("GOOGLETRANSLATE($B820,""en"",T$3)"),"Venter på Robust å starte")</f>
        <v>Venter på Robust å starte</v>
      </c>
      <c r="U820" s="21" t="str">
        <f ca="1">IFERROR(__xludf.DUMMYFUNCTION("GOOGLETRANSLATE($B820,""en"",U$3)"),"في انتظار قوية لبدء")</f>
        <v>في انتظار قوية لبدء</v>
      </c>
      <c r="V820" s="21" t="str">
        <f ca="1">IFERROR(__xludf.DUMMYFUNCTION("GOOGLETRANSLATE($B820,""en"",V$3)"),"Oczekiwanie na Mocna zacząć")</f>
        <v>Oczekiwanie na Mocna zacząć</v>
      </c>
      <c r="W820" s="21" t="str">
        <f ca="1">IFERROR(__xludf.DUMMYFUNCTION("GOOGLETRANSLATE($B820,""en"",W$3)"),"Ожидание Robust, чтобы начать")</f>
        <v>Ожидание Robust, чтобы начать</v>
      </c>
      <c r="X820" s="21" t="str">
        <f ca="1">IFERROR(__xludf.DUMMYFUNCTION("GOOGLETRANSLATE($B820,""en"",X$3)"),"Esperando en robusto para iniciar")</f>
        <v>Esperando en robusto para iniciar</v>
      </c>
      <c r="Y820" s="21"/>
      <c r="Z820" s="21"/>
    </row>
    <row r="821" spans="1:26" ht="32.25" customHeight="1" x14ac:dyDescent="0.2">
      <c r="A821" s="17" t="s">
        <v>1740</v>
      </c>
      <c r="B821" s="17" t="s">
        <v>1741</v>
      </c>
      <c r="C821" s="21" t="str">
        <f ca="1">IFERROR(__xludf.DUMMYFUNCTION("GOOGLETRANSLATE($B821,""en"",C$3)"),"Warten auf alle Regionen zu verlassen")</f>
        <v>Warten auf alle Regionen zu verlassen</v>
      </c>
      <c r="D821" s="21" t="str">
        <f ca="1">IFERROR(__xludf.DUMMYFUNCTION("GOOGLETRANSLATE($B821,""en"",D$3)"),"Väntar på alla regioner för att avsluta")</f>
        <v>Väntar på alla regioner för att avsluta</v>
      </c>
      <c r="E821" s="21" t="str">
        <f ca="1">IFERROR(__xludf.DUMMYFUNCTION("GOOGLETRANSLATE($B821,""en"",E$3)"),"À espera de todas as regiões para saída")</f>
        <v>À espera de todas as regiões para saída</v>
      </c>
      <c r="F821" s="21" t="str">
        <f ca="1">IFERROR(__xludf.DUMMYFUNCTION("GOOGLETRANSLATE($B821,""en"",F$3)"),"À espera de todas as regiões para saída")</f>
        <v>À espera de todas as regiões para saída</v>
      </c>
      <c r="G821" s="21" t="str">
        <f ca="1">IFERROR(__xludf.DUMMYFUNCTION("GOOGLETRANSLATE($B821,""en"",G$3)"),"En attente de toutes les régions de sortie")</f>
        <v>En attente de toutes les régions de sortie</v>
      </c>
      <c r="H821" s="21" t="str">
        <f ca="1">IFERROR(__xludf.DUMMYFUNCTION("GOOGLETRANSLATE($B821,""en"",H$3)"),"irteera eskualde guztietan zain")</f>
        <v>irteera eskualde guztietan zain</v>
      </c>
      <c r="I821" s="21" t="str">
        <f ca="1">IFERROR(__xludf.DUMMYFUNCTION("GOOGLETRANSLATE($B821,""en"",I$3)"),"A l'espera de totes les regions a la sortida")</f>
        <v>A l'espera de totes les regions a la sortida</v>
      </c>
      <c r="J821" s="21" t="str">
        <f ca="1">IFERROR(__xludf.DUMMYFUNCTION("GOOGLETRANSLATE($B821,""en"",J$3)"),"Čekání pro všechny regiony na výjezdu")</f>
        <v>Čekání pro všechny regiony na výjezdu</v>
      </c>
      <c r="K821" s="21" t="str">
        <f ca="1">IFERROR(__xludf.DUMMYFUNCTION("GOOGLETRANSLATE($B821,""en"",K$3)"),"等待所有地区的出口")</f>
        <v>等待所有地区的出口</v>
      </c>
      <c r="L821" s="21" t="str">
        <f ca="1">IFERROR(__xludf.DUMMYFUNCTION("GOOGLETRANSLATE($B821,""en"",L$3)"),"等待所有地區的出口")</f>
        <v>等待所有地區的出口</v>
      </c>
      <c r="M821" s="21" t="str">
        <f ca="1">IFERROR(__xludf.DUMMYFUNCTION("GOOGLETRANSLATE($B821,""en"",M$3)"),"Wachten op alle regio's om af te sluiten")</f>
        <v>Wachten op alle regio's om af te sluiten</v>
      </c>
      <c r="N821" s="21" t="str">
        <f ca="1">IFERROR(__xludf.DUMMYFUNCTION("GOOGLETRANSLATE($B821,""en"",N$3)"),"Αναμονή για όλες τις περιοχές για έξοδο")</f>
        <v>Αναμονή για όλες τις περιοχές για έξοδο</v>
      </c>
      <c r="O821" s="21" t="str">
        <f ca="1">IFERROR(__xludf.DUMMYFUNCTION("GOOGLETRANSLATE($B821,""en"",O$3)"),"Odotetaan kaikille alueille mahdollisuus poistua")</f>
        <v>Odotetaan kaikille alueille mahdollisuus poistua</v>
      </c>
      <c r="P821" s="21" t="str">
        <f ca="1">IFERROR(__xludf.DUMMYFUNCTION("GOOGLETRANSLATE($B821,""en"",P$3)"),"Ag feitheamh le gach réigiún a scoir")</f>
        <v>Ag feitheamh le gach réigiún a scoir</v>
      </c>
      <c r="Q821" s="21" t="str">
        <f ca="1">IFERROR(__xludf.DUMMYFUNCTION("GOOGLETRANSLATE($B821,""en"",Q$3)"),"در حال انتظار برای مناطق به خروج")</f>
        <v>در حال انتظار برای مناطق به خروج</v>
      </c>
      <c r="R821" s="21" t="str">
        <f ca="1">IFERROR(__xludf.DUMMYFUNCTION("GOOGLETRANSLATE($B821,""en"",R$3)"),"מחכה כל האזורים ליציאה")</f>
        <v>מחכה כל האזורים ליציאה</v>
      </c>
      <c r="S821" s="21" t="str">
        <f ca="1">IFERROR(__xludf.DUMMYFUNCTION("GOOGLETRANSLATE($B821,""en"",S$3)"),"Bíð eftir öllum svæðum til að hætta")</f>
        <v>Bíð eftir öllum svæðum til að hætta</v>
      </c>
      <c r="T821" s="21" t="str">
        <f ca="1">IFERROR(__xludf.DUMMYFUNCTION("GOOGLETRANSLATE($B821,""en"",T$3)"),"Venter på at alle regioner til exit")</f>
        <v>Venter på at alle regioner til exit</v>
      </c>
      <c r="U821" s="21" t="str">
        <f ca="1">IFERROR(__xludf.DUMMYFUNCTION("GOOGLETRANSLATE($B821,""en"",U$3)"),"انتظار جميع المناطق للخروج")</f>
        <v>انتظار جميع المناطق للخروج</v>
      </c>
      <c r="V821" s="21" t="str">
        <f ca="1">IFERROR(__xludf.DUMMYFUNCTION("GOOGLETRANSLATE($B821,""en"",V$3)"),"Oczekiwanie na wszystkich regionach, aby wyjść")</f>
        <v>Oczekiwanie na wszystkich regionach, aby wyjść</v>
      </c>
      <c r="W821" s="21" t="str">
        <f ca="1">IFERROR(__xludf.DUMMYFUNCTION("GOOGLETRANSLATE($B821,""en"",W$3)"),"Жду все регионы к выходу")</f>
        <v>Жду все регионы к выходу</v>
      </c>
      <c r="X821" s="21" t="str">
        <f ca="1">IFERROR(__xludf.DUMMYFUNCTION("GOOGLETRANSLATE($B821,""en"",X$3)"),"A la espera de todas las regiones a la salida")</f>
        <v>A la espera de todas las regiones a la salida</v>
      </c>
      <c r="Y821" s="21"/>
      <c r="Z821" s="21"/>
    </row>
    <row r="822" spans="1:26" ht="32.25" customHeight="1" x14ac:dyDescent="0.2">
      <c r="A822" s="17" t="s">
        <v>1742</v>
      </c>
      <c r="B822" s="17" t="s">
        <v>1743</v>
      </c>
      <c r="C822" s="21" t="str">
        <f ca="1">IFERROR(__xludf.DUMMYFUNCTION("GOOGLETRANSLATE($B822,""en"",C$3)"),"Warnen")</f>
        <v>Warnen</v>
      </c>
      <c r="D822" s="21" t="str">
        <f ca="1">IFERROR(__xludf.DUMMYFUNCTION("GOOGLETRANSLATE($B822,""en"",D$3)"),"Varna")</f>
        <v>Varna</v>
      </c>
      <c r="E822" s="21" t="str">
        <f ca="1">IFERROR(__xludf.DUMMYFUNCTION("GOOGLETRANSLATE($B822,""en"",E$3)"),"Advertir")</f>
        <v>Advertir</v>
      </c>
      <c r="F822" s="21" t="str">
        <f ca="1">IFERROR(__xludf.DUMMYFUNCTION("GOOGLETRANSLATE($B822,""en"",F$3)"),"Advertir")</f>
        <v>Advertir</v>
      </c>
      <c r="G822" s="21" t="str">
        <f ca="1">IFERROR(__xludf.DUMMYFUNCTION("GOOGLETRANSLATE($B822,""en"",G$3)"),"Prévenir")</f>
        <v>Prévenir</v>
      </c>
      <c r="H822" s="21" t="str">
        <f ca="1">IFERROR(__xludf.DUMMYFUNCTION("GOOGLETRANSLATE($B822,""en"",H$3)"),"Abisatu")</f>
        <v>Abisatu</v>
      </c>
      <c r="I822" s="21" t="str">
        <f ca="1">IFERROR(__xludf.DUMMYFUNCTION("GOOGLETRANSLATE($B822,""en"",I$3)"),"advertir")</f>
        <v>advertir</v>
      </c>
      <c r="J822" s="21" t="str">
        <f ca="1">IFERROR(__xludf.DUMMYFUNCTION("GOOGLETRANSLATE($B822,""en"",J$3)"),"Varovat")</f>
        <v>Varovat</v>
      </c>
      <c r="K822" s="21" t="str">
        <f ca="1">IFERROR(__xludf.DUMMYFUNCTION("GOOGLETRANSLATE($B822,""en"",K$3)"),"警告")</f>
        <v>警告</v>
      </c>
      <c r="L822" s="21" t="str">
        <f ca="1">IFERROR(__xludf.DUMMYFUNCTION("GOOGLETRANSLATE($B822,""en"",L$3)"),"警告")</f>
        <v>警告</v>
      </c>
      <c r="M822" s="21" t="str">
        <f ca="1">IFERROR(__xludf.DUMMYFUNCTION("GOOGLETRANSLATE($B822,""en"",M$3)"),"Waarschuwen")</f>
        <v>Waarschuwen</v>
      </c>
      <c r="N822" s="21" t="str">
        <f ca="1">IFERROR(__xludf.DUMMYFUNCTION("GOOGLETRANSLATE($B822,""en"",N$3)"),"Προειδοποιώ")</f>
        <v>Προειδοποιώ</v>
      </c>
      <c r="O822" s="21" t="str">
        <f ca="1">IFERROR(__xludf.DUMMYFUNCTION("GOOGLETRANSLATE($B822,""en"",O$3)"),"Varoittaa")</f>
        <v>Varoittaa</v>
      </c>
      <c r="P822" s="21" t="str">
        <f ca="1">IFERROR(__xludf.DUMMYFUNCTION("GOOGLETRANSLATE($B822,""en"",P$3)"),"Tabhair rabhadh")</f>
        <v>Tabhair rabhadh</v>
      </c>
      <c r="Q822" s="21" t="str">
        <f ca="1">IFERROR(__xludf.DUMMYFUNCTION("GOOGLETRANSLATE($B822,""en"",Q$3)"),"هشدار دادن")</f>
        <v>هشدار دادن</v>
      </c>
      <c r="R822" s="21" t="str">
        <f ca="1">IFERROR(__xludf.DUMMYFUNCTION("GOOGLETRANSLATE($B822,""en"",R$3)"),"לְהַזהִיר")</f>
        <v>לְהַזהִיר</v>
      </c>
      <c r="S822" s="21" t="str">
        <f ca="1">IFERROR(__xludf.DUMMYFUNCTION("GOOGLETRANSLATE($B822,""en"",S$3)"),"Warn")</f>
        <v>Warn</v>
      </c>
      <c r="T822" s="21" t="str">
        <f ca="1">IFERROR(__xludf.DUMMYFUNCTION("GOOGLETRANSLATE($B822,""en"",T$3)"),"Varsle")</f>
        <v>Varsle</v>
      </c>
      <c r="U822" s="21" t="str">
        <f ca="1">IFERROR(__xludf.DUMMYFUNCTION("GOOGLETRANSLATE($B822,""en"",U$3)"),"حذر")</f>
        <v>حذر</v>
      </c>
      <c r="V822" s="21" t="str">
        <f ca="1">IFERROR(__xludf.DUMMYFUNCTION("GOOGLETRANSLATE($B822,""en"",V$3)"),"Ostrzec")</f>
        <v>Ostrzec</v>
      </c>
      <c r="W822" s="21" t="str">
        <f ca="1">IFERROR(__xludf.DUMMYFUNCTION("GOOGLETRANSLATE($B822,""en"",W$3)"),"предостерегать")</f>
        <v>предостерегать</v>
      </c>
      <c r="X822" s="21" t="str">
        <f ca="1">IFERROR(__xludf.DUMMYFUNCTION("GOOGLETRANSLATE($B822,""en"",X$3)"),"Advertir")</f>
        <v>Advertir</v>
      </c>
      <c r="Y822" s="21"/>
      <c r="Z822" s="21"/>
    </row>
    <row r="823" spans="1:26" ht="32.25" customHeight="1" x14ac:dyDescent="0.2">
      <c r="A823" s="17" t="s">
        <v>1744</v>
      </c>
      <c r="B823" s="17" t="s">
        <v>1745</v>
      </c>
      <c r="C823" s="21" t="str">
        <f ca="1">IFERROR(__xludf.DUMMYFUNCTION("GOOGLETRANSLATE($B823,""en"",C$3)"),"Web Control Panel")</f>
        <v>Web Control Panel</v>
      </c>
      <c r="D823" s="21" t="str">
        <f ca="1">IFERROR(__xludf.DUMMYFUNCTION("GOOGLETRANSLATE($B823,""en"",D$3)"),"Web Control Panel")</f>
        <v>Web Control Panel</v>
      </c>
      <c r="E823" s="21" t="str">
        <f ca="1">IFERROR(__xludf.DUMMYFUNCTION("GOOGLETRANSLATE($B823,""en"",E$3)"),"Painel de Controle Web")</f>
        <v>Painel de Controle Web</v>
      </c>
      <c r="F823" s="21" t="str">
        <f ca="1">IFERROR(__xludf.DUMMYFUNCTION("GOOGLETRANSLATE($B823,""en"",F$3)"),"Painel de Controle Web")</f>
        <v>Painel de Controle Web</v>
      </c>
      <c r="G823" s="21" t="str">
        <f ca="1">IFERROR(__xludf.DUMMYFUNCTION("GOOGLETRANSLATE($B823,""en"",G$3)"),"Panneau de configuration Web")</f>
        <v>Panneau de configuration Web</v>
      </c>
      <c r="H823" s="21" t="str">
        <f ca="1">IFERROR(__xludf.DUMMYFUNCTION("GOOGLETRANSLATE($B823,""en"",H$3)"),"Web Control Panel")</f>
        <v>Web Control Panel</v>
      </c>
      <c r="I823" s="21" t="str">
        <f ca="1">IFERROR(__xludf.DUMMYFUNCTION("GOOGLETRANSLATE($B823,""en"",I$3)"),"Panell de control web")</f>
        <v>Panell de control web</v>
      </c>
      <c r="J823" s="21" t="str">
        <f ca="1">IFERROR(__xludf.DUMMYFUNCTION("GOOGLETRANSLATE($B823,""en"",J$3)"),"Ovládací panel web")</f>
        <v>Ovládací panel web</v>
      </c>
      <c r="K823" s="21" t="str">
        <f ca="1">IFERROR(__xludf.DUMMYFUNCTION("GOOGLETRANSLATE($B823,""en"",K$3)"),"网络控制面板")</f>
        <v>网络控制面板</v>
      </c>
      <c r="L823" s="21" t="str">
        <f ca="1">IFERROR(__xludf.DUMMYFUNCTION("GOOGLETRANSLATE($B823,""en"",L$3)"),"網絡控制面板")</f>
        <v>網絡控制面板</v>
      </c>
      <c r="M823" s="21" t="str">
        <f ca="1">IFERROR(__xludf.DUMMYFUNCTION("GOOGLETRANSLATE($B823,""en"",M$3)"),"Web Control Panel")</f>
        <v>Web Control Panel</v>
      </c>
      <c r="N823" s="21" t="str">
        <f ca="1">IFERROR(__xludf.DUMMYFUNCTION("GOOGLETRANSLATE($B823,""en"",N$3)"),"Πίνακας Ελέγχου Web")</f>
        <v>Πίνακας Ελέγχου Web</v>
      </c>
      <c r="O823" s="21" t="str">
        <f ca="1">IFERROR(__xludf.DUMMYFUNCTION("GOOGLETRANSLATE($B823,""en"",O$3)"),"Web Ohjauspaneeli")</f>
        <v>Web Ohjauspaneeli</v>
      </c>
      <c r="P823" s="21" t="str">
        <f ca="1">IFERROR(__xludf.DUMMYFUNCTION("GOOGLETRANSLATE($B823,""en"",P$3)"),"Painéal Rialúcháin Web")</f>
        <v>Painéal Rialúcháin Web</v>
      </c>
      <c r="Q823" s="21" t="str">
        <f ca="1">IFERROR(__xludf.DUMMYFUNCTION("GOOGLETRANSLATE($B823,""en"",Q$3)"),"کنترل پنل وب")</f>
        <v>کنترل پنل وب</v>
      </c>
      <c r="R823" s="21" t="str">
        <f ca="1">IFERROR(__xludf.DUMMYFUNCTION("GOOGLETRANSLATE($B823,""en"",R$3)"),"לוח בקרת האינטרנט")</f>
        <v>לוח בקרת האינטרנט</v>
      </c>
      <c r="S823" s="21" t="str">
        <f ca="1">IFERROR(__xludf.DUMMYFUNCTION("GOOGLETRANSLATE($B823,""en"",S$3)"),"Web Control Panel")</f>
        <v>Web Control Panel</v>
      </c>
      <c r="T823" s="21" t="str">
        <f ca="1">IFERROR(__xludf.DUMMYFUNCTION("GOOGLETRANSLATE($B823,""en"",T$3)"),"Web Kontrollpanel")</f>
        <v>Web Kontrollpanel</v>
      </c>
      <c r="U823" s="21" t="str">
        <f ca="1">IFERROR(__xludf.DUMMYFUNCTION("GOOGLETRANSLATE($B823,""en"",U$3)"),"لوحة تحكم ويب")</f>
        <v>لوحة تحكم ويب</v>
      </c>
      <c r="V823" s="21" t="str">
        <f ca="1">IFERROR(__xludf.DUMMYFUNCTION("GOOGLETRANSLATE($B823,""en"",V$3)"),"Panel sterowania Web")</f>
        <v>Panel sterowania Web</v>
      </c>
      <c r="W823" s="21" t="str">
        <f ca="1">IFERROR(__xludf.DUMMYFUNCTION("GOOGLETRANSLATE($B823,""en"",W$3)"),"Панель Web Control")</f>
        <v>Панель Web Control</v>
      </c>
      <c r="X823" s="21" t="str">
        <f ca="1">IFERROR(__xludf.DUMMYFUNCTION("GOOGLETRANSLATE($B823,""en"",X$3)"),"Panel de control Web")</f>
        <v>Panel de control Web</v>
      </c>
      <c r="Y823" s="21"/>
      <c r="Z823" s="21"/>
    </row>
    <row r="824" spans="1:26" ht="32.25" customHeight="1" x14ac:dyDescent="0.2">
      <c r="A824" s="17" t="s">
        <v>1746</v>
      </c>
      <c r="B824" s="17" t="s">
        <v>1747</v>
      </c>
      <c r="C824" s="21" t="str">
        <f ca="1">IFERROR(__xludf.DUMMYFUNCTION("GOOGLETRANSLATE($B824,""en"",C$3)"),"Web Download Link")</f>
        <v>Web Download Link</v>
      </c>
      <c r="D824" s="21" t="str">
        <f ca="1">IFERROR(__xludf.DUMMYFUNCTION("GOOGLETRANSLATE($B824,""en"",D$3)"),"Web Hämta Link")</f>
        <v>Web Hämta Link</v>
      </c>
      <c r="E824" s="21" t="str">
        <f ca="1">IFERROR(__xludf.DUMMYFUNCTION("GOOGLETRANSLATE($B824,""en"",E$3)"),"Web Download Link")</f>
        <v>Web Download Link</v>
      </c>
      <c r="F824" s="21" t="str">
        <f ca="1">IFERROR(__xludf.DUMMYFUNCTION("GOOGLETRANSLATE($B824,""en"",F$3)"),"Web Download Link")</f>
        <v>Web Download Link</v>
      </c>
      <c r="G824" s="21" t="str">
        <f ca="1">IFERROR(__xludf.DUMMYFUNCTION("GOOGLETRANSLATE($B824,""en"",G$3)"),"Lien de téléchargement Web")</f>
        <v>Lien de téléchargement Web</v>
      </c>
      <c r="H824" s="21" t="str">
        <f ca="1">IFERROR(__xludf.DUMMYFUNCTION("GOOGLETRANSLATE($B824,""en"",H$3)"),"Web Deskarga Link")</f>
        <v>Web Deskarga Link</v>
      </c>
      <c r="I824" s="21" t="str">
        <f ca="1">IFERROR(__xludf.DUMMYFUNCTION("GOOGLETRANSLATE($B824,""en"",I$3)"),"Web Enllaç de descàrrega")</f>
        <v>Web Enllaç de descàrrega</v>
      </c>
      <c r="J824" s="21" t="str">
        <f ca="1">IFERROR(__xludf.DUMMYFUNCTION("GOOGLETRANSLATE($B824,""en"",J$3)"),"Web Download Link")</f>
        <v>Web Download Link</v>
      </c>
      <c r="K824" s="21" t="str">
        <f ca="1">IFERROR(__xludf.DUMMYFUNCTION("GOOGLETRANSLATE($B824,""en"",K$3)"),"网页下载链接")</f>
        <v>网页下载链接</v>
      </c>
      <c r="L824" s="21" t="str">
        <f ca="1">IFERROR(__xludf.DUMMYFUNCTION("GOOGLETRANSLATE($B824,""en"",L$3)"),"網頁下載鏈接")</f>
        <v>網頁下載鏈接</v>
      </c>
      <c r="M824" s="21" t="str">
        <f ca="1">IFERROR(__xludf.DUMMYFUNCTION("GOOGLETRANSLATE($B824,""en"",M$3)"),"Web Download Link")</f>
        <v>Web Download Link</v>
      </c>
      <c r="N824" s="21" t="str">
        <f ca="1">IFERROR(__xludf.DUMMYFUNCTION("GOOGLETRANSLATE($B824,""en"",N$3)"),"Λήψη Web Σύνδεσμος")</f>
        <v>Λήψη Web Σύνδεσμος</v>
      </c>
      <c r="O824" s="21" t="str">
        <f ca="1">IFERROR(__xludf.DUMMYFUNCTION("GOOGLETRANSLATE($B824,""en"",O$3)"),"Internet Download Link")</f>
        <v>Internet Download Link</v>
      </c>
      <c r="P824" s="21" t="str">
        <f ca="1">IFERROR(__xludf.DUMMYFUNCTION("GOOGLETRANSLATE($B824,""en"",P$3)"),"Web Íosluchtaigh Link")</f>
        <v>Web Íosluchtaigh Link</v>
      </c>
      <c r="Q824" s="21" t="str">
        <f ca="1">IFERROR(__xludf.DUMMYFUNCTION("GOOGLETRANSLATE($B824,""en"",Q$3)"),"دانلود وب لینک")</f>
        <v>دانلود وب لینک</v>
      </c>
      <c r="R824" s="21" t="str">
        <f ca="1">IFERROR(__xludf.DUMMYFUNCTION("GOOGLETRANSLATE($B824,""en"",R$3)"),"קישור להורדה באינטרנט")</f>
        <v>קישור להורדה באינטרנט</v>
      </c>
      <c r="S824" s="21" t="str">
        <f ca="1">IFERROR(__xludf.DUMMYFUNCTION("GOOGLETRANSLATE($B824,""en"",S$3)"),"Web Sækja Link")</f>
        <v>Web Sækja Link</v>
      </c>
      <c r="T824" s="21" t="str">
        <f ca="1">IFERROR(__xludf.DUMMYFUNCTION("GOOGLETRANSLATE($B824,""en"",T$3)"),"Web Download Link")</f>
        <v>Web Download Link</v>
      </c>
      <c r="U824" s="21" t="str">
        <f ca="1">IFERROR(__xludf.DUMMYFUNCTION("GOOGLETRANSLATE($B824,""en"",U$3)"),"رابط التحميل على شبكة الإنترنت")</f>
        <v>رابط التحميل على شبكة الإنترنت</v>
      </c>
      <c r="V824" s="21" t="str">
        <f ca="1">IFERROR(__xludf.DUMMYFUNCTION("GOOGLETRANSLATE($B824,""en"",V$3)"),"Przydatny link Pobierz")</f>
        <v>Przydatny link Pobierz</v>
      </c>
      <c r="W824" s="21" t="str">
        <f ca="1">IFERROR(__xludf.DUMMYFUNCTION("GOOGLETRANSLATE($B824,""en"",W$3)"),"Web Ссылка для скачивания")</f>
        <v>Web Ссылка для скачивания</v>
      </c>
      <c r="X824" s="21" t="str">
        <f ca="1">IFERROR(__xludf.DUMMYFUNCTION("GOOGLETRANSLATE($B824,""en"",X$3)"),"Web Enlace de descarga")</f>
        <v>Web Enlace de descarga</v>
      </c>
      <c r="Y824" s="21"/>
      <c r="Z824" s="21"/>
    </row>
    <row r="825" spans="1:26" ht="32.25" customHeight="1" x14ac:dyDescent="0.2">
      <c r="A825" s="17" t="s">
        <v>1748</v>
      </c>
      <c r="B825" s="17" t="s">
        <v>1749</v>
      </c>
      <c r="C825" s="21" t="str">
        <f ca="1">IFERROR(__xludf.DUMMYFUNCTION("GOOGLETRANSLATE($B825,""en"",C$3)"),"Web-Port (80 oder 8000)")</f>
        <v>Web-Port (80 oder 8000)</v>
      </c>
      <c r="D825" s="21" t="str">
        <f ca="1">IFERROR(__xludf.DUMMYFUNCTION("GOOGLETRANSLATE($B825,""en"",D$3)"),"Web Port (80 eller 8000)")</f>
        <v>Web Port (80 eller 8000)</v>
      </c>
      <c r="E825" s="21" t="str">
        <f ca="1">IFERROR(__xludf.DUMMYFUNCTION("GOOGLETRANSLATE($B825,""en"",E$3)"),"Porto Web (80 ou 8000)")</f>
        <v>Porto Web (80 ou 8000)</v>
      </c>
      <c r="F825" s="21" t="str">
        <f ca="1">IFERROR(__xludf.DUMMYFUNCTION("GOOGLETRANSLATE($B825,""en"",F$3)"),"Porto Web (80 ou 8000)")</f>
        <v>Porto Web (80 ou 8000)</v>
      </c>
      <c r="G825" s="21" t="str">
        <f ca="1">IFERROR(__xludf.DUMMYFUNCTION("GOOGLETRANSLATE($B825,""en"",G$3)"),"Port Web (80 ou 8000)")</f>
        <v>Port Web (80 ou 8000)</v>
      </c>
      <c r="H825" s="21" t="str">
        <f ca="1">IFERROR(__xludf.DUMMYFUNCTION("GOOGLETRANSLATE($B825,""en"",H$3)"),"Web Port (80 edo 8000)")</f>
        <v>Web Port (80 edo 8000)</v>
      </c>
      <c r="I825" s="21" t="str">
        <f ca="1">IFERROR(__xludf.DUMMYFUNCTION("GOOGLETRANSLATE($B825,""en"",I$3)"),"Port web (80 o 8000)")</f>
        <v>Port web (80 o 8000)</v>
      </c>
      <c r="J825" s="21" t="str">
        <f ca="1">IFERROR(__xludf.DUMMYFUNCTION("GOOGLETRANSLATE($B825,""en"",J$3)"),"Web Port (80 nebo 8000)")</f>
        <v>Web Port (80 nebo 8000)</v>
      </c>
      <c r="K825" s="21" t="str">
        <f ca="1">IFERROR(__xludf.DUMMYFUNCTION("GOOGLETRANSLATE($B825,""en"",K$3)"),"Web端口（80或8000）")</f>
        <v>Web端口（80或8000）</v>
      </c>
      <c r="L825" s="21" t="str">
        <f ca="1">IFERROR(__xludf.DUMMYFUNCTION("GOOGLETRANSLATE($B825,""en"",L$3)"),"Web端口（80或8000）")</f>
        <v>Web端口（80或8000）</v>
      </c>
      <c r="M825" s="21" t="str">
        <f ca="1">IFERROR(__xludf.DUMMYFUNCTION("GOOGLETRANSLATE($B825,""en"",M$3)"),"Web-poort (80 of 8000)")</f>
        <v>Web-poort (80 of 8000)</v>
      </c>
      <c r="N825" s="21" t="str">
        <f ca="1">IFERROR(__xludf.DUMMYFUNCTION("GOOGLETRANSLATE($B825,""en"",N$3)"),"Web Port (80 ή 8000)")</f>
        <v>Web Port (80 ή 8000)</v>
      </c>
      <c r="O825" s="21" t="str">
        <f ca="1">IFERROR(__xludf.DUMMYFUNCTION("GOOGLETRANSLATE($B825,""en"",O$3)"),"Web-portti (80 tai 8000)")</f>
        <v>Web-portti (80 tai 8000)</v>
      </c>
      <c r="P825" s="21" t="str">
        <f ca="1">IFERROR(__xludf.DUMMYFUNCTION("GOOGLETRANSLATE($B825,""en"",P$3)"),"Port Web (80, nó 8000)")</f>
        <v>Port Web (80, nó 8000)</v>
      </c>
      <c r="Q825" s="21" t="str">
        <f ca="1">IFERROR(__xludf.DUMMYFUNCTION("GOOGLETRANSLATE($B825,""en"",Q$3)"),"وب بندر (80 یا 8000)")</f>
        <v>وب بندر (80 یا 8000)</v>
      </c>
      <c r="R825" s="21" t="str">
        <f ca="1">IFERROR(__xludf.DUMMYFUNCTION("GOOGLETRANSLATE($B825,""en"",R$3)"),"אינטרנט פורט (80, או 8000)")</f>
        <v>אינטרנט פורט (80, או 8000)</v>
      </c>
      <c r="S825" s="21" t="str">
        <f ca="1">IFERROR(__xludf.DUMMYFUNCTION("GOOGLETRANSLATE($B825,""en"",S$3)"),"Vefurinn Port (80, eða 8000)")</f>
        <v>Vefurinn Port (80, eða 8000)</v>
      </c>
      <c r="T825" s="21" t="str">
        <f ca="1">IFERROR(__xludf.DUMMYFUNCTION("GOOGLETRANSLATE($B825,""en"",T$3)"),"Web Port (80 eller 8000)")</f>
        <v>Web Port (80 eller 8000)</v>
      </c>
      <c r="U825" s="21" t="str">
        <f ca="1">IFERROR(__xludf.DUMMYFUNCTION("GOOGLETRANSLATE($B825,""en"",U$3)"),"ميناء ويب (80، أو 8000)")</f>
        <v>ميناء ويب (80، أو 8000)</v>
      </c>
      <c r="V825" s="21" t="str">
        <f ca="1">IFERROR(__xludf.DUMMYFUNCTION("GOOGLETRANSLATE($B825,""en"",V$3)"),"Port Web (80 lub 8000)")</f>
        <v>Port Web (80 lub 8000)</v>
      </c>
      <c r="W825" s="21" t="str">
        <f ca="1">IFERROR(__xludf.DUMMYFUNCTION("GOOGLETRANSLATE($B825,""en"",W$3)"),"Веб-порт (80 или 8000)")</f>
        <v>Веб-порт (80 или 8000)</v>
      </c>
      <c r="X825" s="21" t="str">
        <f ca="1">IFERROR(__xludf.DUMMYFUNCTION("GOOGLETRANSLATE($B825,""en"",X$3)"),"Puerto Web (80 o 8000)")</f>
        <v>Puerto Web (80 o 8000)</v>
      </c>
      <c r="Y825" s="21"/>
      <c r="Z825" s="21"/>
    </row>
    <row r="826" spans="1:26" ht="32.25" customHeight="1" x14ac:dyDescent="0.2">
      <c r="A826" s="17" t="s">
        <v>1750</v>
      </c>
      <c r="B826" s="17" t="s">
        <v>1751</v>
      </c>
      <c r="C826" s="21" t="str">
        <f ca="1">IFERROR(__xludf.DUMMYFUNCTION("GOOGLETRANSLATE($B826,""en"",C$3)"),"Das Web-Benutzeroberfläche ermöglicht das Hinzufügen oder Ansichtseinstellungen für jeden Avatar.")</f>
        <v>Das Web-Benutzeroberfläche ermöglicht das Hinzufügen oder Ansichtseinstellungen für jeden Avatar.</v>
      </c>
      <c r="D826" s="21" t="str">
        <f ca="1">IFERROR(__xludf.DUMMYFUNCTION("GOOGLETRANSLATE($B826,""en"",D$3)"),"Webben UI kan du lägga till eller visa inställningar för alla avatar.")</f>
        <v>Webben UI kan du lägga till eller visa inställningar för alla avatar.</v>
      </c>
      <c r="E826" s="21" t="str">
        <f ca="1">IFERROR(__xludf.DUMMYFUNCTION("GOOGLETRANSLATE($B826,""en"",E$3)"),"A interface do usuário da Web permite que você adicione ou configurações de exibição para qualquer avatar.")</f>
        <v>A interface do usuário da Web permite que você adicione ou configurações de exibição para qualquer avatar.</v>
      </c>
      <c r="F826" s="21" t="str">
        <f ca="1">IFERROR(__xludf.DUMMYFUNCTION("GOOGLETRANSLATE($B826,""en"",F$3)"),"A interface do usuário da Web permite que você adicione ou configurações de exibição para qualquer avatar.")</f>
        <v>A interface do usuário da Web permite que você adicione ou configurações de exibição para qualquer avatar.</v>
      </c>
      <c r="G826" s="21" t="str">
        <f ca="1">IFERROR(__xludf.DUMMYFUNCTION("GOOGLETRANSLATE($B826,""en"",G$3)"),"L'interface Web vous permet d'ajouter ou de paramètres d'affichage pour tout avatar.")</f>
        <v>L'interface Web vous permet d'ajouter ou de paramètres d'affichage pour tout avatar.</v>
      </c>
      <c r="H826" s="21" t="str">
        <f ca="1">IFERROR(__xludf.DUMMYFUNCTION("GOOGLETRANSLATE($B826,""en"",H$3)"),"Web UI gehitu edo ikuspegi ezarpenak edozein avatar for aukera ematen dizu.")</f>
        <v>Web UI gehitu edo ikuspegi ezarpenak edozein avatar for aukera ematen dizu.</v>
      </c>
      <c r="I826" s="21" t="str">
        <f ca="1">IFERROR(__xludf.DUMMYFUNCTION("GOOGLETRANSLATE($B826,""en"",I$3)"),"La interfície d'usuari web li permet afegir o veure la configuració per a qualsevol avatar.")</f>
        <v>La interfície d'usuari web li permet afegir o veure la configuració per a qualsevol avatar.</v>
      </c>
      <c r="J826" s="21" t="str">
        <f ca="1">IFERROR(__xludf.DUMMYFUNCTION("GOOGLETRANSLATE($B826,""en"",J$3)"),"Webové uživatelské rozhraní umožňuje přidat nebo nastavení zobrazení pro jakoukoli avataru.")</f>
        <v>Webové uživatelské rozhraní umožňuje přidat nebo nastavení zobrazení pro jakoukoli avataru.</v>
      </c>
      <c r="K826" s="21" t="str">
        <f ca="1">IFERROR(__xludf.DUMMYFUNCTION("GOOGLETRANSLATE($B826,""en"",K$3)"),"在Web UI可以让你对任何头像添加或视图设置。")</f>
        <v>在Web UI可以让你对任何头像添加或视图设置。</v>
      </c>
      <c r="L826" s="21" t="str">
        <f ca="1">IFERROR(__xludf.DUMMYFUNCTION("GOOGLETRANSLATE($B826,""en"",L$3)"),"在Web UI可以讓你對任何頭像添加或視圖設置。")</f>
        <v>在Web UI可以讓你對任何頭像添加或視圖設置。</v>
      </c>
      <c r="M826" s="21" t="str">
        <f ca="1">IFERROR(__xludf.DUMMYFUNCTION("GOOGLETRANSLATE($B826,""en"",M$3)"),"De Web UI kunt u de weergave-instellingen toe te voegen of om een ​​avatar.")</f>
        <v>De Web UI kunt u de weergave-instellingen toe te voegen of om een ​​avatar.</v>
      </c>
      <c r="N826" s="21" t="str">
        <f ca="1">IFERROR(__xludf.DUMMYFUNCTION("GOOGLETRANSLATE($B826,""en"",N$3)"),"Το Web UI σας επιτρέπει να προσθέσετε ή ρυθμίσεις προβολής για κάθε avatar.")</f>
        <v>Το Web UI σας επιτρέπει να προσθέσετε ή ρυθμίσεις προβολής για κάθε avatar.</v>
      </c>
      <c r="O826" s="21" t="str">
        <f ca="1">IFERROR(__xludf.DUMMYFUNCTION("GOOGLETRANSLATE($B826,""en"",O$3)"),"Web UI voit lisätä tai näkymän asetukset halutuille avatar.")</f>
        <v>Web UI voit lisätä tai näkymän asetukset halutuille avatar.</v>
      </c>
      <c r="P826" s="21" t="str">
        <f ca="1">IFERROR(__xludf.DUMMYFUNCTION("GOOGLETRANSLATE($B826,""en"",P$3)"),"An Chomhéadain Gréasáin ligeann tú a chur leis nó suímh amharc d'aon avatar.")</f>
        <v>An Chomhéadain Gréasáin ligeann tú a chur leis nó suímh amharc d'aon avatar.</v>
      </c>
      <c r="Q826" s="21" t="str">
        <f ca="1">IFERROR(__xludf.DUMMYFUNCTION("GOOGLETRANSLATE($B826,""en"",Q$3)"),"UI وب شما اجازه اضافه کردن و یا تنظیمات نظر برای هر نماد.")</f>
        <v>UI وب شما اجازه اضافه کردن و یا تنظیمات نظر برای هر نماد.</v>
      </c>
      <c r="R826" s="21" t="str">
        <f ca="1">IFERROR(__xludf.DUMMYFUNCTION("GOOGLETRANSLATE($B826,""en"",R$3)"),"הממשק באינטרנט מאפשר להוסיף או הגדרות תצוגה עבור דמות כלשהי.")</f>
        <v>הממשק באינטרנט מאפשר להוסיף או הגדרות תצוגה עבור דמות כלשהי.</v>
      </c>
      <c r="S826" s="21" t="str">
        <f ca="1">IFERROR(__xludf.DUMMYFUNCTION("GOOGLETRANSLATE($B826,""en"",S$3)"),"The Web UI gerir þér kleift að bæta við eða skoða stillingar fyrir hvaða avatar.")</f>
        <v>The Web UI gerir þér kleift að bæta við eða skoða stillingar fyrir hvaða avatar.</v>
      </c>
      <c r="T826" s="21" t="str">
        <f ca="1">IFERROR(__xludf.DUMMYFUNCTION("GOOGLETRANSLATE($B826,""en"",T$3)"),"Web UI lar deg legge til eller vise innstillinger for noen avatar.")</f>
        <v>Web UI lar deg legge til eller vise innstillinger for noen avatar.</v>
      </c>
      <c r="U826" s="21" t="str">
        <f ca="1">IFERROR(__xludf.DUMMYFUNCTION("GOOGLETRANSLATE($B826,""en"",U$3)"),"واجهة المستخدم الويب يتيح لك إضافة أو إعدادات العرض لأي الرمزية.")</f>
        <v>واجهة المستخدم الويب يتيح لك إضافة أو إعدادات العرض لأي الرمزية.</v>
      </c>
      <c r="V826" s="21" t="str">
        <f ca="1">IFERROR(__xludf.DUMMYFUNCTION("GOOGLETRANSLATE($B826,""en"",V$3)"),"Web UI pozwala dodać lub zobaczyć ustawienia dla każdego awatara.")</f>
        <v>Web UI pozwala dodać lub zobaczyć ustawienia dla każdego awatara.</v>
      </c>
      <c r="W826" s="21" t="str">
        <f ca="1">IFERROR(__xludf.DUMMYFUNCTION("GOOGLETRANSLATE($B826,""en"",W$3)"),"Веб-интерфейс позволяет добавлять или просматривать настройки для любого аватара.")</f>
        <v>Веб-интерфейс позволяет добавлять или просматривать настройки для любого аватара.</v>
      </c>
      <c r="X826" s="21" t="str">
        <f ca="1">IFERROR(__xludf.DUMMYFUNCTION("GOOGLETRANSLATE($B826,""en"",X$3)"),"La interfaz de usuario Web le permite agregar o ver la configuración para cualquier avatar.")</f>
        <v>La interfaz de usuario Web le permite agregar o ver la configuración para cualquier avatar.</v>
      </c>
      <c r="Y826" s="21"/>
      <c r="Z826" s="21"/>
    </row>
    <row r="827" spans="1:26" ht="32.25" customHeight="1" x14ac:dyDescent="0.2">
      <c r="A827" s="1" t="s">
        <v>1752</v>
      </c>
      <c r="B827" s="1" t="s">
        <v>142</v>
      </c>
      <c r="C827" s="11" t="str">
        <f ca="1">IFERROR(__xludf.DUMMYFUNCTION("GOOGLETRANSLATE($B827,""en"",C$3)"),"Webserver + Suchen und Karte")</f>
        <v>Webserver + Suchen und Karte</v>
      </c>
      <c r="D827" s="11" t="str">
        <f ca="1">IFERROR(__xludf.DUMMYFUNCTION("GOOGLETRANSLATE($B827,""en"",D$3)"),"Webserver + Sök och karta")</f>
        <v>Webserver + Sök och karta</v>
      </c>
      <c r="E827" s="11" t="str">
        <f ca="1">IFERROR(__xludf.DUMMYFUNCTION("GOOGLETRANSLATE($B827,""en"",E$3)"),"Webserver + Pesquisa e Mapa")</f>
        <v>Webserver + Pesquisa e Mapa</v>
      </c>
      <c r="F827" s="11" t="str">
        <f ca="1">IFERROR(__xludf.DUMMYFUNCTION("GOOGLETRANSLATE($B827,""en"",F$3)"),"Webserver + Pesquisa e Mapa")</f>
        <v>Webserver + Pesquisa e Mapa</v>
      </c>
      <c r="G827" s="11" t="str">
        <f ca="1">IFERROR(__xludf.DUMMYFUNCTION("GOOGLETRANSLATE($B827,""en"",G$3)"),"+ Recherche et Webserver Carte")</f>
        <v>+ Recherche et Webserver Carte</v>
      </c>
      <c r="H827" s="11" t="str">
        <f ca="1">IFERROR(__xludf.DUMMYFUNCTION("GOOGLETRANSLATE($B827,""en"",H$3)"),"Web zerbitzariak + Bilaketa eta mapa")</f>
        <v>Web zerbitzariak + Bilaketa eta mapa</v>
      </c>
      <c r="I827" s="11" t="str">
        <f ca="1">IFERROR(__xludf.DUMMYFUNCTION("GOOGLETRANSLATE($B827,""en"",I$3)"),"Servidor web + Recerca i Mapa")</f>
        <v>Servidor web + Recerca i Mapa</v>
      </c>
      <c r="J827" s="11" t="str">
        <f ca="1">IFERROR(__xludf.DUMMYFUNCTION("GOOGLETRANSLATE($B827,""en"",J$3)"),"Webserver + Search and Map")</f>
        <v>Webserver + Search and Map</v>
      </c>
      <c r="K827" s="11" t="str">
        <f ca="1">IFERROR(__xludf.DUMMYFUNCTION("GOOGLETRANSLATE($B827,""en"",K$3)"),"Web服务器+搜索和地图")</f>
        <v>Web服务器+搜索和地图</v>
      </c>
      <c r="L827" s="11" t="str">
        <f ca="1">IFERROR(__xludf.DUMMYFUNCTION("GOOGLETRANSLATE($B827,""en"",L$3)"),"Web服務器+搜索和地圖")</f>
        <v>Web服務器+搜索和地圖</v>
      </c>
      <c r="M827" s="11" t="str">
        <f ca="1">IFERROR(__xludf.DUMMYFUNCTION("GOOGLETRANSLATE($B827,""en"",M$3)"),"Webserver + Search and Map")</f>
        <v>Webserver + Search and Map</v>
      </c>
      <c r="N827" s="11" t="str">
        <f ca="1">IFERROR(__xludf.DUMMYFUNCTION("GOOGLETRANSLATE($B827,""en"",N$3)"),"Webserver + Αναζήτηση και Χάρτης")</f>
        <v>Webserver + Αναζήτηση και Χάρτης</v>
      </c>
      <c r="O827" s="11" t="str">
        <f ca="1">IFERROR(__xludf.DUMMYFUNCTION("GOOGLETRANSLATE($B827,""en"",O$3)"),"Webserver + Haku ja kartta")</f>
        <v>Webserver + Haku ja kartta</v>
      </c>
      <c r="P827" s="11" t="str">
        <f ca="1">IFERROR(__xludf.DUMMYFUNCTION("GOOGLETRANSLATE($B827,""en"",P$3)"),"Webserver + Cuardach agus Léarscáil")</f>
        <v>Webserver + Cuardach agus Léarscáil</v>
      </c>
      <c r="Q827" s="11" t="str">
        <f ca="1">IFERROR(__xludf.DUMMYFUNCTION("GOOGLETRANSLATE($B827,""en"",Q$3)"),"سرور وب + جستجو و نقشه")</f>
        <v>سرور وب + جستجو و نقشه</v>
      </c>
      <c r="R827" s="11" t="str">
        <f ca="1">IFERROR(__xludf.DUMMYFUNCTION("GOOGLETRANSLATE($B827,""en"",R$3)"),"חיפוש + וואבסארואר ו מפה")</f>
        <v>חיפוש + וואבסארואר ו מפה</v>
      </c>
      <c r="S827" s="11" t="str">
        <f ca="1">IFERROR(__xludf.DUMMYFUNCTION("GOOGLETRANSLATE($B827,""en"",S$3)"),"Vefþjónninn + Leit og kort")</f>
        <v>Vefþjónninn + Leit og kort</v>
      </c>
      <c r="T827" s="11" t="str">
        <f ca="1">IFERROR(__xludf.DUMMYFUNCTION("GOOGLETRANSLATE($B827,""en"",T$3)"),"Webserver + Søk og kart")</f>
        <v>Webserver + Søk og kart</v>
      </c>
      <c r="U827" s="11" t="str">
        <f ca="1">IFERROR(__xludf.DUMMYFUNCTION("GOOGLETRANSLATE($B827,""en"",U$3)"),"خادم + البحث والخارطة")</f>
        <v>خادم + البحث والخارطة</v>
      </c>
      <c r="V827" s="11" t="str">
        <f ca="1">IFERROR(__xludf.DUMMYFUNCTION("GOOGLETRANSLATE($B827,""en"",V$3)"),"Serwer + Search and Map")</f>
        <v>Serwer + Search and Map</v>
      </c>
      <c r="W827" s="11" t="str">
        <f ca="1">IFERROR(__xludf.DUMMYFUNCTION("GOOGLETRANSLATE($B827,""en"",W$3)"),"Вебсервер + Поиск и Карта")</f>
        <v>Вебсервер + Поиск и Карта</v>
      </c>
      <c r="X827" s="11" t="str">
        <f ca="1">IFERROR(__xludf.DUMMYFUNCTION("GOOGLETRANSLATE($B827,""en"",X$3)"),"Servidor web + Búsqueda y Mapa")</f>
        <v>Servidor web + Búsqueda y Mapa</v>
      </c>
    </row>
    <row r="828" spans="1:26" ht="32.25" customHeight="1" x14ac:dyDescent="0.2">
      <c r="A828" s="17" t="s">
        <v>1753</v>
      </c>
      <c r="B828" s="17" t="s">
        <v>1754</v>
      </c>
      <c r="C828" s="21" t="str">
        <f ca="1">IFERROR(__xludf.DUMMYFUNCTION("GOOGLETRANSLATE($B828,""en"",C$3)"),"Web Server-Panel")</f>
        <v>Web Server-Panel</v>
      </c>
      <c r="D828" s="21" t="str">
        <f ca="1">IFERROR(__xludf.DUMMYFUNCTION("GOOGLETRANSLATE($B828,""en"",D$3)"),"Web Server Panel")</f>
        <v>Web Server Panel</v>
      </c>
      <c r="E828" s="21" t="str">
        <f ca="1">IFERROR(__xludf.DUMMYFUNCTION("GOOGLETRANSLATE($B828,""en"",E$3)"),"Painel de Web Server")</f>
        <v>Painel de Web Server</v>
      </c>
      <c r="F828" s="21" t="str">
        <f ca="1">IFERROR(__xludf.DUMMYFUNCTION("GOOGLETRANSLATE($B828,""en"",F$3)"),"Painel de Web Server")</f>
        <v>Painel de Web Server</v>
      </c>
      <c r="G828" s="21" t="str">
        <f ca="1">IFERROR(__xludf.DUMMYFUNCTION("GOOGLETRANSLATE($B828,""en"",G$3)"),"Panneau de serveur Web")</f>
        <v>Panneau de serveur Web</v>
      </c>
      <c r="H828" s="21" t="str">
        <f ca="1">IFERROR(__xludf.DUMMYFUNCTION("GOOGLETRANSLATE($B828,""en"",H$3)"),"Web zerbitzaria Panel")</f>
        <v>Web zerbitzaria Panel</v>
      </c>
      <c r="I828" s="21" t="str">
        <f ca="1">IFERROR(__xludf.DUMMYFUNCTION("GOOGLETRANSLATE($B828,""en"",I$3)"),"Panell de Servidors Web")</f>
        <v>Panell de Servidors Web</v>
      </c>
      <c r="J828" s="21" t="str">
        <f ca="1">IFERROR(__xludf.DUMMYFUNCTION("GOOGLETRANSLATE($B828,""en"",J$3)"),"Server Panel web")</f>
        <v>Server Panel web</v>
      </c>
      <c r="K828" s="21" t="str">
        <f ca="1">IFERROR(__xludf.DUMMYFUNCTION("GOOGLETRANSLATE($B828,""en"",K$3)"),"Web服务器面板")</f>
        <v>Web服务器面板</v>
      </c>
      <c r="L828" s="21" t="str">
        <f ca="1">IFERROR(__xludf.DUMMYFUNCTION("GOOGLETRANSLATE($B828,""en"",L$3)"),"Web服務器面板")</f>
        <v>Web服務器面板</v>
      </c>
      <c r="M828" s="21" t="str">
        <f ca="1">IFERROR(__xludf.DUMMYFUNCTION("GOOGLETRANSLATE($B828,""en"",M$3)"),"Web Server Panel")</f>
        <v>Web Server Panel</v>
      </c>
      <c r="N828" s="21" t="str">
        <f ca="1">IFERROR(__xludf.DUMMYFUNCTION("GOOGLETRANSLATE($B828,""en"",N$3)"),"Πίνακας Web Server")</f>
        <v>Πίνακας Web Server</v>
      </c>
      <c r="O828" s="21" t="str">
        <f ca="1">IFERROR(__xludf.DUMMYFUNCTION("GOOGLETRANSLATE($B828,""en"",O$3)"),"Web Server Panel")</f>
        <v>Web Server Panel</v>
      </c>
      <c r="P828" s="21" t="str">
        <f ca="1">IFERROR(__xludf.DUMMYFUNCTION("GOOGLETRANSLATE($B828,""en"",P$3)"),"Painéal Web Server")</f>
        <v>Painéal Web Server</v>
      </c>
      <c r="Q828" s="21" t="str">
        <f ca="1">IFERROR(__xludf.DUMMYFUNCTION("GOOGLETRANSLATE($B828,""en"",Q$3)"),"وب سرور پنل")</f>
        <v>وب سرور پنل</v>
      </c>
      <c r="R828" s="21" t="str">
        <f ca="1">IFERROR(__xludf.DUMMYFUNCTION("GOOGLETRANSLATE($B828,""en"",R$3)"),"לוח שרת האינטרנט")</f>
        <v>לוח שרת האינטרנט</v>
      </c>
      <c r="S828" s="21" t="str">
        <f ca="1">IFERROR(__xludf.DUMMYFUNCTION("GOOGLETRANSLATE($B828,""en"",S$3)"),"Web Server Panel")</f>
        <v>Web Server Panel</v>
      </c>
      <c r="T828" s="21" t="str">
        <f ca="1">IFERROR(__xludf.DUMMYFUNCTION("GOOGLETRANSLATE($B828,""en"",T$3)"),"Web Server Panel")</f>
        <v>Web Server Panel</v>
      </c>
      <c r="U828" s="21" t="str">
        <f ca="1">IFERROR(__xludf.DUMMYFUNCTION("GOOGLETRANSLATE($B828,""en"",U$3)"),"لوحة خادم ويب")</f>
        <v>لوحة خادم ويب</v>
      </c>
      <c r="V828" s="21" t="str">
        <f ca="1">IFERROR(__xludf.DUMMYFUNCTION("GOOGLETRANSLATE($B828,""en"",V$3)"),"Panel Web Server")</f>
        <v>Panel Web Server</v>
      </c>
      <c r="W828" s="21" t="str">
        <f ca="1">IFERROR(__xludf.DUMMYFUNCTION("GOOGLETRANSLATE($B828,""en"",W$3)"),"Панель веб-сервера")</f>
        <v>Панель веб-сервера</v>
      </c>
      <c r="X828" s="21" t="str">
        <f ca="1">IFERROR(__xludf.DUMMYFUNCTION("GOOGLETRANSLATE($B828,""en"",X$3)"),"Panel de Servidor Web")</f>
        <v>Panel de Servidor Web</v>
      </c>
      <c r="Y828" s="21"/>
      <c r="Z828" s="21"/>
    </row>
    <row r="829" spans="1:26" ht="32.25" customHeight="1" x14ac:dyDescent="0.2">
      <c r="A829" s="17" t="s">
        <v>1755</v>
      </c>
      <c r="B829" s="17" t="s">
        <v>1756</v>
      </c>
      <c r="C829" s="21" t="str">
        <f ca="1">IFERROR(__xludf.DUMMYFUNCTION("GOOGLETRANSLATE($B829,""en"",C$3)"),"Was möchten Sie alle auf Linie sagen?")</f>
        <v>Was möchten Sie alle auf Linie sagen?</v>
      </c>
      <c r="D829" s="21" t="str">
        <f ca="1">IFERROR(__xludf.DUMMYFUNCTION("GOOGLETRANSLATE($B829,""en"",D$3)"),"Vad vill du säga till alla på linje?")</f>
        <v>Vad vill du säga till alla på linje?</v>
      </c>
      <c r="E829" s="21" t="str">
        <f ca="1">IFERROR(__xludf.DUMMYFUNCTION("GOOGLETRANSLATE($B829,""en"",E$3)"),"O que você quer dizer a todos na linha?")</f>
        <v>O que você quer dizer a todos na linha?</v>
      </c>
      <c r="F829" s="21" t="str">
        <f ca="1">IFERROR(__xludf.DUMMYFUNCTION("GOOGLETRANSLATE($B829,""en"",F$3)"),"O que você quer dizer a todos na linha?")</f>
        <v>O que você quer dizer a todos na linha?</v>
      </c>
      <c r="G829" s="21" t="str">
        <f ca="1">IFERROR(__xludf.DUMMYFUNCTION("GOOGLETRANSLATE($B829,""en"",G$3)"),"Que voulez-vous dire à tout le monde en ligne?")</f>
        <v>Que voulez-vous dire à tout le monde en ligne?</v>
      </c>
      <c r="H829" s="21" t="str">
        <f ca="1">IFERROR(__xludf.DUMMYFUNCTION("GOOGLETRANSLATE($B829,""en"",H$3)"),"Zer denek on line esan nahi duzu?")</f>
        <v>Zer denek on line esan nahi duzu?</v>
      </c>
      <c r="I829" s="21" t="str">
        <f ca="1">IFERROR(__xludf.DUMMYFUNCTION("GOOGLETRANSLATE($B829,""en"",I$3)"),"Què vol dir a tot el món en línia?")</f>
        <v>Què vol dir a tot el món en línia?</v>
      </c>
      <c r="J829" s="21" t="str">
        <f ca="1">IFERROR(__xludf.DUMMYFUNCTION("GOOGLETRANSLATE($B829,""en"",J$3)"),"Co chceš říct, všichni cestující na lince?")</f>
        <v>Co chceš říct, všichni cestující na lince?</v>
      </c>
      <c r="K829" s="21" t="str">
        <f ca="1">IFERROR(__xludf.DUMMYFUNCTION("GOOGLETRANSLATE($B829,""en"",K$3)"),"你想要什么要说到大家对线？")</f>
        <v>你想要什么要说到大家对线？</v>
      </c>
      <c r="L829" s="21" t="str">
        <f ca="1">IFERROR(__xludf.DUMMYFUNCTION("GOOGLETRANSLATE($B829,""en"",L$3)"),"你想要什麼要說到大家對線？")</f>
        <v>你想要什麼要說到大家對線？</v>
      </c>
      <c r="M829" s="21" t="str">
        <f ca="1">IFERROR(__xludf.DUMMYFUNCTION("GOOGLETRANSLATE($B829,""en"",M$3)"),"Wat wil je zeggen tegen iedereen op de lijn?")</f>
        <v>Wat wil je zeggen tegen iedereen op de lijn?</v>
      </c>
      <c r="N829" s="21" t="str">
        <f ca="1">IFERROR(__xludf.DUMMYFUNCTION("GOOGLETRANSLATE($B829,""en"",N$3)"),"Τι θέλω να πω σε όλους στη γραμμή;")</f>
        <v>Τι θέλω να πω σε όλους στη γραμμή;</v>
      </c>
      <c r="O829" s="21" t="str">
        <f ca="1">IFERROR(__xludf.DUMMYFUNCTION("GOOGLETRANSLATE($B829,""en"",O$3)"),"Mitä haluat sanoa kaikille verkossa?")</f>
        <v>Mitä haluat sanoa kaikille verkossa?</v>
      </c>
      <c r="P829" s="21" t="str">
        <f ca="1">IFERROR(__xludf.DUMMYFUNCTION("GOOGLETRANSLATE($B829,""en"",P$3)"),"Cad ba mhaith leat a rá le gach duine ar líne?")</f>
        <v>Cad ba mhaith leat a rá le gach duine ar líne?</v>
      </c>
      <c r="Q829" s="21" t="str">
        <f ca="1">IFERROR(__xludf.DUMMYFUNCTION("GOOGLETRANSLATE($B829,""en"",Q$3)"),"چه چیزی شما را می خواهم بگویم به هر کس در خط؟")</f>
        <v>چه چیزی شما را می خواهم بگویم به هر کس در خط؟</v>
      </c>
      <c r="R829" s="21" t="str">
        <f ca="1">IFERROR(__xludf.DUMMYFUNCTION("GOOGLETRANSLATE($B829,""en"",R$3)"),"מה אתה רוצה להגיד לכולם על קו?")</f>
        <v>מה אתה רוצה להגיד לכולם על קו?</v>
      </c>
      <c r="S829" s="21" t="str">
        <f ca="1">IFERROR(__xludf.DUMMYFUNCTION("GOOGLETRANSLATE($B829,""en"",S$3)"),"Hvað viltu segja við alla á netinu?")</f>
        <v>Hvað viltu segja við alla á netinu?</v>
      </c>
      <c r="T829" s="21" t="str">
        <f ca="1">IFERROR(__xludf.DUMMYFUNCTION("GOOGLETRANSLATE($B829,""en"",T$3)"),"Hva ønsker du å si til alle på linjen?")</f>
        <v>Hva ønsker du å si til alle på linjen?</v>
      </c>
      <c r="U829" s="21" t="str">
        <f ca="1">IFERROR(__xludf.DUMMYFUNCTION("GOOGLETRANSLATE($B829,""en"",U$3)"),"ماذا تريد أن تقول للجميع على الخط؟")</f>
        <v>ماذا تريد أن تقول للجميع على الخط؟</v>
      </c>
      <c r="V829" s="21" t="str">
        <f ca="1">IFERROR(__xludf.DUMMYFUNCTION("GOOGLETRANSLATE($B829,""en"",V$3)"),"Co chcesz powiedzieć wszystkim na linii?")</f>
        <v>Co chcesz powiedzieć wszystkim na linii?</v>
      </c>
      <c r="W829" s="21" t="str">
        <f ca="1">IFERROR(__xludf.DUMMYFUNCTION("GOOGLETRANSLATE($B829,""en"",W$3)"),"Что вы хотите сказать все на линии?")</f>
        <v>Что вы хотите сказать все на линии?</v>
      </c>
      <c r="X829" s="21" t="str">
        <f ca="1">IFERROR(__xludf.DUMMYFUNCTION("GOOGLETRANSLATE($B829,""en"",X$3)"),"¿Qué quiere decir a todo el mundo en línea?")</f>
        <v>¿Qué quiere decir a todo el mundo en línea?</v>
      </c>
      <c r="Y829" s="21"/>
      <c r="Z829" s="21"/>
    </row>
    <row r="830" spans="1:26" ht="32.25" customHeight="1" x14ac:dyDescent="0.2">
      <c r="A830" s="17" t="s">
        <v>1757</v>
      </c>
      <c r="B830" s="17" t="s">
        <v>1758</v>
      </c>
      <c r="C830" s="21" t="str">
        <f ca="1">IFERROR(__xludf.DUMMYFUNCTION("GOOGLETRANSLATE($B830,""en"",C$3)"),"Was wollen Sie in dieser Region sagen?")</f>
        <v>Was wollen Sie in dieser Region sagen?</v>
      </c>
      <c r="D830" s="21" t="str">
        <f ca="1">IFERROR(__xludf.DUMMYFUNCTION("GOOGLETRANSLATE($B830,""en"",D$3)"),"Vad vill du säga till denna region?")</f>
        <v>Vad vill du säga till denna region?</v>
      </c>
      <c r="E830" s="21" t="str">
        <f ca="1">IFERROR(__xludf.DUMMYFUNCTION("GOOGLETRANSLATE($B830,""en"",E$3)"),"O que você quer dizer a esta região?")</f>
        <v>O que você quer dizer a esta região?</v>
      </c>
      <c r="F830" s="21" t="str">
        <f ca="1">IFERROR(__xludf.DUMMYFUNCTION("GOOGLETRANSLATE($B830,""en"",F$3)"),"O que você quer dizer a esta região?")</f>
        <v>O que você quer dizer a esta região?</v>
      </c>
      <c r="G830" s="21" t="str">
        <f ca="1">IFERROR(__xludf.DUMMYFUNCTION("GOOGLETRANSLATE($B830,""en"",G$3)"),"Que voulez-vous dire à cette région?")</f>
        <v>Que voulez-vous dire à cette région?</v>
      </c>
      <c r="H830" s="21" t="str">
        <f ca="1">IFERROR(__xludf.DUMMYFUNCTION("GOOGLETRANSLATE($B830,""en"",H$3)"),"Zer eskualde honetan esan nahi duzu?")</f>
        <v>Zer eskualde honetan esan nahi duzu?</v>
      </c>
      <c r="I830" s="21" t="str">
        <f ca="1">IFERROR(__xludf.DUMMYFUNCTION("GOOGLETRANSLATE($B830,""en"",I$3)"),"Què vol dir que aquesta regió?")</f>
        <v>Què vol dir que aquesta regió?</v>
      </c>
      <c r="J830" s="21" t="str">
        <f ca="1">IFERROR(__xludf.DUMMYFUNCTION("GOOGLETRANSLATE($B830,""en"",J$3)"),"Co chcete říci k tomuto regionu?")</f>
        <v>Co chcete říci k tomuto regionu?</v>
      </c>
      <c r="K830" s="21" t="str">
        <f ca="1">IFERROR(__xludf.DUMMYFUNCTION("GOOGLETRANSLATE($B830,""en"",K$3)"),"你想要什么要说到这个区域？")</f>
        <v>你想要什么要说到这个区域？</v>
      </c>
      <c r="L830" s="21" t="str">
        <f ca="1">IFERROR(__xludf.DUMMYFUNCTION("GOOGLETRANSLATE($B830,""en"",L$3)"),"你想要什麼要說到這個區域？")</f>
        <v>你想要什麼要說到這個區域？</v>
      </c>
      <c r="M830" s="21" t="str">
        <f ca="1">IFERROR(__xludf.DUMMYFUNCTION("GOOGLETRANSLATE($B830,""en"",M$3)"),"Wat wil je zeggen tegen deze regio?")</f>
        <v>Wat wil je zeggen tegen deze regio?</v>
      </c>
      <c r="N830" s="21" t="str">
        <f ca="1">IFERROR(__xludf.DUMMYFUNCTION("GOOGLETRANSLATE($B830,""en"",N$3)"),"Τι θέλετε να πείτε σε αυτή την περιοχή;")</f>
        <v>Τι θέλετε να πείτε σε αυτή την περιοχή;</v>
      </c>
      <c r="O830" s="21" t="str">
        <f ca="1">IFERROR(__xludf.DUMMYFUNCTION("GOOGLETRANSLATE($B830,""en"",O$3)"),"Mitä haluat sanoa tälle alueelle?")</f>
        <v>Mitä haluat sanoa tälle alueelle?</v>
      </c>
      <c r="P830" s="21" t="str">
        <f ca="1">IFERROR(__xludf.DUMMYFUNCTION("GOOGLETRANSLATE($B830,""en"",P$3)"),"Cad ba mhaith leat a rá leis an réigiún seo?")</f>
        <v>Cad ba mhaith leat a rá leis an réigiún seo?</v>
      </c>
      <c r="Q830" s="21" t="str">
        <f ca="1">IFERROR(__xludf.DUMMYFUNCTION("GOOGLETRANSLATE($B830,""en"",Q$3)"),"چه چیزی شما را می خواهم بگویم به این منطقه؟")</f>
        <v>چه چیزی شما را می خواهم بگویم به این منطقه؟</v>
      </c>
      <c r="R830" s="21" t="str">
        <f ca="1">IFERROR(__xludf.DUMMYFUNCTION("GOOGLETRANSLATE($B830,""en"",R$3)"),"מה אתה רוצה להגיד לאזור זה?")</f>
        <v>מה אתה רוצה להגיד לאזור זה?</v>
      </c>
      <c r="S830" s="21" t="str">
        <f ca="1">IFERROR(__xludf.DUMMYFUNCTION("GOOGLETRANSLATE($B830,""en"",S$3)"),"Hvað viltu segja við þessu svæði?")</f>
        <v>Hvað viltu segja við þessu svæði?</v>
      </c>
      <c r="T830" s="21" t="str">
        <f ca="1">IFERROR(__xludf.DUMMYFUNCTION("GOOGLETRANSLATE($B830,""en"",T$3)"),"Hva ønsker du å si til denne regionen?")</f>
        <v>Hva ønsker du å si til denne regionen?</v>
      </c>
      <c r="U830" s="21" t="str">
        <f ca="1">IFERROR(__xludf.DUMMYFUNCTION("GOOGLETRANSLATE($B830,""en"",U$3)"),"ماذا تريد أن تقول لهذه المنطقة؟")</f>
        <v>ماذا تريد أن تقول لهذه المنطقة؟</v>
      </c>
      <c r="V830" s="21" t="str">
        <f ca="1">IFERROR(__xludf.DUMMYFUNCTION("GOOGLETRANSLATE($B830,""en"",V$3)"),"Co chcesz powiedzieć do tego regionu?")</f>
        <v>Co chcesz powiedzieć do tego regionu?</v>
      </c>
      <c r="W830" s="21" t="str">
        <f ca="1">IFERROR(__xludf.DUMMYFUNCTION("GOOGLETRANSLATE($B830,""en"",W$3)"),"Что вы хотите сказать, в этот регион?")</f>
        <v>Что вы хотите сказать, в этот регион?</v>
      </c>
      <c r="X830" s="21" t="str">
        <f ca="1">IFERROR(__xludf.DUMMYFUNCTION("GOOGLETRANSLATE($B830,""en"",X$3)"),"¿Qué quiere decir que esta región?")</f>
        <v>¿Qué quiere decir que esta región?</v>
      </c>
      <c r="Y830" s="21"/>
      <c r="Z830" s="21"/>
    </row>
    <row r="831" spans="1:26" ht="32.25" customHeight="1" x14ac:dyDescent="0.2">
      <c r="A831" s="17" t="s">
        <v>1759</v>
      </c>
      <c r="B831" s="17" t="s">
        <v>1760</v>
      </c>
      <c r="C831" s="21" t="str">
        <f ca="1">IFERROR(__xludf.DUMMYFUNCTION("GOOGLETRANSLATE($B831,""en"",C$3)"),"Welcher Kanal hören Vögel für in-world-Befehle. Negative Zahlen können nicht von Menschen verwendet werden")</f>
        <v>Welcher Kanal hören Vögel für in-world-Befehle. Negative Zahlen können nicht von Menschen verwendet werden</v>
      </c>
      <c r="D831" s="21" t="str">
        <f ca="1">IFERROR(__xludf.DUMMYFUNCTION("GOOGLETRANSLATE($B831,""en"",D$3)"),"Vilken kanal gör fåglar lyssnar för in-world kommandon. Negativa tal kan inte användas av människor")</f>
        <v>Vilken kanal gör fåglar lyssnar för in-world kommandon. Negativa tal kan inte användas av människor</v>
      </c>
      <c r="E831" s="21" t="str">
        <f ca="1">IFERROR(__xludf.DUMMYFUNCTION("GOOGLETRANSLATE($B831,""en"",E$3)"),"Qual o canal que os pássaros ouvir para comandos no-mundo. Os números negativos não pode ser usado por seres humanos")</f>
        <v>Qual o canal que os pássaros ouvir para comandos no-mundo. Os números negativos não pode ser usado por seres humanos</v>
      </c>
      <c r="F831" s="21" t="str">
        <f ca="1">IFERROR(__xludf.DUMMYFUNCTION("GOOGLETRANSLATE($B831,""en"",F$3)"),"Qual o canal que os pássaros ouvir para comandos no-mundo. Os números negativos não pode ser usado por seres humanos")</f>
        <v>Qual o canal que os pássaros ouvir para comandos no-mundo. Os números negativos não pode ser usado por seres humanos</v>
      </c>
      <c r="G831" s="21" t="str">
        <f ca="1">IFERROR(__xludf.DUMMYFUNCTION("GOOGLETRANSLATE($B831,""en"",G$3)"),"Quel canal que les oiseaux écoutent les commandes dans le monde. Les nombres négatifs ne peuvent pas être utilisés par les humains")</f>
        <v>Quel canal que les oiseaux écoutent les commandes dans le monde. Les nombres négatifs ne peuvent pas être utilisés par les humains</v>
      </c>
      <c r="H831" s="21" t="str">
        <f ca="1">IFERROR(__xludf.DUMMYFUNCTION("GOOGLETRANSLATE($B831,""en"",H$3)"),"Zein kanalean hegaztiak entzun in-munduan komandoak egiteko. Zenbaki negatiboak ezin dira gizakiak erabiltzen")</f>
        <v>Zein kanalean hegaztiak entzun in-munduan komandoak egiteko. Zenbaki negatiboak ezin dira gizakiak erabiltzen</v>
      </c>
      <c r="I831" s="21" t="str">
        <f ca="1">IFERROR(__xludf.DUMMYFUNCTION("GOOGLETRANSLATE($B831,""en"",I$3)"),"Què canal no escoltar els ocells per als comandaments en el món. Els nombres negatius no poden ser utilitzats pels éssers humans")</f>
        <v>Què canal no escoltar els ocells per als comandaments en el món. Els nombres negatius no poden ser utilitzats pels éssers humans</v>
      </c>
      <c r="J831" s="21" t="str">
        <f ca="1">IFERROR(__xludf.DUMMYFUNCTION("GOOGLETRANSLATE($B831,""en"",J$3)"),"Který kanál se ptáci poslouchat příkazy na tento svět. Záporná čísla nelze použít u lidí")</f>
        <v>Který kanál se ptáci poslouchat příkazy na tento svět. Záporná čísla nelze použít u lidí</v>
      </c>
      <c r="K831" s="21" t="str">
        <f ca="1">IFERROR(__xludf.DUMMYFUNCTION("GOOGLETRANSLATE($B831,""en"",K$3)"),"这道鸟儿听在世界的命令。负数不能被人类使用")</f>
        <v>这道鸟儿听在世界的命令。负数不能被人类使用</v>
      </c>
      <c r="L831" s="21" t="str">
        <f ca="1">IFERROR(__xludf.DUMMYFUNCTION("GOOGLETRANSLATE($B831,""en"",L$3)"),"這道鳥兒聽在世界的命令。負數不能被人類使用")</f>
        <v>這道鳥兒聽在世界的命令。負數不能被人類使用</v>
      </c>
      <c r="M831" s="21" t="str">
        <f ca="1">IFERROR(__xludf.DUMMYFUNCTION("GOOGLETRANSLATE($B831,""en"",M$3)"),"Welk kanaal hoeft vogels luisteren naar in-world opdrachten. Negatieve getallen kunnen niet worden gebruikt door de mens")</f>
        <v>Welk kanaal hoeft vogels luisteren naar in-world opdrachten. Negatieve getallen kunnen niet worden gebruikt door de mens</v>
      </c>
      <c r="N831" s="21" t="str">
        <f ca="1">IFERROR(__xludf.DUMMYFUNCTION("GOOGLETRANSLATE($B831,""en"",N$3)"),"Ποιο κανάλι τα πουλιά ακούσει για εντολές στον κόσμο. Οι αρνητικοί αριθμοί δεν μπορεί να χρησιμοποιηθεί από τον άνθρωπο")</f>
        <v>Ποιο κανάλι τα πουλιά ακούσει για εντολές στον κόσμο. Οι αρνητικοί αριθμοί δεν μπορεί να χρησιμοποιηθεί από τον άνθρωπο</v>
      </c>
      <c r="O831" s="21" t="str">
        <f ca="1">IFERROR(__xludf.DUMMYFUNCTION("GOOGLETRANSLATE($B831,""en"",O$3)"),"Mikä kanava eivät linnut kuuntelevat in-maailmassa komentoja. Negatiivisia numeroita ei voi käyttää ihmisten")</f>
        <v>Mikä kanava eivät linnut kuuntelevat in-maailmassa komentoja. Negatiivisia numeroita ei voi käyttää ihmisten</v>
      </c>
      <c r="P831" s="21" t="str">
        <f ca="1">IFERROR(__xludf.DUMMYFUNCTION("GOOGLETRANSLATE($B831,""en"",P$3)"),"Cén Cainéal dhéanann éin éisteacht do orduithe ar-domhan. Ní féidir uimhreacha diúltacha a úsáideann daoine daonna")</f>
        <v>Cén Cainéal dhéanann éin éisteacht do orduithe ar-domhan. Ní féidir uimhreacha diúltacha a úsáideann daoine daonna</v>
      </c>
      <c r="Q831" s="21" t="str">
        <f ca="1">IFERROR(__xludf.DUMMYFUNCTION("GOOGLETRANSLATE($B831,""en"",Q$3)"),"کدام کانال پرندگان گوش دادن به دستورات در جهان است. اعداد منفی می تواند توسط انسان مورد استفاده قرار گیرد")</f>
        <v>کدام کانال پرندگان گوش دادن به دستورات در جهان است. اعداد منفی می تواند توسط انسان مورد استفاده قرار گیرد</v>
      </c>
      <c r="R831" s="21" t="str">
        <f ca="1">IFERROR(__xludf.DUMMYFUNCTION("GOOGLETRANSLATE($B831,""en"",R$3)"),"איזה ערוץ אל הציפורים להקשיב לפקודות ב-עולם. מספרים שליליים לא יכול להיות בשימוש על ידי בני אדם")</f>
        <v>איזה ערוץ אל הציפורים להקשיב לפקודות ב-עולם. מספרים שליליים לא יכול להיות בשימוש על ידי בני אדם</v>
      </c>
      <c r="S831" s="21" t="str">
        <f ca="1">IFERROR(__xludf.DUMMYFUNCTION("GOOGLETRANSLATE($B831,""en"",S$3)"),"Hvaða rás fuglar hlusta á fyrir í-heimi skipunum. Neikvæðar tölur er ekki hægt að nota menn")</f>
        <v>Hvaða rás fuglar hlusta á fyrir í-heimi skipunum. Neikvæðar tölur er ekki hægt að nota menn</v>
      </c>
      <c r="T831" s="21" t="str">
        <f ca="1">IFERROR(__xludf.DUMMYFUNCTION("GOOGLETRANSLATE($B831,""en"",T$3)"),"Hvilken kanal ser fugler lytte til for i-verden-kommandoer. Negative tall kan ikke brukes av mennesker")</f>
        <v>Hvilken kanal ser fugler lytte til for i-verden-kommandoer. Negative tall kan ikke brukes av mennesker</v>
      </c>
      <c r="U831" s="21" t="str">
        <f ca="1">IFERROR(__xludf.DUMMYFUNCTION("GOOGLETRANSLATE($B831,""en"",U$3)"),"القناة التي لم الطيور الاستماع إلى الأوامر في العالم. الأرقام السالبة لا يمكن أن تستخدم من قبل البشر")</f>
        <v>القناة التي لم الطيور الاستماع إلى الأوامر في العالم. الأرقام السالبة لا يمكن أن تستخدم من قبل البشر</v>
      </c>
      <c r="V831" s="21" t="str">
        <f ca="1">IFERROR(__xludf.DUMMYFUNCTION("GOOGLETRANSLATE($B831,""en"",V$3)"),"Który kanał ma ptaków słuchać poleceń w-świecie. Liczby ujemne nie mogą być wykorzystane przez ludzi")</f>
        <v>Który kanał ma ptaków słuchać poleceń w-świecie. Liczby ujemne nie mogą być wykorzystane przez ludzi</v>
      </c>
      <c r="W831" s="21" t="str">
        <f ca="1">IFERROR(__xludf.DUMMYFUNCTION("GOOGLETRANSLATE($B831,""en"",W$3)"),"Какой канал у птиц слушают команды в виртуальном мире. Отрицательные числа не могут быть использованы людьми")</f>
        <v>Какой канал у птиц слушают команды в виртуальном мире. Отрицательные числа не могут быть использованы людьми</v>
      </c>
      <c r="X831" s="21" t="str">
        <f ca="1">IFERROR(__xludf.DUMMYFUNCTION("GOOGLETRANSLATE($B831,""en"",X$3)"),"Qué canal no escuchar a los pájaros para los comandos en el mundo. Los números negativos no pueden ser utilizados por los seres humanos")</f>
        <v>Qué canal no escuchar a los pájaros para los comandos en el mundo. Los números negativos no pueden ser utilizados por los seres humanos</v>
      </c>
      <c r="Y831" s="21"/>
      <c r="Z831" s="21"/>
    </row>
    <row r="832" spans="1:26" ht="32.25" customHeight="1" x14ac:dyDescent="0.2">
      <c r="A832" s="17" t="s">
        <v>1761</v>
      </c>
      <c r="B832" s="17" t="s">
        <v>1762</v>
      </c>
      <c r="C832" s="21" t="str">
        <f ca="1">IFERROR(__xludf.DUMMYFUNCTION("GOOGLETRANSLATE($B832,""en"",C$3)"),"Weiß")</f>
        <v>Weiß</v>
      </c>
      <c r="D832" s="21" t="str">
        <f ca="1">IFERROR(__xludf.DUMMYFUNCTION("GOOGLETRANSLATE($B832,""en"",D$3)"),"Vit")</f>
        <v>Vit</v>
      </c>
      <c r="E832" s="21" t="str">
        <f ca="1">IFERROR(__xludf.DUMMYFUNCTION("GOOGLETRANSLATE($B832,""en"",E$3)"),"Branco")</f>
        <v>Branco</v>
      </c>
      <c r="F832" s="21" t="str">
        <f ca="1">IFERROR(__xludf.DUMMYFUNCTION("GOOGLETRANSLATE($B832,""en"",F$3)"),"Branco")</f>
        <v>Branco</v>
      </c>
      <c r="G832" s="21" t="str">
        <f ca="1">IFERROR(__xludf.DUMMYFUNCTION("GOOGLETRANSLATE($B832,""en"",G$3)"),"blanc")</f>
        <v>blanc</v>
      </c>
      <c r="H832" s="21" t="str">
        <f ca="1">IFERROR(__xludf.DUMMYFUNCTION("GOOGLETRANSLATE($B832,""en"",H$3)"),"White")</f>
        <v>White</v>
      </c>
      <c r="I832" s="21" t="str">
        <f ca="1">IFERROR(__xludf.DUMMYFUNCTION("GOOGLETRANSLATE($B832,""en"",I$3)"),"blanc")</f>
        <v>blanc</v>
      </c>
      <c r="J832" s="21" t="str">
        <f ca="1">IFERROR(__xludf.DUMMYFUNCTION("GOOGLETRANSLATE($B832,""en"",J$3)"),"Bílý")</f>
        <v>Bílý</v>
      </c>
      <c r="K832" s="21" t="str">
        <f ca="1">IFERROR(__xludf.DUMMYFUNCTION("GOOGLETRANSLATE($B832,""en"",K$3)"),"白色")</f>
        <v>白色</v>
      </c>
      <c r="L832" s="21" t="str">
        <f ca="1">IFERROR(__xludf.DUMMYFUNCTION("GOOGLETRANSLATE($B832,""en"",L$3)"),"白色")</f>
        <v>白色</v>
      </c>
      <c r="M832" s="21" t="str">
        <f ca="1">IFERROR(__xludf.DUMMYFUNCTION("GOOGLETRANSLATE($B832,""en"",M$3)"),"Wit")</f>
        <v>Wit</v>
      </c>
      <c r="N832" s="21" t="str">
        <f ca="1">IFERROR(__xludf.DUMMYFUNCTION("GOOGLETRANSLATE($B832,""en"",N$3)"),"άσπρο")</f>
        <v>άσπρο</v>
      </c>
      <c r="O832" s="21" t="str">
        <f ca="1">IFERROR(__xludf.DUMMYFUNCTION("GOOGLETRANSLATE($B832,""en"",O$3)"),"Valkoinen")</f>
        <v>Valkoinen</v>
      </c>
      <c r="P832" s="21" t="str">
        <f ca="1">IFERROR(__xludf.DUMMYFUNCTION("GOOGLETRANSLATE($B832,""en"",P$3)"),"Bán")</f>
        <v>Bán</v>
      </c>
      <c r="Q832" s="21" t="str">
        <f ca="1">IFERROR(__xludf.DUMMYFUNCTION("GOOGLETRANSLATE($B832,""en"",Q$3)"),"سفید")</f>
        <v>سفید</v>
      </c>
      <c r="R832" s="21" t="str">
        <f ca="1">IFERROR(__xludf.DUMMYFUNCTION("GOOGLETRANSLATE($B832,""en"",R$3)"),"לבן")</f>
        <v>לבן</v>
      </c>
      <c r="S832" s="21" t="str">
        <f ca="1">IFERROR(__xludf.DUMMYFUNCTION("GOOGLETRANSLATE($B832,""en"",S$3)"),"hvítt")</f>
        <v>hvítt</v>
      </c>
      <c r="T832" s="21" t="str">
        <f ca="1">IFERROR(__xludf.DUMMYFUNCTION("GOOGLETRANSLATE($B832,""en"",T$3)"),"Hvit")</f>
        <v>Hvit</v>
      </c>
      <c r="U832" s="21" t="str">
        <f ca="1">IFERROR(__xludf.DUMMYFUNCTION("GOOGLETRANSLATE($B832,""en"",U$3)"),"أبيض")</f>
        <v>أبيض</v>
      </c>
      <c r="V832" s="21" t="str">
        <f ca="1">IFERROR(__xludf.DUMMYFUNCTION("GOOGLETRANSLATE($B832,""en"",V$3)"),"Biały")</f>
        <v>Biały</v>
      </c>
      <c r="W832" s="21" t="str">
        <f ca="1">IFERROR(__xludf.DUMMYFUNCTION("GOOGLETRANSLATE($B832,""en"",W$3)"),"белый")</f>
        <v>белый</v>
      </c>
      <c r="X832" s="21" t="str">
        <f ca="1">IFERROR(__xludf.DUMMYFUNCTION("GOOGLETRANSLATE($B832,""en"",X$3)"),"Blanco")</f>
        <v>Blanco</v>
      </c>
      <c r="Y832" s="21"/>
      <c r="Z832" s="21"/>
    </row>
    <row r="833" spans="1:26" ht="32.25" customHeight="1" x14ac:dyDescent="0.2">
      <c r="A833" s="17" t="s">
        <v>1763</v>
      </c>
      <c r="B833" s="17" t="s">
        <v>1764</v>
      </c>
      <c r="C833" s="21" t="str">
        <f ca="1">IFERROR(__xludf.DUMMYFUNCTION("GOOGLETRANSLATE($B833,""en"",C$3)"),"Wifi-Schnittstelle Admin")</f>
        <v>Wifi-Schnittstelle Admin</v>
      </c>
      <c r="D833" s="21" t="str">
        <f ca="1">IFERROR(__xludf.DUMMYFUNCTION("GOOGLETRANSLATE($B833,""en"",D$3)"),"Wifi Interface Admin")</f>
        <v>Wifi Interface Admin</v>
      </c>
      <c r="E833" s="21" t="str">
        <f ca="1">IFERROR(__xludf.DUMMYFUNCTION("GOOGLETRANSLATE($B833,""en"",E$3)"),"Wifi interface de administração")</f>
        <v>Wifi interface de administração</v>
      </c>
      <c r="F833" s="21" t="str">
        <f ca="1">IFERROR(__xludf.DUMMYFUNCTION("GOOGLETRANSLATE($B833,""en"",F$3)"),"Wifi interface de administração")</f>
        <v>Wifi interface de administração</v>
      </c>
      <c r="G833" s="21" t="str">
        <f ca="1">IFERROR(__xludf.DUMMYFUNCTION("GOOGLETRANSLATE($B833,""en"",G$3)"),"Wifi interface d'administration")</f>
        <v>Wifi interface d'administration</v>
      </c>
      <c r="H833" s="21" t="str">
        <f ca="1">IFERROR(__xludf.DUMMYFUNCTION("GOOGLETRANSLATE($B833,""en"",H$3)"),"Wifi Interface Admin")</f>
        <v>Wifi Interface Admin</v>
      </c>
      <c r="I833" s="21" t="str">
        <f ca="1">IFERROR(__xludf.DUMMYFUNCTION("GOOGLETRANSLATE($B833,""en"",I$3)"),"Wifi interfície d'administració")</f>
        <v>Wifi interfície d'administració</v>
      </c>
      <c r="J833" s="21" t="str">
        <f ca="1">IFERROR(__xludf.DUMMYFUNCTION("GOOGLETRANSLATE($B833,""en"",J$3)"),"Wifi rozhraní Administrace")</f>
        <v>Wifi rozhraní Administrace</v>
      </c>
      <c r="K833" s="21" t="str">
        <f ca="1">IFERROR(__xludf.DUMMYFUNCTION("GOOGLETRANSLATE($B833,""en"",K$3)"),"WiFi接口管理")</f>
        <v>WiFi接口管理</v>
      </c>
      <c r="L833" s="21" t="str">
        <f ca="1">IFERROR(__xludf.DUMMYFUNCTION("GOOGLETRANSLATE($B833,""en"",L$3)"),"WiFi接口管理")</f>
        <v>WiFi接口管理</v>
      </c>
      <c r="M833" s="21" t="str">
        <f ca="1">IFERROR(__xludf.DUMMYFUNCTION("GOOGLETRANSLATE($B833,""en"",M$3)"),"Wifi Interface Admin")</f>
        <v>Wifi Interface Admin</v>
      </c>
      <c r="N833" s="21" t="str">
        <f ca="1">IFERROR(__xludf.DUMMYFUNCTION("GOOGLETRANSLATE($B833,""en"",N$3)"),"Wi-Fi διεπαφή διαχειριστή")</f>
        <v>Wi-Fi διεπαφή διαχειριστή</v>
      </c>
      <c r="O833" s="21" t="str">
        <f ca="1">IFERROR(__xludf.DUMMYFUNCTION("GOOGLETRANSLATE($B833,""en"",O$3)"),"Wifi Interface Admin")</f>
        <v>Wifi Interface Admin</v>
      </c>
      <c r="P833" s="21" t="str">
        <f ca="1">IFERROR(__xludf.DUMMYFUNCTION("GOOGLETRANSLATE($B833,""en"",P$3)"),"Wifi Comhéadan Riarachán")</f>
        <v>Wifi Comhéadan Riarachán</v>
      </c>
      <c r="Q833" s="21" t="str">
        <f ca="1">IFERROR(__xludf.DUMMYFUNCTION("GOOGLETRANSLATE($B833,""en"",Q$3)"),"فای مدیریت رابط")</f>
        <v>فای مدیریت رابط</v>
      </c>
      <c r="R833" s="21" t="str">
        <f ca="1">IFERROR(__xludf.DUMMYFUNCTION("GOOGLETRANSLATE($B833,""en"",R$3)"),"Wifi ממשק ניהול")</f>
        <v>Wifi ממשק ניהול</v>
      </c>
      <c r="S833" s="21" t="str">
        <f ca="1">IFERROR(__xludf.DUMMYFUNCTION("GOOGLETRANSLATE($B833,""en"",S$3)"),"Wifi Interface Admin")</f>
        <v>Wifi Interface Admin</v>
      </c>
      <c r="T833" s="21" t="str">
        <f ca="1">IFERROR(__xludf.DUMMYFUNCTION("GOOGLETRANSLATE($B833,""en"",T$3)"),"Wifi Interface Admin")</f>
        <v>Wifi Interface Admin</v>
      </c>
      <c r="U833" s="21" t="str">
        <f ca="1">IFERROR(__xludf.DUMMYFUNCTION("GOOGLETRANSLATE($B833,""en"",U$3)"),"واجهة الادارية واي فاي")</f>
        <v>واجهة الادارية واي فاي</v>
      </c>
      <c r="V833" s="21" t="str">
        <f ca="1">IFERROR(__xludf.DUMMYFUNCTION("GOOGLETRANSLATE($B833,""en"",V$3)"),"Interfejs WiFi Admin")</f>
        <v>Interfejs WiFi Admin</v>
      </c>
      <c r="W833" s="21" t="str">
        <f ca="1">IFERROR(__xludf.DUMMYFUNCTION("GOOGLETRANSLATE($B833,""en"",W$3)"),"Wi-Fi интерфейс администратора")</f>
        <v>Wi-Fi интерфейс администратора</v>
      </c>
      <c r="X833" s="21" t="str">
        <f ca="1">IFERROR(__xludf.DUMMYFUNCTION("GOOGLETRANSLATE($B833,""en"",X$3)"),"Wifi interfaz de administración")</f>
        <v>Wifi interfaz de administración</v>
      </c>
      <c r="Y833" s="21"/>
      <c r="Z833" s="21"/>
    </row>
    <row r="834" spans="1:26" ht="32.25" customHeight="1" x14ac:dyDescent="0.2">
      <c r="A834" s="17" t="s">
        <v>1765</v>
      </c>
      <c r="B834" s="17" t="s">
        <v>1766</v>
      </c>
      <c r="C834" s="21" t="str">
        <f ca="1">IFERROR(__xludf.DUMMYFUNCTION("GOOGLETRANSLATE($B834,""en"",C$3)"),"Dies ist die Standard-Wi-Fi Karte Seite")</f>
        <v>Dies ist die Standard-Wi-Fi Karte Seite</v>
      </c>
      <c r="D834" s="21" t="str">
        <f ca="1">IFERROR(__xludf.DUMMYFUNCTION("GOOGLETRANSLATE($B834,""en"",D$3)"),"Detta är den standard Wifi kartsidan")</f>
        <v>Detta är den standard Wifi kartsidan</v>
      </c>
      <c r="E834" s="21" t="str">
        <f ca="1">IFERROR(__xludf.DUMMYFUNCTION("GOOGLETRANSLATE($B834,""en"",E$3)"),"Esta é a página de Wifi Mapa padrão")</f>
        <v>Esta é a página de Wifi Mapa padrão</v>
      </c>
      <c r="F834" s="21" t="str">
        <f ca="1">IFERROR(__xludf.DUMMYFUNCTION("GOOGLETRANSLATE($B834,""en"",F$3)"),"Esta é a página de Wifi Mapa padrão")</f>
        <v>Esta é a página de Wifi Mapa padrão</v>
      </c>
      <c r="G834" s="21" t="str">
        <f ca="1">IFERROR(__xludf.DUMMYFUNCTION("GOOGLETRANSLATE($B834,""en"",G$3)"),"Ceci est la page standard Wifi Carte")</f>
        <v>Ceci est la page standard Wifi Carte</v>
      </c>
      <c r="H834" s="21" t="str">
        <f ca="1">IFERROR(__xludf.DUMMYFUNCTION("GOOGLETRANSLATE($B834,""en"",H$3)"),"Hau da estandarra Wifi Map orria")</f>
        <v>Hau da estandarra Wifi Map orria</v>
      </c>
      <c r="I834" s="21" t="str">
        <f ca="1">IFERROR(__xludf.DUMMYFUNCTION("GOOGLETRANSLATE($B834,""en"",I$3)"),"Aquesta és la pàgina estàndard Wifi Mapa")</f>
        <v>Aquesta és la pàgina estàndard Wifi Mapa</v>
      </c>
      <c r="J834" s="21" t="str">
        <f ca="1">IFERROR(__xludf.DUMMYFUNCTION("GOOGLETRANSLATE($B834,""en"",J$3)"),"Jedná se o standardní Wifi Mapa stránky")</f>
        <v>Jedná se o standardní Wifi Mapa stránky</v>
      </c>
      <c r="K834" s="21" t="str">
        <f ca="1">IFERROR(__xludf.DUMMYFUNCTION("GOOGLETRANSLATE($B834,""en"",K$3)"),"这是标准的WiFi地图页面")</f>
        <v>这是标准的WiFi地图页面</v>
      </c>
      <c r="L834" s="21" t="str">
        <f ca="1">IFERROR(__xludf.DUMMYFUNCTION("GOOGLETRANSLATE($B834,""en"",L$3)"),"這是標準的WiFi地圖頁面")</f>
        <v>這是標準的WiFi地圖頁面</v>
      </c>
      <c r="M834" s="21" t="str">
        <f ca="1">IFERROR(__xludf.DUMMYFUNCTION("GOOGLETRANSLATE($B834,""en"",M$3)"),"Dit is de standaard Wifi kaartpagina")</f>
        <v>Dit is de standaard Wifi kaartpagina</v>
      </c>
      <c r="N834" s="21" t="str">
        <f ca="1">IFERROR(__xludf.DUMMYFUNCTION("GOOGLETRANSLATE($B834,""en"",N$3)"),"Αυτό είναι το πρότυπο Wi-Fi Χάρτης σελίδας")</f>
        <v>Αυτό είναι το πρότυπο Wi-Fi Χάρτης σελίδας</v>
      </c>
      <c r="O834" s="21" t="str">
        <f ca="1">IFERROR(__xludf.DUMMYFUNCTION("GOOGLETRANSLATE($B834,""en"",O$3)"),"Tämä on standardi Wifi karttasivun")</f>
        <v>Tämä on standardi Wifi karttasivun</v>
      </c>
      <c r="P834" s="21" t="str">
        <f ca="1">IFERROR(__xludf.DUMMYFUNCTION("GOOGLETRANSLATE($B834,""en"",P$3)"),"Is é seo an caighdeán an leathanach Wifi Léarscáil")</f>
        <v>Is é seo an caighdeán an leathanach Wifi Léarscáil</v>
      </c>
      <c r="Q834" s="21" t="str">
        <f ca="1">IFERROR(__xludf.DUMMYFUNCTION("GOOGLETRANSLATE($B834,""en"",Q$3)"),"این صفحه نقشه فای استاندارد است")</f>
        <v>این صفحه نقشه فای استاندارد است</v>
      </c>
      <c r="R834" s="21" t="str">
        <f ca="1">IFERROR(__xludf.DUMMYFUNCTION("GOOGLETRANSLATE($B834,""en"",R$3)"),"זהו דף Wifi המפה הרגיל")</f>
        <v>זהו דף Wifi המפה הרגיל</v>
      </c>
      <c r="S834" s="21" t="str">
        <f ca="1">IFERROR(__xludf.DUMMYFUNCTION("GOOGLETRANSLATE($B834,""en"",S$3)"),"Þetta er venjulegt Wifi kort síðu")</f>
        <v>Þetta er venjulegt Wifi kort síðu</v>
      </c>
      <c r="T834" s="21" t="str">
        <f ca="1">IFERROR(__xludf.DUMMYFUNCTION("GOOGLETRANSLATE($B834,""en"",T$3)"),"Dette er standard Wifi kartsiden")</f>
        <v>Dette er standard Wifi kartsiden</v>
      </c>
      <c r="U834" s="21" t="str">
        <f ca="1">IFERROR(__xludf.DUMMYFUNCTION("GOOGLETRANSLATE($B834,""en"",U$3)"),"هذه هي الصفحة واي فاي خريطة القياسية")</f>
        <v>هذه هي الصفحة واي فاي خريطة القياسية</v>
      </c>
      <c r="V834" s="21" t="str">
        <f ca="1">IFERROR(__xludf.DUMMYFUNCTION("GOOGLETRANSLATE($B834,""en"",V$3)"),"Jest to standardowa strona Wifi Mapa")</f>
        <v>Jest to standardowa strona Wifi Mapa</v>
      </c>
      <c r="W834" s="21" t="str">
        <f ca="1">IFERROR(__xludf.DUMMYFUNCTION("GOOGLETRANSLATE($B834,""en"",W$3)"),"Это стандартный Wi-Fi Карта страницы")</f>
        <v>Это стандартный Wi-Fi Карта страницы</v>
      </c>
      <c r="X834" s="21" t="str">
        <f ca="1">IFERROR(__xludf.DUMMYFUNCTION("GOOGLETRANSLATE($B834,""en"",X$3)"),"Esta es la página estándar Wifi Mapa")</f>
        <v>Esta es la página estándar Wifi Mapa</v>
      </c>
      <c r="Y834" s="21"/>
      <c r="Z834" s="21"/>
    </row>
    <row r="835" spans="1:26" ht="32.25" customHeight="1" x14ac:dyDescent="0.2">
      <c r="A835" s="17" t="s">
        <v>1767</v>
      </c>
      <c r="B835" s="17" t="s">
        <v>1768</v>
      </c>
      <c r="C835" s="21" t="str">
        <f ca="1">IFERROR(__xludf.DUMMYFUNCTION("GOOGLETRANSLATE($B835,""en"",C$3)"),"Wird nicht ein OAR mit Autobackup speichern.")</f>
        <v>Wird nicht ein OAR mit Autobackup speichern.</v>
      </c>
      <c r="D835" s="21" t="str">
        <f ca="1">IFERROR(__xludf.DUMMYFUNCTION("GOOGLETRANSLATE($B835,""en"",D$3)"),"Kommer inte att spara en åra med Autobackup.")</f>
        <v>Kommer inte att spara en åra med Autobackup.</v>
      </c>
      <c r="E835" s="21" t="str">
        <f ca="1">IFERROR(__xludf.DUMMYFUNCTION("GOOGLETRANSLATE($B835,""en"",E$3)"),"não vai salvar um remo com Cópia de Segurança Automática.")</f>
        <v>não vai salvar um remo com Cópia de Segurança Automática.</v>
      </c>
      <c r="F835" s="21" t="str">
        <f ca="1">IFERROR(__xludf.DUMMYFUNCTION("GOOGLETRANSLATE($B835,""en"",F$3)"),"não vai salvar um remo com Cópia de Segurança Automática.")</f>
        <v>não vai salvar um remo com Cópia de Segurança Automática.</v>
      </c>
      <c r="G835" s="21" t="str">
        <f ca="1">IFERROR(__xludf.DUMMYFUNCTION("GOOGLETRANSLATE($B835,""en"",G$3)"),"Ne sauvera pas un OAR avec Autobackup.")</f>
        <v>Ne sauvera pas un OAR avec Autobackup.</v>
      </c>
      <c r="H835" s="21" t="str">
        <f ca="1">IFERROR(__xludf.DUMMYFUNCTION("GOOGLETRANSLATE($B835,""en"",H$3)"),"Ezin izango da Autobackup batera OAR du atezainak.")</f>
        <v>Ezin izango da Autobackup batera OAR du atezainak.</v>
      </c>
      <c r="I835" s="21" t="str">
        <f ca="1">IFERROR(__xludf.DUMMYFUNCTION("GOOGLETRANSLATE($B835,""en"",I$3)"),"no va a salvar un rem amb còpia de seguretat automàtica.")</f>
        <v>no va a salvar un rem amb còpia de seguretat automàtica.</v>
      </c>
      <c r="J835" s="21" t="str">
        <f ca="1">IFERROR(__xludf.DUMMYFUNCTION("GOOGLETRANSLATE($B835,""en"",J$3)"),"Nezachrání vesla s zálohování.")</f>
        <v>Nezachrání vesla s zálohování.</v>
      </c>
      <c r="K835" s="21" t="str">
        <f ca="1">IFERROR(__xludf.DUMMYFUNCTION("GOOGLETRANSLATE($B835,""en"",K$3)"),"将不保存与自动备份的OAR。")</f>
        <v>将不保存与自动备份的OAR。</v>
      </c>
      <c r="L835" s="21" t="str">
        <f ca="1">IFERROR(__xludf.DUMMYFUNCTION("GOOGLETRANSLATE($B835,""en"",L$3)"),"將不保存與自動備份的OAR。")</f>
        <v>將不保存與自動備份的OAR。</v>
      </c>
      <c r="M835" s="21" t="str">
        <f ca="1">IFERROR(__xludf.DUMMYFUNCTION("GOOGLETRANSLATE($B835,""en"",M$3)"),"Zal een OAR met Autobackup niet redden.")</f>
        <v>Zal een OAR met Autobackup niet redden.</v>
      </c>
      <c r="N835" s="21" t="str">
        <f ca="1">IFERROR(__xludf.DUMMYFUNCTION("GOOGLETRANSLATE($B835,""en"",N$3)"),"δεν θα σώσει ένα κουπί με Autobackup.")</f>
        <v>δεν θα σώσει ένα κουπί με Autobackup.</v>
      </c>
      <c r="O835" s="21" t="str">
        <f ca="1">IFERROR(__xludf.DUMMYFUNCTION("GOOGLETRANSLATE($B835,""en"",O$3)"),"Ei pelasta airo kanssa AutoBackup.")</f>
        <v>Ei pelasta airo kanssa AutoBackup.</v>
      </c>
      <c r="P835" s="21" t="str">
        <f ca="1">IFERROR(__xludf.DUMMYFUNCTION("GOOGLETRANSLATE($B835,""en"",P$3)"),"Nach mbeidh a shábháil OAR le Autobackup.")</f>
        <v>Nach mbeidh a shábháil OAR le Autobackup.</v>
      </c>
      <c r="Q835" s="21" t="str">
        <f ca="1">IFERROR(__xludf.DUMMYFUNCTION("GOOGLETRANSLATE($B835,""en"",Q$3)"),"یک پارو با AutoBackup را نجات دهد.")</f>
        <v>یک پارو با AutoBackup را نجات دهد.</v>
      </c>
      <c r="R835" s="21" t="str">
        <f ca="1">IFERROR(__xludf.DUMMYFUNCTION("GOOGLETRANSLATE($B835,""en"",R$3)"),"לא תישמר משוט עם Autobackup.")</f>
        <v>לא תישמר משוט עם Autobackup.</v>
      </c>
      <c r="S835" s="21" t="str">
        <f ca="1">IFERROR(__xludf.DUMMYFUNCTION("GOOGLETRANSLATE($B835,""en"",S$3)"),"Mun ekki vista OAR með sjálfvirkri afritun.")</f>
        <v>Mun ekki vista OAR með sjálfvirkri afritun.</v>
      </c>
      <c r="T835" s="21" t="str">
        <f ca="1">IFERROR(__xludf.DUMMYFUNCTION("GOOGLETRANSLATE($B835,""en"",T$3)"),"Vil ikke redde en åre med Autobackup.")</f>
        <v>Vil ikke redde en åre med Autobackup.</v>
      </c>
      <c r="U835" s="21" t="str">
        <f ca="1">IFERROR(__xludf.DUMMYFUNCTION("GOOGLETRANSLATE($B835,""en"",U$3)"),"لن حفظ OAR مع التحميل التلقائي.")</f>
        <v>لن حفظ OAR مع التحميل التلقائي.</v>
      </c>
      <c r="V835" s="21" t="str">
        <f ca="1">IFERROR(__xludf.DUMMYFUNCTION("GOOGLETRANSLATE($B835,""en"",V$3)"),"nie zbawi wiosło z automatycznej kopii zapasowej.")</f>
        <v>nie zbawi wiosło z automatycznej kopii zapasowej.</v>
      </c>
      <c r="W835" s="21" t="str">
        <f ca="1">IFERROR(__xludf.DUMMYFUNCTION("GOOGLETRANSLATE($B835,""en"",W$3)"),"Не сохранить ВЕСЛО с Autobackup.")</f>
        <v>Не сохранить ВЕСЛО с Autobackup.</v>
      </c>
      <c r="X835" s="21" t="str">
        <f ca="1">IFERROR(__xludf.DUMMYFUNCTION("GOOGLETRANSLATE($B835,""en"",X$3)"),"no va a salvar un remo con copia de seguridad automática.")</f>
        <v>no va a salvar un remo con copia de seguridad automática.</v>
      </c>
      <c r="Y835" s="21"/>
      <c r="Z835" s="21"/>
    </row>
    <row r="836" spans="1:26" ht="32.25" customHeight="1" x14ac:dyDescent="0.2">
      <c r="A836" s="17" t="s">
        <v>1769</v>
      </c>
      <c r="B836" s="17" t="s">
        <v>1770</v>
      </c>
      <c r="C836" s="21" t="str">
        <f ca="1">IFERROR(__xludf.DUMMYFUNCTION("GOOGLETRANSLATE($B836,""en"",C$3)"),"Irgend etwas stimmt nicht mit dem Internet")</f>
        <v>Irgend etwas stimmt nicht mit dem Internet</v>
      </c>
      <c r="D836" s="21" t="str">
        <f ca="1">IFERROR(__xludf.DUMMYFUNCTION("GOOGLETRANSLATE($B836,""en"",D$3)"),"Något är fel med Internet")</f>
        <v>Något är fel med Internet</v>
      </c>
      <c r="E836" s="21" t="str">
        <f ca="1">IFERROR(__xludf.DUMMYFUNCTION("GOOGLETRANSLATE($B836,""en"",E$3)"),"Algo está errado com a Internet")</f>
        <v>Algo está errado com a Internet</v>
      </c>
      <c r="F836" s="21" t="str">
        <f ca="1">IFERROR(__xludf.DUMMYFUNCTION("GOOGLETRANSLATE($B836,""en"",F$3)"),"Algo está errado com a Internet")</f>
        <v>Algo está errado com a Internet</v>
      </c>
      <c r="G836" s="21" t="str">
        <f ca="1">IFERROR(__xludf.DUMMYFUNCTION("GOOGLETRANSLATE($B836,""en"",G$3)"),"Quelque chose ne va pas avec l'Internet")</f>
        <v>Quelque chose ne va pas avec l'Internet</v>
      </c>
      <c r="H836" s="21" t="str">
        <f ca="1">IFERROR(__xludf.DUMMYFUNCTION("GOOGLETRANSLATE($B836,""en"",H$3)"),"Zerbait Interneten gaizki")</f>
        <v>Zerbait Interneten gaizki</v>
      </c>
      <c r="I836" s="21" t="str">
        <f ca="1">IFERROR(__xludf.DUMMYFUNCTION("GOOGLETRANSLATE($B836,""en"",I$3)"),"Alguna cosa està malament en Internet")</f>
        <v>Alguna cosa està malament en Internet</v>
      </c>
      <c r="J836" s="21" t="str">
        <f ca="1">IFERROR(__xludf.DUMMYFUNCTION("GOOGLETRANSLATE($B836,""en"",J$3)"),"Něco je s Internetem v pořádku")</f>
        <v>Něco je s Internetem v pořádku</v>
      </c>
      <c r="K836" s="21" t="str">
        <f ca="1">IFERROR(__xludf.DUMMYFUNCTION("GOOGLETRANSLATE($B836,""en"",K$3)"),"什么是错与互联网")</f>
        <v>什么是错与互联网</v>
      </c>
      <c r="L836" s="21" t="str">
        <f ca="1">IFERROR(__xludf.DUMMYFUNCTION("GOOGLETRANSLATE($B836,""en"",L$3)"),"什麼是錯與互聯網")</f>
        <v>什麼是錯與互聯網</v>
      </c>
      <c r="M836" s="21" t="str">
        <f ca="1">IFERROR(__xludf.DUMMYFUNCTION("GOOGLETRANSLATE($B836,""en"",M$3)"),"Er is iets mis met het internet")</f>
        <v>Er is iets mis met het internet</v>
      </c>
      <c r="N836" s="21" t="str">
        <f ca="1">IFERROR(__xludf.DUMMYFUNCTION("GOOGLETRANSLATE($B836,""en"",N$3)"),"Κάτι δεν πάει καλά με το Διαδίκτυο")</f>
        <v>Κάτι δεν πάει καλά με το Διαδίκτυο</v>
      </c>
      <c r="O836" s="21" t="str">
        <f ca="1">IFERROR(__xludf.DUMMYFUNCTION("GOOGLETRANSLATE($B836,""en"",O$3)"),"Jotain on vialla Internetissä")</f>
        <v>Jotain on vialla Internetissä</v>
      </c>
      <c r="P836" s="21" t="str">
        <f ca="1">IFERROR(__xludf.DUMMYFUNCTION("GOOGLETRANSLATE($B836,""en"",P$3)"),"Tá rud éigin cearr leis an Idirlíon")</f>
        <v>Tá rud éigin cearr leis an Idirlíon</v>
      </c>
      <c r="Q836" s="21" t="str">
        <f ca="1">IFERROR(__xludf.DUMMYFUNCTION("GOOGLETRANSLATE($B836,""en"",Q$3)"),"چیزی اشتباه است با اینترنت است")</f>
        <v>چیزی اشتباه است با اینترنت است</v>
      </c>
      <c r="R836" s="21" t="str">
        <f ca="1">IFERROR(__xludf.DUMMYFUNCTION("GOOGLETRANSLATE($B836,""en"",R$3)"),"משהו לא בסדר עם האינטרנט")</f>
        <v>משהו לא בסדר עם האינטרנט</v>
      </c>
      <c r="S836" s="21" t="str">
        <f ca="1">IFERROR(__xludf.DUMMYFUNCTION("GOOGLETRANSLATE($B836,""en"",S$3)"),"Eitthvað er athugavert við Internetið")</f>
        <v>Eitthvað er athugavert við Internetið</v>
      </c>
      <c r="T836" s="21" t="str">
        <f ca="1">IFERROR(__xludf.DUMMYFUNCTION("GOOGLETRANSLATE($B836,""en"",T$3)"),"Noe er galt med Internett")</f>
        <v>Noe er galt med Internett</v>
      </c>
      <c r="U836" s="21" t="str">
        <f ca="1">IFERROR(__xludf.DUMMYFUNCTION("GOOGLETRANSLATE($B836,""en"",U$3)"),"هناك خطأ ما مع الإنترنت")</f>
        <v>هناك خطأ ما مع الإنترنت</v>
      </c>
      <c r="V836" s="21" t="str">
        <f ca="1">IFERROR(__xludf.DUMMYFUNCTION("GOOGLETRANSLATE($B836,""en"",V$3)"),"Coś jest nie tak z Internetem")</f>
        <v>Coś jest nie tak z Internetem</v>
      </c>
      <c r="W836" s="21" t="str">
        <f ca="1">IFERROR(__xludf.DUMMYFUNCTION("GOOGLETRANSLATE($B836,""en"",W$3)"),"Что-то не так с Интернетом")</f>
        <v>Что-то не так с Интернетом</v>
      </c>
      <c r="X836" s="21" t="str">
        <f ca="1">IFERROR(__xludf.DUMMYFUNCTION("GOOGLETRANSLATE($B836,""en"",X$3)"),"Algo está mal en Internet")</f>
        <v>Algo está mal en Internet</v>
      </c>
      <c r="Y836" s="21"/>
      <c r="Z836" s="21"/>
    </row>
    <row r="837" spans="1:26" ht="32.25" customHeight="1" x14ac:dyDescent="0.2">
      <c r="A837" s="26" t="s">
        <v>1771</v>
      </c>
      <c r="B837" s="26" t="s">
        <v>1771</v>
      </c>
      <c r="C837" s="21" t="str">
        <f ca="1">IFERROR(__xludf.DUMMYFUNCTION("GOOGLETRANSLATE($B837,""en"",C$3)"),"X")</f>
        <v>X</v>
      </c>
      <c r="D837" s="21" t="str">
        <f ca="1">IFERROR(__xludf.DUMMYFUNCTION("GOOGLETRANSLATE($B837,""en"",D$3)"),"X")</f>
        <v>X</v>
      </c>
      <c r="E837" s="21" t="str">
        <f ca="1">IFERROR(__xludf.DUMMYFUNCTION("GOOGLETRANSLATE($B837,""en"",E$3)"),"X")</f>
        <v>X</v>
      </c>
      <c r="F837" s="21" t="str">
        <f ca="1">IFERROR(__xludf.DUMMYFUNCTION("GOOGLETRANSLATE($B837,""en"",F$3)"),"X")</f>
        <v>X</v>
      </c>
      <c r="G837" s="21" t="str">
        <f ca="1">IFERROR(__xludf.DUMMYFUNCTION("GOOGLETRANSLATE($B837,""en"",G$3)"),"X")</f>
        <v>X</v>
      </c>
      <c r="H837" s="21" t="str">
        <f ca="1">IFERROR(__xludf.DUMMYFUNCTION("GOOGLETRANSLATE($B837,""en"",H$3)"),"X")</f>
        <v>X</v>
      </c>
      <c r="I837" s="21" t="str">
        <f ca="1">IFERROR(__xludf.DUMMYFUNCTION("GOOGLETRANSLATE($B837,""en"",I$3)"),"X")</f>
        <v>X</v>
      </c>
      <c r="J837" s="21" t="str">
        <f ca="1">IFERROR(__xludf.DUMMYFUNCTION("GOOGLETRANSLATE($B837,""en"",J$3)"),"X")</f>
        <v>X</v>
      </c>
      <c r="K837" s="21" t="str">
        <f ca="1">IFERROR(__xludf.DUMMYFUNCTION("GOOGLETRANSLATE($B837,""en"",K$3)"),"X")</f>
        <v>X</v>
      </c>
      <c r="L837" s="21" t="str">
        <f ca="1">IFERROR(__xludf.DUMMYFUNCTION("GOOGLETRANSLATE($B837,""en"",L$3)"),"X")</f>
        <v>X</v>
      </c>
      <c r="M837" s="21" t="str">
        <f ca="1">IFERROR(__xludf.DUMMYFUNCTION("GOOGLETRANSLATE($B837,""en"",M$3)"),"X")</f>
        <v>X</v>
      </c>
      <c r="N837" s="21" t="str">
        <f ca="1">IFERROR(__xludf.DUMMYFUNCTION("GOOGLETRANSLATE($B837,""en"",N$3)"),"Χ")</f>
        <v>Χ</v>
      </c>
      <c r="O837" s="21" t="str">
        <f ca="1">IFERROR(__xludf.DUMMYFUNCTION("GOOGLETRANSLATE($B837,""en"",O$3)"),"X")</f>
        <v>X</v>
      </c>
      <c r="P837" s="21" t="str">
        <f ca="1">IFERROR(__xludf.DUMMYFUNCTION("GOOGLETRANSLATE($B837,""en"",P$3)"),"X")</f>
        <v>X</v>
      </c>
      <c r="Q837" s="21" t="str">
        <f ca="1">IFERROR(__xludf.DUMMYFUNCTION("GOOGLETRANSLATE($B837,""en"",Q$3)"),"ایکس")</f>
        <v>ایکس</v>
      </c>
      <c r="R837" s="21" t="str">
        <f ca="1">IFERROR(__xludf.DUMMYFUNCTION("GOOGLETRANSLATE($B837,""en"",R$3)"),"איקס")</f>
        <v>איקס</v>
      </c>
      <c r="S837" s="21" t="str">
        <f ca="1">IFERROR(__xludf.DUMMYFUNCTION("GOOGLETRANSLATE($B837,""en"",S$3)"),"X")</f>
        <v>X</v>
      </c>
      <c r="T837" s="21" t="str">
        <f ca="1">IFERROR(__xludf.DUMMYFUNCTION("GOOGLETRANSLATE($B837,""en"",T$3)"),"X")</f>
        <v>X</v>
      </c>
      <c r="U837" s="21" t="str">
        <f ca="1">IFERROR(__xludf.DUMMYFUNCTION("GOOGLETRANSLATE($B837,""en"",U$3)"),"X")</f>
        <v>X</v>
      </c>
      <c r="V837" s="21" t="str">
        <f ca="1">IFERROR(__xludf.DUMMYFUNCTION("GOOGLETRANSLATE($B837,""en"",V$3)"),"X")</f>
        <v>X</v>
      </c>
      <c r="W837" s="21" t="str">
        <f ca="1">IFERROR(__xludf.DUMMYFUNCTION("GOOGLETRANSLATE($B837,""en"",W$3)"),"Икс")</f>
        <v>Икс</v>
      </c>
      <c r="X837" s="21" t="str">
        <f ca="1">IFERROR(__xludf.DUMMYFUNCTION("GOOGLETRANSLATE($B837,""en"",X$3)"),"X")</f>
        <v>X</v>
      </c>
      <c r="Y837" s="21"/>
      <c r="Z837" s="21"/>
    </row>
    <row r="838" spans="1:26" ht="32.25" customHeight="1" x14ac:dyDescent="0.2">
      <c r="A838" s="26" t="s">
        <v>1772</v>
      </c>
      <c r="B838" s="26" t="s">
        <v>1773</v>
      </c>
      <c r="C838" s="21" t="str">
        <f ca="1">IFERROR(__xludf.DUMMYFUNCTION("GOOGLETRANSLATE($B838,""en"",C$3)"),"X Motor")</f>
        <v>X Motor</v>
      </c>
      <c r="D838" s="21" t="str">
        <f ca="1">IFERROR(__xludf.DUMMYFUNCTION("GOOGLETRANSLATE($B838,""en"",D$3)"),"X Engine")</f>
        <v>X Engine</v>
      </c>
      <c r="E838" s="21" t="str">
        <f ca="1">IFERROR(__xludf.DUMMYFUNCTION("GOOGLETRANSLATE($B838,""en"",E$3)"),"X Motor")</f>
        <v>X Motor</v>
      </c>
      <c r="F838" s="21" t="str">
        <f ca="1">IFERROR(__xludf.DUMMYFUNCTION("GOOGLETRANSLATE($B838,""en"",F$3)"),"X Motor")</f>
        <v>X Motor</v>
      </c>
      <c r="G838" s="21" t="str">
        <f ca="1">IFERROR(__xludf.DUMMYFUNCTION("GOOGLETRANSLATE($B838,""en"",G$3)"),"X moteur")</f>
        <v>X moteur</v>
      </c>
      <c r="H838" s="21" t="str">
        <f ca="1">IFERROR(__xludf.DUMMYFUNCTION("GOOGLETRANSLATE($B838,""en"",H$3)"),"X motorra")</f>
        <v>X motorra</v>
      </c>
      <c r="I838" s="21" t="str">
        <f ca="1">IFERROR(__xludf.DUMMYFUNCTION("GOOGLETRANSLATE($B838,""en"",I$3)"),"X motor")</f>
        <v>X motor</v>
      </c>
      <c r="J838" s="21" t="str">
        <f ca="1">IFERROR(__xludf.DUMMYFUNCTION("GOOGLETRANSLATE($B838,""en"",J$3)"),"X Engine")</f>
        <v>X Engine</v>
      </c>
      <c r="K838" s="21" t="str">
        <f ca="1">IFERROR(__xludf.DUMMYFUNCTION("GOOGLETRANSLATE($B838,""en"",K$3)"),"X发动机")</f>
        <v>X发动机</v>
      </c>
      <c r="L838" s="21" t="str">
        <f ca="1">IFERROR(__xludf.DUMMYFUNCTION("GOOGLETRANSLATE($B838,""en"",L$3)"),"X發動機")</f>
        <v>X發動機</v>
      </c>
      <c r="M838" s="21" t="str">
        <f ca="1">IFERROR(__xludf.DUMMYFUNCTION("GOOGLETRANSLATE($B838,""en"",M$3)"),"X Engine")</f>
        <v>X Engine</v>
      </c>
      <c r="N838" s="21" t="str">
        <f ca="1">IFERROR(__xludf.DUMMYFUNCTION("GOOGLETRANSLATE($B838,""en"",N$3)"),"X κινητήρα")</f>
        <v>X κινητήρα</v>
      </c>
      <c r="O838" s="21" t="str">
        <f ca="1">IFERROR(__xludf.DUMMYFUNCTION("GOOGLETRANSLATE($B838,""en"",O$3)"),"X Moottori")</f>
        <v>X Moottori</v>
      </c>
      <c r="P838" s="21" t="str">
        <f ca="1">IFERROR(__xludf.DUMMYFUNCTION("GOOGLETRANSLATE($B838,""en"",P$3)"),"X Inneall")</f>
        <v>X Inneall</v>
      </c>
      <c r="Q838" s="21" t="str">
        <f ca="1">IFERROR(__xludf.DUMMYFUNCTION("GOOGLETRANSLATE($B838,""en"",Q$3)"),"X موتور")</f>
        <v>X موتور</v>
      </c>
      <c r="R838" s="21" t="str">
        <f ca="1">IFERROR(__xludf.DUMMYFUNCTION("GOOGLETRANSLATE($B838,""en"",R$3)"),"מנוע X")</f>
        <v>מנוע X</v>
      </c>
      <c r="S838" s="21" t="str">
        <f ca="1">IFERROR(__xludf.DUMMYFUNCTION("GOOGLETRANSLATE($B838,""en"",S$3)"),"X Engine")</f>
        <v>X Engine</v>
      </c>
      <c r="T838" s="21" t="str">
        <f ca="1">IFERROR(__xludf.DUMMYFUNCTION("GOOGLETRANSLATE($B838,""en"",T$3)"),"X Engine")</f>
        <v>X Engine</v>
      </c>
      <c r="U838" s="21" t="str">
        <f ca="1">IFERROR(__xludf.DUMMYFUNCTION("GOOGLETRANSLATE($B838,""en"",U$3)"),"X المحرك")</f>
        <v>X المحرك</v>
      </c>
      <c r="V838" s="21" t="str">
        <f ca="1">IFERROR(__xludf.DUMMYFUNCTION("GOOGLETRANSLATE($B838,""en"",V$3)"),"Silnik X")</f>
        <v>Silnik X</v>
      </c>
      <c r="W838" s="21" t="str">
        <f ca="1">IFERROR(__xludf.DUMMYFUNCTION("GOOGLETRANSLATE($B838,""en"",W$3)"),"X Двигатель")</f>
        <v>X Двигатель</v>
      </c>
      <c r="X838" s="21" t="str">
        <f ca="1">IFERROR(__xludf.DUMMYFUNCTION("GOOGLETRANSLATE($B838,""en"",X$3)"),"X motor")</f>
        <v>X motor</v>
      </c>
      <c r="Y838" s="21"/>
      <c r="Z838" s="21"/>
    </row>
    <row r="839" spans="1:26" ht="32.25" customHeight="1" x14ac:dyDescent="0.2">
      <c r="A839" s="10" t="s">
        <v>1774</v>
      </c>
      <c r="B839" s="10" t="s">
        <v>1775</v>
      </c>
      <c r="C839" s="21" t="str">
        <f ca="1">IFERROR(__xludf.DUMMYFUNCTION("GOOGLETRANSLATE($B839,""en"",C$3)"),"XMLRPC Hafen starten #")</f>
        <v>XMLRPC Hafen starten #</v>
      </c>
      <c r="D839" s="21" t="str">
        <f ca="1">IFERROR(__xludf.DUMMYFUNCTION("GOOGLETRANSLATE($B839,""en"",D$3)"),"XMLRPC Port Start #")</f>
        <v>XMLRPC Port Start #</v>
      </c>
      <c r="E839" s="21" t="str">
        <f ca="1">IFERROR(__xludf.DUMMYFUNCTION("GOOGLETRANSLATE($B839,""en"",E$3)"),"XMLRPC Port Start #")</f>
        <v>XMLRPC Port Start #</v>
      </c>
      <c r="F839" s="21" t="str">
        <f ca="1">IFERROR(__xludf.DUMMYFUNCTION("GOOGLETRANSLATE($B839,""en"",F$3)"),"XMLRPC Port Start #")</f>
        <v>XMLRPC Port Start #</v>
      </c>
      <c r="G839" s="21" t="str">
        <f ca="1">IFERROR(__xludf.DUMMYFUNCTION("GOOGLETRANSLATE($B839,""en"",G$3)"),"Port XMLRPC Démarrer #")</f>
        <v>Port XMLRPC Démarrer #</v>
      </c>
      <c r="H839" s="21" t="str">
        <f ca="1">IFERROR(__xludf.DUMMYFUNCTION("GOOGLETRANSLATE($B839,""en"",H$3)"),"XMLRPC Port Start #")</f>
        <v>XMLRPC Port Start #</v>
      </c>
      <c r="I839" s="21" t="str">
        <f ca="1">IFERROR(__xludf.DUMMYFUNCTION("GOOGLETRANSLATE($B839,""en"",I$3)"),"XMLRPC port d'inici #")</f>
        <v>XMLRPC port d'inici #</v>
      </c>
      <c r="J839" s="21" t="str">
        <f ca="1">IFERROR(__xludf.DUMMYFUNCTION("GOOGLETRANSLATE($B839,""en"",J$3)"),"XMLRPC Port start #")</f>
        <v>XMLRPC Port start #</v>
      </c>
      <c r="K839" s="21" t="str">
        <f ca="1">IFERROR(__xludf.DUMMYFUNCTION("GOOGLETRANSLATE($B839,""en"",K$3)"),"XML-RPC端口起始＃")</f>
        <v>XML-RPC端口起始＃</v>
      </c>
      <c r="L839" s="21" t="str">
        <f ca="1">IFERROR(__xludf.DUMMYFUNCTION("GOOGLETRANSLATE($B839,""en"",L$3)"),"XML-RPC端口起始＃")</f>
        <v>XML-RPC端口起始＃</v>
      </c>
      <c r="M839" s="21" t="str">
        <f ca="1">IFERROR(__xludf.DUMMYFUNCTION("GOOGLETRANSLATE($B839,""en"",M$3)"),"XMLRPC Port Start #")</f>
        <v>XMLRPC Port Start #</v>
      </c>
      <c r="N839" s="21" t="str">
        <f ca="1">IFERROR(__xludf.DUMMYFUNCTION("GOOGLETRANSLATE($B839,""en"",N$3)"),"XMLRPC Port Start #")</f>
        <v>XMLRPC Port Start #</v>
      </c>
      <c r="O839" s="21" t="str">
        <f ca="1">IFERROR(__xludf.DUMMYFUNCTION("GOOGLETRANSLATE($B839,""en"",O$3)"),"XMLRPC Port Start #")</f>
        <v>XMLRPC Port Start #</v>
      </c>
      <c r="P839" s="21" t="str">
        <f ca="1">IFERROR(__xludf.DUMMYFUNCTION("GOOGLETRANSLATE($B839,""en"",P$3)"),"XMLRPC Port Tosaigh #")</f>
        <v>XMLRPC Port Tosaigh #</v>
      </c>
      <c r="Q839" s="21" t="str">
        <f ca="1">IFERROR(__xludf.DUMMYFUNCTION("GOOGLETRANSLATE($B839,""en"",Q$3)"),"XMLRPC بندر شروع #")</f>
        <v>XMLRPC بندر شروع #</v>
      </c>
      <c r="R839" s="21" t="str">
        <f ca="1">IFERROR(__xludf.DUMMYFUNCTION("GOOGLETRANSLATE($B839,""en"",R$3)"),"Xmlrpc נמל התחל #")</f>
        <v>Xmlrpc נמל התחל #</v>
      </c>
      <c r="S839" s="21" t="str">
        <f ca="1">IFERROR(__xludf.DUMMYFUNCTION("GOOGLETRANSLATE($B839,""en"",S$3)"),"Xmlrpc Port Start #")</f>
        <v>Xmlrpc Port Start #</v>
      </c>
      <c r="T839" s="21" t="str">
        <f ca="1">IFERROR(__xludf.DUMMYFUNCTION("GOOGLETRANSLATE($B839,""en"",T$3)"),"Xmlrpc Port start #")</f>
        <v>Xmlrpc Port start #</v>
      </c>
      <c r="U839" s="21" t="str">
        <f ca="1">IFERROR(__xludf.DUMMYFUNCTION("GOOGLETRANSLATE($B839,""en"",U$3)"),"XMLRPC ميناء بدء #")</f>
        <v>XMLRPC ميناء بدء #</v>
      </c>
      <c r="V839" s="21" t="str">
        <f ca="1">IFERROR(__xludf.DUMMYFUNCTION("GOOGLETRANSLATE($B839,""en"",V$3)"),"XMLRPC Port start #")</f>
        <v>XMLRPC Port start #</v>
      </c>
      <c r="W839" s="21" t="str">
        <f ca="1">IFERROR(__xludf.DUMMYFUNCTION("GOOGLETRANSLATE($B839,""en"",W$3)"),"XMLRPC Port Start #")</f>
        <v>XMLRPC Port Start #</v>
      </c>
      <c r="X839" s="21" t="str">
        <f ca="1">IFERROR(__xludf.DUMMYFUNCTION("GOOGLETRANSLATE($B839,""en"",X$3)"),"XMLRPC puerto de inicio #")</f>
        <v>XMLRPC puerto de inicio #</v>
      </c>
      <c r="Y839" s="21"/>
      <c r="Z839" s="21"/>
    </row>
    <row r="840" spans="1:26" ht="32.25" customHeight="1" x14ac:dyDescent="0.2">
      <c r="A840" s="1" t="s">
        <v>1776</v>
      </c>
      <c r="B840" s="1" t="s">
        <v>1776</v>
      </c>
      <c r="C840" s="21" t="str">
        <f ca="1">IFERROR(__xludf.DUMMYFUNCTION("GOOGLETRANSLATE($B840,""en"",C$3)"),"XMLRPC")</f>
        <v>XMLRPC</v>
      </c>
      <c r="D840" s="21" t="str">
        <f ca="1">IFERROR(__xludf.DUMMYFUNCTION("GOOGLETRANSLATE($B840,""en"",D$3)"),"XMLRPC")</f>
        <v>XMLRPC</v>
      </c>
      <c r="E840" s="21" t="str">
        <f ca="1">IFERROR(__xludf.DUMMYFUNCTION("GOOGLETRANSLATE($B840,""en"",E$3)"),"XMLRPC")</f>
        <v>XMLRPC</v>
      </c>
      <c r="F840" s="21" t="str">
        <f ca="1">IFERROR(__xludf.DUMMYFUNCTION("GOOGLETRANSLATE($B840,""en"",F$3)"),"XMLRPC")</f>
        <v>XMLRPC</v>
      </c>
      <c r="G840" s="21" t="str">
        <f ca="1">IFERROR(__xludf.DUMMYFUNCTION("GOOGLETRANSLATE($B840,""en"",G$3)"),"XMLRPC")</f>
        <v>XMLRPC</v>
      </c>
      <c r="H840" s="21" t="str">
        <f ca="1">IFERROR(__xludf.DUMMYFUNCTION("GOOGLETRANSLATE($B840,""en"",H$3)"),"XMLRPC")</f>
        <v>XMLRPC</v>
      </c>
      <c r="I840" s="21" t="str">
        <f ca="1">IFERROR(__xludf.DUMMYFUNCTION("GOOGLETRANSLATE($B840,""en"",I$3)"),"XMLRPC")</f>
        <v>XMLRPC</v>
      </c>
      <c r="J840" s="21" t="str">
        <f ca="1">IFERROR(__xludf.DUMMYFUNCTION("GOOGLETRANSLATE($B840,""en"",J$3)"),"XMLRPC")</f>
        <v>XMLRPC</v>
      </c>
      <c r="K840" s="21" t="str">
        <f ca="1">IFERROR(__xludf.DUMMYFUNCTION("GOOGLETRANSLATE($B840,""en"",K$3)"),"XMLRPC")</f>
        <v>XMLRPC</v>
      </c>
      <c r="L840" s="21" t="str">
        <f ca="1">IFERROR(__xludf.DUMMYFUNCTION("GOOGLETRANSLATE($B840,""en"",L$3)"),"XMLRPC")</f>
        <v>XMLRPC</v>
      </c>
      <c r="M840" s="21" t="str">
        <f ca="1">IFERROR(__xludf.DUMMYFUNCTION("GOOGLETRANSLATE($B840,""en"",M$3)"),"XMLRPC")</f>
        <v>XMLRPC</v>
      </c>
      <c r="N840" s="21" t="str">
        <f ca="1">IFERROR(__xludf.DUMMYFUNCTION("GOOGLETRANSLATE($B840,""en"",N$3)"),"XMLRPC")</f>
        <v>XMLRPC</v>
      </c>
      <c r="O840" s="21" t="str">
        <f ca="1">IFERROR(__xludf.DUMMYFUNCTION("GOOGLETRANSLATE($B840,""en"",O$3)"),"XMLRPC")</f>
        <v>XMLRPC</v>
      </c>
      <c r="P840" s="21" t="str">
        <f ca="1">IFERROR(__xludf.DUMMYFUNCTION("GOOGLETRANSLATE($B840,""en"",P$3)"),"XMLRPC")</f>
        <v>XMLRPC</v>
      </c>
      <c r="Q840" s="21" t="str">
        <f ca="1">IFERROR(__xludf.DUMMYFUNCTION("GOOGLETRANSLATE($B840,""en"",Q$3)"),"XMLRPC")</f>
        <v>XMLRPC</v>
      </c>
      <c r="R840" s="21" t="str">
        <f ca="1">IFERROR(__xludf.DUMMYFUNCTION("GOOGLETRANSLATE($B840,""en"",R$3)"),"xmlrpc")</f>
        <v>xmlrpc</v>
      </c>
      <c r="S840" s="21" t="str">
        <f ca="1">IFERROR(__xludf.DUMMYFUNCTION("GOOGLETRANSLATE($B840,""en"",S$3)"),"xmlrpc")</f>
        <v>xmlrpc</v>
      </c>
      <c r="T840" s="21" t="str">
        <f ca="1">IFERROR(__xludf.DUMMYFUNCTION("GOOGLETRANSLATE($B840,""en"",T$3)"),"xmlrpc")</f>
        <v>xmlrpc</v>
      </c>
      <c r="U840" s="21" t="str">
        <f ca="1">IFERROR(__xludf.DUMMYFUNCTION("GOOGLETRANSLATE($B840,""en"",U$3)"),"XMLRPC")</f>
        <v>XMLRPC</v>
      </c>
      <c r="V840" s="21" t="str">
        <f ca="1">IFERROR(__xludf.DUMMYFUNCTION("GOOGLETRANSLATE($B840,""en"",V$3)"),"XMLRPC")</f>
        <v>XMLRPC</v>
      </c>
      <c r="W840" s="21" t="str">
        <f ca="1">IFERROR(__xludf.DUMMYFUNCTION("GOOGLETRANSLATE($B840,""en"",W$3)"),"XMLRPC")</f>
        <v>XMLRPC</v>
      </c>
      <c r="X840" s="21" t="str">
        <f ca="1">IFERROR(__xludf.DUMMYFUNCTION("GOOGLETRANSLATE($B840,""en"",X$3)"),"XMLRPC")</f>
        <v>XMLRPC</v>
      </c>
    </row>
    <row r="841" spans="1:26" ht="32.25" customHeight="1" x14ac:dyDescent="0.2">
      <c r="A841" s="1" t="s">
        <v>1777</v>
      </c>
      <c r="B841" s="1" t="s">
        <v>1777</v>
      </c>
      <c r="C841" s="21" t="str">
        <f ca="1">IFERROR(__xludf.DUMMYFUNCTION("GOOGLETRANSLATE($B841,""en"",C$3)"),"Y")</f>
        <v>Y</v>
      </c>
      <c r="D841" s="21" t="str">
        <f ca="1">IFERROR(__xludf.DUMMYFUNCTION("GOOGLETRANSLATE($B841,""en"",D$3)"),"Y")</f>
        <v>Y</v>
      </c>
      <c r="E841" s="21" t="str">
        <f ca="1">IFERROR(__xludf.DUMMYFUNCTION("GOOGLETRANSLATE($B841,""en"",E$3)"),"Y")</f>
        <v>Y</v>
      </c>
      <c r="F841" s="21" t="str">
        <f ca="1">IFERROR(__xludf.DUMMYFUNCTION("GOOGLETRANSLATE($B841,""en"",F$3)"),"Y")</f>
        <v>Y</v>
      </c>
      <c r="G841" s="21" t="str">
        <f ca="1">IFERROR(__xludf.DUMMYFUNCTION("GOOGLETRANSLATE($B841,""en"",G$3)"),"Y")</f>
        <v>Y</v>
      </c>
      <c r="H841" s="21" t="str">
        <f ca="1">IFERROR(__xludf.DUMMYFUNCTION("GOOGLETRANSLATE($B841,""en"",H$3)"),"Y")</f>
        <v>Y</v>
      </c>
      <c r="I841" s="21" t="str">
        <f ca="1">IFERROR(__xludf.DUMMYFUNCTION("GOOGLETRANSLATE($B841,""en"",I$3)"),"I")</f>
        <v>I</v>
      </c>
      <c r="J841" s="21" t="str">
        <f ca="1">IFERROR(__xludf.DUMMYFUNCTION("GOOGLETRANSLATE($B841,""en"",J$3)"),"Y")</f>
        <v>Y</v>
      </c>
      <c r="K841" s="21" t="str">
        <f ca="1">IFERROR(__xludf.DUMMYFUNCTION("GOOGLETRANSLATE($B841,""en"",K$3)"),"ÿ")</f>
        <v>ÿ</v>
      </c>
      <c r="L841" s="21" t="str">
        <f ca="1">IFERROR(__xludf.DUMMYFUNCTION("GOOGLETRANSLATE($B841,""en"",L$3)"),"ÿ")</f>
        <v>ÿ</v>
      </c>
      <c r="M841" s="21" t="str">
        <f ca="1">IFERROR(__xludf.DUMMYFUNCTION("GOOGLETRANSLATE($B841,""en"",M$3)"),"Y")</f>
        <v>Y</v>
      </c>
      <c r="N841" s="21" t="str">
        <f ca="1">IFERROR(__xludf.DUMMYFUNCTION("GOOGLETRANSLATE($B841,""en"",N$3)"),"Y")</f>
        <v>Y</v>
      </c>
      <c r="O841" s="21" t="str">
        <f ca="1">IFERROR(__xludf.DUMMYFUNCTION("GOOGLETRANSLATE($B841,""en"",O$3)"),"Y")</f>
        <v>Y</v>
      </c>
      <c r="P841" s="21" t="str">
        <f ca="1">IFERROR(__xludf.DUMMYFUNCTION("GOOGLETRANSLATE($B841,""en"",P$3)"),"Y")</f>
        <v>Y</v>
      </c>
      <c r="Q841" s="21" t="str">
        <f ca="1">IFERROR(__xludf.DUMMYFUNCTION("GOOGLETRANSLATE($B841,""en"",Q$3)"),"Y")</f>
        <v>Y</v>
      </c>
      <c r="R841" s="21" t="str">
        <f ca="1">IFERROR(__xludf.DUMMYFUNCTION("GOOGLETRANSLATE($B841,""en"",R$3)"),"Y")</f>
        <v>Y</v>
      </c>
      <c r="S841" s="21" t="str">
        <f ca="1">IFERROR(__xludf.DUMMYFUNCTION("GOOGLETRANSLATE($B841,""en"",S$3)"),"Y")</f>
        <v>Y</v>
      </c>
      <c r="T841" s="21" t="str">
        <f ca="1">IFERROR(__xludf.DUMMYFUNCTION("GOOGLETRANSLATE($B841,""en"",T$3)"),"Y")</f>
        <v>Y</v>
      </c>
      <c r="U841" s="21" t="str">
        <f ca="1">IFERROR(__xludf.DUMMYFUNCTION("GOOGLETRANSLATE($B841,""en"",U$3)"),"Y")</f>
        <v>Y</v>
      </c>
      <c r="V841" s="21" t="str">
        <f ca="1">IFERROR(__xludf.DUMMYFUNCTION("GOOGLETRANSLATE($B841,""en"",V$3)"),"Y")</f>
        <v>Y</v>
      </c>
      <c r="W841" s="21" t="str">
        <f ca="1">IFERROR(__xludf.DUMMYFUNCTION("GOOGLETRANSLATE($B841,""en"",W$3)"),"Y")</f>
        <v>Y</v>
      </c>
      <c r="X841" s="21" t="str">
        <f ca="1">IFERROR(__xludf.DUMMYFUNCTION("GOOGLETRANSLATE($B841,""en"",X$3)"),"Y")</f>
        <v>Y</v>
      </c>
    </row>
    <row r="842" spans="1:26" ht="32.25" customHeight="1" x14ac:dyDescent="0.2">
      <c r="A842" s="26" t="s">
        <v>1778</v>
      </c>
      <c r="B842" s="26" t="s">
        <v>1779</v>
      </c>
      <c r="C842" s="21" t="str">
        <f ca="1">IFERROR(__xludf.DUMMYFUNCTION("GOOGLETRANSLATE($B842,""en"",C$3)"),"YEngine")</f>
        <v>YEngine</v>
      </c>
      <c r="D842" s="21" t="str">
        <f ca="1">IFERROR(__xludf.DUMMYFUNCTION("GOOGLETRANSLATE($B842,""en"",D$3)"),"YEngine")</f>
        <v>YEngine</v>
      </c>
      <c r="E842" s="21" t="str">
        <f ca="1">IFERROR(__xludf.DUMMYFUNCTION("GOOGLETRANSLATE($B842,""en"",E$3)"),"YEngine")</f>
        <v>YEngine</v>
      </c>
      <c r="F842" s="21" t="str">
        <f ca="1">IFERROR(__xludf.DUMMYFUNCTION("GOOGLETRANSLATE($B842,""en"",F$3)"),"YEngine")</f>
        <v>YEngine</v>
      </c>
      <c r="G842" s="21" t="str">
        <f ca="1">IFERROR(__xludf.DUMMYFUNCTION("GOOGLETRANSLATE($B842,""en"",G$3)"),"YEngine")</f>
        <v>YEngine</v>
      </c>
      <c r="H842" s="21" t="str">
        <f ca="1">IFERROR(__xludf.DUMMYFUNCTION("GOOGLETRANSLATE($B842,""en"",H$3)"),"YEngine")</f>
        <v>YEngine</v>
      </c>
      <c r="I842" s="21" t="str">
        <f ca="1">IFERROR(__xludf.DUMMYFUNCTION("GOOGLETRANSLATE($B842,""en"",I$3)"),"YEngine")</f>
        <v>YEngine</v>
      </c>
      <c r="J842" s="21" t="str">
        <f ca="1">IFERROR(__xludf.DUMMYFUNCTION("GOOGLETRANSLATE($B842,""en"",J$3)"),"YEngine")</f>
        <v>YEngine</v>
      </c>
      <c r="K842" s="21" t="str">
        <f ca="1">IFERROR(__xludf.DUMMYFUNCTION("GOOGLETRANSLATE($B842,""en"",K$3)"),"YEngine")</f>
        <v>YEngine</v>
      </c>
      <c r="L842" s="21" t="str">
        <f ca="1">IFERROR(__xludf.DUMMYFUNCTION("GOOGLETRANSLATE($B842,""en"",L$3)"),"YEngine")</f>
        <v>YEngine</v>
      </c>
      <c r="M842" s="21" t="str">
        <f ca="1">IFERROR(__xludf.DUMMYFUNCTION("GOOGLETRANSLATE($B842,""en"",M$3)"),"YEngine")</f>
        <v>YEngine</v>
      </c>
      <c r="N842" s="21" t="str">
        <f ca="1">IFERROR(__xludf.DUMMYFUNCTION("GOOGLETRANSLATE($B842,""en"",N$3)"),"YEngine")</f>
        <v>YEngine</v>
      </c>
      <c r="O842" s="21" t="str">
        <f ca="1">IFERROR(__xludf.DUMMYFUNCTION("GOOGLETRANSLATE($B842,""en"",O$3)"),"YEngine")</f>
        <v>YEngine</v>
      </c>
      <c r="P842" s="21" t="str">
        <f ca="1">IFERROR(__xludf.DUMMYFUNCTION("GOOGLETRANSLATE($B842,""en"",P$3)"),"YEngine")</f>
        <v>YEngine</v>
      </c>
      <c r="Q842" s="21" t="str">
        <f ca="1">IFERROR(__xludf.DUMMYFUNCTION("GOOGLETRANSLATE($B842,""en"",Q$3)"),"YEngine")</f>
        <v>YEngine</v>
      </c>
      <c r="R842" s="21" t="str">
        <f ca="1">IFERROR(__xludf.DUMMYFUNCTION("GOOGLETRANSLATE($B842,""en"",R$3)"),"YEngine")</f>
        <v>YEngine</v>
      </c>
      <c r="S842" s="21" t="str">
        <f ca="1">IFERROR(__xludf.DUMMYFUNCTION("GOOGLETRANSLATE($B842,""en"",S$3)"),"YEngine")</f>
        <v>YEngine</v>
      </c>
      <c r="T842" s="21" t="str">
        <f ca="1">IFERROR(__xludf.DUMMYFUNCTION("GOOGLETRANSLATE($B842,""en"",T$3)"),"YEngine")</f>
        <v>YEngine</v>
      </c>
      <c r="U842" s="21" t="str">
        <f ca="1">IFERROR(__xludf.DUMMYFUNCTION("GOOGLETRANSLATE($B842,""en"",U$3)"),"YEngine")</f>
        <v>YEngine</v>
      </c>
      <c r="V842" s="21" t="str">
        <f ca="1">IFERROR(__xludf.DUMMYFUNCTION("GOOGLETRANSLATE($B842,""en"",V$3)"),"YEngine")</f>
        <v>YEngine</v>
      </c>
      <c r="W842" s="21" t="str">
        <f ca="1">IFERROR(__xludf.DUMMYFUNCTION("GOOGLETRANSLATE($B842,""en"",W$3)"),"YEngine")</f>
        <v>YEngine</v>
      </c>
      <c r="X842" s="21" t="str">
        <f ca="1">IFERROR(__xludf.DUMMYFUNCTION("GOOGLETRANSLATE($B842,""en"",X$3)"),"YEngine")</f>
        <v>YEngine</v>
      </c>
      <c r="Y842" s="21"/>
      <c r="Z842" s="21"/>
    </row>
    <row r="843" spans="1:26" ht="32.25" customHeight="1" x14ac:dyDescent="0.2">
      <c r="A843" s="10" t="s">
        <v>1780</v>
      </c>
      <c r="B843" s="10" t="s">
        <v>1781</v>
      </c>
      <c r="C843" s="21" t="str">
        <f ca="1">IFERROR(__xludf.DUMMYFUNCTION("GOOGLETRANSLATE($B843,""en"",C$3)"),"Ja")</f>
        <v>Ja</v>
      </c>
      <c r="D843" s="21" t="str">
        <f ca="1">IFERROR(__xludf.DUMMYFUNCTION("GOOGLETRANSLATE($B843,""en"",D$3)"),"Ja")</f>
        <v>Ja</v>
      </c>
      <c r="E843" s="21" t="str">
        <f ca="1">IFERROR(__xludf.DUMMYFUNCTION("GOOGLETRANSLATE($B843,""en"",E$3)"),"sim")</f>
        <v>sim</v>
      </c>
      <c r="F843" s="21" t="str">
        <f ca="1">IFERROR(__xludf.DUMMYFUNCTION("GOOGLETRANSLATE($B843,""en"",F$3)"),"sim")</f>
        <v>sim</v>
      </c>
      <c r="G843" s="21" t="str">
        <f ca="1">IFERROR(__xludf.DUMMYFUNCTION("GOOGLETRANSLATE($B843,""en"",G$3)"),"Oui")</f>
        <v>Oui</v>
      </c>
      <c r="H843" s="21" t="str">
        <f ca="1">IFERROR(__xludf.DUMMYFUNCTION("GOOGLETRANSLATE($B843,""en"",H$3)"),"Bai")</f>
        <v>Bai</v>
      </c>
      <c r="I843" s="21" t="str">
        <f ca="1">IFERROR(__xludf.DUMMYFUNCTION("GOOGLETRANSLATE($B843,""en"",I$3)"),"si")</f>
        <v>si</v>
      </c>
      <c r="J843" s="21" t="str">
        <f ca="1">IFERROR(__xludf.DUMMYFUNCTION("GOOGLETRANSLATE($B843,""en"",J$3)"),"Ano")</f>
        <v>Ano</v>
      </c>
      <c r="K843" s="21" t="str">
        <f ca="1">IFERROR(__xludf.DUMMYFUNCTION("GOOGLETRANSLATE($B843,""en"",K$3)"),"是")</f>
        <v>是</v>
      </c>
      <c r="L843" s="21" t="str">
        <f ca="1">IFERROR(__xludf.DUMMYFUNCTION("GOOGLETRANSLATE($B843,""en"",L$3)"),"是")</f>
        <v>是</v>
      </c>
      <c r="M843" s="21" t="str">
        <f ca="1">IFERROR(__xludf.DUMMYFUNCTION("GOOGLETRANSLATE($B843,""en"",M$3)"),"Ja")</f>
        <v>Ja</v>
      </c>
      <c r="N843" s="21" t="str">
        <f ca="1">IFERROR(__xludf.DUMMYFUNCTION("GOOGLETRANSLATE($B843,""en"",N$3)"),"Ναί")</f>
        <v>Ναί</v>
      </c>
      <c r="O843" s="21" t="str">
        <f ca="1">IFERROR(__xludf.DUMMYFUNCTION("GOOGLETRANSLATE($B843,""en"",O$3)"),"Joo")</f>
        <v>Joo</v>
      </c>
      <c r="P843" s="21" t="str">
        <f ca="1">IFERROR(__xludf.DUMMYFUNCTION("GOOGLETRANSLATE($B843,""en"",P$3)"),"Is ea")</f>
        <v>Is ea</v>
      </c>
      <c r="Q843" s="21" t="str">
        <f ca="1">IFERROR(__xludf.DUMMYFUNCTION("GOOGLETRANSLATE($B843,""en"",Q$3)"),"آره")</f>
        <v>آره</v>
      </c>
      <c r="R843" s="21" t="str">
        <f ca="1">IFERROR(__xludf.DUMMYFUNCTION("GOOGLETRANSLATE($B843,""en"",R$3)"),"כן")</f>
        <v>כן</v>
      </c>
      <c r="S843" s="21" t="str">
        <f ca="1">IFERROR(__xludf.DUMMYFUNCTION("GOOGLETRANSLATE($B843,""en"",S$3)"),"Já")</f>
        <v>Já</v>
      </c>
      <c r="T843" s="21" t="str">
        <f ca="1">IFERROR(__xludf.DUMMYFUNCTION("GOOGLETRANSLATE($B843,""en"",T$3)"),"Ja")</f>
        <v>Ja</v>
      </c>
      <c r="U843" s="21" t="str">
        <f ca="1">IFERROR(__xludf.DUMMYFUNCTION("GOOGLETRANSLATE($B843,""en"",U$3)"),"نعم")</f>
        <v>نعم</v>
      </c>
      <c r="V843" s="21" t="str">
        <f ca="1">IFERROR(__xludf.DUMMYFUNCTION("GOOGLETRANSLATE($B843,""en"",V$3)"),"tak")</f>
        <v>tak</v>
      </c>
      <c r="W843" s="21" t="str">
        <f ca="1">IFERROR(__xludf.DUMMYFUNCTION("GOOGLETRANSLATE($B843,""en"",W$3)"),"да")</f>
        <v>да</v>
      </c>
      <c r="X843" s="21" t="str">
        <f ca="1">IFERROR(__xludf.DUMMYFUNCTION("GOOGLETRANSLATE($B843,""en"",X$3)"),"si")</f>
        <v>si</v>
      </c>
      <c r="Y843" s="21"/>
      <c r="Z843" s="21"/>
    </row>
    <row r="844" spans="1:26" ht="32.25" customHeight="1" x14ac:dyDescent="0.2">
      <c r="C844" s="27"/>
      <c r="D844" s="22"/>
      <c r="E844" s="22"/>
      <c r="F844" s="22"/>
      <c r="G844" s="22"/>
      <c r="H844" s="22"/>
      <c r="I844" s="22"/>
      <c r="J844" s="22"/>
      <c r="K844" s="22"/>
      <c r="L844" s="22"/>
      <c r="M844" s="22"/>
      <c r="N844" s="22"/>
      <c r="O844" s="22"/>
      <c r="P844" s="22"/>
      <c r="Q844" s="22"/>
      <c r="R844" s="22"/>
      <c r="S844" s="22"/>
      <c r="T844" s="22"/>
      <c r="U844" s="22"/>
      <c r="V844" s="22"/>
      <c r="W844" s="22"/>
      <c r="X844" s="22"/>
      <c r="Y844" s="15"/>
      <c r="Z844" s="15"/>
    </row>
    <row r="845" spans="1:26" ht="32.25" customHeight="1" x14ac:dyDescent="0.2">
      <c r="A845" s="10"/>
      <c r="B845" s="10"/>
      <c r="C845" s="11"/>
      <c r="D845" s="12"/>
      <c r="E845" s="13"/>
      <c r="F845" s="14"/>
      <c r="G845" s="12"/>
      <c r="H845" s="12"/>
      <c r="I845" s="12"/>
      <c r="J845" s="12"/>
      <c r="K845" s="12"/>
      <c r="L845" s="12"/>
      <c r="M845" s="12"/>
      <c r="N845" s="12"/>
      <c r="O845" s="12"/>
      <c r="P845" s="12"/>
      <c r="Q845" s="12"/>
      <c r="R845" s="12"/>
      <c r="S845" s="12"/>
      <c r="T845" s="12"/>
      <c r="U845" s="12"/>
      <c r="V845" s="15"/>
      <c r="W845" s="12"/>
      <c r="X845" s="12"/>
      <c r="Y845" s="12"/>
      <c r="Z845" s="12"/>
    </row>
    <row r="846" spans="1:26" ht="32.25" customHeight="1" x14ac:dyDescent="0.2">
      <c r="C846" s="27"/>
      <c r="D846" s="28"/>
      <c r="E846" s="22"/>
      <c r="F846" s="22"/>
      <c r="G846" s="22"/>
      <c r="H846" s="22"/>
      <c r="I846" s="22"/>
      <c r="J846" s="22"/>
      <c r="K846" s="22"/>
      <c r="L846" s="22"/>
      <c r="M846" s="22"/>
      <c r="N846" s="22"/>
      <c r="O846" s="22"/>
      <c r="P846" s="22"/>
      <c r="Q846" s="22"/>
      <c r="R846" s="22"/>
      <c r="S846" s="22"/>
      <c r="T846" s="22"/>
      <c r="U846" s="22"/>
      <c r="V846" s="22"/>
      <c r="W846" s="22"/>
      <c r="X846" s="22"/>
      <c r="Y846" s="15"/>
      <c r="Z846" s="15"/>
    </row>
    <row r="847" spans="1:26" ht="32.25" customHeight="1" x14ac:dyDescent="0.2">
      <c r="C847" s="27"/>
      <c r="D847" s="22"/>
      <c r="E847" s="22"/>
      <c r="F847" s="22"/>
      <c r="G847" s="22"/>
      <c r="H847" s="22"/>
      <c r="I847" s="22"/>
      <c r="J847" s="22"/>
      <c r="K847" s="22"/>
      <c r="L847" s="22"/>
      <c r="M847" s="22"/>
      <c r="N847" s="22"/>
      <c r="O847" s="22"/>
      <c r="P847" s="22"/>
      <c r="Q847" s="22"/>
      <c r="R847" s="22"/>
      <c r="S847" s="22"/>
      <c r="T847" s="22"/>
      <c r="U847" s="22"/>
      <c r="V847" s="22"/>
      <c r="W847" s="22"/>
      <c r="X847" s="22"/>
      <c r="Y847" s="15"/>
      <c r="Z847" s="15"/>
    </row>
    <row r="848" spans="1:26" ht="32.25" customHeight="1" x14ac:dyDescent="0.2">
      <c r="C848" s="27"/>
      <c r="D848" s="22"/>
      <c r="E848" s="22"/>
      <c r="F848" s="22"/>
      <c r="G848" s="22"/>
      <c r="H848" s="22"/>
      <c r="I848" s="22"/>
      <c r="J848" s="22"/>
      <c r="K848" s="22"/>
      <c r="L848" s="22"/>
      <c r="M848" s="22"/>
      <c r="N848" s="22"/>
      <c r="O848" s="22"/>
      <c r="P848" s="22"/>
      <c r="Q848" s="22"/>
      <c r="R848" s="22"/>
      <c r="S848" s="22"/>
      <c r="T848" s="22"/>
      <c r="U848" s="22"/>
      <c r="V848" s="22"/>
      <c r="W848" s="22"/>
      <c r="X848" s="22"/>
      <c r="Y848" s="15"/>
      <c r="Z848" s="15"/>
    </row>
    <row r="849" spans="3:26" ht="32.25" customHeight="1" x14ac:dyDescent="0.2">
      <c r="C849" s="27"/>
      <c r="D849" s="22"/>
      <c r="E849" s="22"/>
      <c r="F849" s="22"/>
      <c r="G849" s="22"/>
      <c r="H849" s="22"/>
      <c r="I849" s="22"/>
      <c r="J849" s="22"/>
      <c r="K849" s="22"/>
      <c r="L849" s="22"/>
      <c r="M849" s="22"/>
      <c r="N849" s="22"/>
      <c r="O849" s="22"/>
      <c r="P849" s="22"/>
      <c r="Q849" s="22"/>
      <c r="R849" s="22"/>
      <c r="S849" s="22"/>
      <c r="T849" s="22"/>
      <c r="U849" s="22"/>
      <c r="V849" s="22"/>
      <c r="W849" s="22"/>
      <c r="X849" s="22"/>
      <c r="Y849" s="15"/>
      <c r="Z849" s="15"/>
    </row>
    <row r="850" spans="3:26" ht="32.25" customHeight="1" x14ac:dyDescent="0.2">
      <c r="C850" s="27"/>
      <c r="D850" s="22"/>
      <c r="E850" s="22"/>
      <c r="F850" s="22"/>
      <c r="G850" s="22"/>
      <c r="H850" s="22"/>
      <c r="I850" s="22"/>
      <c r="J850" s="22"/>
      <c r="K850" s="22"/>
      <c r="L850" s="22"/>
      <c r="M850" s="22"/>
      <c r="N850" s="22"/>
      <c r="O850" s="22"/>
      <c r="P850" s="22"/>
      <c r="Q850" s="22"/>
      <c r="R850" s="22"/>
      <c r="S850" s="22"/>
      <c r="T850" s="22"/>
      <c r="U850" s="22"/>
      <c r="V850" s="22"/>
      <c r="W850" s="22"/>
      <c r="X850" s="22"/>
      <c r="Y850" s="15"/>
      <c r="Z850" s="15"/>
    </row>
    <row r="851" spans="3:26" ht="32.25" customHeight="1" x14ac:dyDescent="0.2">
      <c r="C851" s="27"/>
      <c r="D851" s="22"/>
      <c r="E851" s="22"/>
      <c r="F851" s="22"/>
      <c r="G851" s="22"/>
      <c r="H851" s="22"/>
      <c r="I851" s="22"/>
      <c r="J851" s="22"/>
      <c r="K851" s="22"/>
      <c r="L851" s="22"/>
      <c r="M851" s="22"/>
      <c r="N851" s="22"/>
      <c r="O851" s="22"/>
      <c r="P851" s="22"/>
      <c r="Q851" s="22"/>
      <c r="R851" s="22"/>
      <c r="S851" s="22"/>
      <c r="T851" s="22"/>
      <c r="U851" s="22"/>
      <c r="V851" s="22"/>
      <c r="W851" s="22"/>
      <c r="X851" s="22"/>
      <c r="Y851" s="15"/>
      <c r="Z851" s="15"/>
    </row>
    <row r="852" spans="3:26" ht="32.25" customHeight="1" x14ac:dyDescent="0.2">
      <c r="C852" s="27"/>
      <c r="D852" s="22"/>
      <c r="E852" s="22"/>
      <c r="F852" s="22"/>
      <c r="G852" s="22"/>
      <c r="H852" s="22"/>
      <c r="I852" s="22"/>
      <c r="J852" s="22"/>
      <c r="K852" s="22"/>
      <c r="L852" s="22"/>
      <c r="M852" s="22"/>
      <c r="N852" s="22"/>
      <c r="O852" s="22"/>
      <c r="P852" s="22"/>
      <c r="Q852" s="22"/>
      <c r="R852" s="22"/>
      <c r="S852" s="22"/>
      <c r="T852" s="22"/>
      <c r="U852" s="22"/>
      <c r="V852" s="22"/>
      <c r="W852" s="22"/>
      <c r="X852" s="22"/>
      <c r="Y852" s="15"/>
      <c r="Z852" s="15"/>
    </row>
    <row r="853" spans="3:26" ht="32.25" customHeight="1" x14ac:dyDescent="0.2">
      <c r="C853" s="27"/>
      <c r="D853" s="22"/>
      <c r="E853" s="22"/>
      <c r="F853" s="22"/>
      <c r="G853" s="22"/>
      <c r="H853" s="22"/>
      <c r="I853" s="22"/>
      <c r="J853" s="22"/>
      <c r="K853" s="22"/>
      <c r="L853" s="22"/>
      <c r="M853" s="22"/>
      <c r="N853" s="22"/>
      <c r="O853" s="22"/>
      <c r="P853" s="22"/>
      <c r="Q853" s="22"/>
      <c r="R853" s="22"/>
      <c r="S853" s="22"/>
      <c r="T853" s="22"/>
      <c r="U853" s="22"/>
      <c r="V853" s="22"/>
      <c r="W853" s="22"/>
      <c r="X853" s="22"/>
      <c r="Y853" s="15"/>
      <c r="Z853" s="15"/>
    </row>
    <row r="854" spans="3:26" ht="32.25" customHeight="1" x14ac:dyDescent="0.2">
      <c r="C854" s="27"/>
      <c r="D854" s="22"/>
      <c r="E854" s="22"/>
      <c r="F854" s="22"/>
      <c r="G854" s="22"/>
      <c r="H854" s="22"/>
      <c r="I854" s="22"/>
      <c r="J854" s="22"/>
      <c r="K854" s="22"/>
      <c r="L854" s="22"/>
      <c r="M854" s="22"/>
      <c r="N854" s="22"/>
      <c r="O854" s="22"/>
      <c r="P854" s="22"/>
      <c r="Q854" s="22"/>
      <c r="R854" s="22"/>
      <c r="S854" s="22"/>
      <c r="T854" s="22"/>
      <c r="U854" s="22"/>
      <c r="V854" s="22"/>
      <c r="W854" s="22"/>
      <c r="X854" s="22"/>
      <c r="Y854" s="15"/>
      <c r="Z854" s="15"/>
    </row>
    <row r="855" spans="3:26" ht="32.25" customHeight="1" x14ac:dyDescent="0.2">
      <c r="C855" s="27"/>
      <c r="D855" s="22"/>
      <c r="E855" s="22"/>
      <c r="F855" s="22"/>
      <c r="G855" s="22"/>
      <c r="H855" s="22"/>
      <c r="I855" s="22"/>
      <c r="J855" s="22"/>
      <c r="K855" s="22"/>
      <c r="L855" s="22"/>
      <c r="M855" s="22"/>
      <c r="N855" s="22"/>
      <c r="O855" s="22"/>
      <c r="P855" s="22"/>
      <c r="Q855" s="22"/>
      <c r="R855" s="22"/>
      <c r="S855" s="22"/>
      <c r="T855" s="22"/>
      <c r="U855" s="22"/>
      <c r="V855" s="22"/>
      <c r="W855" s="22"/>
      <c r="X855" s="22"/>
      <c r="Y855" s="15"/>
      <c r="Z855" s="15"/>
    </row>
    <row r="856" spans="3:26" ht="32.25" customHeight="1" x14ac:dyDescent="0.2">
      <c r="C856" s="27"/>
      <c r="D856" s="22"/>
      <c r="E856" s="22"/>
      <c r="F856" s="22"/>
      <c r="G856" s="22"/>
      <c r="H856" s="22"/>
      <c r="I856" s="22"/>
      <c r="J856" s="22"/>
      <c r="K856" s="22"/>
      <c r="L856" s="22"/>
      <c r="M856" s="22"/>
      <c r="N856" s="22"/>
      <c r="O856" s="22"/>
      <c r="P856" s="22"/>
      <c r="Q856" s="22"/>
      <c r="R856" s="22"/>
      <c r="S856" s="22"/>
      <c r="T856" s="22"/>
      <c r="U856" s="22"/>
      <c r="V856" s="22"/>
      <c r="W856" s="22"/>
      <c r="X856" s="22"/>
      <c r="Y856" s="15"/>
      <c r="Z856" s="15"/>
    </row>
    <row r="857" spans="3:26" ht="32.25" customHeight="1" x14ac:dyDescent="0.2">
      <c r="C857" s="27"/>
      <c r="D857" s="22"/>
      <c r="E857" s="22"/>
      <c r="F857" s="22"/>
      <c r="G857" s="22"/>
      <c r="H857" s="22"/>
      <c r="I857" s="22"/>
      <c r="J857" s="22"/>
      <c r="K857" s="22"/>
      <c r="L857" s="22"/>
      <c r="M857" s="22"/>
      <c r="N857" s="22"/>
      <c r="O857" s="22"/>
      <c r="P857" s="22"/>
      <c r="Q857" s="22"/>
      <c r="R857" s="22"/>
      <c r="S857" s="22"/>
      <c r="T857" s="22"/>
      <c r="U857" s="22"/>
      <c r="V857" s="22"/>
      <c r="W857" s="22"/>
      <c r="X857" s="22"/>
      <c r="Y857" s="15"/>
      <c r="Z857" s="15"/>
    </row>
    <row r="858" spans="3:26" ht="32.25" customHeight="1" x14ac:dyDescent="0.2">
      <c r="C858" s="27"/>
      <c r="D858" s="22"/>
      <c r="E858" s="22"/>
      <c r="F858" s="22"/>
      <c r="G858" s="22"/>
      <c r="H858" s="22"/>
      <c r="I858" s="22"/>
      <c r="J858" s="22"/>
      <c r="K858" s="22"/>
      <c r="L858" s="22"/>
      <c r="M858" s="22"/>
      <c r="N858" s="22"/>
      <c r="O858" s="22"/>
      <c r="P858" s="22"/>
      <c r="Q858" s="22"/>
      <c r="R858" s="22"/>
      <c r="S858" s="22"/>
      <c r="T858" s="22"/>
      <c r="U858" s="22"/>
      <c r="V858" s="22"/>
      <c r="W858" s="22"/>
      <c r="X858" s="22"/>
      <c r="Y858" s="15"/>
      <c r="Z858" s="15"/>
    </row>
    <row r="859" spans="3:26" ht="32.25" customHeight="1" x14ac:dyDescent="0.2">
      <c r="C859" s="27"/>
      <c r="D859" s="22"/>
      <c r="E859" s="22"/>
      <c r="F859" s="22"/>
      <c r="G859" s="22"/>
      <c r="H859" s="22"/>
      <c r="I859" s="22"/>
      <c r="J859" s="22"/>
      <c r="K859" s="22"/>
      <c r="L859" s="22"/>
      <c r="M859" s="22"/>
      <c r="N859" s="22"/>
      <c r="O859" s="22"/>
      <c r="P859" s="22"/>
      <c r="Q859" s="22"/>
      <c r="R859" s="22"/>
      <c r="S859" s="22"/>
      <c r="T859" s="22"/>
      <c r="U859" s="22"/>
      <c r="V859" s="22"/>
      <c r="W859" s="22"/>
      <c r="X859" s="22"/>
      <c r="Y859" s="15"/>
      <c r="Z859" s="15"/>
    </row>
    <row r="860" spans="3:26" ht="32.25" customHeight="1" x14ac:dyDescent="0.2">
      <c r="C860" s="27"/>
      <c r="D860" s="22"/>
      <c r="E860" s="22"/>
      <c r="F860" s="22"/>
      <c r="G860" s="22"/>
      <c r="H860" s="22"/>
      <c r="I860" s="22"/>
      <c r="J860" s="22"/>
      <c r="K860" s="22"/>
      <c r="L860" s="22"/>
      <c r="M860" s="22"/>
      <c r="N860" s="22"/>
      <c r="O860" s="22"/>
      <c r="P860" s="22"/>
      <c r="Q860" s="22"/>
      <c r="R860" s="22"/>
      <c r="S860" s="22"/>
      <c r="T860" s="22"/>
      <c r="U860" s="22"/>
      <c r="V860" s="22"/>
      <c r="W860" s="22"/>
      <c r="X860" s="22"/>
      <c r="Y860" s="15"/>
      <c r="Z860" s="15"/>
    </row>
    <row r="861" spans="3:26" ht="32.25" customHeight="1" x14ac:dyDescent="0.2">
      <c r="C861" s="27"/>
      <c r="D861" s="22"/>
      <c r="E861" s="22"/>
      <c r="F861" s="22"/>
      <c r="G861" s="22"/>
      <c r="H861" s="22"/>
      <c r="I861" s="22"/>
      <c r="J861" s="22"/>
      <c r="K861" s="22"/>
      <c r="L861" s="22"/>
      <c r="M861" s="22"/>
      <c r="N861" s="22"/>
      <c r="O861" s="22"/>
      <c r="P861" s="22"/>
      <c r="Q861" s="22"/>
      <c r="R861" s="22"/>
      <c r="S861" s="22"/>
      <c r="T861" s="22"/>
      <c r="U861" s="22"/>
      <c r="V861" s="22"/>
      <c r="W861" s="22"/>
      <c r="X861" s="22"/>
      <c r="Y861" s="15"/>
      <c r="Z861" s="15"/>
    </row>
    <row r="862" spans="3:26" ht="32.25" customHeight="1" x14ac:dyDescent="0.2">
      <c r="C862" s="27"/>
      <c r="D862" s="22"/>
      <c r="E862" s="22"/>
      <c r="F862" s="22"/>
      <c r="G862" s="22"/>
      <c r="H862" s="22"/>
      <c r="I862" s="22"/>
      <c r="J862" s="22"/>
      <c r="K862" s="22"/>
      <c r="L862" s="22"/>
      <c r="M862" s="22"/>
      <c r="N862" s="22"/>
      <c r="O862" s="22"/>
      <c r="P862" s="22"/>
      <c r="Q862" s="22"/>
      <c r="R862" s="22"/>
      <c r="S862" s="22"/>
      <c r="T862" s="22"/>
      <c r="U862" s="22"/>
      <c r="V862" s="22"/>
      <c r="W862" s="22"/>
      <c r="X862" s="22"/>
      <c r="Y862" s="15"/>
      <c r="Z862" s="15"/>
    </row>
    <row r="863" spans="3:26" ht="32.25" customHeight="1" x14ac:dyDescent="0.2">
      <c r="C863" s="27"/>
      <c r="D863" s="22"/>
      <c r="E863" s="22"/>
      <c r="F863" s="22"/>
      <c r="G863" s="22"/>
      <c r="H863" s="22"/>
      <c r="I863" s="22"/>
      <c r="J863" s="22"/>
      <c r="K863" s="22"/>
      <c r="L863" s="22"/>
      <c r="M863" s="22"/>
      <c r="N863" s="22"/>
      <c r="O863" s="22"/>
      <c r="P863" s="22"/>
      <c r="Q863" s="22"/>
      <c r="R863" s="22"/>
      <c r="S863" s="22"/>
      <c r="T863" s="22"/>
      <c r="U863" s="22"/>
      <c r="V863" s="22"/>
      <c r="W863" s="22"/>
      <c r="X863" s="22"/>
      <c r="Y863" s="15"/>
      <c r="Z863" s="15"/>
    </row>
    <row r="864" spans="3:26" ht="32.25" customHeight="1" x14ac:dyDescent="0.2">
      <c r="C864" s="27"/>
      <c r="D864" s="22"/>
      <c r="E864" s="22"/>
      <c r="F864" s="22"/>
      <c r="G864" s="22"/>
      <c r="H864" s="22"/>
      <c r="I864" s="22"/>
      <c r="J864" s="22"/>
      <c r="K864" s="22"/>
      <c r="L864" s="22"/>
      <c r="M864" s="22"/>
      <c r="N864" s="22"/>
      <c r="O864" s="22"/>
      <c r="P864" s="22"/>
      <c r="Q864" s="22"/>
      <c r="R864" s="22"/>
      <c r="S864" s="22"/>
      <c r="T864" s="22"/>
      <c r="U864" s="22"/>
      <c r="V864" s="22"/>
      <c r="W864" s="22"/>
      <c r="X864" s="22"/>
      <c r="Y864" s="15"/>
      <c r="Z864" s="15"/>
    </row>
    <row r="865" spans="3:26" ht="32.25" customHeight="1" x14ac:dyDescent="0.2">
      <c r="C865" s="27"/>
      <c r="D865" s="22"/>
      <c r="E865" s="22"/>
      <c r="F865" s="22"/>
      <c r="G865" s="22"/>
      <c r="H865" s="22"/>
      <c r="I865" s="22"/>
      <c r="J865" s="22"/>
      <c r="K865" s="22"/>
      <c r="L865" s="22"/>
      <c r="M865" s="22"/>
      <c r="N865" s="22"/>
      <c r="O865" s="22"/>
      <c r="P865" s="22"/>
      <c r="Q865" s="22"/>
      <c r="R865" s="22"/>
      <c r="S865" s="22"/>
      <c r="T865" s="22"/>
      <c r="U865" s="22"/>
      <c r="V865" s="22"/>
      <c r="W865" s="22"/>
      <c r="X865" s="22"/>
      <c r="Y865" s="15"/>
      <c r="Z865" s="15"/>
    </row>
    <row r="866" spans="3:26" ht="32.25" customHeight="1" x14ac:dyDescent="0.2">
      <c r="C866" s="27"/>
      <c r="D866" s="22"/>
      <c r="E866" s="22"/>
      <c r="F866" s="22"/>
      <c r="G866" s="22"/>
      <c r="H866" s="22"/>
      <c r="I866" s="22"/>
      <c r="J866" s="22"/>
      <c r="K866" s="22"/>
      <c r="L866" s="22"/>
      <c r="M866" s="22"/>
      <c r="N866" s="22"/>
      <c r="O866" s="22"/>
      <c r="P866" s="22"/>
      <c r="Q866" s="22"/>
      <c r="R866" s="22"/>
      <c r="S866" s="22"/>
      <c r="T866" s="22"/>
      <c r="U866" s="22"/>
      <c r="V866" s="22"/>
      <c r="W866" s="22"/>
      <c r="X866" s="22"/>
      <c r="Y866" s="15"/>
      <c r="Z866" s="15"/>
    </row>
    <row r="867" spans="3:26" ht="32.25" customHeight="1" x14ac:dyDescent="0.2">
      <c r="C867" s="27"/>
      <c r="D867" s="22"/>
      <c r="E867" s="22"/>
      <c r="F867" s="22"/>
      <c r="G867" s="22"/>
      <c r="H867" s="22"/>
      <c r="I867" s="22"/>
      <c r="J867" s="22"/>
      <c r="K867" s="22"/>
      <c r="L867" s="22"/>
      <c r="M867" s="22"/>
      <c r="N867" s="22"/>
      <c r="O867" s="22"/>
      <c r="P867" s="22"/>
      <c r="Q867" s="22"/>
      <c r="R867" s="22"/>
      <c r="S867" s="22"/>
      <c r="T867" s="22"/>
      <c r="U867" s="22"/>
      <c r="V867" s="22"/>
      <c r="W867" s="22"/>
      <c r="X867" s="22"/>
      <c r="Y867" s="15"/>
      <c r="Z867" s="15"/>
    </row>
    <row r="868" spans="3:26" ht="32.25" customHeight="1" x14ac:dyDescent="0.2">
      <c r="C868" s="27"/>
      <c r="D868" s="22"/>
      <c r="E868" s="22"/>
      <c r="F868" s="22"/>
      <c r="G868" s="22"/>
      <c r="H868" s="22"/>
      <c r="I868" s="22"/>
      <c r="J868" s="22"/>
      <c r="K868" s="22"/>
      <c r="L868" s="22"/>
      <c r="M868" s="22"/>
      <c r="N868" s="22"/>
      <c r="O868" s="22"/>
      <c r="P868" s="22"/>
      <c r="Q868" s="22"/>
      <c r="R868" s="22"/>
      <c r="S868" s="22"/>
      <c r="T868" s="22"/>
      <c r="U868" s="22"/>
      <c r="V868" s="22"/>
      <c r="W868" s="22"/>
      <c r="X868" s="22"/>
      <c r="Y868" s="15"/>
      <c r="Z868" s="15"/>
    </row>
    <row r="869" spans="3:26" ht="32.25" customHeight="1" x14ac:dyDescent="0.2">
      <c r="C869" s="27"/>
      <c r="D869" s="22"/>
      <c r="E869" s="22"/>
      <c r="F869" s="22"/>
      <c r="G869" s="22"/>
      <c r="H869" s="22"/>
      <c r="I869" s="22"/>
      <c r="J869" s="22"/>
      <c r="K869" s="22"/>
      <c r="L869" s="22"/>
      <c r="M869" s="22"/>
      <c r="N869" s="22"/>
      <c r="O869" s="22"/>
      <c r="P869" s="22"/>
      <c r="Q869" s="22"/>
      <c r="R869" s="22"/>
      <c r="S869" s="22"/>
      <c r="T869" s="22"/>
      <c r="U869" s="22"/>
      <c r="V869" s="22"/>
      <c r="W869" s="22"/>
      <c r="X869" s="22"/>
      <c r="Y869" s="15"/>
      <c r="Z869" s="15"/>
    </row>
    <row r="870" spans="3:26" ht="32.25" customHeight="1" x14ac:dyDescent="0.2">
      <c r="C870" s="27"/>
      <c r="D870" s="22"/>
      <c r="E870" s="22"/>
      <c r="F870" s="22"/>
      <c r="G870" s="22"/>
      <c r="H870" s="22"/>
      <c r="I870" s="22"/>
      <c r="J870" s="22"/>
      <c r="K870" s="22"/>
      <c r="L870" s="22"/>
      <c r="M870" s="22"/>
      <c r="N870" s="22"/>
      <c r="O870" s="22"/>
      <c r="P870" s="22"/>
      <c r="Q870" s="22"/>
      <c r="R870" s="22"/>
      <c r="S870" s="22"/>
      <c r="T870" s="22"/>
      <c r="U870" s="22"/>
      <c r="V870" s="22"/>
      <c r="W870" s="22"/>
      <c r="X870" s="22"/>
      <c r="Y870" s="15"/>
      <c r="Z870" s="15"/>
    </row>
    <row r="871" spans="3:26" ht="32.25" customHeight="1" x14ac:dyDescent="0.2">
      <c r="C871" s="27"/>
      <c r="D871" s="22"/>
      <c r="E871" s="22"/>
      <c r="F871" s="22"/>
      <c r="G871" s="22"/>
      <c r="H871" s="22"/>
      <c r="I871" s="22"/>
      <c r="J871" s="22"/>
      <c r="K871" s="22"/>
      <c r="L871" s="22"/>
      <c r="M871" s="22"/>
      <c r="N871" s="22"/>
      <c r="O871" s="22"/>
      <c r="P871" s="22"/>
      <c r="Q871" s="22"/>
      <c r="R871" s="22"/>
      <c r="S871" s="22"/>
      <c r="T871" s="22"/>
      <c r="U871" s="22"/>
      <c r="V871" s="22"/>
      <c r="W871" s="22"/>
      <c r="X871" s="22"/>
      <c r="Y871" s="15"/>
      <c r="Z871" s="15"/>
    </row>
    <row r="872" spans="3:26" ht="32.25" customHeight="1" x14ac:dyDescent="0.2">
      <c r="C872" s="27"/>
      <c r="D872" s="22"/>
      <c r="E872" s="22"/>
      <c r="F872" s="22"/>
      <c r="G872" s="22"/>
      <c r="H872" s="22"/>
      <c r="I872" s="22"/>
      <c r="J872" s="22"/>
      <c r="K872" s="22"/>
      <c r="L872" s="22"/>
      <c r="M872" s="22"/>
      <c r="N872" s="22"/>
      <c r="O872" s="22"/>
      <c r="P872" s="22"/>
      <c r="Q872" s="22"/>
      <c r="R872" s="22"/>
      <c r="S872" s="22"/>
      <c r="T872" s="22"/>
      <c r="U872" s="22"/>
      <c r="V872" s="22"/>
      <c r="W872" s="22"/>
      <c r="X872" s="22"/>
      <c r="Y872" s="15"/>
      <c r="Z872" s="15"/>
    </row>
    <row r="873" spans="3:26" ht="32.25" customHeight="1" x14ac:dyDescent="0.2">
      <c r="C873" s="27"/>
      <c r="D873" s="22"/>
      <c r="E873" s="22"/>
      <c r="F873" s="22"/>
      <c r="G873" s="22"/>
      <c r="H873" s="22"/>
      <c r="I873" s="22"/>
      <c r="J873" s="22"/>
      <c r="K873" s="22"/>
      <c r="L873" s="22"/>
      <c r="M873" s="22"/>
      <c r="N873" s="22"/>
      <c r="O873" s="22"/>
      <c r="P873" s="22"/>
      <c r="Q873" s="22"/>
      <c r="R873" s="22"/>
      <c r="S873" s="22"/>
      <c r="T873" s="22"/>
      <c r="U873" s="22"/>
      <c r="V873" s="22"/>
      <c r="W873" s="22"/>
      <c r="X873" s="22"/>
      <c r="Y873" s="15"/>
      <c r="Z873" s="15"/>
    </row>
    <row r="874" spans="3:26" ht="32.25" customHeight="1" x14ac:dyDescent="0.2">
      <c r="C874" s="29"/>
      <c r="D874" s="15"/>
      <c r="E874" s="22"/>
      <c r="F874" s="15"/>
      <c r="G874" s="15"/>
      <c r="H874" s="15"/>
      <c r="I874" s="15"/>
      <c r="J874" s="15"/>
      <c r="K874" s="15"/>
      <c r="L874" s="15"/>
      <c r="M874" s="15"/>
      <c r="N874" s="15"/>
      <c r="O874" s="15"/>
      <c r="P874" s="15"/>
      <c r="Q874" s="15"/>
      <c r="R874" s="15"/>
      <c r="S874" s="15"/>
      <c r="T874" s="15"/>
      <c r="U874" s="15"/>
      <c r="V874" s="15"/>
      <c r="W874" s="15"/>
      <c r="X874" s="15"/>
      <c r="Y874" s="15"/>
      <c r="Z874" s="15"/>
    </row>
    <row r="875" spans="3:26" ht="32.25" customHeight="1" x14ac:dyDescent="0.2">
      <c r="C875" s="29"/>
      <c r="D875" s="15"/>
      <c r="E875" s="22"/>
      <c r="F875" s="15"/>
      <c r="G875" s="15"/>
      <c r="H875" s="15"/>
      <c r="I875" s="15"/>
      <c r="J875" s="15"/>
      <c r="K875" s="15"/>
      <c r="L875" s="15"/>
      <c r="M875" s="15"/>
      <c r="N875" s="15"/>
      <c r="O875" s="15"/>
      <c r="P875" s="15"/>
      <c r="Q875" s="15"/>
      <c r="R875" s="15"/>
      <c r="S875" s="15"/>
      <c r="T875" s="15"/>
      <c r="U875" s="15"/>
      <c r="V875" s="15"/>
      <c r="W875" s="15"/>
      <c r="X875" s="15"/>
      <c r="Y875" s="15"/>
      <c r="Z875" s="15"/>
    </row>
    <row r="876" spans="3:26" ht="32.25" customHeight="1" x14ac:dyDescent="0.2"/>
    <row r="877" spans="3:26" ht="32.25" customHeight="1" x14ac:dyDescent="0.2"/>
    <row r="878" spans="3:26" ht="32.25" customHeight="1" x14ac:dyDescent="0.2"/>
    <row r="879" spans="3:26" ht="32.25" customHeight="1" x14ac:dyDescent="0.2"/>
    <row r="880" spans="3:26" ht="32.25" customHeight="1" x14ac:dyDescent="0.2"/>
    <row r="881" spans="3:26" ht="32.25" customHeight="1" x14ac:dyDescent="0.2"/>
    <row r="882" spans="3:26" ht="32.25" customHeight="1" x14ac:dyDescent="0.2"/>
    <row r="883" spans="3:26" ht="32.25" customHeight="1" x14ac:dyDescent="0.2"/>
    <row r="884" spans="3:26" ht="32.25" customHeight="1" x14ac:dyDescent="0.2"/>
    <row r="885" spans="3:26" ht="32.25" customHeight="1" x14ac:dyDescent="0.2"/>
    <row r="886" spans="3:26" ht="32.25" customHeight="1" x14ac:dyDescent="0.2"/>
    <row r="887" spans="3:26" ht="32.25" customHeight="1" x14ac:dyDescent="0.2"/>
    <row r="888" spans="3:26" ht="32.25" customHeight="1" x14ac:dyDescent="0.2"/>
    <row r="889" spans="3:26" ht="32.25" customHeight="1" x14ac:dyDescent="0.2">
      <c r="C889" s="27"/>
      <c r="D889" s="22"/>
      <c r="E889" s="22"/>
      <c r="F889" s="22"/>
      <c r="G889" s="22"/>
      <c r="H889" s="22"/>
      <c r="I889" s="22"/>
      <c r="J889" s="22"/>
      <c r="K889" s="22"/>
      <c r="L889" s="22"/>
      <c r="M889" s="22"/>
      <c r="N889" s="22"/>
      <c r="O889" s="22"/>
      <c r="P889" s="22"/>
      <c r="Q889" s="22"/>
      <c r="R889" s="22"/>
      <c r="S889" s="22"/>
      <c r="T889" s="22"/>
      <c r="U889" s="22"/>
      <c r="V889" s="22"/>
      <c r="W889" s="22"/>
      <c r="X889" s="22"/>
      <c r="Y889" s="15"/>
      <c r="Z889" s="15"/>
    </row>
    <row r="890" spans="3:26" ht="32.25" customHeight="1" x14ac:dyDescent="0.2">
      <c r="C890" s="27"/>
      <c r="D890" s="22"/>
      <c r="E890" s="22"/>
      <c r="F890" s="22"/>
      <c r="G890" s="22"/>
      <c r="H890" s="22"/>
      <c r="I890" s="22"/>
      <c r="J890" s="22"/>
      <c r="K890" s="22"/>
      <c r="L890" s="22"/>
      <c r="M890" s="22"/>
      <c r="N890" s="22"/>
      <c r="O890" s="22"/>
      <c r="P890" s="22"/>
      <c r="Q890" s="22"/>
      <c r="R890" s="22"/>
      <c r="S890" s="22"/>
      <c r="T890" s="22"/>
      <c r="U890" s="22"/>
      <c r="V890" s="22"/>
      <c r="W890" s="22"/>
      <c r="X890" s="22"/>
      <c r="Y890" s="15"/>
      <c r="Z890" s="15"/>
    </row>
    <row r="891" spans="3:26" ht="32.25" customHeight="1" x14ac:dyDescent="0.2">
      <c r="C891" s="27"/>
      <c r="D891" s="22"/>
      <c r="E891" s="22"/>
      <c r="F891" s="22"/>
      <c r="G891" s="22"/>
      <c r="H891" s="22"/>
      <c r="I891" s="22"/>
      <c r="J891" s="22"/>
      <c r="K891" s="22"/>
      <c r="L891" s="22"/>
      <c r="M891" s="22"/>
      <c r="N891" s="22"/>
      <c r="O891" s="22"/>
      <c r="P891" s="22"/>
      <c r="Q891" s="22"/>
      <c r="R891" s="22"/>
      <c r="S891" s="22"/>
      <c r="T891" s="22"/>
      <c r="U891" s="22"/>
      <c r="V891" s="22"/>
      <c r="W891" s="22"/>
      <c r="X891" s="22"/>
      <c r="Y891" s="15"/>
      <c r="Z891" s="15"/>
    </row>
    <row r="892" spans="3:26" ht="32.25" customHeight="1" x14ac:dyDescent="0.2">
      <c r="C892" s="27"/>
      <c r="D892" s="22"/>
      <c r="E892" s="22"/>
      <c r="F892" s="22"/>
      <c r="G892" s="22"/>
      <c r="H892" s="22"/>
      <c r="I892" s="22"/>
      <c r="J892" s="22"/>
      <c r="K892" s="22"/>
      <c r="L892" s="22"/>
      <c r="M892" s="22"/>
      <c r="N892" s="22"/>
      <c r="O892" s="22"/>
      <c r="P892" s="22"/>
      <c r="Q892" s="22"/>
      <c r="R892" s="22"/>
      <c r="S892" s="22"/>
      <c r="T892" s="22"/>
      <c r="U892" s="22"/>
      <c r="V892" s="22"/>
      <c r="W892" s="22"/>
      <c r="X892" s="22"/>
      <c r="Y892" s="15"/>
      <c r="Z892" s="15"/>
    </row>
    <row r="893" spans="3:26" ht="32.25" customHeight="1" x14ac:dyDescent="0.2">
      <c r="C893" s="27"/>
      <c r="D893" s="22"/>
      <c r="E893" s="22"/>
      <c r="F893" s="22"/>
      <c r="G893" s="22"/>
      <c r="H893" s="22"/>
      <c r="I893" s="22"/>
      <c r="J893" s="22"/>
      <c r="K893" s="22"/>
      <c r="L893" s="22"/>
      <c r="M893" s="22"/>
      <c r="N893" s="22"/>
      <c r="O893" s="22"/>
      <c r="P893" s="22"/>
      <c r="Q893" s="22"/>
      <c r="R893" s="22"/>
      <c r="S893" s="22"/>
      <c r="T893" s="22"/>
      <c r="U893" s="22"/>
      <c r="V893" s="22"/>
      <c r="W893" s="22"/>
      <c r="X893" s="22"/>
      <c r="Y893" s="15"/>
      <c r="Z893" s="15"/>
    </row>
    <row r="894" spans="3:26" ht="32.25" customHeight="1" x14ac:dyDescent="0.2">
      <c r="C894" s="27"/>
      <c r="D894" s="22"/>
      <c r="E894" s="22"/>
      <c r="F894" s="22"/>
      <c r="G894" s="22"/>
      <c r="H894" s="22"/>
      <c r="I894" s="22"/>
      <c r="J894" s="22"/>
      <c r="K894" s="22"/>
      <c r="L894" s="22"/>
      <c r="M894" s="22"/>
      <c r="N894" s="22"/>
      <c r="O894" s="22"/>
      <c r="P894" s="22"/>
      <c r="Q894" s="22"/>
      <c r="R894" s="22"/>
      <c r="S894" s="22"/>
      <c r="T894" s="22"/>
      <c r="U894" s="22"/>
      <c r="V894" s="22"/>
      <c r="W894" s="22"/>
      <c r="X894" s="22"/>
      <c r="Y894" s="15"/>
      <c r="Z894" s="15"/>
    </row>
    <row r="895" spans="3:26" ht="32.25" customHeight="1" x14ac:dyDescent="0.2">
      <c r="C895" s="27"/>
      <c r="D895" s="22"/>
      <c r="E895" s="22"/>
      <c r="F895" s="22"/>
      <c r="G895" s="22"/>
      <c r="H895" s="22"/>
      <c r="I895" s="22"/>
      <c r="J895" s="22"/>
      <c r="K895" s="22"/>
      <c r="L895" s="22"/>
      <c r="M895" s="22"/>
      <c r="N895" s="22"/>
      <c r="O895" s="22"/>
      <c r="P895" s="22"/>
      <c r="Q895" s="22"/>
      <c r="R895" s="22"/>
      <c r="S895" s="22"/>
      <c r="T895" s="22"/>
      <c r="U895" s="22"/>
      <c r="V895" s="22"/>
      <c r="W895" s="22"/>
      <c r="X895" s="22"/>
      <c r="Y895" s="15"/>
      <c r="Z895" s="15"/>
    </row>
    <row r="896" spans="3:26" ht="32.25" customHeight="1" x14ac:dyDescent="0.2">
      <c r="C896" s="27"/>
      <c r="D896" s="22"/>
      <c r="E896" s="22"/>
      <c r="F896" s="22"/>
      <c r="G896" s="22"/>
      <c r="H896" s="22"/>
      <c r="I896" s="22"/>
      <c r="J896" s="22"/>
      <c r="K896" s="22"/>
      <c r="L896" s="22"/>
      <c r="M896" s="22"/>
      <c r="N896" s="22"/>
      <c r="O896" s="22"/>
      <c r="P896" s="22"/>
      <c r="Q896" s="22"/>
      <c r="R896" s="22"/>
      <c r="S896" s="22"/>
      <c r="T896" s="22"/>
      <c r="U896" s="22"/>
      <c r="V896" s="22"/>
      <c r="W896" s="22"/>
      <c r="X896" s="22"/>
      <c r="Y896" s="15"/>
      <c r="Z896" s="15"/>
    </row>
    <row r="897" spans="3:26" ht="32.25" customHeight="1" x14ac:dyDescent="0.2">
      <c r="C897" s="29"/>
      <c r="D897" s="15"/>
      <c r="E897" s="22"/>
      <c r="F897" s="15"/>
      <c r="G897" s="15"/>
      <c r="H897" s="15"/>
      <c r="I897" s="15"/>
      <c r="J897" s="15"/>
      <c r="K897" s="15"/>
      <c r="L897" s="15"/>
      <c r="M897" s="15"/>
      <c r="N897" s="15"/>
      <c r="O897" s="15"/>
      <c r="P897" s="15"/>
      <c r="Q897" s="15"/>
      <c r="R897" s="15"/>
      <c r="S897" s="15"/>
      <c r="T897" s="15"/>
      <c r="U897" s="15"/>
      <c r="V897" s="15"/>
      <c r="W897" s="15"/>
      <c r="X897" s="15"/>
      <c r="Y897" s="15"/>
      <c r="Z897" s="15"/>
    </row>
    <row r="898" spans="3:26" ht="32.25" customHeight="1" x14ac:dyDescent="0.2"/>
    <row r="899" spans="3:26" ht="32.25" customHeight="1" x14ac:dyDescent="0.2">
      <c r="C899" s="27"/>
      <c r="D899" s="22"/>
      <c r="E899" s="22"/>
      <c r="F899" s="22"/>
      <c r="G899" s="22"/>
      <c r="H899" s="22"/>
      <c r="I899" s="22"/>
      <c r="J899" s="22"/>
      <c r="K899" s="22"/>
      <c r="L899" s="22"/>
      <c r="M899" s="22"/>
      <c r="N899" s="22"/>
      <c r="O899" s="22"/>
      <c r="P899" s="22"/>
      <c r="Q899" s="22"/>
      <c r="R899" s="22"/>
      <c r="S899" s="22"/>
      <c r="T899" s="22"/>
      <c r="U899" s="22"/>
      <c r="V899" s="22"/>
      <c r="W899" s="22"/>
      <c r="X899" s="22"/>
      <c r="Y899" s="15"/>
      <c r="Z899" s="15"/>
    </row>
    <row r="900" spans="3:26" ht="32.25" customHeight="1" x14ac:dyDescent="0.2">
      <c r="C900" s="27"/>
      <c r="D900" s="22"/>
      <c r="E900" s="22"/>
      <c r="F900" s="22"/>
      <c r="G900" s="22"/>
      <c r="H900" s="22"/>
      <c r="I900" s="22"/>
      <c r="J900" s="22"/>
      <c r="K900" s="22"/>
      <c r="L900" s="22"/>
      <c r="M900" s="22"/>
      <c r="N900" s="22"/>
      <c r="O900" s="22"/>
      <c r="P900" s="22"/>
      <c r="Q900" s="22"/>
      <c r="R900" s="22"/>
      <c r="S900" s="22"/>
      <c r="T900" s="22"/>
      <c r="U900" s="22"/>
      <c r="V900" s="22"/>
      <c r="W900" s="22"/>
      <c r="X900" s="22"/>
      <c r="Y900" s="15"/>
      <c r="Z900" s="15"/>
    </row>
    <row r="901" spans="3:26" ht="32.25" customHeight="1" x14ac:dyDescent="0.2">
      <c r="C901" s="27"/>
      <c r="D901" s="22"/>
      <c r="E901" s="22"/>
      <c r="F901" s="22"/>
      <c r="G901" s="22"/>
      <c r="H901" s="22"/>
      <c r="I901" s="22"/>
      <c r="J901" s="22"/>
      <c r="K901" s="22"/>
      <c r="L901" s="22"/>
      <c r="M901" s="22"/>
      <c r="N901" s="22"/>
      <c r="O901" s="22"/>
      <c r="P901" s="22"/>
      <c r="Q901" s="22"/>
      <c r="R901" s="22"/>
      <c r="S901" s="22"/>
      <c r="T901" s="22"/>
      <c r="U901" s="22"/>
      <c r="V901" s="22"/>
      <c r="W901" s="22"/>
      <c r="X901" s="22"/>
      <c r="Y901" s="15"/>
      <c r="Z901" s="15"/>
    </row>
    <row r="902" spans="3:26" ht="32.25" customHeight="1" x14ac:dyDescent="0.2">
      <c r="C902" s="27"/>
      <c r="D902" s="22"/>
      <c r="E902" s="22"/>
      <c r="F902" s="22"/>
      <c r="G902" s="22"/>
      <c r="H902" s="22"/>
      <c r="I902" s="22"/>
      <c r="J902" s="22"/>
      <c r="K902" s="22"/>
      <c r="L902" s="22"/>
      <c r="M902" s="22"/>
      <c r="N902" s="22"/>
      <c r="O902" s="22"/>
      <c r="P902" s="22"/>
      <c r="Q902" s="22"/>
      <c r="R902" s="22"/>
      <c r="S902" s="22"/>
      <c r="T902" s="22"/>
      <c r="U902" s="22"/>
      <c r="V902" s="22"/>
      <c r="W902" s="22"/>
      <c r="X902" s="22"/>
      <c r="Y902" s="15"/>
      <c r="Z902" s="15"/>
    </row>
    <row r="903" spans="3:26" ht="32.25" customHeight="1" x14ac:dyDescent="0.2">
      <c r="C903" s="27"/>
      <c r="D903" s="22"/>
      <c r="E903" s="22"/>
      <c r="F903" s="22"/>
      <c r="G903" s="22"/>
      <c r="H903" s="22"/>
      <c r="I903" s="22"/>
      <c r="J903" s="22"/>
      <c r="K903" s="22"/>
      <c r="L903" s="22"/>
      <c r="M903" s="22"/>
      <c r="N903" s="22"/>
      <c r="O903" s="22"/>
      <c r="P903" s="22"/>
      <c r="Q903" s="22"/>
      <c r="R903" s="22"/>
      <c r="S903" s="22"/>
      <c r="T903" s="22"/>
      <c r="U903" s="22"/>
      <c r="V903" s="22"/>
      <c r="W903" s="22"/>
      <c r="X903" s="22"/>
      <c r="Y903" s="15"/>
      <c r="Z903" s="15"/>
    </row>
    <row r="904" spans="3:26" ht="32.25" customHeight="1" x14ac:dyDescent="0.2">
      <c r="C904" s="27"/>
      <c r="D904" s="22"/>
      <c r="E904" s="22"/>
      <c r="F904" s="22"/>
      <c r="G904" s="22"/>
      <c r="H904" s="22"/>
      <c r="I904" s="22"/>
      <c r="J904" s="22"/>
      <c r="K904" s="22"/>
      <c r="L904" s="22"/>
      <c r="M904" s="22"/>
      <c r="N904" s="22"/>
      <c r="O904" s="22"/>
      <c r="P904" s="22"/>
      <c r="Q904" s="22"/>
      <c r="R904" s="22"/>
      <c r="S904" s="22"/>
      <c r="T904" s="22"/>
      <c r="U904" s="22"/>
      <c r="V904" s="22"/>
      <c r="W904" s="22"/>
      <c r="X904" s="22"/>
      <c r="Y904" s="15"/>
      <c r="Z904" s="15"/>
    </row>
    <row r="905" spans="3:26" ht="32.25" customHeight="1" x14ac:dyDescent="0.2">
      <c r="C905" s="29"/>
      <c r="D905" s="15"/>
      <c r="E905" s="22"/>
      <c r="F905" s="15"/>
      <c r="G905" s="15"/>
      <c r="H905" s="15"/>
      <c r="I905" s="15"/>
      <c r="J905" s="15"/>
      <c r="K905" s="15"/>
      <c r="L905" s="15"/>
      <c r="M905" s="15"/>
      <c r="N905" s="15"/>
      <c r="O905" s="15"/>
      <c r="P905" s="15"/>
      <c r="Q905" s="15"/>
      <c r="R905" s="15"/>
      <c r="S905" s="15"/>
      <c r="T905" s="15"/>
      <c r="U905" s="15"/>
      <c r="V905" s="15"/>
      <c r="W905" s="15"/>
      <c r="X905" s="15"/>
      <c r="Y905" s="15"/>
      <c r="Z905" s="15"/>
    </row>
    <row r="906" spans="3:26" ht="32.25" customHeight="1" x14ac:dyDescent="0.2"/>
    <row r="907" spans="3:26" ht="32.25" customHeight="1" x14ac:dyDescent="0.2">
      <c r="C907" s="27"/>
      <c r="D907" s="22"/>
      <c r="E907" s="22"/>
      <c r="F907" s="22"/>
      <c r="G907" s="22"/>
      <c r="H907" s="22"/>
      <c r="I907" s="22"/>
      <c r="J907" s="22"/>
      <c r="K907" s="22"/>
      <c r="L907" s="22"/>
      <c r="M907" s="22"/>
      <c r="N907" s="22"/>
      <c r="O907" s="22"/>
      <c r="P907" s="22"/>
      <c r="Q907" s="22"/>
      <c r="R907" s="22"/>
      <c r="S907" s="22"/>
      <c r="T907" s="22"/>
      <c r="U907" s="22"/>
      <c r="V907" s="22"/>
      <c r="W907" s="22"/>
      <c r="X907" s="22"/>
      <c r="Y907" s="15"/>
      <c r="Z907" s="15"/>
    </row>
    <row r="908" spans="3:26" ht="32.25" customHeight="1" x14ac:dyDescent="0.2">
      <c r="C908" s="27"/>
      <c r="D908" s="22"/>
      <c r="E908" s="22"/>
      <c r="F908" s="22"/>
      <c r="G908" s="22"/>
      <c r="H908" s="22"/>
      <c r="I908" s="22"/>
      <c r="J908" s="22"/>
      <c r="K908" s="22"/>
      <c r="L908" s="22"/>
      <c r="M908" s="22"/>
      <c r="N908" s="22"/>
      <c r="O908" s="22"/>
      <c r="P908" s="22"/>
      <c r="Q908" s="22"/>
      <c r="R908" s="22"/>
      <c r="S908" s="22"/>
      <c r="T908" s="22"/>
      <c r="U908" s="22"/>
      <c r="V908" s="22"/>
      <c r="W908" s="22"/>
      <c r="X908" s="22"/>
      <c r="Y908" s="15"/>
      <c r="Z908" s="15"/>
    </row>
    <row r="909" spans="3:26" ht="32.25" customHeight="1" x14ac:dyDescent="0.2">
      <c r="C909" s="27"/>
      <c r="D909" s="22"/>
      <c r="E909" s="22"/>
      <c r="F909" s="22"/>
      <c r="G909" s="22"/>
      <c r="H909" s="22"/>
      <c r="I909" s="22"/>
      <c r="J909" s="22"/>
      <c r="K909" s="22"/>
      <c r="L909" s="22"/>
      <c r="M909" s="22"/>
      <c r="N909" s="22"/>
      <c r="O909" s="22"/>
      <c r="P909" s="22"/>
      <c r="Q909" s="22"/>
      <c r="R909" s="22"/>
      <c r="S909" s="22"/>
      <c r="T909" s="22"/>
      <c r="U909" s="22"/>
      <c r="V909" s="22"/>
      <c r="W909" s="22"/>
      <c r="X909" s="22"/>
      <c r="Y909" s="15"/>
      <c r="Z909" s="15"/>
    </row>
    <row r="910" spans="3:26" ht="32.25" customHeight="1" x14ac:dyDescent="0.2">
      <c r="C910" s="27"/>
      <c r="D910" s="22"/>
      <c r="E910" s="22"/>
      <c r="F910" s="22"/>
      <c r="G910" s="22"/>
      <c r="H910" s="22"/>
      <c r="I910" s="22"/>
      <c r="J910" s="22"/>
      <c r="K910" s="22"/>
      <c r="L910" s="22"/>
      <c r="M910" s="22"/>
      <c r="N910" s="22"/>
      <c r="O910" s="22"/>
      <c r="P910" s="22"/>
      <c r="Q910" s="22"/>
      <c r="R910" s="22"/>
      <c r="S910" s="22"/>
      <c r="T910" s="22"/>
      <c r="U910" s="22"/>
      <c r="V910" s="22"/>
      <c r="W910" s="22"/>
      <c r="X910" s="22"/>
      <c r="Y910" s="15"/>
      <c r="Z910" s="15"/>
    </row>
    <row r="911" spans="3:26" ht="32.25" customHeight="1" x14ac:dyDescent="0.2">
      <c r="C911" s="27"/>
      <c r="D911" s="22"/>
      <c r="E911" s="22"/>
      <c r="F911" s="22"/>
      <c r="G911" s="22"/>
      <c r="H911" s="22"/>
      <c r="I911" s="22"/>
      <c r="J911" s="22"/>
      <c r="K911" s="22"/>
      <c r="L911" s="22"/>
      <c r="M911" s="22"/>
      <c r="N911" s="22"/>
      <c r="O911" s="22"/>
      <c r="P911" s="22"/>
      <c r="Q911" s="22"/>
      <c r="R911" s="22"/>
      <c r="S911" s="22"/>
      <c r="T911" s="22"/>
      <c r="U911" s="22"/>
      <c r="V911" s="22"/>
      <c r="W911" s="22"/>
      <c r="X911" s="22"/>
      <c r="Y911" s="15"/>
      <c r="Z911" s="15"/>
    </row>
    <row r="912" spans="3:26" ht="32.25" customHeight="1" x14ac:dyDescent="0.2">
      <c r="C912" s="27"/>
      <c r="D912" s="22"/>
      <c r="E912" s="15"/>
      <c r="F912" s="22"/>
      <c r="G912" s="22"/>
      <c r="H912" s="22"/>
      <c r="I912" s="22"/>
      <c r="J912" s="22"/>
      <c r="K912" s="22"/>
      <c r="L912" s="22"/>
      <c r="M912" s="22"/>
      <c r="N912" s="22"/>
      <c r="O912" s="22"/>
      <c r="P912" s="22"/>
      <c r="Q912" s="22"/>
      <c r="R912" s="22"/>
      <c r="S912" s="22"/>
      <c r="T912" s="22"/>
      <c r="U912" s="22"/>
      <c r="V912" s="22"/>
      <c r="W912" s="22"/>
      <c r="X912" s="22"/>
      <c r="Y912" s="15"/>
      <c r="Z912" s="15"/>
    </row>
    <row r="913" spans="3:26" ht="32.25" customHeight="1" x14ac:dyDescent="0.2">
      <c r="C913" s="27"/>
      <c r="D913" s="22"/>
      <c r="E913" s="15"/>
      <c r="F913" s="22"/>
      <c r="G913" s="22"/>
      <c r="H913" s="22"/>
      <c r="I913" s="22"/>
      <c r="J913" s="22"/>
      <c r="K913" s="22"/>
      <c r="L913" s="22"/>
      <c r="M913" s="22"/>
      <c r="N913" s="22"/>
      <c r="O913" s="22"/>
      <c r="P913" s="22"/>
      <c r="Q913" s="22"/>
      <c r="R913" s="22"/>
      <c r="S913" s="22"/>
      <c r="T913" s="22"/>
      <c r="U913" s="22"/>
      <c r="V913" s="22"/>
      <c r="W913" s="22"/>
      <c r="X913" s="22"/>
      <c r="Y913" s="15"/>
      <c r="Z913" s="15"/>
    </row>
    <row r="914" spans="3:26" ht="32.25" customHeight="1" x14ac:dyDescent="0.2">
      <c r="C914" s="27"/>
      <c r="D914" s="22"/>
      <c r="E914" s="15"/>
      <c r="F914" s="22"/>
      <c r="G914" s="22"/>
      <c r="H914" s="22"/>
      <c r="I914" s="22"/>
      <c r="J914" s="22"/>
      <c r="K914" s="22"/>
      <c r="L914" s="22"/>
      <c r="M914" s="22"/>
      <c r="N914" s="22"/>
      <c r="O914" s="22"/>
      <c r="P914" s="22"/>
      <c r="Q914" s="22"/>
      <c r="R914" s="22"/>
      <c r="S914" s="22"/>
      <c r="T914" s="22"/>
      <c r="U914" s="22"/>
      <c r="V914" s="22"/>
      <c r="W914" s="22"/>
      <c r="X914" s="22"/>
      <c r="Y914" s="15"/>
      <c r="Z914" s="15"/>
    </row>
    <row r="915" spans="3:26" ht="32.25" customHeight="1" x14ac:dyDescent="0.2">
      <c r="C915" s="27"/>
      <c r="D915" s="22"/>
      <c r="E915" s="15"/>
      <c r="F915" s="22"/>
      <c r="G915" s="22"/>
      <c r="H915" s="22"/>
      <c r="I915" s="22"/>
      <c r="J915" s="22"/>
      <c r="K915" s="22"/>
      <c r="L915" s="22"/>
      <c r="M915" s="22"/>
      <c r="N915" s="22"/>
      <c r="O915" s="22"/>
      <c r="P915" s="22"/>
      <c r="Q915" s="22"/>
      <c r="R915" s="22"/>
      <c r="S915" s="22"/>
      <c r="T915" s="22"/>
      <c r="U915" s="22"/>
      <c r="V915" s="22"/>
      <c r="W915" s="22"/>
      <c r="X915" s="22"/>
      <c r="Y915" s="15"/>
      <c r="Z915" s="15"/>
    </row>
    <row r="916" spans="3:26" ht="32.25" customHeight="1" x14ac:dyDescent="0.2">
      <c r="C916" s="27"/>
      <c r="D916" s="22"/>
      <c r="E916" s="15"/>
      <c r="F916" s="22"/>
      <c r="G916" s="22"/>
      <c r="H916" s="22"/>
      <c r="I916" s="22"/>
      <c r="J916" s="22"/>
      <c r="K916" s="22"/>
      <c r="L916" s="22"/>
      <c r="M916" s="22"/>
      <c r="N916" s="22"/>
      <c r="O916" s="22"/>
      <c r="P916" s="22"/>
      <c r="Q916" s="22"/>
      <c r="R916" s="22"/>
      <c r="S916" s="22"/>
      <c r="T916" s="22"/>
      <c r="U916" s="22"/>
      <c r="V916" s="22"/>
      <c r="W916" s="22"/>
      <c r="X916" s="22"/>
      <c r="Y916" s="15"/>
      <c r="Z916" s="15"/>
    </row>
    <row r="917" spans="3:26" ht="32.25" customHeight="1" x14ac:dyDescent="0.2">
      <c r="C917" s="27"/>
      <c r="D917" s="22"/>
      <c r="E917" s="15"/>
      <c r="F917" s="22"/>
      <c r="G917" s="22"/>
      <c r="H917" s="22"/>
      <c r="I917" s="22"/>
      <c r="J917" s="22"/>
      <c r="K917" s="22"/>
      <c r="L917" s="22"/>
      <c r="M917" s="22"/>
      <c r="N917" s="22"/>
      <c r="O917" s="22"/>
      <c r="P917" s="22"/>
      <c r="Q917" s="22"/>
      <c r="R917" s="22"/>
      <c r="S917" s="22"/>
      <c r="T917" s="22"/>
      <c r="U917" s="22"/>
      <c r="V917" s="22"/>
      <c r="W917" s="22"/>
      <c r="X917" s="22"/>
      <c r="Y917" s="15"/>
      <c r="Z917" s="15"/>
    </row>
    <row r="918" spans="3:26" ht="32.25" customHeight="1" x14ac:dyDescent="0.2">
      <c r="C918" s="27"/>
      <c r="D918" s="22"/>
      <c r="E918" s="15"/>
      <c r="F918" s="22"/>
      <c r="G918" s="22"/>
      <c r="H918" s="22"/>
      <c r="I918" s="22"/>
      <c r="J918" s="22"/>
      <c r="K918" s="22"/>
      <c r="L918" s="22"/>
      <c r="M918" s="22"/>
      <c r="N918" s="22"/>
      <c r="O918" s="22"/>
      <c r="P918" s="22"/>
      <c r="Q918" s="22"/>
      <c r="R918" s="22"/>
      <c r="S918" s="22"/>
      <c r="T918" s="22"/>
      <c r="U918" s="22"/>
      <c r="V918" s="22"/>
      <c r="W918" s="22"/>
      <c r="X918" s="22"/>
      <c r="Y918" s="15"/>
      <c r="Z918" s="15"/>
    </row>
    <row r="919" spans="3:26" ht="32.25" customHeight="1" x14ac:dyDescent="0.2">
      <c r="C919" s="27"/>
      <c r="D919" s="22"/>
      <c r="E919" s="15"/>
      <c r="F919" s="22"/>
      <c r="G919" s="22"/>
      <c r="H919" s="22"/>
      <c r="I919" s="22"/>
      <c r="J919" s="22"/>
      <c r="K919" s="22"/>
      <c r="L919" s="22"/>
      <c r="M919" s="22"/>
      <c r="N919" s="22"/>
      <c r="O919" s="22"/>
      <c r="P919" s="22"/>
      <c r="Q919" s="22"/>
      <c r="R919" s="22"/>
      <c r="S919" s="22"/>
      <c r="T919" s="22"/>
      <c r="U919" s="22"/>
      <c r="V919" s="22"/>
      <c r="W919" s="22"/>
      <c r="X919" s="22"/>
      <c r="Y919" s="15"/>
      <c r="Z919" s="15"/>
    </row>
    <row r="920" spans="3:26" ht="32.25" customHeight="1" x14ac:dyDescent="0.2">
      <c r="C920" s="27"/>
      <c r="D920" s="22"/>
      <c r="E920" s="15"/>
      <c r="F920" s="22"/>
      <c r="G920" s="22"/>
      <c r="H920" s="22"/>
      <c r="I920" s="22"/>
      <c r="J920" s="22"/>
      <c r="K920" s="22"/>
      <c r="L920" s="22"/>
      <c r="M920" s="22"/>
      <c r="N920" s="22"/>
      <c r="O920" s="22"/>
      <c r="P920" s="22"/>
      <c r="Q920" s="22"/>
      <c r="R920" s="22"/>
      <c r="S920" s="22"/>
      <c r="T920" s="22"/>
      <c r="U920" s="22"/>
      <c r="V920" s="22"/>
      <c r="W920" s="22"/>
      <c r="X920" s="22"/>
      <c r="Y920" s="15"/>
      <c r="Z920" s="15"/>
    </row>
    <row r="921" spans="3:26" ht="32.25" customHeight="1" x14ac:dyDescent="0.2">
      <c r="C921" s="27"/>
      <c r="D921" s="22"/>
      <c r="E921" s="15"/>
      <c r="F921" s="22"/>
      <c r="G921" s="22"/>
      <c r="H921" s="22"/>
      <c r="I921" s="22"/>
      <c r="J921" s="22"/>
      <c r="K921" s="22"/>
      <c r="L921" s="22"/>
      <c r="M921" s="22"/>
      <c r="N921" s="22"/>
      <c r="O921" s="22"/>
      <c r="P921" s="22"/>
      <c r="Q921" s="22"/>
      <c r="R921" s="22"/>
      <c r="S921" s="22"/>
      <c r="T921" s="22"/>
      <c r="U921" s="22"/>
      <c r="V921" s="22"/>
      <c r="W921" s="22"/>
      <c r="X921" s="22"/>
      <c r="Y921" s="15"/>
      <c r="Z921" s="15"/>
    </row>
    <row r="922" spans="3:26" ht="32.25" customHeight="1" x14ac:dyDescent="0.2">
      <c r="C922" s="27"/>
      <c r="D922" s="22"/>
      <c r="E922" s="15"/>
      <c r="F922" s="22"/>
      <c r="G922" s="22"/>
      <c r="H922" s="22"/>
      <c r="I922" s="22"/>
      <c r="J922" s="22"/>
      <c r="K922" s="22"/>
      <c r="L922" s="22"/>
      <c r="M922" s="22"/>
      <c r="N922" s="22"/>
      <c r="O922" s="22"/>
      <c r="P922" s="22"/>
      <c r="Q922" s="22"/>
      <c r="R922" s="22"/>
      <c r="S922" s="22"/>
      <c r="T922" s="22"/>
      <c r="U922" s="22"/>
      <c r="V922" s="22"/>
      <c r="W922" s="22"/>
      <c r="X922" s="22"/>
      <c r="Y922" s="15"/>
      <c r="Z922" s="15"/>
    </row>
    <row r="923" spans="3:26" ht="32.25" customHeight="1" x14ac:dyDescent="0.2">
      <c r="C923" s="27"/>
      <c r="D923" s="22"/>
      <c r="E923" s="15"/>
      <c r="F923" s="22"/>
      <c r="G923" s="22"/>
      <c r="H923" s="22"/>
      <c r="I923" s="22"/>
      <c r="J923" s="22"/>
      <c r="K923" s="22"/>
      <c r="L923" s="22"/>
      <c r="M923" s="22"/>
      <c r="N923" s="22"/>
      <c r="O923" s="22"/>
      <c r="P923" s="22"/>
      <c r="Q923" s="22"/>
      <c r="R923" s="22"/>
      <c r="S923" s="22"/>
      <c r="T923" s="22"/>
      <c r="U923" s="22"/>
      <c r="V923" s="22"/>
      <c r="W923" s="22"/>
      <c r="X923" s="22"/>
      <c r="Y923" s="15"/>
      <c r="Z923" s="15"/>
    </row>
    <row r="924" spans="3:26" ht="32.25" customHeight="1" x14ac:dyDescent="0.2">
      <c r="C924" s="27"/>
      <c r="D924" s="22"/>
      <c r="E924" s="15"/>
      <c r="F924" s="22"/>
      <c r="G924" s="22"/>
      <c r="H924" s="22"/>
      <c r="I924" s="22"/>
      <c r="J924" s="22"/>
      <c r="K924" s="22"/>
      <c r="L924" s="22"/>
      <c r="M924" s="22"/>
      <c r="N924" s="22"/>
      <c r="O924" s="22"/>
      <c r="P924" s="22"/>
      <c r="Q924" s="22"/>
      <c r="R924" s="22"/>
      <c r="S924" s="22"/>
      <c r="T924" s="22"/>
      <c r="U924" s="22"/>
      <c r="V924" s="22"/>
      <c r="W924" s="22"/>
      <c r="X924" s="22"/>
      <c r="Y924" s="15"/>
      <c r="Z924" s="15"/>
    </row>
    <row r="925" spans="3:26" ht="32.25" customHeight="1" x14ac:dyDescent="0.2">
      <c r="C925" s="27"/>
      <c r="D925" s="22"/>
      <c r="E925" s="15"/>
      <c r="F925" s="22"/>
      <c r="G925" s="22"/>
      <c r="H925" s="22"/>
      <c r="I925" s="22"/>
      <c r="J925" s="22"/>
      <c r="K925" s="22"/>
      <c r="L925" s="22"/>
      <c r="M925" s="22"/>
      <c r="N925" s="22"/>
      <c r="O925" s="22"/>
      <c r="P925" s="22"/>
      <c r="Q925" s="22"/>
      <c r="R925" s="22"/>
      <c r="S925" s="22"/>
      <c r="T925" s="22"/>
      <c r="U925" s="22"/>
      <c r="V925" s="22"/>
      <c r="W925" s="22"/>
      <c r="X925" s="22"/>
      <c r="Y925" s="15"/>
      <c r="Z925" s="15"/>
    </row>
    <row r="926" spans="3:26" ht="32.25" customHeight="1" x14ac:dyDescent="0.2">
      <c r="C926" s="27"/>
      <c r="D926" s="22"/>
      <c r="E926" s="15"/>
      <c r="F926" s="22"/>
      <c r="G926" s="22"/>
      <c r="H926" s="22"/>
      <c r="I926" s="22"/>
      <c r="J926" s="22"/>
      <c r="K926" s="22"/>
      <c r="L926" s="22"/>
      <c r="M926" s="22"/>
      <c r="N926" s="22"/>
      <c r="O926" s="22"/>
      <c r="P926" s="22"/>
      <c r="Q926" s="22"/>
      <c r="R926" s="22"/>
      <c r="S926" s="22"/>
      <c r="T926" s="22"/>
      <c r="U926" s="22"/>
      <c r="V926" s="22"/>
      <c r="W926" s="22"/>
      <c r="X926" s="22"/>
      <c r="Y926" s="15"/>
      <c r="Z926" s="15"/>
    </row>
    <row r="927" spans="3:26" ht="32.25" customHeight="1" x14ac:dyDescent="0.2">
      <c r="C927" s="27"/>
      <c r="D927" s="22"/>
      <c r="E927" s="15"/>
      <c r="F927" s="22"/>
      <c r="G927" s="22"/>
      <c r="H927" s="22"/>
      <c r="I927" s="22"/>
      <c r="J927" s="22"/>
      <c r="K927" s="22"/>
      <c r="L927" s="22"/>
      <c r="M927" s="22"/>
      <c r="N927" s="22"/>
      <c r="O927" s="22"/>
      <c r="P927" s="22"/>
      <c r="Q927" s="22"/>
      <c r="R927" s="22"/>
      <c r="S927" s="22"/>
      <c r="T927" s="22"/>
      <c r="U927" s="22"/>
      <c r="V927" s="22"/>
      <c r="W927" s="22"/>
      <c r="X927" s="22"/>
      <c r="Y927" s="15"/>
      <c r="Z927" s="15"/>
    </row>
    <row r="928" spans="3:26" ht="32.25" customHeight="1" x14ac:dyDescent="0.2">
      <c r="C928" s="27"/>
      <c r="D928" s="22"/>
      <c r="E928" s="15"/>
      <c r="F928" s="22"/>
      <c r="G928" s="22"/>
      <c r="H928" s="22"/>
      <c r="I928" s="22"/>
      <c r="J928" s="22"/>
      <c r="K928" s="22"/>
      <c r="L928" s="22"/>
      <c r="M928" s="22"/>
      <c r="N928" s="22"/>
      <c r="O928" s="22"/>
      <c r="P928" s="22"/>
      <c r="Q928" s="22"/>
      <c r="R928" s="22"/>
      <c r="S928" s="22"/>
      <c r="T928" s="22"/>
      <c r="U928" s="22"/>
      <c r="V928" s="22"/>
      <c r="W928" s="22"/>
      <c r="X928" s="22"/>
      <c r="Y928" s="15"/>
      <c r="Z928" s="15"/>
    </row>
    <row r="929" spans="3:26" ht="32.25" customHeight="1" x14ac:dyDescent="0.2">
      <c r="C929" s="27"/>
      <c r="D929" s="22"/>
      <c r="E929" s="15"/>
      <c r="F929" s="22"/>
      <c r="G929" s="22"/>
      <c r="H929" s="22"/>
      <c r="I929" s="22"/>
      <c r="J929" s="22"/>
      <c r="K929" s="22"/>
      <c r="L929" s="22"/>
      <c r="M929" s="22"/>
      <c r="N929" s="22"/>
      <c r="O929" s="22"/>
      <c r="P929" s="22"/>
      <c r="Q929" s="22"/>
      <c r="R929" s="22"/>
      <c r="S929" s="22"/>
      <c r="T929" s="22"/>
      <c r="U929" s="22"/>
      <c r="V929" s="22"/>
      <c r="W929" s="22"/>
      <c r="X929" s="22"/>
      <c r="Y929" s="15"/>
      <c r="Z929" s="15"/>
    </row>
    <row r="930" spans="3:26" ht="32.25" customHeight="1" x14ac:dyDescent="0.2">
      <c r="C930" s="27"/>
      <c r="D930" s="22"/>
      <c r="E930" s="15"/>
      <c r="F930" s="22"/>
      <c r="G930" s="22"/>
      <c r="H930" s="22"/>
      <c r="I930" s="22"/>
      <c r="J930" s="22"/>
      <c r="K930" s="22"/>
      <c r="L930" s="22"/>
      <c r="M930" s="22"/>
      <c r="N930" s="22"/>
      <c r="O930" s="22"/>
      <c r="P930" s="22"/>
      <c r="Q930" s="22"/>
      <c r="R930" s="22"/>
      <c r="S930" s="22"/>
      <c r="T930" s="22"/>
      <c r="U930" s="22"/>
      <c r="V930" s="22"/>
      <c r="W930" s="22"/>
      <c r="X930" s="22"/>
      <c r="Y930" s="15"/>
      <c r="Z930" s="15"/>
    </row>
    <row r="931" spans="3:26" ht="32.25" customHeight="1" x14ac:dyDescent="0.2">
      <c r="C931" s="27"/>
      <c r="D931" s="22"/>
      <c r="E931" s="15"/>
      <c r="F931" s="22"/>
      <c r="G931" s="22"/>
      <c r="H931" s="22"/>
      <c r="I931" s="22"/>
      <c r="J931" s="22"/>
      <c r="K931" s="22"/>
      <c r="L931" s="22"/>
      <c r="M931" s="22"/>
      <c r="N931" s="22"/>
      <c r="O931" s="22"/>
      <c r="P931" s="22"/>
      <c r="Q931" s="22"/>
      <c r="R931" s="22"/>
      <c r="S931" s="22"/>
      <c r="T931" s="22"/>
      <c r="U931" s="22"/>
      <c r="V931" s="22"/>
      <c r="W931" s="22"/>
      <c r="X931" s="22"/>
      <c r="Y931" s="15"/>
      <c r="Z931" s="15"/>
    </row>
    <row r="932" spans="3:26" ht="32.25" customHeight="1" x14ac:dyDescent="0.2">
      <c r="C932" s="27"/>
      <c r="D932" s="22"/>
      <c r="E932" s="15"/>
      <c r="F932" s="22"/>
      <c r="G932" s="22"/>
      <c r="H932" s="22"/>
      <c r="I932" s="22"/>
      <c r="J932" s="22"/>
      <c r="K932" s="22"/>
      <c r="L932" s="22"/>
      <c r="M932" s="22"/>
      <c r="N932" s="22"/>
      <c r="O932" s="22"/>
      <c r="P932" s="22"/>
      <c r="Q932" s="22"/>
      <c r="R932" s="22"/>
      <c r="S932" s="22"/>
      <c r="T932" s="22"/>
      <c r="U932" s="22"/>
      <c r="V932" s="22"/>
      <c r="W932" s="22"/>
      <c r="X932" s="22"/>
      <c r="Y932" s="15"/>
      <c r="Z932" s="15"/>
    </row>
    <row r="933" spans="3:26" ht="32.25" customHeight="1" x14ac:dyDescent="0.2">
      <c r="C933" s="27"/>
      <c r="D933" s="22"/>
      <c r="E933" s="15"/>
      <c r="F933" s="22"/>
      <c r="G933" s="22"/>
      <c r="H933" s="22"/>
      <c r="I933" s="22"/>
      <c r="J933" s="22"/>
      <c r="K933" s="22"/>
      <c r="L933" s="22"/>
      <c r="M933" s="22"/>
      <c r="N933" s="22"/>
      <c r="O933" s="22"/>
      <c r="P933" s="22"/>
      <c r="Q933" s="22"/>
      <c r="R933" s="22"/>
      <c r="S933" s="22"/>
      <c r="T933" s="22"/>
      <c r="U933" s="22"/>
      <c r="V933" s="22"/>
      <c r="W933" s="22"/>
      <c r="X933" s="22"/>
      <c r="Y933" s="15"/>
      <c r="Z933" s="15"/>
    </row>
    <row r="934" spans="3:26" ht="32.25" customHeight="1" x14ac:dyDescent="0.2">
      <c r="C934" s="27"/>
      <c r="D934" s="22"/>
      <c r="E934" s="15"/>
      <c r="F934" s="22"/>
      <c r="G934" s="22"/>
      <c r="H934" s="22"/>
      <c r="I934" s="22"/>
      <c r="J934" s="22"/>
      <c r="K934" s="22"/>
      <c r="L934" s="22"/>
      <c r="M934" s="22"/>
      <c r="N934" s="22"/>
      <c r="O934" s="22"/>
      <c r="P934" s="22"/>
      <c r="Q934" s="22"/>
      <c r="R934" s="22"/>
      <c r="S934" s="22"/>
      <c r="T934" s="22"/>
      <c r="U934" s="22"/>
      <c r="V934" s="22"/>
      <c r="W934" s="22"/>
      <c r="X934" s="22"/>
      <c r="Y934" s="15"/>
      <c r="Z934" s="15"/>
    </row>
    <row r="935" spans="3:26" ht="32.25" customHeight="1" x14ac:dyDescent="0.2">
      <c r="C935" s="27"/>
      <c r="D935" s="22"/>
      <c r="E935" s="15"/>
      <c r="F935" s="22"/>
      <c r="G935" s="22"/>
      <c r="H935" s="22"/>
      <c r="I935" s="22"/>
      <c r="J935" s="22"/>
      <c r="K935" s="22"/>
      <c r="L935" s="22"/>
      <c r="M935" s="22"/>
      <c r="N935" s="22"/>
      <c r="O935" s="22"/>
      <c r="P935" s="22"/>
      <c r="Q935" s="22"/>
      <c r="R935" s="22"/>
      <c r="S935" s="22"/>
      <c r="T935" s="22"/>
      <c r="U935" s="22"/>
      <c r="V935" s="22"/>
      <c r="W935" s="22"/>
      <c r="X935" s="22"/>
      <c r="Y935" s="15"/>
      <c r="Z935" s="15"/>
    </row>
    <row r="936" spans="3:26" ht="32.25" customHeight="1" x14ac:dyDescent="0.2">
      <c r="C936" s="27"/>
      <c r="D936" s="22"/>
      <c r="E936" s="15"/>
      <c r="F936" s="22"/>
      <c r="G936" s="22"/>
      <c r="H936" s="22"/>
      <c r="I936" s="22"/>
      <c r="J936" s="22"/>
      <c r="K936" s="22"/>
      <c r="L936" s="22"/>
      <c r="M936" s="22"/>
      <c r="N936" s="22"/>
      <c r="O936" s="22"/>
      <c r="P936" s="22"/>
      <c r="Q936" s="22"/>
      <c r="R936" s="22"/>
      <c r="S936" s="22"/>
      <c r="T936" s="22"/>
      <c r="U936" s="22"/>
      <c r="V936" s="22"/>
      <c r="W936" s="22"/>
      <c r="X936" s="22"/>
      <c r="Y936" s="15"/>
      <c r="Z936" s="15"/>
    </row>
    <row r="937" spans="3:26" ht="32.25" customHeight="1" x14ac:dyDescent="0.2">
      <c r="C937" s="27"/>
      <c r="D937" s="22"/>
      <c r="E937" s="15"/>
      <c r="F937" s="22"/>
      <c r="G937" s="22"/>
      <c r="H937" s="22"/>
      <c r="I937" s="22"/>
      <c r="J937" s="22"/>
      <c r="K937" s="22"/>
      <c r="L937" s="22"/>
      <c r="M937" s="22"/>
      <c r="N937" s="22"/>
      <c r="O937" s="22"/>
      <c r="P937" s="22"/>
      <c r="Q937" s="22"/>
      <c r="R937" s="22"/>
      <c r="S937" s="22"/>
      <c r="T937" s="22"/>
      <c r="U937" s="22"/>
      <c r="V937" s="22"/>
      <c r="W937" s="22"/>
      <c r="X937" s="22"/>
      <c r="Y937" s="15"/>
      <c r="Z937" s="15"/>
    </row>
    <row r="938" spans="3:26" ht="32.25" customHeight="1" x14ac:dyDescent="0.2">
      <c r="C938" s="27"/>
      <c r="D938" s="22"/>
      <c r="E938" s="15"/>
      <c r="F938" s="22"/>
      <c r="G938" s="22"/>
      <c r="H938" s="22"/>
      <c r="I938" s="22"/>
      <c r="J938" s="22"/>
      <c r="K938" s="22"/>
      <c r="L938" s="22"/>
      <c r="M938" s="22"/>
      <c r="N938" s="22"/>
      <c r="O938" s="22"/>
      <c r="P938" s="22"/>
      <c r="Q938" s="22"/>
      <c r="R938" s="22"/>
      <c r="S938" s="22"/>
      <c r="T938" s="22"/>
      <c r="U938" s="22"/>
      <c r="V938" s="22"/>
      <c r="W938" s="22"/>
      <c r="X938" s="22"/>
      <c r="Y938" s="15"/>
      <c r="Z938" s="15"/>
    </row>
    <row r="939" spans="3:26" ht="32.25" customHeight="1" x14ac:dyDescent="0.2">
      <c r="C939" s="27"/>
      <c r="D939" s="22"/>
      <c r="E939" s="15"/>
      <c r="F939" s="22"/>
      <c r="G939" s="22"/>
      <c r="H939" s="22"/>
      <c r="I939" s="22"/>
      <c r="J939" s="22"/>
      <c r="K939" s="22"/>
      <c r="L939" s="22"/>
      <c r="M939" s="22"/>
      <c r="N939" s="22"/>
      <c r="O939" s="22"/>
      <c r="P939" s="22"/>
      <c r="Q939" s="22"/>
      <c r="R939" s="22"/>
      <c r="S939" s="22"/>
      <c r="T939" s="22"/>
      <c r="U939" s="22"/>
      <c r="V939" s="22"/>
      <c r="W939" s="22"/>
      <c r="X939" s="22"/>
      <c r="Y939" s="15"/>
      <c r="Z939" s="15"/>
    </row>
    <row r="940" spans="3:26" ht="32.25" customHeight="1" x14ac:dyDescent="0.2">
      <c r="C940" s="27"/>
      <c r="D940" s="22"/>
      <c r="E940" s="15"/>
      <c r="F940" s="22"/>
      <c r="G940" s="22"/>
      <c r="H940" s="22"/>
      <c r="I940" s="22"/>
      <c r="J940" s="22"/>
      <c r="K940" s="22"/>
      <c r="L940" s="22"/>
      <c r="M940" s="22"/>
      <c r="N940" s="22"/>
      <c r="O940" s="22"/>
      <c r="P940" s="22"/>
      <c r="Q940" s="22"/>
      <c r="R940" s="22"/>
      <c r="S940" s="22"/>
      <c r="T940" s="22"/>
      <c r="U940" s="22"/>
      <c r="V940" s="22"/>
      <c r="W940" s="22"/>
      <c r="X940" s="22"/>
      <c r="Y940" s="15"/>
      <c r="Z940" s="15"/>
    </row>
    <row r="941" spans="3:26" ht="32.25" customHeight="1" x14ac:dyDescent="0.2">
      <c r="C941" s="27"/>
      <c r="D941" s="22"/>
      <c r="E941" s="15"/>
      <c r="F941" s="22"/>
      <c r="G941" s="22"/>
      <c r="H941" s="22"/>
      <c r="I941" s="22"/>
      <c r="J941" s="22"/>
      <c r="K941" s="22"/>
      <c r="L941" s="22"/>
      <c r="M941" s="22"/>
      <c r="N941" s="22"/>
      <c r="O941" s="22"/>
      <c r="P941" s="22"/>
      <c r="Q941" s="22"/>
      <c r="R941" s="22"/>
      <c r="S941" s="22"/>
      <c r="T941" s="22"/>
      <c r="U941" s="22"/>
      <c r="V941" s="22"/>
      <c r="W941" s="22"/>
      <c r="X941" s="22"/>
      <c r="Y941" s="15"/>
      <c r="Z941" s="15"/>
    </row>
    <row r="942" spans="3:26" ht="32.25" customHeight="1" x14ac:dyDescent="0.2">
      <c r="C942" s="27"/>
      <c r="D942" s="22"/>
      <c r="E942" s="15"/>
      <c r="F942" s="22"/>
      <c r="G942" s="22"/>
      <c r="H942" s="22"/>
      <c r="I942" s="22"/>
      <c r="J942" s="22"/>
      <c r="K942" s="22"/>
      <c r="L942" s="22"/>
      <c r="M942" s="22"/>
      <c r="N942" s="22"/>
      <c r="O942" s="22"/>
      <c r="P942" s="22"/>
      <c r="Q942" s="22"/>
      <c r="R942" s="22"/>
      <c r="S942" s="22"/>
      <c r="T942" s="22"/>
      <c r="U942" s="22"/>
      <c r="V942" s="22"/>
      <c r="W942" s="22"/>
      <c r="X942" s="22"/>
      <c r="Y942" s="15"/>
      <c r="Z942" s="15"/>
    </row>
    <row r="943" spans="3:26" ht="32.25" customHeight="1" x14ac:dyDescent="0.2">
      <c r="C943" s="27"/>
      <c r="D943" s="22"/>
      <c r="E943" s="15"/>
      <c r="F943" s="22"/>
      <c r="G943" s="22"/>
      <c r="H943" s="22"/>
      <c r="I943" s="22"/>
      <c r="J943" s="22"/>
      <c r="K943" s="22"/>
      <c r="L943" s="22"/>
      <c r="M943" s="22"/>
      <c r="N943" s="22"/>
      <c r="O943" s="22"/>
      <c r="P943" s="22"/>
      <c r="Q943" s="22"/>
      <c r="R943" s="22"/>
      <c r="S943" s="22"/>
      <c r="T943" s="22"/>
      <c r="U943" s="22"/>
      <c r="V943" s="22"/>
      <c r="W943" s="22"/>
      <c r="X943" s="22"/>
      <c r="Y943" s="15"/>
      <c r="Z943" s="15"/>
    </row>
    <row r="944" spans="3:26" ht="32.25" customHeight="1" x14ac:dyDescent="0.2">
      <c r="C944" s="27"/>
      <c r="D944" s="22"/>
      <c r="E944" s="15"/>
      <c r="F944" s="22"/>
      <c r="G944" s="22"/>
      <c r="H944" s="22"/>
      <c r="I944" s="22"/>
      <c r="J944" s="22"/>
      <c r="K944" s="22"/>
      <c r="L944" s="22"/>
      <c r="M944" s="22"/>
      <c r="N944" s="22"/>
      <c r="O944" s="22"/>
      <c r="P944" s="22"/>
      <c r="Q944" s="22"/>
      <c r="R944" s="22"/>
      <c r="S944" s="22"/>
      <c r="T944" s="22"/>
      <c r="U944" s="22"/>
      <c r="V944" s="22"/>
      <c r="W944" s="22"/>
      <c r="X944" s="22"/>
      <c r="Y944" s="15"/>
      <c r="Z944" s="15"/>
    </row>
    <row r="945" spans="3:26" ht="32.25" customHeight="1" x14ac:dyDescent="0.2">
      <c r="C945" s="27"/>
      <c r="D945" s="22"/>
      <c r="E945" s="15"/>
      <c r="F945" s="22"/>
      <c r="G945" s="22"/>
      <c r="H945" s="22"/>
      <c r="I945" s="22"/>
      <c r="J945" s="22"/>
      <c r="K945" s="22"/>
      <c r="L945" s="22"/>
      <c r="M945" s="22"/>
      <c r="N945" s="22"/>
      <c r="O945" s="22"/>
      <c r="P945" s="22"/>
      <c r="Q945" s="22"/>
      <c r="R945" s="22"/>
      <c r="S945" s="22"/>
      <c r="T945" s="22"/>
      <c r="U945" s="22"/>
      <c r="V945" s="22"/>
      <c r="W945" s="22"/>
      <c r="X945" s="22"/>
      <c r="Y945" s="15"/>
      <c r="Z945" s="15"/>
    </row>
    <row r="946" spans="3:26" ht="32.25" customHeight="1" x14ac:dyDescent="0.2">
      <c r="C946" s="27"/>
      <c r="D946" s="22"/>
      <c r="E946" s="15"/>
      <c r="F946" s="22"/>
      <c r="G946" s="22"/>
      <c r="H946" s="22"/>
      <c r="I946" s="22"/>
      <c r="J946" s="22"/>
      <c r="K946" s="22"/>
      <c r="L946" s="22"/>
      <c r="M946" s="22"/>
      <c r="N946" s="22"/>
      <c r="O946" s="22"/>
      <c r="P946" s="22"/>
      <c r="Q946" s="22"/>
      <c r="R946" s="22"/>
      <c r="S946" s="22"/>
      <c r="T946" s="22"/>
      <c r="U946" s="22"/>
      <c r="V946" s="22"/>
      <c r="W946" s="22"/>
      <c r="X946" s="22"/>
      <c r="Y946" s="15"/>
      <c r="Z946" s="15"/>
    </row>
    <row r="947" spans="3:26" ht="32.25" customHeight="1" x14ac:dyDescent="0.2">
      <c r="C947" s="27"/>
      <c r="D947" s="22"/>
      <c r="E947" s="15"/>
      <c r="F947" s="22"/>
      <c r="G947" s="22"/>
      <c r="H947" s="22"/>
      <c r="I947" s="22"/>
      <c r="J947" s="22"/>
      <c r="K947" s="22"/>
      <c r="L947" s="22"/>
      <c r="M947" s="22"/>
      <c r="N947" s="22"/>
      <c r="O947" s="22"/>
      <c r="P947" s="22"/>
      <c r="Q947" s="22"/>
      <c r="R947" s="22"/>
      <c r="S947" s="22"/>
      <c r="T947" s="22"/>
      <c r="U947" s="22"/>
      <c r="V947" s="22"/>
      <c r="W947" s="22"/>
      <c r="X947" s="22"/>
      <c r="Y947" s="15"/>
      <c r="Z947" s="15"/>
    </row>
    <row r="948" spans="3:26" ht="32.25" customHeight="1" x14ac:dyDescent="0.2">
      <c r="C948" s="27"/>
      <c r="D948" s="22"/>
      <c r="E948" s="15"/>
      <c r="F948" s="22"/>
      <c r="G948" s="22"/>
      <c r="H948" s="22"/>
      <c r="I948" s="22"/>
      <c r="J948" s="22"/>
      <c r="K948" s="22"/>
      <c r="L948" s="22"/>
      <c r="M948" s="22"/>
      <c r="N948" s="22"/>
      <c r="O948" s="22"/>
      <c r="P948" s="22"/>
      <c r="Q948" s="22"/>
      <c r="R948" s="22"/>
      <c r="S948" s="22"/>
      <c r="T948" s="22"/>
      <c r="U948" s="22"/>
      <c r="V948" s="22"/>
      <c r="W948" s="22"/>
      <c r="X948" s="22"/>
      <c r="Y948" s="15"/>
      <c r="Z948" s="15"/>
    </row>
    <row r="949" spans="3:26" ht="32.25" customHeight="1" x14ac:dyDescent="0.2">
      <c r="C949" s="27"/>
      <c r="D949" s="22"/>
      <c r="E949" s="15"/>
      <c r="F949" s="22"/>
      <c r="G949" s="22"/>
      <c r="H949" s="22"/>
      <c r="I949" s="22"/>
      <c r="J949" s="22"/>
      <c r="K949" s="22"/>
      <c r="L949" s="22"/>
      <c r="M949" s="22"/>
      <c r="N949" s="22"/>
      <c r="O949" s="22"/>
      <c r="P949" s="22"/>
      <c r="Q949" s="22"/>
      <c r="R949" s="22"/>
      <c r="S949" s="22"/>
      <c r="T949" s="22"/>
      <c r="U949" s="22"/>
      <c r="V949" s="22"/>
      <c r="W949" s="22"/>
      <c r="X949" s="22"/>
      <c r="Y949" s="15"/>
      <c r="Z949" s="15"/>
    </row>
    <row r="950" spans="3:26" ht="32.25" customHeight="1" x14ac:dyDescent="0.2">
      <c r="C950" s="27"/>
      <c r="D950" s="22"/>
      <c r="E950" s="15"/>
      <c r="F950" s="22"/>
      <c r="G950" s="22"/>
      <c r="H950" s="22"/>
      <c r="I950" s="22"/>
      <c r="J950" s="22"/>
      <c r="K950" s="22"/>
      <c r="L950" s="22"/>
      <c r="M950" s="22"/>
      <c r="N950" s="22"/>
      <c r="O950" s="22"/>
      <c r="P950" s="22"/>
      <c r="Q950" s="22"/>
      <c r="R950" s="22"/>
      <c r="S950" s="22"/>
      <c r="T950" s="22"/>
      <c r="U950" s="22"/>
      <c r="V950" s="22"/>
      <c r="W950" s="22"/>
      <c r="X950" s="22"/>
      <c r="Y950" s="15"/>
      <c r="Z950" s="15"/>
    </row>
    <row r="951" spans="3:26" ht="32.25" customHeight="1" x14ac:dyDescent="0.2">
      <c r="C951" s="27"/>
      <c r="D951" s="22"/>
      <c r="E951" s="15"/>
      <c r="F951" s="22"/>
      <c r="G951" s="22"/>
      <c r="H951" s="22"/>
      <c r="I951" s="22"/>
      <c r="J951" s="22"/>
      <c r="K951" s="22"/>
      <c r="L951" s="22"/>
      <c r="M951" s="22"/>
      <c r="N951" s="22"/>
      <c r="O951" s="22"/>
      <c r="P951" s="22"/>
      <c r="Q951" s="22"/>
      <c r="R951" s="22"/>
      <c r="S951" s="22"/>
      <c r="T951" s="22"/>
      <c r="U951" s="22"/>
      <c r="V951" s="22"/>
      <c r="W951" s="22"/>
      <c r="X951" s="22"/>
      <c r="Y951" s="15"/>
      <c r="Z951" s="15"/>
    </row>
    <row r="952" spans="3:26" ht="32.25" customHeight="1" x14ac:dyDescent="0.2">
      <c r="C952" s="27"/>
      <c r="D952" s="22"/>
      <c r="E952" s="15"/>
      <c r="F952" s="22"/>
      <c r="G952" s="22"/>
      <c r="H952" s="22"/>
      <c r="I952" s="22"/>
      <c r="J952" s="22"/>
      <c r="K952" s="22"/>
      <c r="L952" s="22"/>
      <c r="M952" s="22"/>
      <c r="N952" s="22"/>
      <c r="O952" s="22"/>
      <c r="P952" s="22"/>
      <c r="Q952" s="22"/>
      <c r="R952" s="22"/>
      <c r="S952" s="22"/>
      <c r="T952" s="22"/>
      <c r="U952" s="22"/>
      <c r="V952" s="22"/>
      <c r="W952" s="22"/>
      <c r="X952" s="22"/>
      <c r="Y952" s="15"/>
      <c r="Z952" s="15"/>
    </row>
    <row r="953" spans="3:26" ht="32.25" customHeight="1" x14ac:dyDescent="0.2">
      <c r="C953" s="27"/>
      <c r="D953" s="22"/>
      <c r="E953" s="15"/>
      <c r="F953" s="22"/>
      <c r="G953" s="22"/>
      <c r="H953" s="22"/>
      <c r="I953" s="22"/>
      <c r="J953" s="22"/>
      <c r="K953" s="22"/>
      <c r="L953" s="22"/>
      <c r="M953" s="22"/>
      <c r="N953" s="22"/>
      <c r="O953" s="22"/>
      <c r="P953" s="22"/>
      <c r="Q953" s="22"/>
      <c r="R953" s="22"/>
      <c r="S953" s="22"/>
      <c r="T953" s="22"/>
      <c r="U953" s="22"/>
      <c r="V953" s="22"/>
      <c r="W953" s="22"/>
      <c r="X953" s="22"/>
      <c r="Y953" s="15"/>
      <c r="Z953" s="15"/>
    </row>
    <row r="954" spans="3:26" ht="32.25" customHeight="1" x14ac:dyDescent="0.2">
      <c r="C954" s="27"/>
      <c r="D954" s="22"/>
      <c r="E954" s="15"/>
      <c r="F954" s="22"/>
      <c r="G954" s="22"/>
      <c r="H954" s="22"/>
      <c r="I954" s="22"/>
      <c r="J954" s="22"/>
      <c r="K954" s="22"/>
      <c r="L954" s="22"/>
      <c r="M954" s="22"/>
      <c r="N954" s="22"/>
      <c r="O954" s="22"/>
      <c r="P954" s="22"/>
      <c r="Q954" s="22"/>
      <c r="R954" s="22"/>
      <c r="S954" s="22"/>
      <c r="T954" s="22"/>
      <c r="U954" s="22"/>
      <c r="V954" s="22"/>
      <c r="W954" s="22"/>
      <c r="X954" s="22"/>
      <c r="Y954" s="15"/>
      <c r="Z954" s="15"/>
    </row>
    <row r="955" spans="3:26" ht="32.25" customHeight="1" x14ac:dyDescent="0.2">
      <c r="C955" s="27"/>
      <c r="D955" s="22"/>
      <c r="E955" s="15"/>
      <c r="F955" s="22"/>
      <c r="G955" s="22"/>
      <c r="H955" s="22"/>
      <c r="I955" s="22"/>
      <c r="J955" s="22"/>
      <c r="K955" s="22"/>
      <c r="L955" s="22"/>
      <c r="M955" s="22"/>
      <c r="N955" s="22"/>
      <c r="O955" s="22"/>
      <c r="P955" s="22"/>
      <c r="Q955" s="22"/>
      <c r="R955" s="22"/>
      <c r="S955" s="22"/>
      <c r="T955" s="22"/>
      <c r="U955" s="22"/>
      <c r="V955" s="22"/>
      <c r="W955" s="22"/>
      <c r="X955" s="22"/>
      <c r="Y955" s="15"/>
      <c r="Z955" s="15"/>
    </row>
    <row r="956" spans="3:26" ht="32.25" customHeight="1" x14ac:dyDescent="0.2">
      <c r="C956" s="27"/>
      <c r="D956" s="22"/>
      <c r="E956" s="15"/>
      <c r="F956" s="22"/>
      <c r="G956" s="22"/>
      <c r="H956" s="22"/>
      <c r="I956" s="22"/>
      <c r="J956" s="22"/>
      <c r="K956" s="22"/>
      <c r="L956" s="22"/>
      <c r="M956" s="22"/>
      <c r="N956" s="22"/>
      <c r="O956" s="22"/>
      <c r="P956" s="22"/>
      <c r="Q956" s="22"/>
      <c r="R956" s="22"/>
      <c r="S956" s="22"/>
      <c r="T956" s="22"/>
      <c r="U956" s="22"/>
      <c r="V956" s="22"/>
      <c r="W956" s="22"/>
      <c r="X956" s="22"/>
      <c r="Y956" s="15"/>
      <c r="Z956" s="15"/>
    </row>
    <row r="957" spans="3:26" ht="32.25" customHeight="1" x14ac:dyDescent="0.2">
      <c r="C957" s="27"/>
      <c r="D957" s="22"/>
      <c r="E957" s="15"/>
      <c r="F957" s="22"/>
      <c r="G957" s="22"/>
      <c r="H957" s="22"/>
      <c r="I957" s="22"/>
      <c r="J957" s="22"/>
      <c r="K957" s="22"/>
      <c r="L957" s="22"/>
      <c r="M957" s="22"/>
      <c r="N957" s="22"/>
      <c r="O957" s="22"/>
      <c r="P957" s="22"/>
      <c r="Q957" s="22"/>
      <c r="R957" s="22"/>
      <c r="S957" s="22"/>
      <c r="T957" s="22"/>
      <c r="U957" s="22"/>
      <c r="V957" s="22"/>
      <c r="W957" s="22"/>
      <c r="X957" s="22"/>
      <c r="Y957" s="15"/>
      <c r="Z957" s="15"/>
    </row>
    <row r="958" spans="3:26" ht="32.25" customHeight="1" x14ac:dyDescent="0.2">
      <c r="C958" s="27"/>
      <c r="D958" s="22"/>
      <c r="E958" s="15"/>
      <c r="F958" s="22"/>
      <c r="G958" s="22"/>
      <c r="H958" s="22"/>
      <c r="I958" s="22"/>
      <c r="J958" s="22"/>
      <c r="K958" s="22"/>
      <c r="L958" s="22"/>
      <c r="M958" s="22"/>
      <c r="N958" s="22"/>
      <c r="O958" s="22"/>
      <c r="P958" s="22"/>
      <c r="Q958" s="22"/>
      <c r="R958" s="22"/>
      <c r="S958" s="22"/>
      <c r="T958" s="22"/>
      <c r="U958" s="22"/>
      <c r="V958" s="22"/>
      <c r="W958" s="22"/>
      <c r="X958" s="22"/>
      <c r="Y958" s="15"/>
      <c r="Z958" s="15"/>
    </row>
    <row r="959" spans="3:26" ht="32.25" customHeight="1" x14ac:dyDescent="0.2">
      <c r="C959" s="27"/>
      <c r="D959" s="22"/>
      <c r="E959" s="15"/>
      <c r="F959" s="22"/>
      <c r="G959" s="22"/>
      <c r="H959" s="22"/>
      <c r="I959" s="22"/>
      <c r="J959" s="22"/>
      <c r="K959" s="22"/>
      <c r="L959" s="22"/>
      <c r="M959" s="22"/>
      <c r="N959" s="22"/>
      <c r="O959" s="22"/>
      <c r="P959" s="22"/>
      <c r="Q959" s="22"/>
      <c r="R959" s="22"/>
      <c r="S959" s="22"/>
      <c r="T959" s="22"/>
      <c r="U959" s="22"/>
      <c r="V959" s="22"/>
      <c r="W959" s="22"/>
      <c r="X959" s="22"/>
      <c r="Y959" s="15"/>
      <c r="Z959" s="15"/>
    </row>
    <row r="960" spans="3:26" ht="32.25" customHeight="1" x14ac:dyDescent="0.2">
      <c r="C960" s="27"/>
      <c r="D960" s="22"/>
      <c r="E960" s="15"/>
      <c r="F960" s="22"/>
      <c r="G960" s="22"/>
      <c r="H960" s="22"/>
      <c r="I960" s="22"/>
      <c r="J960" s="22"/>
      <c r="K960" s="22"/>
      <c r="L960" s="22"/>
      <c r="M960" s="22"/>
      <c r="N960" s="22"/>
      <c r="O960" s="22"/>
      <c r="P960" s="22"/>
      <c r="Q960" s="22"/>
      <c r="R960" s="22"/>
      <c r="S960" s="22"/>
      <c r="T960" s="22"/>
      <c r="U960" s="22"/>
      <c r="V960" s="22"/>
      <c r="W960" s="22"/>
      <c r="X960" s="22"/>
      <c r="Y960" s="15"/>
      <c r="Z960" s="15"/>
    </row>
    <row r="961" spans="3:26" ht="32.25" customHeight="1" x14ac:dyDescent="0.2">
      <c r="C961" s="27"/>
      <c r="D961" s="22"/>
      <c r="E961" s="15"/>
      <c r="F961" s="22"/>
      <c r="G961" s="22"/>
      <c r="H961" s="22"/>
      <c r="I961" s="22"/>
      <c r="J961" s="22"/>
      <c r="K961" s="22"/>
      <c r="L961" s="22"/>
      <c r="M961" s="22"/>
      <c r="N961" s="22"/>
      <c r="O961" s="22"/>
      <c r="P961" s="22"/>
      <c r="Q961" s="22"/>
      <c r="R961" s="22"/>
      <c r="S961" s="22"/>
      <c r="T961" s="22"/>
      <c r="U961" s="22"/>
      <c r="V961" s="22"/>
      <c r="W961" s="22"/>
      <c r="X961" s="22"/>
      <c r="Y961" s="15"/>
      <c r="Z961" s="15"/>
    </row>
    <row r="962" spans="3:26" ht="32.25" customHeight="1" x14ac:dyDescent="0.2">
      <c r="C962" s="27"/>
      <c r="D962" s="22"/>
      <c r="E962" s="15"/>
      <c r="F962" s="22"/>
      <c r="G962" s="22"/>
      <c r="H962" s="22"/>
      <c r="I962" s="22"/>
      <c r="J962" s="22"/>
      <c r="K962" s="22"/>
      <c r="L962" s="22"/>
      <c r="M962" s="22"/>
      <c r="N962" s="22"/>
      <c r="O962" s="22"/>
      <c r="P962" s="22"/>
      <c r="Q962" s="22"/>
      <c r="R962" s="22"/>
      <c r="S962" s="22"/>
      <c r="T962" s="22"/>
      <c r="U962" s="22"/>
      <c r="V962" s="22"/>
      <c r="W962" s="22"/>
      <c r="X962" s="22"/>
      <c r="Y962" s="15"/>
      <c r="Z962" s="15"/>
    </row>
    <row r="963" spans="3:26" ht="32.25" customHeight="1" x14ac:dyDescent="0.2">
      <c r="C963" s="27"/>
      <c r="D963" s="22"/>
      <c r="E963" s="15"/>
      <c r="F963" s="22"/>
      <c r="G963" s="22"/>
      <c r="H963" s="22"/>
      <c r="I963" s="22"/>
      <c r="J963" s="22"/>
      <c r="K963" s="22"/>
      <c r="L963" s="22"/>
      <c r="M963" s="22"/>
      <c r="N963" s="22"/>
      <c r="O963" s="22"/>
      <c r="P963" s="22"/>
      <c r="Q963" s="22"/>
      <c r="R963" s="22"/>
      <c r="S963" s="22"/>
      <c r="T963" s="22"/>
      <c r="U963" s="22"/>
      <c r="V963" s="22"/>
      <c r="W963" s="22"/>
      <c r="X963" s="22"/>
      <c r="Y963" s="15"/>
      <c r="Z963" s="15"/>
    </row>
    <row r="964" spans="3:26" ht="32.25" customHeight="1" x14ac:dyDescent="0.2">
      <c r="C964" s="27"/>
      <c r="D964" s="22"/>
      <c r="E964" s="15"/>
      <c r="F964" s="22"/>
      <c r="G964" s="22"/>
      <c r="H964" s="22"/>
      <c r="I964" s="22"/>
      <c r="J964" s="22"/>
      <c r="K964" s="22"/>
      <c r="L964" s="22"/>
      <c r="M964" s="22"/>
      <c r="N964" s="22"/>
      <c r="O964" s="22"/>
      <c r="P964" s="22"/>
      <c r="Q964" s="22"/>
      <c r="R964" s="22"/>
      <c r="S964" s="22"/>
      <c r="T964" s="22"/>
      <c r="U964" s="22"/>
      <c r="V964" s="22"/>
      <c r="W964" s="22"/>
      <c r="X964" s="22"/>
      <c r="Y964" s="15"/>
      <c r="Z964" s="15"/>
    </row>
    <row r="965" spans="3:26" ht="32.25" customHeight="1" x14ac:dyDescent="0.2">
      <c r="C965" s="27"/>
      <c r="D965" s="22"/>
      <c r="E965" s="15"/>
      <c r="F965" s="22"/>
      <c r="G965" s="22"/>
      <c r="H965" s="22"/>
      <c r="I965" s="22"/>
      <c r="J965" s="22"/>
      <c r="K965" s="22"/>
      <c r="L965" s="22"/>
      <c r="M965" s="22"/>
      <c r="N965" s="22"/>
      <c r="O965" s="22"/>
      <c r="P965" s="22"/>
      <c r="Q965" s="22"/>
      <c r="R965" s="22"/>
      <c r="S965" s="22"/>
      <c r="T965" s="22"/>
      <c r="U965" s="22"/>
      <c r="V965" s="22"/>
      <c r="W965" s="22"/>
      <c r="X965" s="22"/>
      <c r="Y965" s="15"/>
      <c r="Z965" s="15"/>
    </row>
    <row r="966" spans="3:26" ht="32.25" customHeight="1" x14ac:dyDescent="0.2">
      <c r="C966" s="27"/>
      <c r="D966" s="22"/>
      <c r="E966" s="15"/>
      <c r="F966" s="22"/>
      <c r="G966" s="22"/>
      <c r="H966" s="22"/>
      <c r="I966" s="22"/>
      <c r="J966" s="22"/>
      <c r="K966" s="22"/>
      <c r="L966" s="22"/>
      <c r="M966" s="22"/>
      <c r="N966" s="22"/>
      <c r="O966" s="22"/>
      <c r="P966" s="22"/>
      <c r="Q966" s="22"/>
      <c r="R966" s="22"/>
      <c r="S966" s="22"/>
      <c r="T966" s="22"/>
      <c r="U966" s="22"/>
      <c r="V966" s="22"/>
      <c r="W966" s="22"/>
      <c r="X966" s="22"/>
      <c r="Y966" s="15"/>
      <c r="Z966" s="15"/>
    </row>
    <row r="967" spans="3:26" ht="32.25" customHeight="1" x14ac:dyDescent="0.2">
      <c r="C967" s="27"/>
      <c r="D967" s="22"/>
      <c r="E967" s="15"/>
      <c r="F967" s="22"/>
      <c r="G967" s="22"/>
      <c r="H967" s="22"/>
      <c r="I967" s="22"/>
      <c r="J967" s="22"/>
      <c r="K967" s="22"/>
      <c r="L967" s="22"/>
      <c r="M967" s="22"/>
      <c r="N967" s="22"/>
      <c r="O967" s="22"/>
      <c r="P967" s="22"/>
      <c r="Q967" s="22"/>
      <c r="R967" s="22"/>
      <c r="S967" s="22"/>
      <c r="T967" s="22"/>
      <c r="U967" s="22"/>
      <c r="V967" s="22"/>
      <c r="W967" s="22"/>
      <c r="X967" s="22"/>
      <c r="Y967" s="15"/>
      <c r="Z967" s="15"/>
    </row>
    <row r="968" spans="3:26" ht="32.25" customHeight="1" x14ac:dyDescent="0.2">
      <c r="C968" s="27"/>
      <c r="D968" s="22"/>
      <c r="E968" s="15"/>
      <c r="F968" s="22"/>
      <c r="G968" s="22"/>
      <c r="H968" s="22"/>
      <c r="I968" s="22"/>
      <c r="J968" s="22"/>
      <c r="K968" s="22"/>
      <c r="L968" s="22"/>
      <c r="M968" s="22"/>
      <c r="N968" s="22"/>
      <c r="O968" s="22"/>
      <c r="P968" s="22"/>
      <c r="Q968" s="22"/>
      <c r="R968" s="22"/>
      <c r="S968" s="22"/>
      <c r="T968" s="22"/>
      <c r="U968" s="22"/>
      <c r="V968" s="22"/>
      <c r="W968" s="22"/>
      <c r="X968" s="22"/>
      <c r="Y968" s="15"/>
      <c r="Z968" s="15"/>
    </row>
    <row r="969" spans="3:26" ht="32.25" customHeight="1" x14ac:dyDescent="0.2">
      <c r="C969" s="27"/>
      <c r="D969" s="22"/>
      <c r="E969" s="15"/>
      <c r="F969" s="22"/>
      <c r="G969" s="22"/>
      <c r="H969" s="22"/>
      <c r="I969" s="22"/>
      <c r="J969" s="22"/>
      <c r="K969" s="22"/>
      <c r="L969" s="22"/>
      <c r="M969" s="22"/>
      <c r="N969" s="22"/>
      <c r="O969" s="22"/>
      <c r="P969" s="22"/>
      <c r="Q969" s="22"/>
      <c r="R969" s="22"/>
      <c r="S969" s="22"/>
      <c r="T969" s="22"/>
      <c r="U969" s="22"/>
      <c r="V969" s="22"/>
      <c r="W969" s="22"/>
      <c r="X969" s="22"/>
      <c r="Y969" s="15"/>
      <c r="Z969" s="15"/>
    </row>
    <row r="970" spans="3:26" ht="32.25" customHeight="1" x14ac:dyDescent="0.2">
      <c r="C970" s="27"/>
      <c r="D970" s="22"/>
      <c r="E970" s="15"/>
      <c r="F970" s="22"/>
      <c r="G970" s="22"/>
      <c r="H970" s="22"/>
      <c r="I970" s="22"/>
      <c r="J970" s="22"/>
      <c r="K970" s="22"/>
      <c r="L970" s="22"/>
      <c r="M970" s="22"/>
      <c r="N970" s="22"/>
      <c r="O970" s="22"/>
      <c r="P970" s="22"/>
      <c r="Q970" s="22"/>
      <c r="R970" s="22"/>
      <c r="S970" s="22"/>
      <c r="T970" s="22"/>
      <c r="U970" s="22"/>
      <c r="V970" s="22"/>
      <c r="W970" s="22"/>
      <c r="X970" s="22"/>
      <c r="Y970" s="15"/>
      <c r="Z970" s="15"/>
    </row>
    <row r="971" spans="3:26" ht="32.25" customHeight="1" x14ac:dyDescent="0.2">
      <c r="C971" s="27"/>
      <c r="D971" s="22"/>
      <c r="E971" s="15"/>
      <c r="F971" s="22"/>
      <c r="G971" s="22"/>
      <c r="H971" s="22"/>
      <c r="I971" s="22"/>
      <c r="J971" s="22"/>
      <c r="K971" s="22"/>
      <c r="L971" s="22"/>
      <c r="M971" s="22"/>
      <c r="N971" s="22"/>
      <c r="O971" s="22"/>
      <c r="P971" s="22"/>
      <c r="Q971" s="22"/>
      <c r="R971" s="22"/>
      <c r="S971" s="22"/>
      <c r="T971" s="22"/>
      <c r="U971" s="22"/>
      <c r="V971" s="22"/>
      <c r="W971" s="22"/>
      <c r="X971" s="22"/>
      <c r="Y971" s="15"/>
      <c r="Z971" s="15"/>
    </row>
    <row r="972" spans="3:26" ht="32.25" customHeight="1" x14ac:dyDescent="0.2">
      <c r="C972" s="27"/>
      <c r="D972" s="22"/>
      <c r="E972" s="15"/>
      <c r="F972" s="22"/>
      <c r="G972" s="22"/>
      <c r="H972" s="22"/>
      <c r="I972" s="22"/>
      <c r="J972" s="22"/>
      <c r="K972" s="22"/>
      <c r="L972" s="22"/>
      <c r="M972" s="22"/>
      <c r="N972" s="22"/>
      <c r="O972" s="22"/>
      <c r="P972" s="22"/>
      <c r="Q972" s="22"/>
      <c r="R972" s="22"/>
      <c r="S972" s="22"/>
      <c r="T972" s="22"/>
      <c r="U972" s="22"/>
      <c r="V972" s="22"/>
      <c r="W972" s="22"/>
      <c r="X972" s="22"/>
      <c r="Y972" s="15"/>
      <c r="Z972" s="15"/>
    </row>
    <row r="973" spans="3:26" ht="32.25" customHeight="1" x14ac:dyDescent="0.2">
      <c r="C973" s="27"/>
      <c r="D973" s="22"/>
      <c r="E973" s="15"/>
      <c r="F973" s="22"/>
      <c r="G973" s="22"/>
      <c r="H973" s="22"/>
      <c r="I973" s="22"/>
      <c r="J973" s="22"/>
      <c r="K973" s="22"/>
      <c r="L973" s="22"/>
      <c r="M973" s="22"/>
      <c r="N973" s="22"/>
      <c r="O973" s="22"/>
      <c r="P973" s="22"/>
      <c r="Q973" s="22"/>
      <c r="R973" s="22"/>
      <c r="S973" s="22"/>
      <c r="T973" s="22"/>
      <c r="U973" s="22"/>
      <c r="V973" s="22"/>
      <c r="W973" s="22"/>
      <c r="X973" s="22"/>
      <c r="Y973" s="15"/>
      <c r="Z973" s="15"/>
    </row>
    <row r="974" spans="3:26" ht="32.25" customHeight="1" x14ac:dyDescent="0.2">
      <c r="C974" s="27"/>
      <c r="D974" s="22"/>
      <c r="E974" s="15"/>
      <c r="F974" s="22"/>
      <c r="G974" s="22"/>
      <c r="H974" s="22"/>
      <c r="I974" s="22"/>
      <c r="J974" s="22"/>
      <c r="K974" s="22"/>
      <c r="L974" s="22"/>
      <c r="M974" s="22"/>
      <c r="N974" s="22"/>
      <c r="O974" s="22"/>
      <c r="P974" s="22"/>
      <c r="Q974" s="22"/>
      <c r="R974" s="22"/>
      <c r="S974" s="22"/>
      <c r="T974" s="22"/>
      <c r="U974" s="22"/>
      <c r="V974" s="22"/>
      <c r="W974" s="22"/>
      <c r="X974" s="22"/>
      <c r="Y974" s="15"/>
      <c r="Z974" s="15"/>
    </row>
    <row r="975" spans="3:26" ht="32.25" customHeight="1" x14ac:dyDescent="0.2">
      <c r="C975" s="27"/>
      <c r="D975" s="22"/>
      <c r="E975" s="15"/>
      <c r="F975" s="22"/>
      <c r="G975" s="22"/>
      <c r="H975" s="22"/>
      <c r="I975" s="22"/>
      <c r="J975" s="22"/>
      <c r="K975" s="22"/>
      <c r="L975" s="22"/>
      <c r="M975" s="22"/>
      <c r="N975" s="22"/>
      <c r="O975" s="22"/>
      <c r="P975" s="22"/>
      <c r="Q975" s="22"/>
      <c r="R975" s="22"/>
      <c r="S975" s="22"/>
      <c r="T975" s="22"/>
      <c r="U975" s="22"/>
      <c r="V975" s="22"/>
      <c r="W975" s="22"/>
      <c r="X975" s="22"/>
      <c r="Y975" s="15"/>
      <c r="Z975" s="15"/>
    </row>
    <row r="976" spans="3:26" ht="32.25" customHeight="1" x14ac:dyDescent="0.2">
      <c r="C976" s="27"/>
      <c r="D976" s="22"/>
      <c r="E976" s="15"/>
      <c r="F976" s="22"/>
      <c r="G976" s="22"/>
      <c r="H976" s="22"/>
      <c r="I976" s="22"/>
      <c r="J976" s="22"/>
      <c r="K976" s="22"/>
      <c r="L976" s="22"/>
      <c r="M976" s="22"/>
      <c r="N976" s="22"/>
      <c r="O976" s="22"/>
      <c r="P976" s="22"/>
      <c r="Q976" s="22"/>
      <c r="R976" s="22"/>
      <c r="S976" s="22"/>
      <c r="T976" s="22"/>
      <c r="U976" s="22"/>
      <c r="V976" s="22"/>
      <c r="W976" s="22"/>
      <c r="X976" s="22"/>
      <c r="Y976" s="15"/>
      <c r="Z976" s="15"/>
    </row>
    <row r="977" spans="3:26" ht="32.25" customHeight="1" x14ac:dyDescent="0.2">
      <c r="C977" s="27"/>
      <c r="D977" s="22"/>
      <c r="E977" s="15"/>
      <c r="F977" s="22"/>
      <c r="G977" s="22"/>
      <c r="H977" s="22"/>
      <c r="I977" s="22"/>
      <c r="J977" s="22"/>
      <c r="K977" s="22"/>
      <c r="L977" s="22"/>
      <c r="M977" s="22"/>
      <c r="N977" s="22"/>
      <c r="O977" s="22"/>
      <c r="P977" s="22"/>
      <c r="Q977" s="22"/>
      <c r="R977" s="22"/>
      <c r="S977" s="22"/>
      <c r="T977" s="22"/>
      <c r="U977" s="22"/>
      <c r="V977" s="22"/>
      <c r="W977" s="22"/>
      <c r="X977" s="22"/>
      <c r="Y977" s="15"/>
      <c r="Z977" s="15"/>
    </row>
    <row r="978" spans="3:26" ht="32.25" customHeight="1" x14ac:dyDescent="0.2">
      <c r="C978" s="27"/>
      <c r="D978" s="22"/>
      <c r="E978" s="15"/>
      <c r="F978" s="22"/>
      <c r="G978" s="22"/>
      <c r="H978" s="22"/>
      <c r="I978" s="22"/>
      <c r="J978" s="22"/>
      <c r="K978" s="22"/>
      <c r="L978" s="22"/>
      <c r="M978" s="22"/>
      <c r="N978" s="22"/>
      <c r="O978" s="22"/>
      <c r="P978" s="22"/>
      <c r="Q978" s="22"/>
      <c r="R978" s="22"/>
      <c r="S978" s="22"/>
      <c r="T978" s="22"/>
      <c r="U978" s="22"/>
      <c r="V978" s="22"/>
      <c r="W978" s="22"/>
      <c r="X978" s="22"/>
      <c r="Y978" s="15"/>
      <c r="Z978" s="15"/>
    </row>
    <row r="979" spans="3:26" ht="32.25" customHeight="1" x14ac:dyDescent="0.2">
      <c r="C979" s="27"/>
      <c r="D979" s="22"/>
      <c r="E979" s="15"/>
      <c r="F979" s="22"/>
      <c r="G979" s="22"/>
      <c r="H979" s="22"/>
      <c r="I979" s="22"/>
      <c r="J979" s="22"/>
      <c r="K979" s="22"/>
      <c r="L979" s="22"/>
      <c r="M979" s="22"/>
      <c r="N979" s="22"/>
      <c r="O979" s="22"/>
      <c r="P979" s="22"/>
      <c r="Q979" s="22"/>
      <c r="R979" s="22"/>
      <c r="S979" s="22"/>
      <c r="T979" s="22"/>
      <c r="U979" s="22"/>
      <c r="V979" s="22"/>
      <c r="W979" s="22"/>
      <c r="X979" s="22"/>
      <c r="Y979" s="15"/>
      <c r="Z979" s="15"/>
    </row>
    <row r="980" spans="3:26" ht="32.25" customHeight="1" x14ac:dyDescent="0.2">
      <c r="C980" s="27"/>
      <c r="D980" s="22"/>
      <c r="E980" s="15"/>
      <c r="F980" s="22"/>
      <c r="G980" s="22"/>
      <c r="H980" s="22"/>
      <c r="I980" s="22"/>
      <c r="J980" s="22"/>
      <c r="K980" s="22"/>
      <c r="L980" s="22"/>
      <c r="M980" s="22"/>
      <c r="N980" s="22"/>
      <c r="O980" s="22"/>
      <c r="P980" s="22"/>
      <c r="Q980" s="22"/>
      <c r="R980" s="22"/>
      <c r="S980" s="22"/>
      <c r="T980" s="22"/>
      <c r="U980" s="22"/>
      <c r="V980" s="22"/>
      <c r="W980" s="22"/>
      <c r="X980" s="22"/>
      <c r="Y980" s="15"/>
      <c r="Z980" s="15"/>
    </row>
    <row r="981" spans="3:26" ht="32.25" customHeight="1" x14ac:dyDescent="0.2">
      <c r="C981" s="29"/>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3:26" ht="32.25" customHeight="1" x14ac:dyDescent="0.2">
      <c r="C982" s="29"/>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3:26" ht="32.25" customHeight="1" x14ac:dyDescent="0.2">
      <c r="C983" s="29"/>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3:26" ht="32.25" customHeight="1" x14ac:dyDescent="0.2">
      <c r="C984" s="29"/>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3:26" ht="32.25" customHeight="1" x14ac:dyDescent="0.2">
      <c r="C985" s="29"/>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3:26" ht="32.25" customHeight="1" x14ac:dyDescent="0.2">
      <c r="C986" s="29"/>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3:26" ht="32.25" customHeight="1" x14ac:dyDescent="0.2">
      <c r="C987" s="29"/>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3:26" ht="32.25" customHeight="1" x14ac:dyDescent="0.2">
      <c r="C988" s="29"/>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3:26" ht="32.25" customHeight="1" x14ac:dyDescent="0.2">
      <c r="C989" s="29"/>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3:26" ht="32.25" customHeight="1" x14ac:dyDescent="0.2">
      <c r="C990" s="29"/>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3:26" ht="32.25" customHeight="1" x14ac:dyDescent="0.2">
      <c r="C991" s="29"/>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3:26" ht="32.25" customHeight="1" x14ac:dyDescent="0.2">
      <c r="C992" s="29"/>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3:26" ht="32.25" customHeight="1" x14ac:dyDescent="0.2">
      <c r="C993" s="29"/>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3:26" ht="32.25" customHeight="1" x14ac:dyDescent="0.2">
      <c r="C994" s="29"/>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3:26" ht="32.25" customHeight="1" x14ac:dyDescent="0.2">
      <c r="C995" s="29"/>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3:26" ht="32.25" customHeight="1" x14ac:dyDescent="0.2">
      <c r="C996" s="29"/>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3:26" ht="32.25" customHeight="1" x14ac:dyDescent="0.2">
      <c r="C997" s="29"/>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3:26" ht="32.25" customHeight="1" x14ac:dyDescent="0.2">
      <c r="C998" s="29"/>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3:26" ht="32.25" customHeight="1" x14ac:dyDescent="0.2">
      <c r="C999" s="29"/>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3:26" ht="32.25" customHeight="1" x14ac:dyDescent="0.2">
      <c r="C1000" s="29"/>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3:26" ht="32.25" customHeight="1" x14ac:dyDescent="0.2">
      <c r="C1001" s="29"/>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3:26" ht="32.25" customHeight="1" x14ac:dyDescent="0.2">
      <c r="C1002" s="29"/>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3:26" ht="32.25" customHeight="1" x14ac:dyDescent="0.2">
      <c r="C1003" s="29"/>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3:26" ht="32.25" customHeight="1" x14ac:dyDescent="0.2">
      <c r="C1004" s="29"/>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3:26" ht="32.25" customHeight="1" x14ac:dyDescent="0.2">
      <c r="C1005" s="29"/>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3:26" ht="32.25" customHeight="1" x14ac:dyDescent="0.2">
      <c r="C1006" s="29"/>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3:26" ht="32.25" customHeight="1" x14ac:dyDescent="0.2">
      <c r="C1007" s="29"/>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3:26" ht="32.25" customHeight="1" x14ac:dyDescent="0.2">
      <c r="C1008" s="29"/>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3:26" ht="32.25" customHeight="1" x14ac:dyDescent="0.2">
      <c r="C1009" s="29"/>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3:26" ht="32.25" customHeight="1" x14ac:dyDescent="0.2">
      <c r="C1010" s="29"/>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spans="3:26" ht="32.25" customHeight="1" x14ac:dyDescent="0.2">
      <c r="C1011" s="29"/>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spans="3:26" ht="32.25" customHeight="1" x14ac:dyDescent="0.2">
      <c r="C1012" s="29"/>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spans="3:26" ht="32.25" customHeight="1" x14ac:dyDescent="0.2">
      <c r="C1013" s="29"/>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spans="3:26" ht="32.25" customHeight="1" x14ac:dyDescent="0.2">
      <c r="C1014" s="29"/>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spans="3:26" ht="32.25" customHeight="1" x14ac:dyDescent="0.2">
      <c r="C1015" s="29"/>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spans="3:26" ht="32.25" customHeight="1" x14ac:dyDescent="0.2">
      <c r="C1016" s="29"/>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spans="3:26" ht="32.25" customHeight="1" x14ac:dyDescent="0.2">
      <c r="C1017" s="29"/>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spans="3:26" ht="32.25" customHeight="1" x14ac:dyDescent="0.2">
      <c r="C1018" s="29"/>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spans="3:26" ht="32.25" customHeight="1" x14ac:dyDescent="0.2">
      <c r="C1019" s="29"/>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spans="3:26" ht="32.25" customHeight="1" x14ac:dyDescent="0.2">
      <c r="C1020" s="29"/>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spans="3:26" ht="32.25" customHeight="1" x14ac:dyDescent="0.2">
      <c r="C1021" s="29"/>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eatoinschrdlu@hotmail.com</cp:lastModifiedBy>
  <dcterms:modified xsi:type="dcterms:W3CDTF">2020-10-15T05:28:47Z</dcterms:modified>
</cp:coreProperties>
</file>